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1\monthlyreport\"/>
    </mc:Choice>
  </mc:AlternateContent>
  <xr:revisionPtr revIDLastSave="0" documentId="13_ncr:1_{2553A0DB-0D51-4211-8631-4B49AD185C1C}" xr6:coauthVersionLast="45" xr6:coauthVersionMax="45" xr10:uidLastSave="{00000000-0000-0000-0000-000000000000}"/>
  <bookViews>
    <workbookView xWindow="-60" yWindow="-60" windowWidth="24120" windowHeight="12960" tabRatio="500" activeTab="4" xr2:uid="{00000000-000D-0000-FFFF-FFFF00000000}"/>
  </bookViews>
  <sheets>
    <sheet name="SALES SUMMARY" sheetId="1" r:id="rId1"/>
    <sheet name="SALES SUMMARY (2)" sheetId="5" r:id="rId2"/>
    <sheet name="ENTRY" sheetId="2" r:id="rId3"/>
    <sheet name="SC" sheetId="3" r:id="rId4"/>
    <sheet name="M &amp; C VALERO" sheetId="4" r:id="rId5"/>
  </sheets>
  <definedNames>
    <definedName name="_xlnm.Print_Area" localSheetId="4">'M &amp; C VALERO'!$A$68:$H$97</definedName>
    <definedName name="_xlnm.Print_Area" localSheetId="3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7" i="4" l="1"/>
  <c r="AO65" i="5" l="1"/>
  <c r="U59" i="5"/>
  <c r="F115" i="4"/>
  <c r="A103" i="4"/>
  <c r="A101" i="4"/>
  <c r="A37" i="4"/>
  <c r="A69" i="4" s="1"/>
  <c r="A3" i="4"/>
  <c r="K54" i="3"/>
  <c r="K53" i="3"/>
  <c r="N51" i="3"/>
  <c r="N52" i="3" s="1"/>
  <c r="K51" i="3"/>
  <c r="F51" i="3"/>
  <c r="D51" i="3"/>
  <c r="C51" i="3"/>
  <c r="E51" i="3" s="1"/>
  <c r="N50" i="3"/>
  <c r="K50" i="3"/>
  <c r="C50" i="3"/>
  <c r="M49" i="3"/>
  <c r="N48" i="3"/>
  <c r="N49" i="3" s="1"/>
  <c r="M48" i="3"/>
  <c r="L48" i="3"/>
  <c r="L49" i="3" s="1"/>
  <c r="K48" i="3"/>
  <c r="K49" i="3" s="1"/>
  <c r="F48" i="3"/>
  <c r="E48" i="3"/>
  <c r="D48" i="3"/>
  <c r="C48" i="3"/>
  <c r="N47" i="3"/>
  <c r="M47" i="3"/>
  <c r="L47" i="3"/>
  <c r="K47" i="3"/>
  <c r="C47" i="3"/>
  <c r="K45" i="3"/>
  <c r="D45" i="3"/>
  <c r="C45" i="3"/>
  <c r="E45" i="3" s="1"/>
  <c r="K44" i="3"/>
  <c r="C44" i="3"/>
  <c r="N43" i="3"/>
  <c r="N42" i="3"/>
  <c r="M42" i="3"/>
  <c r="L42" i="3"/>
  <c r="L43" i="3" s="1"/>
  <c r="K42" i="3"/>
  <c r="K43" i="3" s="1"/>
  <c r="F42" i="3"/>
  <c r="E42" i="3"/>
  <c r="D42" i="3"/>
  <c r="C42" i="3"/>
  <c r="N41" i="3"/>
  <c r="M41" i="3"/>
  <c r="L41" i="3"/>
  <c r="K41" i="3"/>
  <c r="C41" i="3"/>
  <c r="F41" i="3" s="1"/>
  <c r="F43" i="3" s="1"/>
  <c r="N39" i="3"/>
  <c r="K39" i="3"/>
  <c r="F39" i="3"/>
  <c r="D39" i="3"/>
  <c r="C39" i="3"/>
  <c r="E39" i="3" s="1"/>
  <c r="K38" i="3"/>
  <c r="C38" i="3"/>
  <c r="L37" i="3"/>
  <c r="N36" i="3"/>
  <c r="N37" i="3" s="1"/>
  <c r="M36" i="3"/>
  <c r="L36" i="3"/>
  <c r="K36" i="3"/>
  <c r="K37" i="3" s="1"/>
  <c r="F36" i="3"/>
  <c r="E36" i="3"/>
  <c r="D36" i="3"/>
  <c r="C36" i="3"/>
  <c r="N35" i="3"/>
  <c r="M35" i="3"/>
  <c r="L35" i="3"/>
  <c r="K35" i="3"/>
  <c r="C35" i="3"/>
  <c r="K33" i="3"/>
  <c r="D33" i="3"/>
  <c r="C33" i="3"/>
  <c r="E33" i="3" s="1"/>
  <c r="K32" i="3"/>
  <c r="E32" i="3"/>
  <c r="C32" i="3"/>
  <c r="N31" i="3"/>
  <c r="M31" i="3"/>
  <c r="N30" i="3"/>
  <c r="M30" i="3"/>
  <c r="L30" i="3"/>
  <c r="L31" i="3" s="1"/>
  <c r="K30" i="3"/>
  <c r="K31" i="3" s="1"/>
  <c r="F30" i="3"/>
  <c r="E30" i="3"/>
  <c r="D30" i="3"/>
  <c r="C30" i="3"/>
  <c r="N29" i="3"/>
  <c r="M29" i="3"/>
  <c r="L29" i="3"/>
  <c r="K29" i="3"/>
  <c r="F29" i="3"/>
  <c r="F31" i="3" s="1"/>
  <c r="C29" i="3"/>
  <c r="N27" i="3"/>
  <c r="N28" i="3" s="1"/>
  <c r="K27" i="3"/>
  <c r="F27" i="3"/>
  <c r="D27" i="3"/>
  <c r="C27" i="3"/>
  <c r="E27" i="3" s="1"/>
  <c r="N26" i="3"/>
  <c r="K26" i="3"/>
  <c r="C26" i="3"/>
  <c r="M25" i="3"/>
  <c r="L25" i="3"/>
  <c r="F25" i="3"/>
  <c r="N24" i="3"/>
  <c r="N25" i="3" s="1"/>
  <c r="M24" i="3"/>
  <c r="L24" i="3"/>
  <c r="K24" i="3"/>
  <c r="K25" i="3" s="1"/>
  <c r="F24" i="3"/>
  <c r="E24" i="3"/>
  <c r="D24" i="3"/>
  <c r="C24" i="3"/>
  <c r="C25" i="3" s="1"/>
  <c r="N23" i="3"/>
  <c r="M23" i="3"/>
  <c r="L23" i="3"/>
  <c r="K23" i="3"/>
  <c r="F23" i="3"/>
  <c r="C23" i="3"/>
  <c r="K21" i="3"/>
  <c r="D21" i="3"/>
  <c r="C21" i="3"/>
  <c r="E21" i="3" s="1"/>
  <c r="K20" i="3"/>
  <c r="C20" i="3"/>
  <c r="E20" i="3" s="1"/>
  <c r="N19" i="3"/>
  <c r="N18" i="3"/>
  <c r="M18" i="3"/>
  <c r="M19" i="3" s="1"/>
  <c r="L18" i="3"/>
  <c r="L19" i="3" s="1"/>
  <c r="K18" i="3"/>
  <c r="K19" i="3" s="1"/>
  <c r="F18" i="3"/>
  <c r="E18" i="3"/>
  <c r="D18" i="3"/>
  <c r="C18" i="3"/>
  <c r="N17" i="3"/>
  <c r="M17" i="3"/>
  <c r="L17" i="3"/>
  <c r="K17" i="3"/>
  <c r="C17" i="3"/>
  <c r="N15" i="3"/>
  <c r="N16" i="3" s="1"/>
  <c r="K15" i="3"/>
  <c r="F15" i="3"/>
  <c r="D15" i="3"/>
  <c r="C15" i="3"/>
  <c r="E15" i="3" s="1"/>
  <c r="N14" i="3"/>
  <c r="K14" i="3"/>
  <c r="C14" i="3"/>
  <c r="K12" i="3"/>
  <c r="E12" i="3"/>
  <c r="C12" i="3"/>
  <c r="K11" i="3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F11" i="3"/>
  <c r="D11" i="3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C10" i="3"/>
  <c r="K9" i="3"/>
  <c r="E9" i="3"/>
  <c r="C9" i="3"/>
  <c r="K8" i="3"/>
  <c r="E8" i="3"/>
  <c r="C8" i="3"/>
  <c r="I1" i="3"/>
  <c r="A1" i="3"/>
  <c r="AF33" i="2"/>
  <c r="AF32" i="2"/>
  <c r="AF31" i="2"/>
  <c r="Z31" i="2"/>
  <c r="F31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G3" i="2"/>
  <c r="AF2" i="2"/>
  <c r="B2" i="2"/>
  <c r="BP105" i="1"/>
  <c r="BO105" i="1"/>
  <c r="BN105" i="1"/>
  <c r="BM105" i="1"/>
  <c r="BL105" i="1"/>
  <c r="BK105" i="1"/>
  <c r="AF103" i="1"/>
  <c r="G10" i="4" s="1"/>
  <c r="AE103" i="1"/>
  <c r="AE106" i="1" s="1"/>
  <c r="AC103" i="1"/>
  <c r="AB103" i="1"/>
  <c r="AA103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R101" i="1"/>
  <c r="AQ101" i="1"/>
  <c r="AP101" i="1"/>
  <c r="AO101" i="1"/>
  <c r="AK101" i="1"/>
  <c r="AJ101" i="1"/>
  <c r="AG101" i="1"/>
  <c r="Y101" i="1"/>
  <c r="U101" i="1"/>
  <c r="S101" i="1"/>
  <c r="R101" i="1"/>
  <c r="L101" i="1"/>
  <c r="K101" i="1"/>
  <c r="J101" i="1"/>
  <c r="I101" i="1"/>
  <c r="E101" i="1"/>
  <c r="D101" i="1"/>
  <c r="C101" i="1"/>
  <c r="BR100" i="1"/>
  <c r="AF34" i="2" s="1"/>
  <c r="AZ100" i="1"/>
  <c r="AF30" i="2" s="1"/>
  <c r="AM100" i="1"/>
  <c r="AL100" i="1"/>
  <c r="AK100" i="1"/>
  <c r="AF27" i="2" s="1"/>
  <c r="AI100" i="1"/>
  <c r="AF25" i="2" s="1"/>
  <c r="AH100" i="1"/>
  <c r="AG100" i="1"/>
  <c r="AF23" i="2" s="1"/>
  <c r="Z100" i="1"/>
  <c r="AF18" i="2" s="1"/>
  <c r="W100" i="1"/>
  <c r="AF16" i="2" s="1"/>
  <c r="V100" i="1"/>
  <c r="AF15" i="2" s="1"/>
  <c r="U100" i="1"/>
  <c r="AF14" i="2" s="1"/>
  <c r="T100" i="1"/>
  <c r="AF13" i="2" s="1"/>
  <c r="P100" i="1"/>
  <c r="AF12" i="2" s="1"/>
  <c r="O100" i="1"/>
  <c r="AF11" i="2" s="1"/>
  <c r="N100" i="1"/>
  <c r="AF10" i="2" s="1"/>
  <c r="M100" i="1"/>
  <c r="AF9" i="2" s="1"/>
  <c r="H100" i="1"/>
  <c r="AF6" i="2" s="1"/>
  <c r="G100" i="1"/>
  <c r="AF5" i="2" s="1"/>
  <c r="BD99" i="1"/>
  <c r="BD101" i="1" s="1"/>
  <c r="BC99" i="1"/>
  <c r="BC101" i="1" s="1"/>
  <c r="AZ99" i="1"/>
  <c r="AK99" i="1"/>
  <c r="AL99" i="1" s="1"/>
  <c r="AI99" i="1"/>
  <c r="AI101" i="1" s="1"/>
  <c r="AH99" i="1"/>
  <c r="AG99" i="1"/>
  <c r="W99" i="1"/>
  <c r="W101" i="1" s="1"/>
  <c r="U99" i="1"/>
  <c r="T99" i="1"/>
  <c r="T101" i="1" s="1"/>
  <c r="P99" i="1"/>
  <c r="P101" i="1" s="1"/>
  <c r="N99" i="1"/>
  <c r="N101" i="1" s="1"/>
  <c r="M99" i="1"/>
  <c r="H99" i="1"/>
  <c r="H101" i="1" s="1"/>
  <c r="G99" i="1"/>
  <c r="G101" i="1" s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AZ98" i="1"/>
  <c r="AE30" i="2" s="1"/>
  <c r="AY98" i="1"/>
  <c r="AX98" i="1"/>
  <c r="AW98" i="1"/>
  <c r="AV98" i="1"/>
  <c r="AU98" i="1"/>
  <c r="AT98" i="1"/>
  <c r="AS98" i="1"/>
  <c r="AR98" i="1"/>
  <c r="AQ98" i="1"/>
  <c r="AP98" i="1"/>
  <c r="AO98" i="1"/>
  <c r="AK98" i="1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 i="1"/>
  <c r="P98" i="1"/>
  <c r="AE12" i="2" s="1"/>
  <c r="L98" i="1"/>
  <c r="K98" i="1"/>
  <c r="J98" i="1"/>
  <c r="AE8" i="2" s="1"/>
  <c r="I98" i="1"/>
  <c r="AE7" i="2" s="1"/>
  <c r="H98" i="1"/>
  <c r="AE6" i="2" s="1"/>
  <c r="G98" i="1"/>
  <c r="AE5" i="2" s="1"/>
  <c r="E98" i="1"/>
  <c r="AE3" i="2" s="1"/>
  <c r="D98" i="1"/>
  <c r="BA97" i="1"/>
  <c r="AZ97" i="1"/>
  <c r="AL97" i="1"/>
  <c r="AM97" i="1" s="1"/>
  <c r="AN97" i="1" s="1"/>
  <c r="AK97" i="1"/>
  <c r="AI97" i="1"/>
  <c r="AH97" i="1"/>
  <c r="AG97" i="1"/>
  <c r="AG98" i="1" s="1"/>
  <c r="AE23" i="2" s="1"/>
  <c r="Z97" i="1"/>
  <c r="N97" i="1"/>
  <c r="M97" i="1"/>
  <c r="O97" i="1" s="1"/>
  <c r="H97" i="1"/>
  <c r="G97" i="1"/>
  <c r="BD96" i="1"/>
  <c r="BR96" i="1" s="1"/>
  <c r="BC96" i="1"/>
  <c r="BC98" i="1" s="1"/>
  <c r="AZ96" i="1"/>
  <c r="AM96" i="1"/>
  <c r="AL96" i="1"/>
  <c r="AL98" i="1" s="1"/>
  <c r="AK96" i="1"/>
  <c r="AI96" i="1"/>
  <c r="AI98" i="1" s="1"/>
  <c r="AE25" i="2" s="1"/>
  <c r="AH96" i="1"/>
  <c r="AH98" i="1" s="1"/>
  <c r="AE24" i="2" s="1"/>
  <c r="AG96" i="1"/>
  <c r="Z96" i="1"/>
  <c r="N96" i="1"/>
  <c r="M96" i="1"/>
  <c r="H96" i="1"/>
  <c r="G96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J95" i="1"/>
  <c r="AD26" i="2" s="1"/>
  <c r="AH95" i="1"/>
  <c r="AD24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 i="1"/>
  <c r="P95" i="1"/>
  <c r="AD12" i="2" s="1"/>
  <c r="N95" i="1"/>
  <c r="AD10" i="2" s="1"/>
  <c r="M95" i="1"/>
  <c r="AD9" i="2" s="1"/>
  <c r="L95" i="1"/>
  <c r="K95" i="1"/>
  <c r="J95" i="1"/>
  <c r="AD8" i="2" s="1"/>
  <c r="I95" i="1"/>
  <c r="AD7" i="2" s="1"/>
  <c r="E95" i="1"/>
  <c r="AD3" i="2" s="1"/>
  <c r="D95" i="1"/>
  <c r="C95" i="1"/>
  <c r="AZ94" i="1"/>
  <c r="BR94" i="1" s="1"/>
  <c r="AK94" i="1"/>
  <c r="AI94" i="1"/>
  <c r="AI95" i="1" s="1"/>
  <c r="AD25" i="2" s="1"/>
  <c r="AH94" i="1"/>
  <c r="AG94" i="1"/>
  <c r="Z94" i="1"/>
  <c r="O94" i="1"/>
  <c r="N94" i="1"/>
  <c r="M94" i="1"/>
  <c r="H94" i="1"/>
  <c r="G94" i="1"/>
  <c r="BD93" i="1"/>
  <c r="BD95" i="1" s="1"/>
  <c r="AD33" i="2" s="1"/>
  <c r="BC93" i="1"/>
  <c r="BC95" i="1" s="1"/>
  <c r="AZ93" i="1"/>
  <c r="AK93" i="1"/>
  <c r="AK95" i="1" s="1"/>
  <c r="AD27" i="2" s="1"/>
  <c r="AI93" i="1"/>
  <c r="AH93" i="1"/>
  <c r="AG93" i="1"/>
  <c r="AG95" i="1" s="1"/>
  <c r="AD23" i="2" s="1"/>
  <c r="Z93" i="1"/>
  <c r="N93" i="1"/>
  <c r="M93" i="1"/>
  <c r="O93" i="1" s="1"/>
  <c r="H93" i="1"/>
  <c r="H95" i="1" s="1"/>
  <c r="AD6" i="2" s="1"/>
  <c r="G93" i="1"/>
  <c r="G95" i="1" s="1"/>
  <c r="AD5" i="2" s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Z92" i="1"/>
  <c r="AC30" i="2" s="1"/>
  <c r="AY92" i="1"/>
  <c r="AX92" i="1"/>
  <c r="AW92" i="1"/>
  <c r="AV92" i="1"/>
  <c r="AU92" i="1"/>
  <c r="AT92" i="1"/>
  <c r="AS92" i="1"/>
  <c r="AR92" i="1"/>
  <c r="AQ92" i="1"/>
  <c r="AP92" i="1"/>
  <c r="AO92" i="1"/>
  <c r="AK92" i="1"/>
  <c r="AC27" i="2" s="1"/>
  <c r="AJ92" i="1"/>
  <c r="AC26" i="2" s="1"/>
  <c r="AI92" i="1"/>
  <c r="AC25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 i="1"/>
  <c r="P92" i="1"/>
  <c r="AC12" i="2" s="1"/>
  <c r="N92" i="1"/>
  <c r="AC10" i="2" s="1"/>
  <c r="L92" i="1"/>
  <c r="K92" i="1"/>
  <c r="J92" i="1"/>
  <c r="AC8" i="2" s="1"/>
  <c r="I92" i="1"/>
  <c r="AC7" i="2" s="1"/>
  <c r="G92" i="1"/>
  <c r="AC5" i="2" s="1"/>
  <c r="E92" i="1"/>
  <c r="AC3" i="2" s="1"/>
  <c r="D92" i="1"/>
  <c r="C92" i="1"/>
  <c r="BR91" i="1"/>
  <c r="AZ91" i="1"/>
  <c r="AL91" i="1"/>
  <c r="AM91" i="1" s="1"/>
  <c r="AN91" i="1" s="1"/>
  <c r="AK91" i="1"/>
  <c r="AI91" i="1"/>
  <c r="AH91" i="1"/>
  <c r="AG91" i="1"/>
  <c r="N91" i="1"/>
  <c r="M91" i="1"/>
  <c r="O91" i="1" s="1"/>
  <c r="H91" i="1"/>
  <c r="G91" i="1"/>
  <c r="BD90" i="1"/>
  <c r="BD92" i="1" s="1"/>
  <c r="AC33" i="2" s="1"/>
  <c r="BC90" i="1"/>
  <c r="BC92" i="1" s="1"/>
  <c r="AZ90" i="1"/>
  <c r="AM90" i="1"/>
  <c r="AL90" i="1"/>
  <c r="AK90" i="1"/>
  <c r="AI90" i="1"/>
  <c r="AH90" i="1"/>
  <c r="AH92" i="1" s="1"/>
  <c r="AC24" i="2" s="1"/>
  <c r="AG90" i="1"/>
  <c r="AG92" i="1" s="1"/>
  <c r="AC23" i="2" s="1"/>
  <c r="N90" i="1"/>
  <c r="M90" i="1"/>
  <c r="H90" i="1"/>
  <c r="H92" i="1" s="1"/>
  <c r="AC6" i="2" s="1"/>
  <c r="G90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B89" i="1"/>
  <c r="AB32" i="2" s="1"/>
  <c r="BA89" i="1"/>
  <c r="AB31" i="2" s="1"/>
  <c r="AZ89" i="1"/>
  <c r="AB30" i="2" s="1"/>
  <c r="AY89" i="1"/>
  <c r="AX89" i="1"/>
  <c r="AW89" i="1"/>
  <c r="AV89" i="1"/>
  <c r="AU89" i="1"/>
  <c r="AT89" i="1"/>
  <c r="AS89" i="1"/>
  <c r="AR89" i="1"/>
  <c r="AQ89" i="1"/>
  <c r="AP89" i="1"/>
  <c r="AO89" i="1"/>
  <c r="AK89" i="1"/>
  <c r="AB27" i="2" s="1"/>
  <c r="AJ89" i="1"/>
  <c r="AB26" i="2" s="1"/>
  <c r="AI89" i="1"/>
  <c r="AB25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 i="1"/>
  <c r="P89" i="1"/>
  <c r="AB12" i="2" s="1"/>
  <c r="N89" i="1"/>
  <c r="AB10" i="2" s="1"/>
  <c r="L89" i="1"/>
  <c r="K89" i="1"/>
  <c r="J89" i="1"/>
  <c r="AB8" i="2" s="1"/>
  <c r="I89" i="1"/>
  <c r="AB7" i="2" s="1"/>
  <c r="G89" i="1"/>
  <c r="AB5" i="2" s="1"/>
  <c r="E89" i="1"/>
  <c r="AB3" i="2" s="1"/>
  <c r="D89" i="1"/>
  <c r="C89" i="1"/>
  <c r="BR88" i="1"/>
  <c r="AZ88" i="1"/>
  <c r="AM88" i="1"/>
  <c r="AN88" i="1" s="1"/>
  <c r="AL88" i="1"/>
  <c r="AK88" i="1"/>
  <c r="AI88" i="1"/>
  <c r="AH88" i="1"/>
  <c r="AG88" i="1"/>
  <c r="N88" i="1"/>
  <c r="M88" i="1"/>
  <c r="O88" i="1" s="1"/>
  <c r="H88" i="1"/>
  <c r="G88" i="1"/>
  <c r="BD87" i="1"/>
  <c r="BC87" i="1"/>
  <c r="BC89" i="1" s="1"/>
  <c r="AZ87" i="1"/>
  <c r="BR87" i="1" s="1"/>
  <c r="BR89" i="1" s="1"/>
  <c r="AB34" i="2" s="1"/>
  <c r="AM87" i="1"/>
  <c r="AL87" i="1"/>
  <c r="AK87" i="1"/>
  <c r="AI87" i="1"/>
  <c r="AH87" i="1"/>
  <c r="AG87" i="1"/>
  <c r="AG89" i="1" s="1"/>
  <c r="AB23" i="2" s="1"/>
  <c r="N87" i="1"/>
  <c r="M87" i="1"/>
  <c r="H87" i="1"/>
  <c r="H89" i="1" s="1"/>
  <c r="AB6" i="2" s="1"/>
  <c r="G87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B86" i="1"/>
  <c r="AA32" i="2" s="1"/>
  <c r="BA86" i="1"/>
  <c r="AA31" i="2" s="1"/>
  <c r="AZ86" i="1"/>
  <c r="AA30" i="2" s="1"/>
  <c r="AY86" i="1"/>
  <c r="AX86" i="1"/>
  <c r="AW86" i="1"/>
  <c r="AV86" i="1"/>
  <c r="AU86" i="1"/>
  <c r="AT86" i="1"/>
  <c r="AS86" i="1"/>
  <c r="AR86" i="1"/>
  <c r="AQ86" i="1"/>
  <c r="AP86" i="1"/>
  <c r="AO86" i="1"/>
  <c r="AK86" i="1"/>
  <c r="AA27" i="2" s="1"/>
  <c r="AJ86" i="1"/>
  <c r="AA26" i="2" s="1"/>
  <c r="AI86" i="1"/>
  <c r="AA25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N86" i="1"/>
  <c r="AA10" i="2" s="1"/>
  <c r="L86" i="1"/>
  <c r="K86" i="1"/>
  <c r="J86" i="1"/>
  <c r="AA8" i="2" s="1"/>
  <c r="I86" i="1"/>
  <c r="AA7" i="2" s="1"/>
  <c r="G86" i="1"/>
  <c r="AA5" i="2" s="1"/>
  <c r="E86" i="1"/>
  <c r="AA3" i="2" s="1"/>
  <c r="D86" i="1"/>
  <c r="C86" i="1"/>
  <c r="BR85" i="1"/>
  <c r="AZ85" i="1"/>
  <c r="AM85" i="1"/>
  <c r="AL85" i="1"/>
  <c r="AL86" i="1" s="1"/>
  <c r="AK85" i="1"/>
  <c r="AI85" i="1"/>
  <c r="AH85" i="1"/>
  <c r="AG85" i="1"/>
  <c r="N85" i="1"/>
  <c r="M85" i="1"/>
  <c r="O85" i="1" s="1"/>
  <c r="H85" i="1"/>
  <c r="G85" i="1"/>
  <c r="BD84" i="1"/>
  <c r="BC84" i="1"/>
  <c r="BC86" i="1" s="1"/>
  <c r="AZ84" i="1"/>
  <c r="AI84" i="1"/>
  <c r="AH84" i="1"/>
  <c r="AG84" i="1"/>
  <c r="AG86" i="1" s="1"/>
  <c r="AA23" i="2" s="1"/>
  <c r="N84" i="1"/>
  <c r="M84" i="1"/>
  <c r="H84" i="1"/>
  <c r="H86" i="1" s="1"/>
  <c r="AA6" i="2" s="1"/>
  <c r="G84" i="1"/>
  <c r="BP83" i="1"/>
  <c r="BO83" i="1"/>
  <c r="BN83" i="1"/>
  <c r="BM83" i="1"/>
  <c r="BL83" i="1"/>
  <c r="BK83" i="1"/>
  <c r="BJ83" i="1"/>
  <c r="BI83" i="1"/>
  <c r="BH83" i="1"/>
  <c r="BG83" i="1"/>
  <c r="BE83" i="1"/>
  <c r="BD83" i="1"/>
  <c r="BB83" i="1"/>
  <c r="Z32" i="2" s="1"/>
  <c r="AY83" i="1"/>
  <c r="AX83" i="1"/>
  <c r="AW83" i="1"/>
  <c r="AV83" i="1"/>
  <c r="AU83" i="1"/>
  <c r="AT83" i="1"/>
  <c r="AS83" i="1"/>
  <c r="AR83" i="1"/>
  <c r="AQ83" i="1"/>
  <c r="AP83" i="1"/>
  <c r="AO83" i="1"/>
  <c r="AJ83" i="1"/>
  <c r="Z26" i="2" s="1"/>
  <c r="AH83" i="1"/>
  <c r="Z24" i="2" s="1"/>
  <c r="AG83" i="1"/>
  <c r="Z23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 i="1"/>
  <c r="N83" i="1"/>
  <c r="Z10" i="2" s="1"/>
  <c r="M83" i="1"/>
  <c r="Z9" i="2" s="1"/>
  <c r="L83" i="1"/>
  <c r="K83" i="1"/>
  <c r="J83" i="1"/>
  <c r="Z8" i="2" s="1"/>
  <c r="I83" i="1"/>
  <c r="Z7" i="2" s="1"/>
  <c r="E83" i="1"/>
  <c r="Z3" i="2" s="1"/>
  <c r="D83" i="1"/>
  <c r="C83" i="1"/>
  <c r="AZ82" i="1"/>
  <c r="BR82" i="1" s="1"/>
  <c r="AK82" i="1"/>
  <c r="AI82" i="1"/>
  <c r="AH82" i="1"/>
  <c r="AG82" i="1"/>
  <c r="P82" i="1"/>
  <c r="O82" i="1"/>
  <c r="N82" i="1"/>
  <c r="M82" i="1"/>
  <c r="H82" i="1"/>
  <c r="G82" i="1"/>
  <c r="BD81" i="1"/>
  <c r="BC81" i="1"/>
  <c r="BC83" i="1" s="1"/>
  <c r="AZ81" i="1"/>
  <c r="AL81" i="1"/>
  <c r="AM81" i="1" s="1"/>
  <c r="AN81" i="1" s="1"/>
  <c r="AI81" i="1"/>
  <c r="AI83" i="1" s="1"/>
  <c r="Z25" i="2" s="1"/>
  <c r="AH81" i="1"/>
  <c r="AG81" i="1"/>
  <c r="P81" i="1"/>
  <c r="P83" i="1" s="1"/>
  <c r="Z12" i="2" s="1"/>
  <c r="N81" i="1"/>
  <c r="M81" i="1"/>
  <c r="H81" i="1"/>
  <c r="H83" i="1" s="1"/>
  <c r="Z6" i="2" s="1"/>
  <c r="G81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 s="1"/>
  <c r="AI80" i="1"/>
  <c r="Y25" i="2" s="1"/>
  <c r="Y80" i="1"/>
  <c r="Y17" i="2" s="1"/>
  <c r="T80" i="1"/>
  <c r="Y13" i="2" s="1"/>
  <c r="S80" i="1"/>
  <c r="R80" i="1"/>
  <c r="N80" i="1"/>
  <c r="Y10" i="2" s="1"/>
  <c r="L80" i="1"/>
  <c r="K80" i="1"/>
  <c r="J80" i="1"/>
  <c r="Y8" i="2" s="1"/>
  <c r="E80" i="1"/>
  <c r="Y3" i="2" s="1"/>
  <c r="D80" i="1"/>
  <c r="C80" i="1"/>
  <c r="AZ79" i="1"/>
  <c r="BR79" i="1" s="1"/>
  <c r="AN79" i="1"/>
  <c r="AK79" i="1"/>
  <c r="AL79" i="1" s="1"/>
  <c r="AM79" i="1" s="1"/>
  <c r="AI79" i="1"/>
  <c r="AH79" i="1"/>
  <c r="AH80" i="1" s="1"/>
  <c r="Y24" i="2" s="1"/>
  <c r="AG79" i="1"/>
  <c r="W79" i="1"/>
  <c r="V79" i="1" s="1"/>
  <c r="U79" i="1"/>
  <c r="T79" i="1"/>
  <c r="P79" i="1"/>
  <c r="O79" i="1" s="1"/>
  <c r="N79" i="1"/>
  <c r="M79" i="1"/>
  <c r="H79" i="1"/>
  <c r="G79" i="1"/>
  <c r="BD78" i="1"/>
  <c r="BC78" i="1"/>
  <c r="BC80" i="1" s="1"/>
  <c r="AZ78" i="1"/>
  <c r="AK78" i="1"/>
  <c r="AI78" i="1"/>
  <c r="AH78" i="1"/>
  <c r="AG78" i="1"/>
  <c r="AG80" i="1" s="1"/>
  <c r="Y23" i="2" s="1"/>
  <c r="W78" i="1"/>
  <c r="W80" i="1" s="1"/>
  <c r="Y16" i="2" s="1"/>
  <c r="U78" i="1"/>
  <c r="U80" i="1" s="1"/>
  <c r="Y14" i="2" s="1"/>
  <c r="T78" i="1"/>
  <c r="V78" i="1" s="1"/>
  <c r="P78" i="1"/>
  <c r="N78" i="1"/>
  <c r="M78" i="1"/>
  <c r="H78" i="1"/>
  <c r="H80" i="1" s="1"/>
  <c r="Y6" i="2" s="1"/>
  <c r="G78" i="1"/>
  <c r="G80" i="1" s="1"/>
  <c r="Y5" i="2" s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B77" i="1"/>
  <c r="X32" i="2" s="1"/>
  <c r="BA77" i="1"/>
  <c r="X31" i="2" s="1"/>
  <c r="AZ77" i="1"/>
  <c r="X30" i="2" s="1"/>
  <c r="AY77" i="1"/>
  <c r="AX77" i="1"/>
  <c r="AW77" i="1"/>
  <c r="AV77" i="1"/>
  <c r="AU77" i="1"/>
  <c r="AT77" i="1"/>
  <c r="AS77" i="1"/>
  <c r="AR77" i="1"/>
  <c r="AQ77" i="1"/>
  <c r="AP77" i="1"/>
  <c r="AO77" i="1"/>
  <c r="AK77" i="1"/>
  <c r="X27" i="2" s="1"/>
  <c r="AJ77" i="1"/>
  <c r="X26" i="2" s="1"/>
  <c r="AI77" i="1"/>
  <c r="X25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N77" i="1"/>
  <c r="X10" i="2" s="1"/>
  <c r="L77" i="1"/>
  <c r="K77" i="1"/>
  <c r="J77" i="1"/>
  <c r="X8" i="2" s="1"/>
  <c r="I77" i="1"/>
  <c r="X7" i="2" s="1"/>
  <c r="G77" i="1"/>
  <c r="X5" i="2" s="1"/>
  <c r="E77" i="1"/>
  <c r="X3" i="2" s="1"/>
  <c r="D77" i="1"/>
  <c r="C77" i="1"/>
  <c r="BR76" i="1"/>
  <c r="AZ76" i="1"/>
  <c r="AM76" i="1"/>
  <c r="AN76" i="1" s="1"/>
  <c r="AL76" i="1"/>
  <c r="AK76" i="1"/>
  <c r="AI76" i="1"/>
  <c r="AH76" i="1"/>
  <c r="AG76" i="1"/>
  <c r="N76" i="1"/>
  <c r="M76" i="1"/>
  <c r="O76" i="1" s="1"/>
  <c r="H76" i="1"/>
  <c r="G76" i="1"/>
  <c r="BD75" i="1"/>
  <c r="BC75" i="1"/>
  <c r="BC77" i="1" s="1"/>
  <c r="AZ75" i="1"/>
  <c r="AL75" i="1"/>
  <c r="AL77" i="1" s="1"/>
  <c r="AK75" i="1"/>
  <c r="AI75" i="1"/>
  <c r="AH75" i="1"/>
  <c r="AG75" i="1"/>
  <c r="AG77" i="1" s="1"/>
  <c r="X23" i="2" s="1"/>
  <c r="N75" i="1"/>
  <c r="M75" i="1"/>
  <c r="H75" i="1"/>
  <c r="H77" i="1" s="1"/>
  <c r="X6" i="2" s="1"/>
  <c r="G75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W33" i="2" s="1"/>
  <c r="BC74" i="1"/>
  <c r="BB74" i="1"/>
  <c r="W32" i="2" s="1"/>
  <c r="BA74" i="1"/>
  <c r="W31" i="2" s="1"/>
  <c r="AY74" i="1"/>
  <c r="AX74" i="1"/>
  <c r="AW74" i="1"/>
  <c r="AV74" i="1"/>
  <c r="AU74" i="1"/>
  <c r="AT74" i="1"/>
  <c r="AS74" i="1"/>
  <c r="AR74" i="1"/>
  <c r="AQ74" i="1"/>
  <c r="AP74" i="1"/>
  <c r="AO74" i="1"/>
  <c r="AJ74" i="1"/>
  <c r="W26" i="2" s="1"/>
  <c r="AG74" i="1"/>
  <c r="W23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 i="1"/>
  <c r="P74" i="1"/>
  <c r="W12" i="2" s="1"/>
  <c r="L74" i="1"/>
  <c r="K74" i="1"/>
  <c r="J74" i="1"/>
  <c r="W8" i="2" s="1"/>
  <c r="I74" i="1"/>
  <c r="W7" i="2" s="1"/>
  <c r="H74" i="1"/>
  <c r="W6" i="2" s="1"/>
  <c r="E74" i="1"/>
  <c r="W3" i="2" s="1"/>
  <c r="D74" i="1"/>
  <c r="C74" i="1"/>
  <c r="BR73" i="1"/>
  <c r="BD73" i="1"/>
  <c r="BC73" i="1"/>
  <c r="AZ73" i="1"/>
  <c r="AK73" i="1"/>
  <c r="AL73" i="1" s="1"/>
  <c r="AM73" i="1" s="1"/>
  <c r="AN73" i="1" s="1"/>
  <c r="AI73" i="1"/>
  <c r="AH73" i="1"/>
  <c r="AG73" i="1"/>
  <c r="O73" i="1"/>
  <c r="N73" i="1"/>
  <c r="M73" i="1"/>
  <c r="H73" i="1"/>
  <c r="G73" i="1"/>
  <c r="G74" i="1" s="1"/>
  <c r="W5" i="2" s="1"/>
  <c r="BD72" i="1"/>
  <c r="BC72" i="1"/>
  <c r="AZ72" i="1"/>
  <c r="AZ74" i="1" s="1"/>
  <c r="W30" i="2" s="1"/>
  <c r="AK72" i="1"/>
  <c r="AL72" i="1" s="1"/>
  <c r="AI72" i="1"/>
  <c r="AH72" i="1"/>
  <c r="AH74" i="1" s="1"/>
  <c r="W24" i="2" s="1"/>
  <c r="AG72" i="1"/>
  <c r="N72" i="1"/>
  <c r="M72" i="1"/>
  <c r="M74" i="1" s="1"/>
  <c r="W9" i="2" s="1"/>
  <c r="H72" i="1"/>
  <c r="G72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C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AJ71" i="1"/>
  <c r="V26" i="2" s="1"/>
  <c r="AI71" i="1"/>
  <c r="V25" i="2" s="1"/>
  <c r="AH71" i="1"/>
  <c r="V24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 i="1"/>
  <c r="P71" i="1"/>
  <c r="V12" i="2" s="1"/>
  <c r="N71" i="1"/>
  <c r="V10" i="2" s="1"/>
  <c r="M71" i="1"/>
  <c r="V9" i="2" s="1"/>
  <c r="L71" i="1"/>
  <c r="K71" i="1"/>
  <c r="J71" i="1"/>
  <c r="V8" i="2" s="1"/>
  <c r="I71" i="1"/>
  <c r="V7" i="2" s="1"/>
  <c r="E71" i="1"/>
  <c r="V3" i="2" s="1"/>
  <c r="D71" i="1"/>
  <c r="C71" i="1"/>
  <c r="AZ70" i="1"/>
  <c r="BR70" i="1" s="1"/>
  <c r="AK70" i="1"/>
  <c r="AI70" i="1"/>
  <c r="AH70" i="1"/>
  <c r="AG70" i="1"/>
  <c r="Z70" i="1"/>
  <c r="O70" i="1"/>
  <c r="N70" i="1"/>
  <c r="M70" i="1"/>
  <c r="H70" i="1"/>
  <c r="G70" i="1"/>
  <c r="BD69" i="1"/>
  <c r="BD71" i="1" s="1"/>
  <c r="V33" i="2" s="1"/>
  <c r="BC69" i="1"/>
  <c r="AZ69" i="1"/>
  <c r="AK69" i="1"/>
  <c r="AK71" i="1" s="1"/>
  <c r="V27" i="2" s="1"/>
  <c r="AI69" i="1"/>
  <c r="AH69" i="1"/>
  <c r="AG69" i="1"/>
  <c r="AG71" i="1" s="1"/>
  <c r="V23" i="2" s="1"/>
  <c r="O69" i="1"/>
  <c r="O71" i="1" s="1"/>
  <c r="V11" i="2" s="1"/>
  <c r="N69" i="1"/>
  <c r="M69" i="1"/>
  <c r="H69" i="1"/>
  <c r="H71" i="1" s="1"/>
  <c r="V6" i="2" s="1"/>
  <c r="G69" i="1"/>
  <c r="G71" i="1" s="1"/>
  <c r="V5" i="2" s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B68" i="1"/>
  <c r="U32" i="2" s="1"/>
  <c r="BA68" i="1"/>
  <c r="U31" i="2" s="1"/>
  <c r="AZ68" i="1"/>
  <c r="U30" i="2" s="1"/>
  <c r="AY68" i="1"/>
  <c r="AX68" i="1"/>
  <c r="AW68" i="1"/>
  <c r="AV68" i="1"/>
  <c r="AU68" i="1"/>
  <c r="AT68" i="1"/>
  <c r="AS68" i="1"/>
  <c r="AR68" i="1"/>
  <c r="AQ68" i="1"/>
  <c r="AP68" i="1"/>
  <c r="AO68" i="1"/>
  <c r="AJ68" i="1"/>
  <c r="U26" i="2" s="1"/>
  <c r="AI68" i="1"/>
  <c r="U25" i="2" s="1"/>
  <c r="AH68" i="1"/>
  <c r="U24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 i="1"/>
  <c r="P68" i="1"/>
  <c r="U12" i="2" s="1"/>
  <c r="N68" i="1"/>
  <c r="U10" i="2" s="1"/>
  <c r="M68" i="1"/>
  <c r="U9" i="2" s="1"/>
  <c r="L68" i="1"/>
  <c r="K68" i="1"/>
  <c r="J68" i="1"/>
  <c r="U8" i="2" s="1"/>
  <c r="I68" i="1"/>
  <c r="U7" i="2" s="1"/>
  <c r="E68" i="1"/>
  <c r="U3" i="2" s="1"/>
  <c r="D68" i="1"/>
  <c r="C68" i="1"/>
  <c r="BR67" i="1"/>
  <c r="AZ67" i="1"/>
  <c r="AK67" i="1"/>
  <c r="AL67" i="1" s="1"/>
  <c r="AM67" i="1" s="1"/>
  <c r="AN67" i="1" s="1"/>
  <c r="AI67" i="1"/>
  <c r="AH67" i="1"/>
  <c r="AG67" i="1"/>
  <c r="O67" i="1"/>
  <c r="N67" i="1"/>
  <c r="M67" i="1"/>
  <c r="H67" i="1"/>
  <c r="G67" i="1"/>
  <c r="BD66" i="1"/>
  <c r="BC66" i="1"/>
  <c r="BC68" i="1" s="1"/>
  <c r="AZ66" i="1"/>
  <c r="BR66" i="1" s="1"/>
  <c r="AL66" i="1"/>
  <c r="AK66" i="1"/>
  <c r="AI66" i="1"/>
  <c r="AH66" i="1"/>
  <c r="AG66" i="1"/>
  <c r="AG68" i="1" s="1"/>
  <c r="U23" i="2" s="1"/>
  <c r="O66" i="1"/>
  <c r="O68" i="1" s="1"/>
  <c r="U11" i="2" s="1"/>
  <c r="N66" i="1"/>
  <c r="M66" i="1"/>
  <c r="H66" i="1"/>
  <c r="H68" i="1" s="1"/>
  <c r="U6" i="2" s="1"/>
  <c r="G66" i="1"/>
  <c r="G68" i="1" s="1"/>
  <c r="U5" i="2" s="1"/>
  <c r="BP65" i="1"/>
  <c r="BO65" i="1"/>
  <c r="BN65" i="1"/>
  <c r="BM65" i="1"/>
  <c r="BL65" i="1"/>
  <c r="BK65" i="1"/>
  <c r="BJ65" i="1"/>
  <c r="BI65" i="1"/>
  <c r="BH65" i="1"/>
  <c r="BF65" i="1"/>
  <c r="BE65" i="1"/>
  <c r="BC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AJ65" i="1"/>
  <c r="T26" i="2" s="1"/>
  <c r="AH65" i="1"/>
  <c r="T24" i="2" s="1"/>
  <c r="AG65" i="1"/>
  <c r="T23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 i="1"/>
  <c r="P65" i="1"/>
  <c r="T12" i="2" s="1"/>
  <c r="N65" i="1"/>
  <c r="T10" i="2" s="1"/>
  <c r="M65" i="1"/>
  <c r="T9" i="2" s="1"/>
  <c r="L65" i="1"/>
  <c r="K65" i="1"/>
  <c r="J65" i="1"/>
  <c r="T8" i="2" s="1"/>
  <c r="I65" i="1"/>
  <c r="T7" i="2" s="1"/>
  <c r="H65" i="1"/>
  <c r="T6" i="2" s="1"/>
  <c r="E65" i="1"/>
  <c r="T3" i="2" s="1"/>
  <c r="D65" i="1"/>
  <c r="C65" i="1"/>
  <c r="AZ64" i="1"/>
  <c r="BR64" i="1" s="1"/>
  <c r="AK64" i="1"/>
  <c r="AI64" i="1"/>
  <c r="AH64" i="1"/>
  <c r="AG64" i="1"/>
  <c r="O64" i="1"/>
  <c r="N64" i="1"/>
  <c r="M64" i="1"/>
  <c r="H64" i="1"/>
  <c r="G64" i="1"/>
  <c r="BD63" i="1"/>
  <c r="BD65" i="1" s="1"/>
  <c r="BC63" i="1"/>
  <c r="AZ63" i="1"/>
  <c r="AZ65" i="1" s="1"/>
  <c r="T30" i="2" s="1"/>
  <c r="AI63" i="1"/>
  <c r="AI65" i="1" s="1"/>
  <c r="T25" i="2" s="1"/>
  <c r="AH63" i="1"/>
  <c r="AG63" i="1"/>
  <c r="O63" i="1"/>
  <c r="O65" i="1" s="1"/>
  <c r="T11" i="2" s="1"/>
  <c r="N63" i="1"/>
  <c r="M63" i="1"/>
  <c r="H63" i="1"/>
  <c r="G63" i="1"/>
  <c r="G65" i="1" s="1"/>
  <c r="T5" i="2" s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C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AJ62" i="1"/>
  <c r="S26" i="2" s="1"/>
  <c r="AI62" i="1"/>
  <c r="S25" i="2" s="1"/>
  <c r="AH62" i="1"/>
  <c r="S24" i="2" s="1"/>
  <c r="AG62" i="1"/>
  <c r="S23" i="2" s="1"/>
  <c r="Y62" i="1"/>
  <c r="S17" i="2" s="1"/>
  <c r="S62" i="1"/>
  <c r="R62" i="1"/>
  <c r="N62" i="1"/>
  <c r="S10" i="2" s="1"/>
  <c r="M62" i="1"/>
  <c r="S9" i="2" s="1"/>
  <c r="L62" i="1"/>
  <c r="K62" i="1"/>
  <c r="J62" i="1"/>
  <c r="S8" i="2" s="1"/>
  <c r="I62" i="1"/>
  <c r="S7" i="2" s="1"/>
  <c r="G62" i="1"/>
  <c r="S5" i="2" s="1"/>
  <c r="E62" i="1"/>
  <c r="S3" i="2" s="1"/>
  <c r="D62" i="1"/>
  <c r="C62" i="1"/>
  <c r="AZ61" i="1"/>
  <c r="BR61" i="1" s="1"/>
  <c r="AK61" i="1"/>
  <c r="AI61" i="1"/>
  <c r="AH61" i="1"/>
  <c r="AG61" i="1"/>
  <c r="W61" i="1"/>
  <c r="W62" i="1" s="1"/>
  <c r="S16" i="2" s="1"/>
  <c r="U61" i="1"/>
  <c r="U62" i="1" s="1"/>
  <c r="S14" i="2" s="1"/>
  <c r="T61" i="1"/>
  <c r="T62" i="1" s="1"/>
  <c r="S13" i="2" s="1"/>
  <c r="P61" i="1"/>
  <c r="P62" i="1" s="1"/>
  <c r="S12" i="2" s="1"/>
  <c r="N61" i="1"/>
  <c r="M61" i="1"/>
  <c r="H61" i="1"/>
  <c r="H62" i="1" s="1"/>
  <c r="S6" i="2" s="1"/>
  <c r="BD60" i="1"/>
  <c r="BD62" i="1" s="1"/>
  <c r="BC60" i="1"/>
  <c r="AZ60" i="1"/>
  <c r="AZ62" i="1" s="1"/>
  <c r="S30" i="2" s="1"/>
  <c r="AI60" i="1"/>
  <c r="AH60" i="1"/>
  <c r="AG60" i="1"/>
  <c r="O60" i="1"/>
  <c r="N60" i="1"/>
  <c r="M60" i="1"/>
  <c r="H60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R32" i="2" s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AK59" i="1"/>
  <c r="R27" i="2" s="1"/>
  <c r="AJ59" i="1"/>
  <c r="R26" i="2" s="1"/>
  <c r="AG59" i="1"/>
  <c r="R23" i="2" s="1"/>
  <c r="Y59" i="1"/>
  <c r="R17" i="2" s="1"/>
  <c r="U59" i="1"/>
  <c r="R14" i="2" s="1"/>
  <c r="T59" i="1"/>
  <c r="R13" i="2" s="1"/>
  <c r="S59" i="1"/>
  <c r="R59" i="1"/>
  <c r="M59" i="1"/>
  <c r="R9" i="2" s="1"/>
  <c r="L59" i="1"/>
  <c r="K59" i="1"/>
  <c r="J59" i="1"/>
  <c r="R8" i="2" s="1"/>
  <c r="I59" i="1"/>
  <c r="R7" i="2" s="1"/>
  <c r="H59" i="1"/>
  <c r="R6" i="2" s="1"/>
  <c r="G59" i="1"/>
  <c r="R5" i="2" s="1"/>
  <c r="E59" i="1"/>
  <c r="R3" i="2" s="1"/>
  <c r="D59" i="1"/>
  <c r="C59" i="1"/>
  <c r="BR58" i="1"/>
  <c r="AZ58" i="1"/>
  <c r="AM58" i="1"/>
  <c r="AN58" i="1" s="1"/>
  <c r="AL58" i="1"/>
  <c r="AK58" i="1"/>
  <c r="AI58" i="1"/>
  <c r="AH58" i="1"/>
  <c r="AH59" i="1" s="1"/>
  <c r="R24" i="2" s="1"/>
  <c r="AG58" i="1"/>
  <c r="Z58" i="1"/>
  <c r="W58" i="1"/>
  <c r="V58" i="1"/>
  <c r="U58" i="1"/>
  <c r="T58" i="1"/>
  <c r="P58" i="1"/>
  <c r="P59" i="1" s="1"/>
  <c r="R12" i="2" s="1"/>
  <c r="O58" i="1"/>
  <c r="N58" i="1"/>
  <c r="M58" i="1"/>
  <c r="H58" i="1"/>
  <c r="BR57" i="1"/>
  <c r="BR59" i="1" s="1"/>
  <c r="R34" i="2" s="1"/>
  <c r="BD57" i="1"/>
  <c r="BD59" i="1" s="1"/>
  <c r="R33" i="2" s="1"/>
  <c r="BC57" i="1"/>
  <c r="BC59" i="1" s="1"/>
  <c r="AZ57" i="1"/>
  <c r="AZ59" i="1" s="1"/>
  <c r="R30" i="2" s="1"/>
  <c r="AN57" i="1"/>
  <c r="AK57" i="1"/>
  <c r="AL57" i="1" s="1"/>
  <c r="AM57" i="1" s="1"/>
  <c r="AI57" i="1"/>
  <c r="AH57" i="1"/>
  <c r="AG57" i="1"/>
  <c r="W57" i="1"/>
  <c r="W59" i="1" s="1"/>
  <c r="R16" i="2" s="1"/>
  <c r="U57" i="1"/>
  <c r="T57" i="1"/>
  <c r="O57" i="1"/>
  <c r="N57" i="1"/>
  <c r="N59" i="1" s="1"/>
  <c r="R10" i="2" s="1"/>
  <c r="M57" i="1"/>
  <c r="H57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Z56" i="1"/>
  <c r="Q30" i="2" s="1"/>
  <c r="AY56" i="1"/>
  <c r="AX56" i="1"/>
  <c r="AW56" i="1"/>
  <c r="AV56" i="1"/>
  <c r="AU56" i="1"/>
  <c r="AT56" i="1"/>
  <c r="AS56" i="1"/>
  <c r="AR56" i="1"/>
  <c r="AQ56" i="1"/>
  <c r="AP56" i="1"/>
  <c r="AO56" i="1"/>
  <c r="AL56" i="1"/>
  <c r="AK56" i="1"/>
  <c r="Q27" i="2" s="1"/>
  <c r="AJ56" i="1"/>
  <c r="Q26" i="2" s="1"/>
  <c r="AH56" i="1"/>
  <c r="Q24" i="2" s="1"/>
  <c r="AG56" i="1"/>
  <c r="Q23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 i="1"/>
  <c r="P56" i="1"/>
  <c r="Q12" i="2" s="1"/>
  <c r="L56" i="1"/>
  <c r="K56" i="1"/>
  <c r="J56" i="1"/>
  <c r="Q8" i="2" s="1"/>
  <c r="I56" i="1"/>
  <c r="Q7" i="2" s="1"/>
  <c r="H56" i="1"/>
  <c r="Q6" i="2" s="1"/>
  <c r="G56" i="1"/>
  <c r="Q5" i="2" s="1"/>
  <c r="E56" i="1"/>
  <c r="Q3" i="2" s="1"/>
  <c r="D56" i="1"/>
  <c r="C56" i="1"/>
  <c r="BR55" i="1"/>
  <c r="AZ55" i="1"/>
  <c r="AM55" i="1"/>
  <c r="AN55" i="1" s="1"/>
  <c r="AL55" i="1"/>
  <c r="AK55" i="1"/>
  <c r="AI55" i="1"/>
  <c r="AH55" i="1"/>
  <c r="AG55" i="1"/>
  <c r="N55" i="1"/>
  <c r="M55" i="1"/>
  <c r="H55" i="1"/>
  <c r="G55" i="1"/>
  <c r="BR54" i="1"/>
  <c r="BR56" i="1" s="1"/>
  <c r="Q34" i="2" s="1"/>
  <c r="BD54" i="1"/>
  <c r="BD56" i="1" s="1"/>
  <c r="BC54" i="1"/>
  <c r="BC56" i="1" s="1"/>
  <c r="AZ54" i="1"/>
  <c r="AN54" i="1"/>
  <c r="AM54" i="1"/>
  <c r="AL54" i="1"/>
  <c r="AK54" i="1"/>
  <c r="AI54" i="1"/>
  <c r="AI56" i="1" s="1"/>
  <c r="Q25" i="2" s="1"/>
  <c r="AH54" i="1"/>
  <c r="AG54" i="1"/>
  <c r="N54" i="1"/>
  <c r="N56" i="1" s="1"/>
  <c r="Q10" i="2" s="1"/>
  <c r="M54" i="1"/>
  <c r="H54" i="1"/>
  <c r="G54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P53" i="1"/>
  <c r="AO53" i="1"/>
  <c r="AK53" i="1"/>
  <c r="P27" i="2" s="1"/>
  <c r="AJ53" i="1"/>
  <c r="P26" i="2" s="1"/>
  <c r="AI53" i="1"/>
  <c r="P25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 i="1"/>
  <c r="P53" i="1"/>
  <c r="P12" i="2" s="1"/>
  <c r="N53" i="1"/>
  <c r="P10" i="2" s="1"/>
  <c r="L53" i="1"/>
  <c r="K53" i="1"/>
  <c r="J53" i="1"/>
  <c r="P8" i="2" s="1"/>
  <c r="I53" i="1"/>
  <c r="P7" i="2" s="1"/>
  <c r="G53" i="1"/>
  <c r="P5" i="2" s="1"/>
  <c r="E53" i="1"/>
  <c r="P3" i="2" s="1"/>
  <c r="D53" i="1"/>
  <c r="C53" i="1"/>
  <c r="BR52" i="1"/>
  <c r="AZ52" i="1"/>
  <c r="AM52" i="1"/>
  <c r="AN52" i="1" s="1"/>
  <c r="AL52" i="1"/>
  <c r="AK52" i="1"/>
  <c r="AI52" i="1"/>
  <c r="AH52" i="1"/>
  <c r="AG52" i="1"/>
  <c r="N52" i="1"/>
  <c r="M52" i="1"/>
  <c r="O52" i="1" s="1"/>
  <c r="H52" i="1"/>
  <c r="G52" i="1"/>
  <c r="BD51" i="1"/>
  <c r="BD53" i="1" s="1"/>
  <c r="BC51" i="1"/>
  <c r="BC53" i="1" s="1"/>
  <c r="AZ51" i="1"/>
  <c r="AZ53" i="1" s="1"/>
  <c r="P30" i="2" s="1"/>
  <c r="AM51" i="1"/>
  <c r="AL51" i="1"/>
  <c r="AK51" i="1"/>
  <c r="AI51" i="1"/>
  <c r="AH51" i="1"/>
  <c r="AG51" i="1"/>
  <c r="AG53" i="1" s="1"/>
  <c r="P23" i="2" s="1"/>
  <c r="N51" i="1"/>
  <c r="M51" i="1"/>
  <c r="H51" i="1"/>
  <c r="H53" i="1" s="1"/>
  <c r="P6" i="2" s="1"/>
  <c r="G51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B50" i="1"/>
  <c r="O32" i="2" s="1"/>
  <c r="BA50" i="1"/>
  <c r="O31" i="2" s="1"/>
  <c r="AZ50" i="1"/>
  <c r="O30" i="2" s="1"/>
  <c r="AY50" i="1"/>
  <c r="AX50" i="1"/>
  <c r="AW50" i="1"/>
  <c r="AV50" i="1"/>
  <c r="AU50" i="1"/>
  <c r="AT50" i="1"/>
  <c r="AS50" i="1"/>
  <c r="AR50" i="1"/>
  <c r="AQ50" i="1"/>
  <c r="AP50" i="1"/>
  <c r="AO50" i="1"/>
  <c r="AK50" i="1"/>
  <c r="O27" i="2" s="1"/>
  <c r="AJ50" i="1"/>
  <c r="O26" i="2" s="1"/>
  <c r="AI50" i="1"/>
  <c r="O25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 i="1"/>
  <c r="P50" i="1"/>
  <c r="O12" i="2" s="1"/>
  <c r="N50" i="1"/>
  <c r="O10" i="2" s="1"/>
  <c r="L50" i="1"/>
  <c r="K50" i="1"/>
  <c r="J50" i="1"/>
  <c r="O8" i="2" s="1"/>
  <c r="I50" i="1"/>
  <c r="O7" i="2" s="1"/>
  <c r="G50" i="1"/>
  <c r="O5" i="2" s="1"/>
  <c r="E50" i="1"/>
  <c r="O3" i="2" s="1"/>
  <c r="D50" i="1"/>
  <c r="C50" i="1"/>
  <c r="BR49" i="1"/>
  <c r="AZ49" i="1"/>
  <c r="AM49" i="1"/>
  <c r="AN49" i="1" s="1"/>
  <c r="AL49" i="1"/>
  <c r="AK49" i="1"/>
  <c r="AI49" i="1"/>
  <c r="AH49" i="1"/>
  <c r="AG49" i="1"/>
  <c r="N49" i="1"/>
  <c r="M49" i="1"/>
  <c r="O49" i="1" s="1"/>
  <c r="H49" i="1"/>
  <c r="G49" i="1"/>
  <c r="BD48" i="1"/>
  <c r="BC48" i="1"/>
  <c r="BC50" i="1" s="1"/>
  <c r="AZ48" i="1"/>
  <c r="AL48" i="1"/>
  <c r="AL50" i="1" s="1"/>
  <c r="AK48" i="1"/>
  <c r="AI48" i="1"/>
  <c r="AH48" i="1"/>
  <c r="AG48" i="1"/>
  <c r="AG50" i="1" s="1"/>
  <c r="O23" i="2" s="1"/>
  <c r="N48" i="1"/>
  <c r="M48" i="1"/>
  <c r="H48" i="1"/>
  <c r="H50" i="1" s="1"/>
  <c r="O6" i="2" s="1"/>
  <c r="G48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Z47" i="1"/>
  <c r="N30" i="2" s="1"/>
  <c r="AY47" i="1"/>
  <c r="AX47" i="1"/>
  <c r="AW47" i="1"/>
  <c r="AV47" i="1"/>
  <c r="AU47" i="1"/>
  <c r="AT47" i="1"/>
  <c r="AS47" i="1"/>
  <c r="AR47" i="1"/>
  <c r="AQ47" i="1"/>
  <c r="AP47" i="1"/>
  <c r="AO47" i="1"/>
  <c r="AK47" i="1"/>
  <c r="N27" i="2" s="1"/>
  <c r="AJ47" i="1"/>
  <c r="N26" i="2" s="1"/>
  <c r="AI47" i="1"/>
  <c r="N25" i="2" s="1"/>
  <c r="AG47" i="1"/>
  <c r="N23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N47" i="1"/>
  <c r="N10" i="2" s="1"/>
  <c r="L47" i="1"/>
  <c r="K47" i="1"/>
  <c r="J47" i="1"/>
  <c r="N8" i="2" s="1"/>
  <c r="I47" i="1"/>
  <c r="N7" i="2" s="1"/>
  <c r="G47" i="1"/>
  <c r="N5" i="2" s="1"/>
  <c r="E47" i="1"/>
  <c r="N3" i="2" s="1"/>
  <c r="D47" i="1"/>
  <c r="C47" i="1"/>
  <c r="BR46" i="1"/>
  <c r="AZ46" i="1"/>
  <c r="AL46" i="1"/>
  <c r="AL47" i="1" s="1"/>
  <c r="AK46" i="1"/>
  <c r="AI46" i="1"/>
  <c r="AH46" i="1"/>
  <c r="AG46" i="1"/>
  <c r="N46" i="1"/>
  <c r="M46" i="1"/>
  <c r="O46" i="1" s="1"/>
  <c r="H46" i="1"/>
  <c r="G46" i="1"/>
  <c r="BD45" i="1"/>
  <c r="BD47" i="1" s="1"/>
  <c r="N33" i="2" s="1"/>
  <c r="BC45" i="1"/>
  <c r="BC47" i="1" s="1"/>
  <c r="AZ45" i="1"/>
  <c r="AI45" i="1"/>
  <c r="AH45" i="1"/>
  <c r="AH47" i="1" s="1"/>
  <c r="N24" i="2" s="1"/>
  <c r="AG45" i="1"/>
  <c r="N45" i="1"/>
  <c r="M45" i="1"/>
  <c r="H45" i="1"/>
  <c r="H47" i="1" s="1"/>
  <c r="N6" i="2" s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M33" i="2" s="1"/>
  <c r="BC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J44" i="1"/>
  <c r="M26" i="2" s="1"/>
  <c r="AH44" i="1"/>
  <c r="M24" i="2" s="1"/>
  <c r="AG44" i="1"/>
  <c r="M23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 i="1"/>
  <c r="P44" i="1"/>
  <c r="M12" i="2" s="1"/>
  <c r="M44" i="1"/>
  <c r="M9" i="2" s="1"/>
  <c r="L44" i="1"/>
  <c r="K44" i="1"/>
  <c r="J44" i="1"/>
  <c r="M8" i="2" s="1"/>
  <c r="I44" i="1"/>
  <c r="M7" i="2" s="1"/>
  <c r="H44" i="1"/>
  <c r="M6" i="2" s="1"/>
  <c r="E44" i="1"/>
  <c r="M3" i="2" s="1"/>
  <c r="D44" i="1"/>
  <c r="C44" i="1"/>
  <c r="AZ43" i="1"/>
  <c r="BR43" i="1" s="1"/>
  <c r="AK43" i="1"/>
  <c r="AI43" i="1"/>
  <c r="AH43" i="1"/>
  <c r="AG43" i="1"/>
  <c r="N43" i="1"/>
  <c r="O43" i="1" s="1"/>
  <c r="M43" i="1"/>
  <c r="H43" i="1"/>
  <c r="G43" i="1"/>
  <c r="BR42" i="1"/>
  <c r="BD42" i="1"/>
  <c r="BC42" i="1"/>
  <c r="AZ42" i="1"/>
  <c r="AI42" i="1"/>
  <c r="AI44" i="1" s="1"/>
  <c r="M25" i="2" s="1"/>
  <c r="AH42" i="1"/>
  <c r="AG42" i="1"/>
  <c r="N42" i="1"/>
  <c r="N44" i="1" s="1"/>
  <c r="M10" i="2" s="1"/>
  <c r="M42" i="1"/>
  <c r="H42" i="1"/>
  <c r="G42" i="1"/>
  <c r="G44" i="1" s="1"/>
  <c r="M5" i="2" s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C41" i="1"/>
  <c r="BB41" i="1"/>
  <c r="L32" i="2" s="1"/>
  <c r="BA41" i="1"/>
  <c r="L31" i="2" s="1"/>
  <c r="AY41" i="1"/>
  <c r="AX41" i="1"/>
  <c r="AW41" i="1"/>
  <c r="AV41" i="1"/>
  <c r="AU41" i="1"/>
  <c r="AT41" i="1"/>
  <c r="AS41" i="1"/>
  <c r="AR41" i="1"/>
  <c r="AQ41" i="1"/>
  <c r="AP41" i="1"/>
  <c r="AO41" i="1"/>
  <c r="AJ41" i="1"/>
  <c r="L26" i="2" s="1"/>
  <c r="AH41" i="1"/>
  <c r="L24" i="2" s="1"/>
  <c r="AG41" i="1"/>
  <c r="L23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 i="1"/>
  <c r="P41" i="1"/>
  <c r="L12" i="2" s="1"/>
  <c r="N41" i="1"/>
  <c r="L10" i="2" s="1"/>
  <c r="M41" i="1"/>
  <c r="L9" i="2" s="1"/>
  <c r="L41" i="1"/>
  <c r="K41" i="1"/>
  <c r="J41" i="1"/>
  <c r="L8" i="2" s="1"/>
  <c r="I41" i="1"/>
  <c r="L7" i="2" s="1"/>
  <c r="H41" i="1"/>
  <c r="L6" i="2" s="1"/>
  <c r="E41" i="1"/>
  <c r="L3" i="2" s="1"/>
  <c r="D41" i="1"/>
  <c r="C41" i="1"/>
  <c r="AZ40" i="1"/>
  <c r="BR40" i="1" s="1"/>
  <c r="AK40" i="1"/>
  <c r="AI40" i="1"/>
  <c r="AH40" i="1"/>
  <c r="AG40" i="1"/>
  <c r="O40" i="1"/>
  <c r="N40" i="1"/>
  <c r="M40" i="1"/>
  <c r="H40" i="1"/>
  <c r="G40" i="1"/>
  <c r="BD39" i="1"/>
  <c r="BD41" i="1" s="1"/>
  <c r="BC39" i="1"/>
  <c r="AZ39" i="1"/>
  <c r="AZ41" i="1" s="1"/>
  <c r="L30" i="2" s="1"/>
  <c r="AI39" i="1"/>
  <c r="AI41" i="1" s="1"/>
  <c r="L25" i="2" s="1"/>
  <c r="AH39" i="1"/>
  <c r="AG39" i="1"/>
  <c r="O39" i="1"/>
  <c r="O41" i="1" s="1"/>
  <c r="L11" i="2" s="1"/>
  <c r="N39" i="1"/>
  <c r="M39" i="1"/>
  <c r="H39" i="1"/>
  <c r="G39" i="1"/>
  <c r="G41" i="1" s="1"/>
  <c r="L5" i="2" s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AI38" i="1"/>
  <c r="K25" i="2" s="1"/>
  <c r="AH38" i="1"/>
  <c r="K24" i="2" s="1"/>
  <c r="Y38" i="1"/>
  <c r="K17" i="2" s="1"/>
  <c r="S38" i="1"/>
  <c r="R38" i="1"/>
  <c r="N38" i="1"/>
  <c r="K10" i="2" s="1"/>
  <c r="L38" i="1"/>
  <c r="K38" i="1"/>
  <c r="J38" i="1"/>
  <c r="K8" i="2" s="1"/>
  <c r="I38" i="1"/>
  <c r="K7" i="2" s="1"/>
  <c r="E38" i="1"/>
  <c r="K3" i="2" s="1"/>
  <c r="D38" i="1"/>
  <c r="C38" i="1"/>
  <c r="AZ37" i="1"/>
  <c r="BR37" i="1" s="1"/>
  <c r="AN37" i="1"/>
  <c r="AK37" i="1"/>
  <c r="AL37" i="1" s="1"/>
  <c r="AM37" i="1" s="1"/>
  <c r="AI37" i="1"/>
  <c r="AH37" i="1"/>
  <c r="AG37" i="1"/>
  <c r="W37" i="1"/>
  <c r="V37" i="1" s="1"/>
  <c r="U37" i="1"/>
  <c r="U38" i="1" s="1"/>
  <c r="K14" i="2" s="1"/>
  <c r="T37" i="1"/>
  <c r="P37" i="1"/>
  <c r="O37" i="1" s="1"/>
  <c r="N37" i="1"/>
  <c r="M37" i="1"/>
  <c r="H37" i="1"/>
  <c r="G37" i="1"/>
  <c r="BD36" i="1"/>
  <c r="BD38" i="1" s="1"/>
  <c r="BC36" i="1"/>
  <c r="BC38" i="1" s="1"/>
  <c r="AZ36" i="1"/>
  <c r="AK36" i="1"/>
  <c r="AI36" i="1"/>
  <c r="AH36" i="1"/>
  <c r="AG36" i="1"/>
  <c r="AG38" i="1" s="1"/>
  <c r="K23" i="2" s="1"/>
  <c r="W36" i="1"/>
  <c r="W38" i="1" s="1"/>
  <c r="K16" i="2" s="1"/>
  <c r="U36" i="1"/>
  <c r="T36" i="1"/>
  <c r="P36" i="1"/>
  <c r="N36" i="1"/>
  <c r="M36" i="1"/>
  <c r="O36" i="1" s="1"/>
  <c r="H36" i="1"/>
  <c r="H38" i="1" s="1"/>
  <c r="K6" i="2" s="1"/>
  <c r="G36" i="1"/>
  <c r="G38" i="1" s="1"/>
  <c r="K5" i="2" s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J33" i="2" s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AJ35" i="1"/>
  <c r="J26" i="2" s="1"/>
  <c r="Y35" i="1"/>
  <c r="J17" i="2" s="1"/>
  <c r="X35" i="1"/>
  <c r="W35" i="1"/>
  <c r="J16" i="2" s="1"/>
  <c r="V35" i="1"/>
  <c r="J15" i="2" s="1"/>
  <c r="U35" i="1"/>
  <c r="J14" i="2" s="1"/>
  <c r="T35" i="1"/>
  <c r="J13" i="2" s="1"/>
  <c r="S35" i="1"/>
  <c r="R35" i="1"/>
  <c r="Q35" i="1"/>
  <c r="P35" i="1"/>
  <c r="J12" i="2" s="1"/>
  <c r="N35" i="1"/>
  <c r="J10" i="2" s="1"/>
  <c r="M35" i="1"/>
  <c r="J9" i="2" s="1"/>
  <c r="L35" i="1"/>
  <c r="K35" i="1"/>
  <c r="J35" i="1"/>
  <c r="J8" i="2" s="1"/>
  <c r="I35" i="1"/>
  <c r="J7" i="2" s="1"/>
  <c r="E35" i="1"/>
  <c r="J3" i="2" s="1"/>
  <c r="D35" i="1"/>
  <c r="C35" i="1"/>
  <c r="AZ34" i="1"/>
  <c r="BR34" i="1" s="1"/>
  <c r="AK34" i="1"/>
  <c r="AK35" i="1" s="1"/>
  <c r="J27" i="2" s="1"/>
  <c r="AI34" i="1"/>
  <c r="AH34" i="1"/>
  <c r="AG34" i="1"/>
  <c r="Z34" i="1"/>
  <c r="Z103" i="1" s="1"/>
  <c r="O34" i="1"/>
  <c r="N34" i="1"/>
  <c r="M34" i="1"/>
  <c r="H34" i="1"/>
  <c r="G34" i="1"/>
  <c r="BD33" i="1"/>
  <c r="BC33" i="1"/>
  <c r="BC35" i="1" s="1"/>
  <c r="AZ33" i="1"/>
  <c r="BR33" i="1" s="1"/>
  <c r="BR35" i="1" s="1"/>
  <c r="J34" i="2" s="1"/>
  <c r="AL33" i="1"/>
  <c r="AK33" i="1"/>
  <c r="AI33" i="1"/>
  <c r="AH33" i="1"/>
  <c r="AH35" i="1" s="1"/>
  <c r="J24" i="2" s="1"/>
  <c r="AG33" i="1"/>
  <c r="AG35" i="1" s="1"/>
  <c r="J23" i="2" s="1"/>
  <c r="O33" i="1"/>
  <c r="N33" i="1"/>
  <c r="M33" i="1"/>
  <c r="H33" i="1"/>
  <c r="G33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O32" i="1"/>
  <c r="AJ32" i="1"/>
  <c r="I26" i="2" s="1"/>
  <c r="AH32" i="1"/>
  <c r="I24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 i="1"/>
  <c r="P32" i="1"/>
  <c r="I12" i="2" s="1"/>
  <c r="N32" i="1"/>
  <c r="I10" i="2" s="1"/>
  <c r="M32" i="1"/>
  <c r="I9" i="2" s="1"/>
  <c r="L32" i="1"/>
  <c r="K32" i="1"/>
  <c r="J32" i="1"/>
  <c r="I8" i="2" s="1"/>
  <c r="I32" i="1"/>
  <c r="I7" i="2" s="1"/>
  <c r="H32" i="1"/>
  <c r="I6" i="2" s="1"/>
  <c r="E32" i="1"/>
  <c r="I3" i="2" s="1"/>
  <c r="D32" i="1"/>
  <c r="C32" i="1"/>
  <c r="AZ31" i="1"/>
  <c r="BR31" i="1" s="1"/>
  <c r="AK31" i="1"/>
  <c r="AL31" i="1" s="1"/>
  <c r="AM31" i="1" s="1"/>
  <c r="AN31" i="1" s="1"/>
  <c r="AI31" i="1"/>
  <c r="AI32" i="1" s="1"/>
  <c r="I25" i="2" s="1"/>
  <c r="AH31" i="1"/>
  <c r="AG31" i="1"/>
  <c r="O31" i="1"/>
  <c r="N31" i="1"/>
  <c r="M31" i="1"/>
  <c r="H31" i="1"/>
  <c r="G31" i="1"/>
  <c r="BD30" i="1"/>
  <c r="BC30" i="1"/>
  <c r="AZ30" i="1"/>
  <c r="AZ32" i="1" s="1"/>
  <c r="I30" i="2" s="1"/>
  <c r="AK30" i="1"/>
  <c r="AI30" i="1"/>
  <c r="AH30" i="1"/>
  <c r="AG30" i="1"/>
  <c r="N30" i="1"/>
  <c r="O30" i="1" s="1"/>
  <c r="O32" i="1" s="1"/>
  <c r="I11" i="2" s="1"/>
  <c r="M30" i="1"/>
  <c r="H30" i="1"/>
  <c r="G30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C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P29" i="1"/>
  <c r="AO29" i="1"/>
  <c r="AJ29" i="1"/>
  <c r="H26" i="2" s="1"/>
  <c r="AI29" i="1"/>
  <c r="H25" i="2" s="1"/>
  <c r="AH29" i="1"/>
  <c r="H24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 i="1"/>
  <c r="P29" i="1"/>
  <c r="H12" i="2" s="1"/>
  <c r="N29" i="1"/>
  <c r="H10" i="2" s="1"/>
  <c r="M29" i="1"/>
  <c r="H9" i="2" s="1"/>
  <c r="L29" i="1"/>
  <c r="K29" i="1"/>
  <c r="J29" i="1"/>
  <c r="H8" i="2" s="1"/>
  <c r="I29" i="1"/>
  <c r="H7" i="2" s="1"/>
  <c r="G29" i="1"/>
  <c r="H5" i="2" s="1"/>
  <c r="E29" i="1"/>
  <c r="H3" i="2" s="1"/>
  <c r="D29" i="1"/>
  <c r="C29" i="1"/>
  <c r="BD28" i="1"/>
  <c r="AZ28" i="1"/>
  <c r="AK28" i="1"/>
  <c r="AL28" i="1" s="1"/>
  <c r="AM28" i="1" s="1"/>
  <c r="AN28" i="1" s="1"/>
  <c r="AI28" i="1"/>
  <c r="AH28" i="1"/>
  <c r="AG28" i="1"/>
  <c r="AG29" i="1" s="1"/>
  <c r="H23" i="2" s="1"/>
  <c r="O28" i="1"/>
  <c r="N28" i="1"/>
  <c r="M28" i="1"/>
  <c r="H28" i="1"/>
  <c r="H29" i="1" s="1"/>
  <c r="H6" i="2" s="1"/>
  <c r="BR27" i="1"/>
  <c r="BD27" i="1"/>
  <c r="BD29" i="1" s="1"/>
  <c r="BC27" i="1"/>
  <c r="AZ27" i="1"/>
  <c r="AZ29" i="1" s="1"/>
  <c r="H30" i="2" s="1"/>
  <c r="AK27" i="1"/>
  <c r="AI27" i="1"/>
  <c r="AH27" i="1"/>
  <c r="AG27" i="1"/>
  <c r="O27" i="1"/>
  <c r="N27" i="1"/>
  <c r="M27" i="1"/>
  <c r="H27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AL26" i="1"/>
  <c r="AK26" i="1"/>
  <c r="G27" i="2" s="1"/>
  <c r="AI26" i="1"/>
  <c r="G25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 i="1"/>
  <c r="P26" i="1"/>
  <c r="G12" i="2" s="1"/>
  <c r="N26" i="1"/>
  <c r="G10" i="2" s="1"/>
  <c r="L26" i="1"/>
  <c r="K26" i="1"/>
  <c r="J26" i="1"/>
  <c r="G8" i="2" s="1"/>
  <c r="I26" i="1"/>
  <c r="G7" i="2" s="1"/>
  <c r="G26" i="1"/>
  <c r="G5" i="2" s="1"/>
  <c r="D26" i="1"/>
  <c r="C26" i="1"/>
  <c r="BD25" i="1"/>
  <c r="BR25" i="1" s="1"/>
  <c r="BC25" i="1"/>
  <c r="AM25" i="1"/>
  <c r="AN25" i="1" s="1"/>
  <c r="AL25" i="1"/>
  <c r="AK25" i="1"/>
  <c r="AI25" i="1"/>
  <c r="AH25" i="1"/>
  <c r="AG25" i="1"/>
  <c r="N25" i="1"/>
  <c r="M25" i="1"/>
  <c r="O25" i="1" s="1"/>
  <c r="H25" i="1"/>
  <c r="G25" i="1"/>
  <c r="BD24" i="1"/>
  <c r="BD26" i="1" s="1"/>
  <c r="BC24" i="1"/>
  <c r="BC26" i="1" s="1"/>
  <c r="AZ24" i="1"/>
  <c r="AZ26" i="1" s="1"/>
  <c r="G30" i="2" s="1"/>
  <c r="AL24" i="1"/>
  <c r="AM24" i="1" s="1"/>
  <c r="AK24" i="1"/>
  <c r="AI24" i="1"/>
  <c r="AH24" i="1"/>
  <c r="AG24" i="1"/>
  <c r="AG26" i="1" s="1"/>
  <c r="G23" i="2" s="1"/>
  <c r="N24" i="1"/>
  <c r="M24" i="1"/>
  <c r="H24" i="1"/>
  <c r="H26" i="1" s="1"/>
  <c r="G6" i="2" s="1"/>
  <c r="G24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F33" i="2" s="1"/>
  <c r="BC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AH23" i="1"/>
  <c r="F24" i="2" s="1"/>
  <c r="AG23" i="1"/>
  <c r="F23" i="2" s="1"/>
  <c r="Y23" i="1"/>
  <c r="F17" i="2" s="1"/>
  <c r="W23" i="1"/>
  <c r="F16" i="2" s="1"/>
  <c r="V23" i="1"/>
  <c r="F15" i="2" s="1"/>
  <c r="U23" i="1"/>
  <c r="F14" i="2" s="1"/>
  <c r="T23" i="1"/>
  <c r="F13" i="2" s="1"/>
  <c r="S23" i="1"/>
  <c r="R23" i="1"/>
  <c r="P23" i="1"/>
  <c r="F12" i="2" s="1"/>
  <c r="N23" i="1"/>
  <c r="F10" i="2" s="1"/>
  <c r="M23" i="1"/>
  <c r="F9" i="2" s="1"/>
  <c r="L23" i="1"/>
  <c r="K23" i="1"/>
  <c r="J23" i="1"/>
  <c r="F8" i="2" s="1"/>
  <c r="I23" i="1"/>
  <c r="F7" i="2" s="1"/>
  <c r="H23" i="1"/>
  <c r="F6" i="2" s="1"/>
  <c r="E23" i="1"/>
  <c r="F3" i="2" s="1"/>
  <c r="D23" i="1"/>
  <c r="C23" i="1"/>
  <c r="AZ22" i="1"/>
  <c r="BR22" i="1" s="1"/>
  <c r="AK22" i="1"/>
  <c r="AI22" i="1"/>
  <c r="AH22" i="1"/>
  <c r="AG22" i="1"/>
  <c r="O22" i="1"/>
  <c r="N22" i="1"/>
  <c r="M22" i="1"/>
  <c r="H22" i="1"/>
  <c r="G22" i="1"/>
  <c r="BD21" i="1"/>
  <c r="BC21" i="1"/>
  <c r="AZ21" i="1"/>
  <c r="BR21" i="1" s="1"/>
  <c r="BR23" i="1" s="1"/>
  <c r="F34" i="2" s="1"/>
  <c r="AI21" i="1"/>
  <c r="AI23" i="1" s="1"/>
  <c r="F25" i="2" s="1"/>
  <c r="AH21" i="1"/>
  <c r="AG21" i="1"/>
  <c r="O21" i="1"/>
  <c r="O23" i="1" s="1"/>
  <c r="F11" i="2" s="1"/>
  <c r="N21" i="1"/>
  <c r="M21" i="1"/>
  <c r="H21" i="1"/>
  <c r="G21" i="1"/>
  <c r="G23" i="1" s="1"/>
  <c r="F5" i="2" s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C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AM20" i="1"/>
  <c r="AL20" i="1"/>
  <c r="AK20" i="1"/>
  <c r="E27" i="2" s="1"/>
  <c r="AH20" i="1"/>
  <c r="E24" i="2" s="1"/>
  <c r="AG20" i="1"/>
  <c r="E23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 i="1"/>
  <c r="P20" i="1"/>
  <c r="E12" i="2" s="1"/>
  <c r="M20" i="1"/>
  <c r="E9" i="2" s="1"/>
  <c r="L20" i="1"/>
  <c r="K20" i="1"/>
  <c r="J20" i="1"/>
  <c r="E8" i="2" s="1"/>
  <c r="I20" i="1"/>
  <c r="E7" i="2" s="1"/>
  <c r="H20" i="1"/>
  <c r="E6" i="2" s="1"/>
  <c r="G20" i="1"/>
  <c r="E5" i="2" s="1"/>
  <c r="E20" i="1"/>
  <c r="E3" i="2" s="1"/>
  <c r="D20" i="1"/>
  <c r="C20" i="1"/>
  <c r="BR19" i="1"/>
  <c r="AZ19" i="1"/>
  <c r="AM19" i="1"/>
  <c r="AN19" i="1" s="1"/>
  <c r="AL19" i="1"/>
  <c r="AK19" i="1"/>
  <c r="AI19" i="1"/>
  <c r="AH19" i="1"/>
  <c r="AG19" i="1"/>
  <c r="N19" i="1"/>
  <c r="M19" i="1"/>
  <c r="H19" i="1"/>
  <c r="G19" i="1"/>
  <c r="BR18" i="1"/>
  <c r="BR20" i="1" s="1"/>
  <c r="E34" i="2" s="1"/>
  <c r="BD18" i="1"/>
  <c r="BD20" i="1" s="1"/>
  <c r="BC18" i="1"/>
  <c r="AZ18" i="1"/>
  <c r="AZ20" i="1" s="1"/>
  <c r="E30" i="2" s="1"/>
  <c r="AN18" i="1"/>
  <c r="AM18" i="1"/>
  <c r="AL18" i="1"/>
  <c r="AK18" i="1"/>
  <c r="AI18" i="1"/>
  <c r="AI20" i="1" s="1"/>
  <c r="E25" i="2" s="1"/>
  <c r="AH18" i="1"/>
  <c r="AG18" i="1"/>
  <c r="N18" i="1"/>
  <c r="M18" i="1"/>
  <c r="O18" i="1" s="1"/>
  <c r="H18" i="1"/>
  <c r="G18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R103" i="1" s="1"/>
  <c r="AR105" i="1" s="1"/>
  <c r="AR106" i="1" s="1"/>
  <c r="AQ17" i="1"/>
  <c r="AP17" i="1"/>
  <c r="AO17" i="1"/>
  <c r="AK17" i="1"/>
  <c r="D27" i="2" s="1"/>
  <c r="AJ17" i="1"/>
  <c r="D26" i="2" s="1"/>
  <c r="AH17" i="1"/>
  <c r="D24" i="2" s="1"/>
  <c r="AG17" i="1"/>
  <c r="D23" i="2" s="1"/>
  <c r="Y17" i="1"/>
  <c r="D17" i="2" s="1"/>
  <c r="U17" i="1"/>
  <c r="D14" i="2" s="1"/>
  <c r="T17" i="1"/>
  <c r="D13" i="2" s="1"/>
  <c r="S17" i="1"/>
  <c r="R17" i="1"/>
  <c r="P17" i="1"/>
  <c r="D12" i="2" s="1"/>
  <c r="M17" i="1"/>
  <c r="D9" i="2" s="1"/>
  <c r="L17" i="1"/>
  <c r="K17" i="1"/>
  <c r="N17" i="1" s="1"/>
  <c r="D10" i="2" s="1"/>
  <c r="J17" i="1"/>
  <c r="D8" i="2" s="1"/>
  <c r="I17" i="1"/>
  <c r="D7" i="2" s="1"/>
  <c r="E17" i="1"/>
  <c r="D3" i="2" s="1"/>
  <c r="D17" i="1"/>
  <c r="C17" i="1"/>
  <c r="BR16" i="1"/>
  <c r="AZ16" i="1"/>
  <c r="AL16" i="1"/>
  <c r="AM16" i="1" s="1"/>
  <c r="AN16" i="1" s="1"/>
  <c r="AK16" i="1"/>
  <c r="AI16" i="1"/>
  <c r="AH16" i="1"/>
  <c r="AG16" i="1"/>
  <c r="W16" i="1"/>
  <c r="V16" i="1"/>
  <c r="U16" i="1"/>
  <c r="T16" i="1"/>
  <c r="P16" i="1"/>
  <c r="O16" i="1"/>
  <c r="N16" i="1"/>
  <c r="M16" i="1"/>
  <c r="H16" i="1"/>
  <c r="G16" i="1"/>
  <c r="BD15" i="1"/>
  <c r="BD17" i="1" s="1"/>
  <c r="BC15" i="1"/>
  <c r="BC17" i="1" s="1"/>
  <c r="AZ15" i="1"/>
  <c r="AZ17" i="1" s="1"/>
  <c r="D30" i="2" s="1"/>
  <c r="AK15" i="1"/>
  <c r="AL15" i="1" s="1"/>
  <c r="AL17" i="1" s="1"/>
  <c r="AI15" i="1"/>
  <c r="AI17" i="1" s="1"/>
  <c r="D25" i="2" s="1"/>
  <c r="AH15" i="1"/>
  <c r="AG15" i="1"/>
  <c r="W15" i="1"/>
  <c r="W17" i="1" s="1"/>
  <c r="D16" i="2" s="1"/>
  <c r="V15" i="1"/>
  <c r="V17" i="1" s="1"/>
  <c r="D15" i="2" s="1"/>
  <c r="U15" i="1"/>
  <c r="T15" i="1"/>
  <c r="P15" i="1"/>
  <c r="O15" i="1"/>
  <c r="N15" i="1"/>
  <c r="M15" i="1"/>
  <c r="H15" i="1"/>
  <c r="H17" i="1" s="1"/>
  <c r="D6" i="2" s="1"/>
  <c r="G15" i="1"/>
  <c r="G17" i="1" s="1"/>
  <c r="D5" i="2" s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W103" i="1" s="1"/>
  <c r="AW105" i="1" s="1"/>
  <c r="AW106" i="1" s="1"/>
  <c r="AV14" i="1"/>
  <c r="AU14" i="1"/>
  <c r="AT14" i="1"/>
  <c r="AS14" i="1"/>
  <c r="AS103" i="1" s="1"/>
  <c r="AS105" i="1" s="1"/>
  <c r="AS106" i="1" s="1"/>
  <c r="AR14" i="1"/>
  <c r="AQ14" i="1"/>
  <c r="AP14" i="1"/>
  <c r="AO14" i="1"/>
  <c r="AO103" i="1" s="1"/>
  <c r="AO105" i="1" s="1"/>
  <c r="AO106" i="1" s="1"/>
  <c r="AJ14" i="1"/>
  <c r="C26" i="2" s="1"/>
  <c r="Y14" i="1"/>
  <c r="C17" i="2" s="1"/>
  <c r="W14" i="1"/>
  <c r="C16" i="2" s="1"/>
  <c r="U14" i="1"/>
  <c r="C14" i="2" s="1"/>
  <c r="S14" i="1"/>
  <c r="R14" i="1"/>
  <c r="N14" i="1"/>
  <c r="C10" i="2" s="1"/>
  <c r="M14" i="1"/>
  <c r="C9" i="2" s="1"/>
  <c r="L14" i="1"/>
  <c r="P14" i="1" s="1"/>
  <c r="C12" i="2" s="1"/>
  <c r="K14" i="1"/>
  <c r="J14" i="1"/>
  <c r="C8" i="2" s="1"/>
  <c r="I14" i="1"/>
  <c r="C7" i="2" s="1"/>
  <c r="H14" i="1"/>
  <c r="C6" i="2" s="1"/>
  <c r="E14" i="1"/>
  <c r="C3" i="2" s="1"/>
  <c r="D14" i="1"/>
  <c r="C14" i="1"/>
  <c r="C103" i="1" s="1"/>
  <c r="G8" i="4" s="1"/>
  <c r="AZ13" i="1"/>
  <c r="BR13" i="1" s="1"/>
  <c r="AK13" i="1"/>
  <c r="AL13" i="1" s="1"/>
  <c r="AM13" i="1" s="1"/>
  <c r="AN13" i="1" s="1"/>
  <c r="AI13" i="1"/>
  <c r="AH13" i="1"/>
  <c r="AH14" i="1" s="1"/>
  <c r="C24" i="2" s="1"/>
  <c r="AG13" i="1"/>
  <c r="W13" i="1"/>
  <c r="V13" i="1"/>
  <c r="U13" i="1"/>
  <c r="T13" i="1"/>
  <c r="P13" i="1"/>
  <c r="O13" i="1"/>
  <c r="N13" i="1"/>
  <c r="M13" i="1"/>
  <c r="H13" i="1"/>
  <c r="G13" i="1"/>
  <c r="BD12" i="1"/>
  <c r="BC12" i="1"/>
  <c r="BC14" i="1" s="1"/>
  <c r="C33" i="2" s="1"/>
  <c r="AZ12" i="1"/>
  <c r="AZ14" i="1" s="1"/>
  <c r="C30" i="2" s="1"/>
  <c r="AK12" i="1"/>
  <c r="AL12" i="1" s="1"/>
  <c r="AI12" i="1"/>
  <c r="AI14" i="1" s="1"/>
  <c r="C25" i="2" s="1"/>
  <c r="AH12" i="1"/>
  <c r="AG12" i="1"/>
  <c r="AG14" i="1" s="1"/>
  <c r="C23" i="2" s="1"/>
  <c r="W12" i="1"/>
  <c r="V12" i="1"/>
  <c r="V14" i="1" s="1"/>
  <c r="C15" i="2" s="1"/>
  <c r="U12" i="1"/>
  <c r="T12" i="1"/>
  <c r="T14" i="1" s="1"/>
  <c r="C13" i="2" s="1"/>
  <c r="N12" i="1"/>
  <c r="O12" i="1" s="1"/>
  <c r="M12" i="1"/>
  <c r="H12" i="1"/>
  <c r="G12" i="1"/>
  <c r="A12" i="1"/>
  <c r="C2" i="2" s="1"/>
  <c r="BP11" i="1"/>
  <c r="BO11" i="1"/>
  <c r="BN11" i="1"/>
  <c r="BM11" i="1"/>
  <c r="BL11" i="1"/>
  <c r="BK11" i="1"/>
  <c r="BJ11" i="1"/>
  <c r="BJ103" i="1" s="1"/>
  <c r="BI11" i="1"/>
  <c r="BH11" i="1"/>
  <c r="BG11" i="1"/>
  <c r="BF11" i="1"/>
  <c r="BE11" i="1"/>
  <c r="BB11" i="1"/>
  <c r="B32" i="2" s="1"/>
  <c r="BA11" i="1"/>
  <c r="AY11" i="1"/>
  <c r="AX11" i="1"/>
  <c r="AX103" i="1" s="1"/>
  <c r="AX105" i="1" s="1"/>
  <c r="AX106" i="1" s="1"/>
  <c r="AW11" i="1"/>
  <c r="AV11" i="1"/>
  <c r="AV103" i="1" s="1"/>
  <c r="AV105" i="1" s="1"/>
  <c r="AV106" i="1" s="1"/>
  <c r="AU11" i="1"/>
  <c r="AT11" i="1"/>
  <c r="AT103" i="1" s="1"/>
  <c r="AT105" i="1" s="1"/>
  <c r="AT106" i="1" s="1"/>
  <c r="AS11" i="1"/>
  <c r="AR11" i="1"/>
  <c r="AQ11" i="1"/>
  <c r="AP11" i="1"/>
  <c r="AP103" i="1" s="1"/>
  <c r="AP105" i="1" s="1"/>
  <c r="AP106" i="1" s="1"/>
  <c r="AO11" i="1"/>
  <c r="AJ11" i="1"/>
  <c r="B26" i="2" s="1"/>
  <c r="AI11" i="1"/>
  <c r="B25" i="2" s="1"/>
  <c r="Y11" i="1"/>
  <c r="W11" i="1"/>
  <c r="B16" i="2" s="1"/>
  <c r="S11" i="1"/>
  <c r="S103" i="1" s="1"/>
  <c r="R11" i="1"/>
  <c r="R103" i="1" s="1"/>
  <c r="L11" i="1"/>
  <c r="K11" i="1"/>
  <c r="J11" i="1"/>
  <c r="I11" i="1"/>
  <c r="G11" i="1"/>
  <c r="B5" i="2" s="1"/>
  <c r="E11" i="1"/>
  <c r="D11" i="1"/>
  <c r="C11" i="1"/>
  <c r="BR10" i="1"/>
  <c r="BD10" i="1"/>
  <c r="AZ10" i="1"/>
  <c r="AZ11" i="1" s="1"/>
  <c r="B30" i="2" s="1"/>
  <c r="AL10" i="1"/>
  <c r="AM10" i="1" s="1"/>
  <c r="AN10" i="1" s="1"/>
  <c r="AK10" i="1"/>
  <c r="AI10" i="1"/>
  <c r="AH10" i="1"/>
  <c r="AH11" i="1" s="1"/>
  <c r="B24" i="2" s="1"/>
  <c r="AG10" i="1"/>
  <c r="W10" i="1"/>
  <c r="U10" i="1"/>
  <c r="T10" i="1"/>
  <c r="V10" i="1" s="1"/>
  <c r="P10" i="1"/>
  <c r="N10" i="1"/>
  <c r="M10" i="1"/>
  <c r="H10" i="1"/>
  <c r="G10" i="1"/>
  <c r="BD9" i="1"/>
  <c r="BC9" i="1"/>
  <c r="AZ9" i="1"/>
  <c r="AL9" i="1"/>
  <c r="AI9" i="1"/>
  <c r="AH9" i="1"/>
  <c r="AG9" i="1"/>
  <c r="W9" i="1"/>
  <c r="U9" i="1"/>
  <c r="T9" i="1"/>
  <c r="P9" i="1"/>
  <c r="N9" i="1"/>
  <c r="M9" i="1"/>
  <c r="H9" i="1"/>
  <c r="G9" i="1"/>
  <c r="AM26" i="1" l="1"/>
  <c r="AN24" i="1"/>
  <c r="AM12" i="1"/>
  <c r="AL14" i="1"/>
  <c r="G42" i="4"/>
  <c r="G74" i="4"/>
  <c r="G106" i="4"/>
  <c r="E28" i="2"/>
  <c r="AN20" i="1"/>
  <c r="AK23" i="1"/>
  <c r="F27" i="2" s="1"/>
  <c r="AL22" i="1"/>
  <c r="O24" i="1"/>
  <c r="O26" i="1" s="1"/>
  <c r="G11" i="2" s="1"/>
  <c r="M26" i="1"/>
  <c r="G9" i="2" s="1"/>
  <c r="O29" i="1"/>
  <c r="H11" i="2" s="1"/>
  <c r="AK29" i="1"/>
  <c r="H27" i="2" s="1"/>
  <c r="AL27" i="1"/>
  <c r="H33" i="2"/>
  <c r="BR30" i="1"/>
  <c r="BR32" i="1" s="1"/>
  <c r="I34" i="2" s="1"/>
  <c r="H35" i="1"/>
  <c r="J6" i="2" s="1"/>
  <c r="AM33" i="1"/>
  <c r="V36" i="1"/>
  <c r="V38" i="1" s="1"/>
  <c r="K15" i="2" s="1"/>
  <c r="T38" i="1"/>
  <c r="K13" i="2" s="1"/>
  <c r="BR36" i="1"/>
  <c r="BR38" i="1" s="1"/>
  <c r="K34" i="2" s="1"/>
  <c r="AZ38" i="1"/>
  <c r="K30" i="2" s="1"/>
  <c r="BR39" i="1"/>
  <c r="BR41" i="1" s="1"/>
  <c r="L34" i="2" s="1"/>
  <c r="AZ44" i="1"/>
  <c r="M30" i="2" s="1"/>
  <c r="O48" i="1"/>
  <c r="O50" i="1" s="1"/>
  <c r="O11" i="2" s="1"/>
  <c r="M50" i="1"/>
  <c r="O9" i="2" s="1"/>
  <c r="BR48" i="1"/>
  <c r="BR50" i="1" s="1"/>
  <c r="O34" i="2" s="1"/>
  <c r="AH53" i="1"/>
  <c r="P24" i="2" s="1"/>
  <c r="AM53" i="1"/>
  <c r="AN51" i="1"/>
  <c r="O54" i="1"/>
  <c r="BF107" i="1"/>
  <c r="BF108" i="1" s="1"/>
  <c r="BJ107" i="1"/>
  <c r="BJ108" i="1" s="1"/>
  <c r="BN107" i="1"/>
  <c r="BN108" i="1" s="1"/>
  <c r="O59" i="1"/>
  <c r="R11" i="2" s="1"/>
  <c r="AM59" i="1"/>
  <c r="BR60" i="1"/>
  <c r="BR62" i="1" s="1"/>
  <c r="S34" i="2" s="1"/>
  <c r="O61" i="1"/>
  <c r="V61" i="1"/>
  <c r="V62" i="1" s="1"/>
  <c r="S15" i="2" s="1"/>
  <c r="AK65" i="1"/>
  <c r="T27" i="2" s="1"/>
  <c r="AL64" i="1"/>
  <c r="AK68" i="1"/>
  <c r="U27" i="2" s="1"/>
  <c r="U33" i="2"/>
  <c r="BR72" i="1"/>
  <c r="BR74" i="1" s="1"/>
  <c r="W34" i="2" s="1"/>
  <c r="O75" i="1"/>
  <c r="O77" i="1" s="1"/>
  <c r="X11" i="2" s="1"/>
  <c r="M77" i="1"/>
  <c r="X9" i="2" s="1"/>
  <c r="BR75" i="1"/>
  <c r="BR77" i="1" s="1"/>
  <c r="X34" i="2" s="1"/>
  <c r="V80" i="1"/>
  <c r="Y15" i="2" s="1"/>
  <c r="BR78" i="1"/>
  <c r="BR80" i="1" s="1"/>
  <c r="Y34" i="2" s="1"/>
  <c r="G83" i="1"/>
  <c r="Z5" i="2" s="1"/>
  <c r="O81" i="1"/>
  <c r="O83" i="1" s="1"/>
  <c r="Z11" i="2" s="1"/>
  <c r="Z33" i="2"/>
  <c r="BR84" i="1"/>
  <c r="BR86" i="1" s="1"/>
  <c r="AA34" i="2" s="1"/>
  <c r="AM86" i="1"/>
  <c r="AN85" i="1"/>
  <c r="AH89" i="1"/>
  <c r="AB24" i="2" s="1"/>
  <c r="AM89" i="1"/>
  <c r="AN87" i="1"/>
  <c r="AL92" i="1"/>
  <c r="AZ101" i="1"/>
  <c r="BR99" i="1"/>
  <c r="BR101" i="1" s="1"/>
  <c r="L103" i="1"/>
  <c r="AJ103" i="1"/>
  <c r="AL106" i="1" s="1"/>
  <c r="BB103" i="1"/>
  <c r="O9" i="1"/>
  <c r="W103" i="1"/>
  <c r="B7" i="2"/>
  <c r="I103" i="1"/>
  <c r="BF104" i="1"/>
  <c r="BF105" i="1" s="1"/>
  <c r="BF103" i="1"/>
  <c r="BN103" i="1"/>
  <c r="O51" i="1"/>
  <c r="O53" i="1" s="1"/>
  <c r="P11" i="2" s="1"/>
  <c r="M53" i="1"/>
  <c r="P9" i="2" s="1"/>
  <c r="AK62" i="1"/>
  <c r="S27" i="2" s="1"/>
  <c r="AL61" i="1"/>
  <c r="M80" i="1"/>
  <c r="Y9" i="2" s="1"/>
  <c r="O78" i="1"/>
  <c r="O80" i="1" s="1"/>
  <c r="Y11" i="2" s="1"/>
  <c r="O87" i="1"/>
  <c r="O89" i="1" s="1"/>
  <c r="AB11" i="2" s="1"/>
  <c r="M89" i="1"/>
  <c r="AB9" i="2" s="1"/>
  <c r="AM92" i="1"/>
  <c r="AN90" i="1"/>
  <c r="P11" i="1"/>
  <c r="B12" i="2" s="1"/>
  <c r="AG11" i="1"/>
  <c r="B23" i="2" s="1"/>
  <c r="AM9" i="1"/>
  <c r="O10" i="1"/>
  <c r="B8" i="2"/>
  <c r="J103" i="1"/>
  <c r="T11" i="1"/>
  <c r="B13" i="2" s="1"/>
  <c r="AQ103" i="1"/>
  <c r="AQ105" i="1" s="1"/>
  <c r="AQ106" i="1" s="1"/>
  <c r="AY103" i="1"/>
  <c r="BG104" i="1"/>
  <c r="BG105" i="1" s="1"/>
  <c r="BG103" i="1"/>
  <c r="BO103" i="1"/>
  <c r="AK14" i="1"/>
  <c r="C27" i="2" s="1"/>
  <c r="AM15" i="1"/>
  <c r="I33" i="2"/>
  <c r="AI35" i="1"/>
  <c r="J25" i="2" s="1"/>
  <c r="AZ35" i="1"/>
  <c r="J30" i="2" s="1"/>
  <c r="AK38" i="1"/>
  <c r="K27" i="2" s="1"/>
  <c r="BR68" i="1"/>
  <c r="U34" i="2" s="1"/>
  <c r="N74" i="1"/>
  <c r="W10" i="2" s="1"/>
  <c r="AK80" i="1"/>
  <c r="Y27" i="2" s="1"/>
  <c r="AK83" i="1"/>
  <c r="Z27" i="2" s="1"/>
  <c r="AL82" i="1"/>
  <c r="AM82" i="1" s="1"/>
  <c r="AN82" i="1" s="1"/>
  <c r="AB33" i="2"/>
  <c r="BR90" i="1"/>
  <c r="BR92" i="1" s="1"/>
  <c r="AC34" i="2" s="1"/>
  <c r="U11" i="1"/>
  <c r="B14" i="2" s="1"/>
  <c r="M11" i="1"/>
  <c r="B9" i="2" s="1"/>
  <c r="B17" i="2"/>
  <c r="Y103" i="1"/>
  <c r="AL11" i="1"/>
  <c r="BJ104" i="1"/>
  <c r="BJ105" i="1" s="1"/>
  <c r="G14" i="1"/>
  <c r="C5" i="2" s="1"/>
  <c r="O17" i="1"/>
  <c r="D11" i="2" s="1"/>
  <c r="AZ23" i="1"/>
  <c r="F30" i="2" s="1"/>
  <c r="BR29" i="1"/>
  <c r="H34" i="2" s="1"/>
  <c r="AL34" i="1"/>
  <c r="AM34" i="1" s="1"/>
  <c r="AN34" i="1" s="1"/>
  <c r="O38" i="1"/>
  <c r="K11" i="2" s="1"/>
  <c r="AK41" i="1"/>
  <c r="L27" i="2" s="1"/>
  <c r="AL40" i="1"/>
  <c r="O33" i="2"/>
  <c r="O62" i="1"/>
  <c r="S11" i="2" s="1"/>
  <c r="AL68" i="1"/>
  <c r="AM66" i="1"/>
  <c r="X33" i="2"/>
  <c r="AA33" i="2"/>
  <c r="BA98" i="1"/>
  <c r="AE31" i="2" s="1"/>
  <c r="BR97" i="1"/>
  <c r="BR98" i="1" s="1"/>
  <c r="AE34" i="2" s="1"/>
  <c r="D103" i="1"/>
  <c r="N11" i="1"/>
  <c r="B10" i="2" s="1"/>
  <c r="AU103" i="1"/>
  <c r="AU105" i="1" s="1"/>
  <c r="AU106" i="1" s="1"/>
  <c r="BC11" i="1"/>
  <c r="BC103" i="1" s="1"/>
  <c r="C106" i="1" s="1"/>
  <c r="BK103" i="1"/>
  <c r="D33" i="2"/>
  <c r="G33" i="2"/>
  <c r="K33" i="2"/>
  <c r="M38" i="1"/>
  <c r="K9" i="2" s="1"/>
  <c r="BR44" i="1"/>
  <c r="M34" i="2" s="1"/>
  <c r="O45" i="1"/>
  <c r="O47" i="1" s="1"/>
  <c r="N11" i="2" s="1"/>
  <c r="M47" i="1"/>
  <c r="N9" i="2" s="1"/>
  <c r="AL59" i="1"/>
  <c r="T33" i="2"/>
  <c r="AL69" i="1"/>
  <c r="AI74" i="1"/>
  <c r="W25" i="2" s="1"/>
  <c r="BR81" i="1"/>
  <c r="BR83" i="1" s="1"/>
  <c r="Z34" i="2" s="1"/>
  <c r="AZ83" i="1"/>
  <c r="Z30" i="2" s="1"/>
  <c r="AH86" i="1"/>
  <c r="AA24" i="2" s="1"/>
  <c r="O90" i="1"/>
  <c r="O92" i="1" s="1"/>
  <c r="AC11" i="2" s="1"/>
  <c r="M92" i="1"/>
  <c r="AC9" i="2" s="1"/>
  <c r="AL93" i="1"/>
  <c r="M98" i="1"/>
  <c r="AE9" i="2" s="1"/>
  <c r="AM98" i="1"/>
  <c r="AN96" i="1"/>
  <c r="O99" i="1"/>
  <c r="O101" i="1" s="1"/>
  <c r="H11" i="1"/>
  <c r="B6" i="2" s="1"/>
  <c r="V9" i="1"/>
  <c r="BR9" i="1"/>
  <c r="AK11" i="1"/>
  <c r="B27" i="2" s="1"/>
  <c r="B3" i="2"/>
  <c r="E103" i="1"/>
  <c r="K103" i="1"/>
  <c r="BD11" i="1"/>
  <c r="B33" i="2" s="1"/>
  <c r="BH104" i="1"/>
  <c r="BH105" i="1" s="1"/>
  <c r="BH103" i="1"/>
  <c r="BL103" i="1"/>
  <c r="BP103" i="1"/>
  <c r="BR12" i="1"/>
  <c r="BR14" i="1" s="1"/>
  <c r="C34" i="2" s="1"/>
  <c r="O14" i="1"/>
  <c r="C11" i="2" s="1"/>
  <c r="A15" i="1"/>
  <c r="BR15" i="1"/>
  <c r="BR17" i="1" s="1"/>
  <c r="D34" i="2" s="1"/>
  <c r="E33" i="2"/>
  <c r="O19" i="1"/>
  <c r="AH26" i="1"/>
  <c r="G24" i="2" s="1"/>
  <c r="BR28" i="1"/>
  <c r="G32" i="1"/>
  <c r="I5" i="2" s="1"/>
  <c r="AK32" i="1"/>
  <c r="I27" i="2" s="1"/>
  <c r="AL30" i="1"/>
  <c r="G35" i="1"/>
  <c r="J5" i="2" s="1"/>
  <c r="O35" i="1"/>
  <c r="J11" i="2" s="1"/>
  <c r="P38" i="1"/>
  <c r="K12" i="2" s="1"/>
  <c r="AL36" i="1"/>
  <c r="L33" i="2"/>
  <c r="O42" i="1"/>
  <c r="O44" i="1" s="1"/>
  <c r="M11" i="2" s="1"/>
  <c r="AK44" i="1"/>
  <c r="M27" i="2" s="1"/>
  <c r="AL43" i="1"/>
  <c r="BR45" i="1"/>
  <c r="BR47" i="1" s="1"/>
  <c r="N34" i="2" s="1"/>
  <c r="AM46" i="1"/>
  <c r="AH50" i="1"/>
  <c r="O24" i="2" s="1"/>
  <c r="AM48" i="1"/>
  <c r="AL53" i="1"/>
  <c r="P33" i="2"/>
  <c r="AM56" i="1"/>
  <c r="Q33" i="2"/>
  <c r="O55" i="1"/>
  <c r="M56" i="1"/>
  <c r="Q9" i="2" s="1"/>
  <c r="BE107" i="1"/>
  <c r="BI107" i="1"/>
  <c r="BI108" i="1" s="1"/>
  <c r="BM107" i="1"/>
  <c r="BM108" i="1" s="1"/>
  <c r="V57" i="1"/>
  <c r="V59" i="1" s="1"/>
  <c r="R15" i="2" s="1"/>
  <c r="AI59" i="1"/>
  <c r="R25" i="2" s="1"/>
  <c r="S33" i="2"/>
  <c r="BR63" i="1"/>
  <c r="BR65" i="1" s="1"/>
  <c r="T34" i="2" s="1"/>
  <c r="BR69" i="1"/>
  <c r="BR71" i="1" s="1"/>
  <c r="V34" i="2" s="1"/>
  <c r="AZ71" i="1"/>
  <c r="V30" i="2" s="1"/>
  <c r="AL70" i="1"/>
  <c r="AM70" i="1" s="1"/>
  <c r="AN70" i="1" s="1"/>
  <c r="O72" i="1"/>
  <c r="O74" i="1" s="1"/>
  <c r="W11" i="2" s="1"/>
  <c r="AM72" i="1"/>
  <c r="AL74" i="1"/>
  <c r="AK74" i="1"/>
  <c r="W27" i="2" s="1"/>
  <c r="AH77" i="1"/>
  <c r="X24" i="2" s="1"/>
  <c r="AM75" i="1"/>
  <c r="P80" i="1"/>
  <c r="Y12" i="2" s="1"/>
  <c r="AL78" i="1"/>
  <c r="AZ80" i="1"/>
  <c r="Y30" i="2" s="1"/>
  <c r="Y33" i="2"/>
  <c r="O84" i="1"/>
  <c r="O86" i="1" s="1"/>
  <c r="AA11" i="2" s="1"/>
  <c r="M86" i="1"/>
  <c r="AA9" i="2" s="1"/>
  <c r="AL89" i="1"/>
  <c r="O95" i="1"/>
  <c r="AD11" i="2" s="1"/>
  <c r="BR93" i="1"/>
  <c r="BR95" i="1" s="1"/>
  <c r="AD34" i="2" s="1"/>
  <c r="AZ95" i="1"/>
  <c r="AD30" i="2" s="1"/>
  <c r="AL94" i="1"/>
  <c r="AM94" i="1" s="1"/>
  <c r="AN94" i="1" s="1"/>
  <c r="N98" i="1"/>
  <c r="AE10" i="2" s="1"/>
  <c r="O96" i="1"/>
  <c r="O98" i="1" s="1"/>
  <c r="AE11" i="2" s="1"/>
  <c r="BD98" i="1"/>
  <c r="AE33" i="2" s="1"/>
  <c r="AM99" i="1"/>
  <c r="AL101" i="1"/>
  <c r="AF24" i="2"/>
  <c r="AF36" i="2" s="1"/>
  <c r="AH101" i="1"/>
  <c r="AF28" i="2"/>
  <c r="AN100" i="1"/>
  <c r="H103" i="1"/>
  <c r="G76" i="4"/>
  <c r="G108" i="4"/>
  <c r="G44" i="4"/>
  <c r="M101" i="1"/>
  <c r="B31" i="2"/>
  <c r="BA103" i="1"/>
  <c r="C107" i="1" s="1"/>
  <c r="BE104" i="1"/>
  <c r="BE103" i="1"/>
  <c r="BI104" i="1"/>
  <c r="BI105" i="1" s="1"/>
  <c r="BI103" i="1"/>
  <c r="BM103" i="1"/>
  <c r="N20" i="1"/>
  <c r="E10" i="2" s="1"/>
  <c r="BR24" i="1"/>
  <c r="BR26" i="1" s="1"/>
  <c r="G34" i="2" s="1"/>
  <c r="BR51" i="1"/>
  <c r="BR53" i="1" s="1"/>
  <c r="P34" i="2" s="1"/>
  <c r="BG107" i="1"/>
  <c r="BG108" i="1" s="1"/>
  <c r="BK107" i="1"/>
  <c r="BK108" i="1" s="1"/>
  <c r="BO107" i="1"/>
  <c r="BO108" i="1" s="1"/>
  <c r="BH107" i="1"/>
  <c r="BH108" i="1" s="1"/>
  <c r="BL107" i="1"/>
  <c r="BL108" i="1" s="1"/>
  <c r="BP107" i="1"/>
  <c r="BP108" i="1" s="1"/>
  <c r="V99" i="1"/>
  <c r="V101" i="1" s="1"/>
  <c r="K13" i="3"/>
  <c r="N12" i="3"/>
  <c r="N13" i="3" s="1"/>
  <c r="L12" i="3"/>
  <c r="M12" i="3"/>
  <c r="M13" i="3" s="1"/>
  <c r="C19" i="3"/>
  <c r="M21" i="3"/>
  <c r="L21" i="3"/>
  <c r="N21" i="3"/>
  <c r="F26" i="3"/>
  <c r="C28" i="3"/>
  <c r="D26" i="3"/>
  <c r="D28" i="3" s="1"/>
  <c r="E26" i="3"/>
  <c r="E28" i="3" s="1"/>
  <c r="M37" i="3"/>
  <c r="M38" i="3"/>
  <c r="L38" i="3"/>
  <c r="N38" i="3"/>
  <c r="N40" i="3" s="1"/>
  <c r="K40" i="3"/>
  <c r="D47" i="3"/>
  <c r="D49" i="3" s="1"/>
  <c r="E47" i="3"/>
  <c r="F47" i="3"/>
  <c r="F49" i="3" s="1"/>
  <c r="D8" i="3"/>
  <c r="F8" i="3"/>
  <c r="E10" i="3"/>
  <c r="N11" i="3"/>
  <c r="L11" i="3"/>
  <c r="M11" i="3"/>
  <c r="M15" i="3"/>
  <c r="L15" i="3"/>
  <c r="K16" i="3"/>
  <c r="K22" i="3"/>
  <c r="D34" i="3"/>
  <c r="D35" i="3"/>
  <c r="D37" i="3" s="1"/>
  <c r="E35" i="3"/>
  <c r="E37" i="3" s="1"/>
  <c r="F35" i="3"/>
  <c r="F37" i="3" s="1"/>
  <c r="M51" i="3"/>
  <c r="M52" i="3" s="1"/>
  <c r="L51" i="3"/>
  <c r="K52" i="3"/>
  <c r="L54" i="3"/>
  <c r="K55" i="3"/>
  <c r="M54" i="3"/>
  <c r="N54" i="3"/>
  <c r="N55" i="3" s="1"/>
  <c r="L9" i="3"/>
  <c r="N9" i="3"/>
  <c r="N10" i="3" s="1"/>
  <c r="M9" i="3"/>
  <c r="K10" i="3"/>
  <c r="F44" i="3"/>
  <c r="D44" i="3"/>
  <c r="D46" i="3" s="1"/>
  <c r="E44" i="3"/>
  <c r="M45" i="3"/>
  <c r="M46" i="3" s="1"/>
  <c r="L45" i="3"/>
  <c r="K46" i="3"/>
  <c r="N45" i="3"/>
  <c r="L8" i="3"/>
  <c r="N8" i="3"/>
  <c r="M8" i="3"/>
  <c r="D17" i="3"/>
  <c r="D19" i="3" s="1"/>
  <c r="E17" i="3"/>
  <c r="F17" i="3"/>
  <c r="F19" i="3" s="1"/>
  <c r="F20" i="3"/>
  <c r="D20" i="3"/>
  <c r="D22" i="3" s="1"/>
  <c r="M32" i="3"/>
  <c r="L32" i="3"/>
  <c r="N32" i="3"/>
  <c r="K34" i="3"/>
  <c r="F38" i="3"/>
  <c r="C40" i="3"/>
  <c r="D38" i="3"/>
  <c r="D40" i="3" s="1"/>
  <c r="E38" i="3"/>
  <c r="D41" i="3"/>
  <c r="D43" i="3" s="1"/>
  <c r="E41" i="3"/>
  <c r="E43" i="3"/>
  <c r="M43" i="3"/>
  <c r="M44" i="3"/>
  <c r="L44" i="3"/>
  <c r="N44" i="3"/>
  <c r="L53" i="3"/>
  <c r="M53" i="3"/>
  <c r="N53" i="3"/>
  <c r="E13" i="3"/>
  <c r="F14" i="3"/>
  <c r="C16" i="3"/>
  <c r="D14" i="3"/>
  <c r="D16" i="3" s="1"/>
  <c r="E14" i="3"/>
  <c r="E16" i="3" s="1"/>
  <c r="M33" i="3"/>
  <c r="M34" i="3" s="1"/>
  <c r="L33" i="3"/>
  <c r="L34" i="3" s="1"/>
  <c r="N33" i="3"/>
  <c r="N34" i="3" s="1"/>
  <c r="C43" i="3"/>
  <c r="E49" i="3"/>
  <c r="F50" i="3"/>
  <c r="F52" i="3" s="1"/>
  <c r="D50" i="3"/>
  <c r="E50" i="3"/>
  <c r="D52" i="3"/>
  <c r="D9" i="3"/>
  <c r="D10" i="3" s="1"/>
  <c r="F9" i="3"/>
  <c r="F10" i="3" s="1"/>
  <c r="M14" i="3"/>
  <c r="L14" i="3"/>
  <c r="F16" i="3"/>
  <c r="E19" i="3"/>
  <c r="M20" i="3"/>
  <c r="L20" i="3"/>
  <c r="N20" i="3"/>
  <c r="M27" i="3"/>
  <c r="L27" i="3"/>
  <c r="L28" i="3" s="1"/>
  <c r="K28" i="3"/>
  <c r="D29" i="3"/>
  <c r="D31" i="3" s="1"/>
  <c r="E29" i="3"/>
  <c r="E31" i="3"/>
  <c r="C37" i="3"/>
  <c r="F40" i="3"/>
  <c r="M50" i="3"/>
  <c r="L50" i="3"/>
  <c r="C13" i="3"/>
  <c r="C54" i="3" s="1"/>
  <c r="F12" i="3"/>
  <c r="F13" i="3" s="1"/>
  <c r="D12" i="3"/>
  <c r="D13" i="3" s="1"/>
  <c r="D23" i="3"/>
  <c r="D25" i="3" s="1"/>
  <c r="E23" i="3"/>
  <c r="E25" i="3" s="1"/>
  <c r="M26" i="3"/>
  <c r="L26" i="3"/>
  <c r="F28" i="3"/>
  <c r="C31" i="3"/>
  <c r="F32" i="3"/>
  <c r="D32" i="3"/>
  <c r="M39" i="3"/>
  <c r="M40" i="3" s="1"/>
  <c r="L39" i="3"/>
  <c r="L40" i="3" s="1"/>
  <c r="C49" i="3"/>
  <c r="F21" i="3"/>
  <c r="F22" i="3" s="1"/>
  <c r="C22" i="3"/>
  <c r="F33" i="3"/>
  <c r="C34" i="3"/>
  <c r="E40" i="3"/>
  <c r="F45" i="3"/>
  <c r="F46" i="3" s="1"/>
  <c r="C46" i="3"/>
  <c r="E52" i="3"/>
  <c r="E22" i="3"/>
  <c r="E34" i="3"/>
  <c r="E46" i="3"/>
  <c r="C52" i="3"/>
  <c r="K57" i="3" l="1"/>
  <c r="M16" i="3"/>
  <c r="E54" i="3"/>
  <c r="F63" i="3" s="1"/>
  <c r="M22" i="3"/>
  <c r="AN99" i="1"/>
  <c r="AM101" i="1"/>
  <c r="AN101" i="1" s="1"/>
  <c r="AM77" i="1"/>
  <c r="AN75" i="1"/>
  <c r="AM74" i="1"/>
  <c r="AN72" i="1"/>
  <c r="BR107" i="1"/>
  <c r="BE108" i="1"/>
  <c r="BR108" i="1" s="1"/>
  <c r="Q28" i="2"/>
  <c r="AN56" i="1"/>
  <c r="D2" i="2"/>
  <c r="A18" i="1"/>
  <c r="AK103" i="1"/>
  <c r="V11" i="1"/>
  <c r="B15" i="2" s="1"/>
  <c r="B36" i="2" s="1"/>
  <c r="BD103" i="1"/>
  <c r="C105" i="1" s="1"/>
  <c r="AC28" i="2"/>
  <c r="AC36" i="2" s="1"/>
  <c r="AN92" i="1"/>
  <c r="M103" i="1"/>
  <c r="AM64" i="1"/>
  <c r="AL65" i="1"/>
  <c r="P28" i="2"/>
  <c r="P36" i="2" s="1"/>
  <c r="AN53" i="1"/>
  <c r="AM35" i="1"/>
  <c r="AN33" i="1"/>
  <c r="AN12" i="1"/>
  <c r="AM14" i="1"/>
  <c r="M28" i="3"/>
  <c r="F54" i="3"/>
  <c r="L46" i="3"/>
  <c r="L10" i="3"/>
  <c r="L55" i="3"/>
  <c r="AZ103" i="1"/>
  <c r="C104" i="1" s="1"/>
  <c r="C108" i="1" s="1"/>
  <c r="AM47" i="1"/>
  <c r="AN46" i="1"/>
  <c r="T103" i="1"/>
  <c r="AE28" i="2"/>
  <c r="AE36" i="2" s="1"/>
  <c r="AN98" i="1"/>
  <c r="G103" i="1"/>
  <c r="U103" i="1"/>
  <c r="O11" i="1"/>
  <c r="B11" i="2" s="1"/>
  <c r="R28" i="2"/>
  <c r="R36" i="2" s="1"/>
  <c r="AN59" i="1"/>
  <c r="AL35" i="1"/>
  <c r="AM27" i="1"/>
  <c r="AL29" i="1"/>
  <c r="D54" i="3"/>
  <c r="F56" i="3" s="1"/>
  <c r="N22" i="3"/>
  <c r="N57" i="3" s="1"/>
  <c r="BE105" i="1"/>
  <c r="BR105" i="1" s="1"/>
  <c r="BR104" i="1"/>
  <c r="AL80" i="1"/>
  <c r="AM78" i="1"/>
  <c r="BR11" i="1"/>
  <c r="B34" i="2" s="1"/>
  <c r="AN66" i="1"/>
  <c r="AM68" i="1"/>
  <c r="AN9" i="1"/>
  <c r="AM11" i="1"/>
  <c r="B28" i="2" s="1"/>
  <c r="AA28" i="2"/>
  <c r="AA36" i="2" s="1"/>
  <c r="AN86" i="1"/>
  <c r="O56" i="1"/>
  <c r="Q11" i="2" s="1"/>
  <c r="Q36" i="2" s="1"/>
  <c r="AL23" i="1"/>
  <c r="AL109" i="1" s="1"/>
  <c r="AM22" i="1"/>
  <c r="AI103" i="1"/>
  <c r="F34" i="3"/>
  <c r="N46" i="3"/>
  <c r="M10" i="3"/>
  <c r="M55" i="3"/>
  <c r="L52" i="3"/>
  <c r="L16" i="3"/>
  <c r="L22" i="3"/>
  <c r="L13" i="3"/>
  <c r="AM50" i="1"/>
  <c r="AN48" i="1"/>
  <c r="AM43" i="1"/>
  <c r="AL44" i="1"/>
  <c r="AM36" i="1"/>
  <c r="AL38" i="1"/>
  <c r="AM30" i="1"/>
  <c r="AL32" i="1"/>
  <c r="AH103" i="1"/>
  <c r="AM93" i="1"/>
  <c r="AL95" i="1"/>
  <c r="AM83" i="1"/>
  <c r="AM69" i="1"/>
  <c r="AL71" i="1"/>
  <c r="AL103" i="1" s="1"/>
  <c r="AL105" i="1" s="1"/>
  <c r="AL107" i="1" s="1"/>
  <c r="AM40" i="1"/>
  <c r="AL41" i="1"/>
  <c r="N103" i="1"/>
  <c r="AM17" i="1"/>
  <c r="AN15" i="1"/>
  <c r="AG103" i="1"/>
  <c r="AL83" i="1"/>
  <c r="AM61" i="1"/>
  <c r="AL62" i="1"/>
  <c r="O20" i="1"/>
  <c r="E11" i="2" s="1"/>
  <c r="E36" i="2" s="1"/>
  <c r="AB28" i="2"/>
  <c r="AB36" i="2" s="1"/>
  <c r="AN89" i="1"/>
  <c r="G28" i="2"/>
  <c r="G36" i="2" s="1"/>
  <c r="AN26" i="1"/>
  <c r="N63" i="3" l="1"/>
  <c r="N64" i="3" s="1"/>
  <c r="N69" i="3"/>
  <c r="F66" i="3"/>
  <c r="F68" i="3" s="1"/>
  <c r="G68" i="3" s="1"/>
  <c r="F60" i="3"/>
  <c r="F61" i="3" s="1"/>
  <c r="AN69" i="1"/>
  <c r="AM71" i="1"/>
  <c r="M57" i="3"/>
  <c r="N66" i="3" s="1"/>
  <c r="AN22" i="1"/>
  <c r="AM23" i="1"/>
  <c r="AM109" i="1" s="1"/>
  <c r="BR103" i="1"/>
  <c r="W28" i="2"/>
  <c r="W36" i="2" s="1"/>
  <c r="AN74" i="1"/>
  <c r="D28" i="2"/>
  <c r="D36" i="2" s="1"/>
  <c r="AN17" i="1"/>
  <c r="Z28" i="2"/>
  <c r="Z36" i="2" s="1"/>
  <c r="AN83" i="1"/>
  <c r="AN36" i="1"/>
  <c r="AM38" i="1"/>
  <c r="O28" i="2"/>
  <c r="O36" i="2" s="1"/>
  <c r="AN50" i="1"/>
  <c r="U28" i="2"/>
  <c r="U36" i="2" s="1"/>
  <c r="AN68" i="1"/>
  <c r="AN78" i="1"/>
  <c r="AM80" i="1"/>
  <c r="AM29" i="1"/>
  <c r="AN27" i="1"/>
  <c r="L57" i="3"/>
  <c r="N59" i="3" s="1"/>
  <c r="C28" i="2"/>
  <c r="C36" i="2" s="1"/>
  <c r="AN14" i="1"/>
  <c r="J28" i="2"/>
  <c r="J36" i="2" s="1"/>
  <c r="AN35" i="1"/>
  <c r="AM65" i="1"/>
  <c r="AN64" i="1"/>
  <c r="E2" i="2"/>
  <c r="A21" i="1"/>
  <c r="AN61" i="1"/>
  <c r="AM62" i="1"/>
  <c r="AN93" i="1"/>
  <c r="AM95" i="1"/>
  <c r="AM32" i="1"/>
  <c r="AN30" i="1"/>
  <c r="AM44" i="1"/>
  <c r="AN43" i="1"/>
  <c r="AM41" i="1"/>
  <c r="AN40" i="1"/>
  <c r="AN11" i="1"/>
  <c r="O103" i="1"/>
  <c r="N28" i="2"/>
  <c r="N36" i="2" s="1"/>
  <c r="AN47" i="1"/>
  <c r="V103" i="1"/>
  <c r="X28" i="2"/>
  <c r="X36" i="2" s="1"/>
  <c r="AN77" i="1"/>
  <c r="M28" i="2" l="1"/>
  <c r="M36" i="2" s="1"/>
  <c r="AN44" i="1"/>
  <c r="K28" i="2"/>
  <c r="K36" i="2" s="1"/>
  <c r="AN38" i="1"/>
  <c r="S28" i="2"/>
  <c r="S36" i="2" s="1"/>
  <c r="AN62" i="1"/>
  <c r="H28" i="2"/>
  <c r="H36" i="2" s="1"/>
  <c r="AN29" i="1"/>
  <c r="V28" i="2"/>
  <c r="V36" i="2" s="1"/>
  <c r="AN71" i="1"/>
  <c r="L28" i="2"/>
  <c r="L36" i="2" s="1"/>
  <c r="AN41" i="1"/>
  <c r="I28" i="2"/>
  <c r="I36" i="2" s="1"/>
  <c r="AN32" i="1"/>
  <c r="T28" i="2"/>
  <c r="T36" i="2" s="1"/>
  <c r="AN65" i="1"/>
  <c r="Y28" i="2"/>
  <c r="Y36" i="2" s="1"/>
  <c r="AN80" i="1"/>
  <c r="F28" i="2"/>
  <c r="F36" i="2" s="1"/>
  <c r="AN23" i="1"/>
  <c r="AD28" i="2"/>
  <c r="AD36" i="2" s="1"/>
  <c r="AN95" i="1"/>
  <c r="F2" i="2"/>
  <c r="A24" i="1"/>
  <c r="N71" i="3"/>
  <c r="AM103" i="1"/>
  <c r="G12" i="4" s="1"/>
  <c r="G46" i="4" l="1"/>
  <c r="G48" i="4" s="1"/>
  <c r="G51" i="4" s="1"/>
  <c r="G78" i="4"/>
  <c r="G80" i="4" s="1"/>
  <c r="G110" i="4"/>
  <c r="G14" i="4"/>
  <c r="G17" i="4" s="1"/>
  <c r="G2" i="2"/>
  <c r="A27" i="1"/>
  <c r="AN103" i="1"/>
  <c r="AN109" i="1" s="1"/>
  <c r="H2" i="2" l="1"/>
  <c r="A30" i="1"/>
  <c r="G21" i="4"/>
  <c r="G19" i="4"/>
  <c r="G23" i="4" s="1"/>
  <c r="G112" i="4"/>
  <c r="G115" i="4" s="1"/>
  <c r="G83" i="4"/>
  <c r="G55" i="4"/>
  <c r="G53" i="4"/>
  <c r="G57" i="4"/>
  <c r="G85" i="4" l="1"/>
  <c r="G89" i="4"/>
  <c r="G119" i="4"/>
  <c r="G117" i="4"/>
  <c r="G121" i="4"/>
  <c r="I2" i="2"/>
  <c r="A33" i="1"/>
  <c r="J2" i="2" l="1"/>
  <c r="A36" i="1"/>
  <c r="K2" i="2" l="1"/>
  <c r="A39" i="1"/>
  <c r="L2" i="2" l="1"/>
  <c r="A42" i="1"/>
  <c r="M2" i="2" l="1"/>
  <c r="A45" i="1"/>
  <c r="N2" i="2" l="1"/>
  <c r="A48" i="1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V2" i="2" l="1"/>
  <c r="A72" i="1"/>
  <c r="W2" i="2" l="1"/>
  <c r="A75" i="1"/>
  <c r="X2" i="2" l="1"/>
  <c r="A78" i="1"/>
  <c r="Y2" i="2" l="1"/>
  <c r="A81" i="1"/>
  <c r="Z2" i="2" l="1"/>
  <c r="A84" i="1"/>
  <c r="AA2" i="2" l="1"/>
  <c r="A87" i="1"/>
  <c r="AB2" i="2" l="1"/>
  <c r="A90" i="1"/>
  <c r="AC2" i="2" l="1"/>
  <c r="A93" i="1"/>
  <c r="AD2" i="2" l="1"/>
  <c r="A96" i="1"/>
  <c r="AE2" i="2" l="1"/>
  <c r="A99" i="1"/>
</calcChain>
</file>

<file path=xl/sharedStrings.xml><?xml version="1.0" encoding="utf-8"?>
<sst xmlns="http://schemas.openxmlformats.org/spreadsheetml/2006/main" count="487" uniqueCount="144">
  <si>
    <t>THE OLD SPAGHETTI HOUSE-VALERO</t>
  </si>
  <si>
    <t>VALERO</t>
  </si>
  <si>
    <t>OPERATIONS SUMMARY</t>
  </si>
  <si>
    <t>FOR THE MONTH ENDED  SPETEMBER  2018</t>
  </si>
  <si>
    <t>MARKETING</t>
  </si>
  <si>
    <t>EMPLOYEES DISCOUNTS</t>
  </si>
  <si>
    <t>AR-EMPLOYEES</t>
  </si>
  <si>
    <t>Other Sales</t>
  </si>
  <si>
    <t>TOTAL OC</t>
  </si>
  <si>
    <t>MARKETING HEAD OFFICE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</si>
  <si>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</si>
  <si>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</si>
  <si>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</si>
  <si>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</si>
  <si>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</si>
  <si>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</si>
  <si>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</si>
  <si>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</si>
  <si>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</si>
  <si>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</si>
  <si>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</si>
  <si>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</si>
  <si>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</si>
  <si>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</si>
  <si>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</si>
  <si>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</si>
  <si>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DATE CLEARED</t>
  </si>
  <si>
    <t>DINERS</t>
  </si>
  <si>
    <t>TIP DINERS</t>
  </si>
  <si>
    <t>DINERS DISCOUNT</t>
  </si>
  <si>
    <t>DINERS W/TAX</t>
  </si>
  <si>
    <t>DINERS RECEIVABLE</t>
  </si>
  <si>
    <t>TIP DINERS PAYABLE</t>
  </si>
  <si>
    <t>REGULAR DISCOUNTS</t>
  </si>
  <si>
    <t>STOCKHOLDERS DISCOUNTS</t>
  </si>
  <si>
    <t>SENIOR DISCOUNTS</t>
  </si>
  <si>
    <t>AR-OTHERS</t>
  </si>
  <si>
    <t>SERVICE CHARGE</t>
  </si>
  <si>
    <t>SERVICE CHARGE 8.00</t>
  </si>
  <si>
    <t>LOCAL TAX 2.00</t>
  </si>
  <si>
    <t>SALES</t>
  </si>
  <si>
    <t>NET SALES</t>
  </si>
  <si>
    <t>VAT</t>
  </si>
  <si>
    <t>TOTAL NET SALES</t>
  </si>
  <si>
    <t>ANA MARIE SOSA</t>
  </si>
  <si>
    <t>GLENN BIARCAL</t>
  </si>
  <si>
    <t>ANGELO SANCHEZ</t>
  </si>
  <si>
    <t>CRECY IBARRA</t>
  </si>
  <si>
    <t>JOANNE DEL ROSARIO</t>
  </si>
  <si>
    <t>MIGUILITO BIROIN</t>
  </si>
  <si>
    <t>AGUINALDO OJENDRAS</t>
  </si>
  <si>
    <t>NICASIO SALVADOR</t>
  </si>
  <si>
    <t>MA THERESE DOMINGO</t>
  </si>
  <si>
    <t>CAMILE ESPENOSA</t>
  </si>
  <si>
    <t>NANCY PANTOJA</t>
  </si>
  <si>
    <t>EDDIBOY ESPELLETA</t>
  </si>
  <si>
    <t>RUEL HAYAGAn</t>
  </si>
  <si>
    <t>CAMILLE ESPINOSA</t>
  </si>
  <si>
    <t>JEFFREY VILLNUEVA</t>
  </si>
  <si>
    <t>CHRISTIAN BRIONES</t>
  </si>
  <si>
    <t>BENZEN CAHILIG</t>
  </si>
  <si>
    <t>MYLA CALAR</t>
  </si>
  <si>
    <t>JEFF VILLANUEVA</t>
  </si>
  <si>
    <t>100% coupon</t>
  </si>
  <si>
    <t>PARTICULARS</t>
  </si>
  <si>
    <t>AMOUNT</t>
  </si>
  <si>
    <t>EMPLOYEE'S SHARE 85%</t>
  </si>
  <si>
    <t>PROVISION FOR LOSSES 15%</t>
  </si>
  <si>
    <t>NON VAT SALES</t>
  </si>
  <si>
    <t>JOYCE DINO</t>
  </si>
  <si>
    <t>Officer Charge</t>
  </si>
  <si>
    <t>Marketing Charge</t>
  </si>
  <si>
    <t>Marketing HO</t>
  </si>
  <si>
    <t>A/R Employees</t>
  </si>
  <si>
    <t>am</t>
  </si>
  <si>
    <t>Store Closed</t>
  </si>
  <si>
    <t>pm</t>
  </si>
  <si>
    <t>FP</t>
  </si>
  <si>
    <t xml:space="preserve">Sunday </t>
  </si>
  <si>
    <t xml:space="preserve"> </t>
  </si>
  <si>
    <t>Saturday</t>
  </si>
  <si>
    <t>VCC</t>
  </si>
  <si>
    <t>TOTAL</t>
  </si>
  <si>
    <t>OFFICERS CHARGES</t>
  </si>
  <si>
    <t>bir e-sales</t>
  </si>
  <si>
    <t>1-15</t>
  </si>
  <si>
    <t>EMP. CHARGES</t>
  </si>
  <si>
    <t xml:space="preserve"> vatable sales </t>
  </si>
  <si>
    <t>DISCOUNTED</t>
  </si>
  <si>
    <t>EMP DISCOUNT</t>
  </si>
  <si>
    <t>Foodpanda Charges</t>
  </si>
  <si>
    <t>non-vat</t>
  </si>
  <si>
    <t>gross sales</t>
  </si>
  <si>
    <t>16-31</t>
  </si>
  <si>
    <t>\</t>
  </si>
  <si>
    <t>END # 11497</t>
  </si>
  <si>
    <t>DEPOSITS</t>
  </si>
  <si>
    <t>CHECK</t>
  </si>
  <si>
    <t>CASH</t>
  </si>
  <si>
    <t xml:space="preserve"> 200- squid inc</t>
  </si>
  <si>
    <t>REGULAR DISCOUNT</t>
  </si>
  <si>
    <t>STOCKHOLDERS DISCOUNT</t>
  </si>
  <si>
    <t>EMPLOYEES DISCOUNT</t>
  </si>
  <si>
    <t>SENIOR CITIZEN DISCOUNT</t>
  </si>
  <si>
    <t>CITY DELIVERY</t>
  </si>
  <si>
    <t>SC - Emp share</t>
  </si>
  <si>
    <t>SC - Provision for losses</t>
  </si>
  <si>
    <t>LOCAL TAX</t>
  </si>
  <si>
    <t>Sales - Non Vat</t>
  </si>
  <si>
    <t>Sales - Vatable</t>
  </si>
  <si>
    <t>Output VAT</t>
  </si>
  <si>
    <t>Check (Should be zero)</t>
  </si>
  <si>
    <t>EMPLOYEE'S SERVICE CHARGE</t>
  </si>
  <si>
    <t>Dec 1-15</t>
  </si>
  <si>
    <t>December 16-31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</si>
  <si>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</si>
  <si>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</si>
  <si>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</si>
  <si>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</si>
  <si>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</si>
  <si>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</si>
  <si>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</si>
  <si>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</si>
  <si>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</si>
  <si>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</si>
  <si>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</si>
  <si>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</si>
  <si>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</si>
  <si>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</si>
  <si>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</si>
  <si>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Month of December 2019</t>
  </si>
  <si>
    <t>Gross</t>
  </si>
  <si>
    <t>Service Charge</t>
  </si>
  <si>
    <t>12% VAT</t>
  </si>
  <si>
    <t>EXPANDED</t>
  </si>
  <si>
    <t>Amount Payable</t>
  </si>
  <si>
    <t>PREPARED</t>
  </si>
  <si>
    <t>RECEIVED</t>
  </si>
  <si>
    <t>Month of October 2019</t>
  </si>
  <si>
    <t>Please make check payable to TOSHMANIA FOOD INC.</t>
  </si>
  <si>
    <t>CONSULTANCY FEE</t>
  </si>
  <si>
    <t>EXPANDED TAX</t>
  </si>
  <si>
    <t>Consultancy Fee</t>
  </si>
  <si>
    <t>Please make check payable to GRILLA ANTIPOLO FOOD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</si>
</sst>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_);_(* \(#,##0.00\);_(* \-??_);_(@_)"/>
    <numFmt numFmtId="165" formatCode="0.0%"/>
    <numFmt numFmtId="166" formatCode="d/mmm/yy"/>
    <numFmt numFmtId="167" formatCode="_(* #,##0.0_);_(* \(#,##0.0\);_(* \-??_);_(@_)"/>
    <numFmt numFmtId="168" formatCode="&quot;FOR THE MONTH of &quot;mmmm\ yyyy"/>
  </numFmts>
  <fonts count="1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b/>
      <sz val="6"/>
      <name val="Arial"/>
      <family val="2"/>
      <charset val="1"/>
    </font>
    <font>
      <b/>
      <sz val="11"/>
      <name val="Calibri"/>
      <family val="2"/>
      <charset val="1"/>
    </font>
    <font>
      <sz val="8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9"/>
      <name val="Calibri"/>
      <family val="2"/>
      <charset val="1"/>
    </font>
    <font>
      <sz val="8"/>
      <color rgb="FF000000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99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9999FF"/>
      </patternFill>
    </fill>
    <fill>
      <patternFill patternType="solid">
        <fgColor rgb="FFFAC090"/>
        <bgColor rgb="FFFFCC99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</fills>
  <borders count="36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4">
    <xf numFmtId="0" fontId="0" fillId="0" borderId="0"/>
    <xf numFmtId="164" fontId="13" fillId="0" borderId="0" applyBorder="0" applyProtection="0"/>
    <xf numFmtId="9" fontId="13" fillId="0" borderId="0" applyBorder="0" applyProtection="0"/>
    <xf numFmtId="0" fontId="1" fillId="0" borderId="0"/>
  </cellStyleXfs>
  <cellXfs count="188">
    <xf numFmtId="0" fontId="0" fillId="0" borderId="0" xfId="0"/>
    <xf numFmtId="166" fontId="4" fillId="0" borderId="19" xfId="0" applyNumberFormat="1" applyFont="1" applyBorder="1" applyAlignment="1">
      <alignment horizontal="center" vertical="center" wrapText="1"/>
    </xf>
    <xf numFmtId="166" fontId="4" fillId="0" borderId="16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4" fillId="0" borderId="22" xfId="0" applyNumberFormat="1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/>
    <xf numFmtId="164" fontId="4" fillId="0" borderId="0" xfId="0" applyNumberFormat="1" applyFont="1"/>
    <xf numFmtId="0" fontId="4" fillId="0" borderId="0" xfId="0" applyFont="1" applyBorder="1"/>
    <xf numFmtId="0" fontId="4" fillId="0" borderId="0" xfId="0" applyFont="1" applyBorder="1"/>
    <xf numFmtId="164" fontId="4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/>
    <xf numFmtId="10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Border="1"/>
    <xf numFmtId="9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9" fontId="4" fillId="2" borderId="11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15" xfId="0" applyFont="1" applyBorder="1"/>
    <xf numFmtId="0" fontId="3" fillId="2" borderId="15" xfId="0" applyFont="1" applyFill="1" applyBorder="1"/>
    <xf numFmtId="0" fontId="3" fillId="2" borderId="15" xfId="0" applyFont="1" applyFill="1" applyBorder="1" applyAlignment="1">
      <alignment horizontal="center"/>
    </xf>
    <xf numFmtId="164" fontId="3" fillId="2" borderId="0" xfId="1" applyFont="1" applyFill="1" applyBorder="1" applyAlignment="1" applyProtection="1"/>
    <xf numFmtId="0" fontId="3" fillId="3" borderId="15" xfId="0" applyFont="1" applyFill="1" applyBorder="1"/>
    <xf numFmtId="164" fontId="3" fillId="4" borderId="15" xfId="0" applyNumberFormat="1" applyFont="1" applyFill="1" applyBorder="1"/>
    <xf numFmtId="0" fontId="3" fillId="4" borderId="15" xfId="0" applyFont="1" applyFill="1" applyBorder="1"/>
    <xf numFmtId="164" fontId="3" fillId="0" borderId="15" xfId="0" applyNumberFormat="1" applyFont="1" applyBorder="1"/>
    <xf numFmtId="166" fontId="3" fillId="0" borderId="0" xfId="0" applyNumberFormat="1" applyFont="1" applyBorder="1"/>
    <xf numFmtId="164" fontId="3" fillId="0" borderId="0" xfId="1" applyFont="1" applyBorder="1" applyAlignment="1" applyProtection="1"/>
    <xf numFmtId="14" fontId="3" fillId="2" borderId="0" xfId="1" applyNumberFormat="1" applyFont="1" applyFill="1" applyBorder="1" applyAlignment="1" applyProtection="1">
      <alignment horizontal="center"/>
    </xf>
    <xf numFmtId="164" fontId="3" fillId="2" borderId="0" xfId="1" applyFont="1" applyFill="1" applyBorder="1" applyAlignment="1" applyProtection="1">
      <alignment horizontal="center"/>
    </xf>
    <xf numFmtId="164" fontId="3" fillId="3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4" borderId="0" xfId="1" applyFont="1" applyFill="1" applyBorder="1" applyAlignment="1" applyProtection="1"/>
    <xf numFmtId="164" fontId="3" fillId="0" borderId="0" xfId="1" applyFont="1" applyBorder="1" applyAlignment="1" applyProtection="1"/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/>
    <xf numFmtId="164" fontId="4" fillId="0" borderId="18" xfId="1" applyFont="1" applyBorder="1" applyAlignment="1" applyProtection="1"/>
    <xf numFmtId="164" fontId="4" fillId="2" borderId="18" xfId="1" applyFont="1" applyFill="1" applyBorder="1" applyAlignment="1" applyProtection="1"/>
    <xf numFmtId="164" fontId="4" fillId="5" borderId="18" xfId="1" applyFont="1" applyFill="1" applyBorder="1" applyAlignment="1" applyProtection="1"/>
    <xf numFmtId="164" fontId="4" fillId="2" borderId="18" xfId="1" applyFont="1" applyFill="1" applyBorder="1" applyAlignment="1" applyProtection="1">
      <alignment horizontal="center"/>
    </xf>
    <xf numFmtId="164" fontId="3" fillId="2" borderId="18" xfId="1" applyFont="1" applyFill="1" applyBorder="1" applyAlignment="1" applyProtection="1"/>
    <xf numFmtId="164" fontId="4" fillId="3" borderId="18" xfId="1" applyFont="1" applyFill="1" applyBorder="1" applyAlignment="1" applyProtection="1"/>
    <xf numFmtId="164" fontId="4" fillId="4" borderId="18" xfId="1" applyFont="1" applyFill="1" applyBorder="1" applyAlignment="1" applyProtection="1"/>
    <xf numFmtId="0" fontId="2" fillId="0" borderId="18" xfId="0" applyFont="1" applyBorder="1"/>
    <xf numFmtId="0" fontId="3" fillId="0" borderId="18" xfId="0" applyFont="1" applyBorder="1"/>
    <xf numFmtId="2" fontId="3" fillId="0" borderId="18" xfId="0" applyNumberFormat="1" applyFont="1" applyBorder="1"/>
    <xf numFmtId="166" fontId="4" fillId="0" borderId="19" xfId="0" applyNumberFormat="1" applyFont="1" applyBorder="1" applyAlignment="1">
      <alignment horizontal="center" vertical="center" wrapText="1"/>
    </xf>
    <xf numFmtId="166" fontId="2" fillId="0" borderId="0" xfId="0" applyNumberFormat="1" applyFont="1"/>
    <xf numFmtId="2" fontId="3" fillId="0" borderId="0" xfId="0" applyNumberFormat="1" applyFont="1"/>
    <xf numFmtId="164" fontId="4" fillId="2" borderId="17" xfId="1" applyFont="1" applyFill="1" applyBorder="1" applyAlignment="1" applyProtection="1"/>
    <xf numFmtId="0" fontId="6" fillId="0" borderId="18" xfId="0" applyFont="1" applyBorder="1"/>
    <xf numFmtId="164" fontId="3" fillId="0" borderId="18" xfId="1" applyFont="1" applyBorder="1" applyAlignment="1" applyProtection="1"/>
    <xf numFmtId="0" fontId="4" fillId="0" borderId="20" xfId="0" applyFont="1" applyBorder="1" applyAlignment="1">
      <alignment horizontal="center" vertical="center" wrapText="1"/>
    </xf>
    <xf numFmtId="164" fontId="4" fillId="5" borderId="18" xfId="1" applyFont="1" applyFill="1" applyBorder="1" applyAlignment="1" applyProtection="1">
      <alignment horizontal="center"/>
    </xf>
    <xf numFmtId="164" fontId="3" fillId="0" borderId="21" xfId="1" applyFont="1" applyBorder="1" applyAlignment="1" applyProtection="1"/>
    <xf numFmtId="167" fontId="3" fillId="4" borderId="0" xfId="1" applyNumberFormat="1" applyFont="1" applyFill="1" applyBorder="1" applyAlignment="1" applyProtection="1"/>
    <xf numFmtId="13" fontId="4" fillId="2" borderId="18" xfId="1" applyNumberFormat="1" applyFont="1" applyFill="1" applyBorder="1" applyAlignment="1" applyProtection="1">
      <alignment horizontal="center"/>
    </xf>
    <xf numFmtId="166" fontId="3" fillId="2" borderId="0" xfId="1" applyNumberFormat="1" applyFont="1" applyFill="1" applyBorder="1" applyAlignment="1" applyProtection="1">
      <alignment horizontal="center"/>
    </xf>
    <xf numFmtId="166" fontId="4" fillId="0" borderId="22" xfId="0" applyNumberFormat="1" applyFont="1" applyBorder="1" applyAlignment="1">
      <alignment horizontal="center" vertical="center" wrapText="1"/>
    </xf>
    <xf numFmtId="164" fontId="4" fillId="0" borderId="23" xfId="1" applyFont="1" applyBorder="1" applyAlignment="1" applyProtection="1"/>
    <xf numFmtId="164" fontId="4" fillId="4" borderId="24" xfId="1" applyFont="1" applyFill="1" applyBorder="1" applyAlignment="1" applyProtection="1"/>
    <xf numFmtId="164" fontId="3" fillId="4" borderId="21" xfId="1" applyFont="1" applyFill="1" applyBorder="1" applyAlignment="1" applyProtection="1"/>
    <xf numFmtId="164" fontId="4" fillId="4" borderId="21" xfId="1" applyFont="1" applyFill="1" applyBorder="1" applyAlignment="1" applyProtection="1"/>
    <xf numFmtId="0" fontId="4" fillId="0" borderId="16" xfId="0" applyFont="1" applyBorder="1" applyAlignment="1">
      <alignment horizontal="center" vertical="center" wrapText="1"/>
    </xf>
    <xf numFmtId="164" fontId="3" fillId="4" borderId="25" xfId="1" applyFont="1" applyFill="1" applyBorder="1" applyAlignment="1" applyProtection="1"/>
    <xf numFmtId="0" fontId="4" fillId="0" borderId="7" xfId="0" applyFont="1" applyBorder="1"/>
    <xf numFmtId="164" fontId="4" fillId="0" borderId="7" xfId="1" applyFont="1" applyBorder="1" applyAlignment="1" applyProtection="1"/>
    <xf numFmtId="164" fontId="4" fillId="3" borderId="7" xfId="1" applyFont="1" applyFill="1" applyBorder="1" applyAlignment="1" applyProtection="1"/>
    <xf numFmtId="164" fontId="2" fillId="0" borderId="0" xfId="0" applyNumberFormat="1" applyFont="1"/>
    <xf numFmtId="164" fontId="7" fillId="0" borderId="0" xfId="0" applyNumberFormat="1" applyFont="1"/>
    <xf numFmtId="164" fontId="2" fillId="0" borderId="0" xfId="2" applyNumberFormat="1" applyFont="1" applyBorder="1" applyAlignment="1" applyProtection="1"/>
    <xf numFmtId="10" fontId="2" fillId="0" borderId="0" xfId="2" applyNumberFormat="1" applyFont="1" applyBorder="1" applyAlignment="1" applyProtection="1"/>
    <xf numFmtId="164" fontId="2" fillId="0" borderId="0" xfId="1" applyFont="1" applyBorder="1" applyAlignment="1" applyProtection="1"/>
    <xf numFmtId="0" fontId="3" fillId="3" borderId="0" xfId="0" applyFont="1" applyFill="1"/>
    <xf numFmtId="164" fontId="3" fillId="3" borderId="0" xfId="0" applyNumberFormat="1" applyFont="1" applyFill="1"/>
    <xf numFmtId="0" fontId="8" fillId="0" borderId="0" xfId="0" applyFont="1"/>
    <xf numFmtId="164" fontId="8" fillId="0" borderId="0" xfId="0" applyNumberFormat="1" applyFont="1"/>
    <xf numFmtId="164" fontId="3" fillId="0" borderId="26" xfId="0" applyNumberFormat="1" applyFont="1" applyBorder="1"/>
    <xf numFmtId="0" fontId="3" fillId="6" borderId="0" xfId="0" applyFont="1" applyFill="1"/>
    <xf numFmtId="164" fontId="3" fillId="6" borderId="0" xfId="0" applyNumberFormat="1" applyFont="1" applyFill="1"/>
    <xf numFmtId="0" fontId="3" fillId="6" borderId="0" xfId="0" applyFont="1" applyFill="1" applyBorder="1"/>
    <xf numFmtId="164" fontId="9" fillId="0" borderId="0" xfId="1" applyFont="1" applyBorder="1" applyAlignment="1" applyProtection="1"/>
    <xf numFmtId="0" fontId="4" fillId="0" borderId="0" xfId="0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/>
    <xf numFmtId="2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2" fontId="0" fillId="0" borderId="0" xfId="0" applyNumberFormat="1"/>
    <xf numFmtId="0" fontId="1" fillId="0" borderId="0" xfId="3" applyFont="1"/>
    <xf numFmtId="0" fontId="11" fillId="0" borderId="0" xfId="3" applyFont="1"/>
    <xf numFmtId="49" fontId="11" fillId="0" borderId="0" xfId="3" applyNumberFormat="1" applyFont="1"/>
    <xf numFmtId="9" fontId="12" fillId="0" borderId="11" xfId="3" applyNumberFormat="1" applyFont="1" applyBorder="1" applyAlignment="1">
      <alignment horizontal="center" vertical="center" wrapText="1"/>
    </xf>
    <xf numFmtId="0" fontId="1" fillId="0" borderId="14" xfId="3" applyFont="1" applyBorder="1"/>
    <xf numFmtId="0" fontId="1" fillId="0" borderId="15" xfId="3" applyFont="1" applyBorder="1"/>
    <xf numFmtId="0" fontId="1" fillId="0" borderId="27" xfId="3" applyFont="1" applyBorder="1"/>
    <xf numFmtId="166" fontId="12" fillId="0" borderId="16" xfId="3" applyNumberFormat="1" applyFont="1" applyBorder="1" applyAlignment="1">
      <alignment horizontal="center" vertical="center" wrapText="1"/>
    </xf>
    <xf numFmtId="166" fontId="1" fillId="0" borderId="0" xfId="3" applyNumberFormat="1" applyFont="1" applyBorder="1"/>
    <xf numFmtId="164" fontId="1" fillId="0" borderId="0" xfId="3" applyNumberFormat="1"/>
    <xf numFmtId="164" fontId="1" fillId="0" borderId="28" xfId="3" applyNumberFormat="1" applyBorder="1"/>
    <xf numFmtId="0" fontId="1" fillId="0" borderId="0" xfId="3" applyFont="1" applyBorder="1"/>
    <xf numFmtId="0" fontId="12" fillId="0" borderId="20" xfId="3" applyFont="1" applyBorder="1" applyAlignment="1">
      <alignment horizontal="center" vertical="center" wrapText="1"/>
    </xf>
    <xf numFmtId="0" fontId="12" fillId="0" borderId="18" xfId="3" applyFont="1" applyBorder="1"/>
    <xf numFmtId="164" fontId="12" fillId="0" borderId="18" xfId="3" applyNumberFormat="1" applyFont="1" applyBorder="1"/>
    <xf numFmtId="164" fontId="12" fillId="0" borderId="29" xfId="3" applyNumberFormat="1" applyFont="1" applyBorder="1"/>
    <xf numFmtId="166" fontId="12" fillId="0" borderId="19" xfId="3" applyNumberFormat="1" applyFont="1" applyBorder="1" applyAlignment="1">
      <alignment horizontal="center" vertical="center" wrapText="1"/>
    </xf>
    <xf numFmtId="0" fontId="1" fillId="0" borderId="20" xfId="3" applyFont="1" applyBorder="1" applyAlignment="1">
      <alignment horizontal="center" vertical="center" wrapText="1"/>
    </xf>
    <xf numFmtId="164" fontId="1" fillId="0" borderId="0" xfId="3" applyNumberFormat="1" applyFont="1"/>
    <xf numFmtId="164" fontId="2" fillId="0" borderId="0" xfId="3" applyNumberFormat="1" applyFont="1"/>
    <xf numFmtId="0" fontId="12" fillId="0" borderId="7" xfId="3" applyFont="1" applyBorder="1"/>
    <xf numFmtId="164" fontId="12" fillId="0" borderId="7" xfId="3" applyNumberFormat="1" applyFont="1" applyBorder="1"/>
    <xf numFmtId="0" fontId="12" fillId="0" borderId="0" xfId="3" applyFont="1"/>
    <xf numFmtId="164" fontId="12" fillId="0" borderId="4" xfId="3" applyNumberFormat="1" applyFont="1" applyBorder="1"/>
    <xf numFmtId="164" fontId="12" fillId="0" borderId="0" xfId="3" applyNumberFormat="1" applyFont="1"/>
    <xf numFmtId="164" fontId="12" fillId="0" borderId="0" xfId="3" applyNumberFormat="1" applyFont="1" applyBorder="1"/>
    <xf numFmtId="164" fontId="12" fillId="0" borderId="7" xfId="3" applyNumberFormat="1" applyFont="1" applyBorder="1"/>
    <xf numFmtId="0" fontId="12" fillId="0" borderId="0" xfId="3" applyFont="1" applyBorder="1"/>
    <xf numFmtId="4" fontId="12" fillId="0" borderId="0" xfId="3" applyNumberFormat="1" applyFont="1" applyAlignment="1">
      <alignment horizontal="right"/>
    </xf>
    <xf numFmtId="164" fontId="12" fillId="0" borderId="0" xfId="3" applyNumberFormat="1" applyFont="1" applyAlignment="1">
      <alignment horizontal="right"/>
    </xf>
    <xf numFmtId="164" fontId="12" fillId="0" borderId="26" xfId="3" applyNumberFormat="1" applyFont="1" applyBorder="1"/>
    <xf numFmtId="0" fontId="1" fillId="0" borderId="0" xfId="3"/>
    <xf numFmtId="0" fontId="1" fillId="7" borderId="0" xfId="3" applyFill="1"/>
    <xf numFmtId="0" fontId="12" fillId="7" borderId="0" xfId="3" applyFont="1" applyFill="1" applyProtection="1"/>
    <xf numFmtId="0" fontId="1" fillId="7" borderId="0" xfId="3" applyFill="1" applyProtection="1"/>
    <xf numFmtId="168" fontId="12" fillId="7" borderId="0" xfId="3" applyNumberFormat="1" applyFont="1" applyFill="1" applyAlignment="1" applyProtection="1"/>
    <xf numFmtId="164" fontId="1" fillId="7" borderId="0" xfId="3" applyNumberFormat="1" applyFill="1"/>
    <xf numFmtId="164" fontId="1" fillId="7" borderId="0" xfId="3" applyNumberFormat="1" applyFill="1" applyBorder="1"/>
    <xf numFmtId="164" fontId="1" fillId="7" borderId="30" xfId="3" applyNumberFormat="1" applyFill="1" applyBorder="1"/>
    <xf numFmtId="164" fontId="1" fillId="7" borderId="0" xfId="3" applyNumberFormat="1" applyFill="1"/>
    <xf numFmtId="0" fontId="12" fillId="7" borderId="0" xfId="3" applyFont="1" applyFill="1"/>
    <xf numFmtId="10" fontId="12" fillId="7" borderId="0" xfId="3" applyNumberFormat="1" applyFont="1" applyFill="1"/>
    <xf numFmtId="164" fontId="12" fillId="7" borderId="31" xfId="3" applyNumberFormat="1" applyFont="1" applyFill="1" applyBorder="1"/>
    <xf numFmtId="164" fontId="12" fillId="7" borderId="0" xfId="3" applyNumberFormat="1" applyFont="1" applyFill="1"/>
    <xf numFmtId="164" fontId="12" fillId="7" borderId="31" xfId="3" applyNumberFormat="1" applyFont="1" applyFill="1" applyBorder="1"/>
    <xf numFmtId="0" fontId="1" fillId="7" borderId="32" xfId="3" applyFill="1" applyBorder="1"/>
    <xf numFmtId="0" fontId="1" fillId="7" borderId="33" xfId="3" applyFill="1" applyBorder="1"/>
    <xf numFmtId="0" fontId="1" fillId="7" borderId="0" xfId="3" applyFill="1" applyBorder="1"/>
    <xf numFmtId="0" fontId="1" fillId="7" borderId="30" xfId="3" applyFill="1" applyBorder="1"/>
    <xf numFmtId="164" fontId="12" fillId="7" borderId="34" xfId="3" applyNumberFormat="1" applyFont="1" applyFill="1" applyBorder="1"/>
    <xf numFmtId="164" fontId="12" fillId="7" borderId="0" xfId="3" applyNumberFormat="1" applyFont="1" applyFill="1" applyBorder="1"/>
    <xf numFmtId="164" fontId="12" fillId="7" borderId="0" xfId="3" applyNumberFormat="1" applyFont="1" applyFill="1"/>
    <xf numFmtId="0" fontId="1" fillId="7" borderId="0" xfId="3" applyFont="1" applyFill="1"/>
    <xf numFmtId="0" fontId="4" fillId="0" borderId="0" xfId="0" applyFont="1" applyBorder="1" applyAlignment="1">
      <alignment horizontal="center"/>
    </xf>
    <xf numFmtId="0" fontId="12" fillId="0" borderId="1" xfId="3" applyFont="1" applyBorder="1" applyAlignment="1">
      <alignment horizontal="center" vertical="center" wrapText="1"/>
    </xf>
    <xf numFmtId="0" fontId="12" fillId="0" borderId="2" xfId="3" applyFont="1" applyBorder="1" applyAlignment="1">
      <alignment horizontal="center" vertical="center" wrapText="1"/>
    </xf>
    <xf numFmtId="0" fontId="12" fillId="0" borderId="3" xfId="3" applyFont="1" applyBorder="1" applyAlignment="1">
      <alignment horizontal="center" vertical="center" wrapText="1"/>
    </xf>
    <xf numFmtId="0" fontId="12" fillId="0" borderId="6" xfId="3" applyFont="1" applyBorder="1" applyAlignment="1">
      <alignment horizontal="center" vertical="center" wrapText="1"/>
    </xf>
    <xf numFmtId="166" fontId="12" fillId="0" borderId="16" xfId="3" applyNumberFormat="1" applyFont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43" fontId="14" fillId="0" borderId="0" xfId="0" applyNumberFormat="1" applyFont="1"/>
    <xf numFmtId="0" fontId="4" fillId="0" borderId="27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" xfId="1" builtinId="3"/>
    <cellStyle name="Explanatory Text" xfId="3" builtinId="53" customBuiltin="1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AC09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13"/>
  <sheetViews>
    <sheetView zoomScale="120" zoomScaleNormal="120" workbookViewId="0">
      <pane xSplit="3" ySplit="7" topLeftCell="D8" activePane="bottomRight" state="frozen"/>
      <selection pane="topRight" activeCell="AF1" sqref="AF1"/>
      <selection pane="bottomLeft" activeCell="A93" sqref="A93"/>
      <selection pane="bottomRight" activeCell="D6" sqref="D6:D7"/>
    </sheetView>
  </sheetViews>
  <sheetFormatPr defaultRowHeight="15" x14ac:dyDescent="0.25"/>
  <cols>
    <col min="1" max="1" width="13" style="16" customWidth="1"/>
    <col min="2" max="2" width="5.28515625" style="16" hidden="1" customWidth="1"/>
    <col min="3" max="3" width="21" style="16" customWidth="1"/>
    <col min="4" max="29" width="10.7109375" style="16" customWidth="1"/>
    <col min="30" max="30" width="12.140625" style="16" customWidth="1"/>
    <col min="31" max="31" width="19.28515625" style="16" customWidth="1"/>
    <col min="32" max="38" width="10.7109375" style="16" customWidth="1"/>
    <col min="39" max="39" width="11.42578125" style="16"/>
    <col min="40" max="40" width="15.28515625" style="16" customWidth="1"/>
    <col min="41" max="41" width="10.7109375" style="16" customWidth="1"/>
    <col min="42" max="42" width="12" style="16" customWidth="1"/>
    <col min="43" max="44" width="10.7109375" style="16" customWidth="1"/>
    <col min="45" max="51" width="10.7109375" style="16" hidden="1" customWidth="1"/>
    <col min="52" max="56" width="10.7109375" style="16" customWidth="1"/>
    <col min="57" max="57" width="10.7109375" style="16" hidden="1" customWidth="1"/>
    <col min="58" max="58" width="10.7109375" style="16" customWidth="1"/>
    <col min="59" max="59" width="13" style="16" hidden="1" customWidth="1"/>
    <col min="60" max="60" width="10.7109375" style="16" customWidth="1"/>
    <col min="61" max="62" width="10.7109375" style="16" hidden="1" customWidth="1"/>
    <col min="63" max="64" width="10.7109375" style="16" customWidth="1"/>
    <col min="65" max="68" width="10.7109375" style="16" hidden="1" customWidth="1"/>
    <col min="69" max="70" width="10.7109375" style="16" customWidth="1"/>
    <col min="71" max="72" width="9.140625" style="16" customWidth="1"/>
    <col min="73" max="125" width="12.7109375" style="17" customWidth="1"/>
    <col min="126" max="1025" width="9.140625" style="16" customWidth="1"/>
  </cols>
  <sheetData>
    <row r="1" spans="1:125" hidden="1" x14ac:dyDescent="0.25">
      <c r="A1" s="18" t="s">
        <v>0</v>
      </c>
      <c r="B1" s="18"/>
      <c r="C1" s="19"/>
      <c r="D1" s="19"/>
      <c r="E1" s="19"/>
      <c r="F1" s="19"/>
      <c r="G1" s="19"/>
      <c r="H1" s="19"/>
      <c r="I1" s="19"/>
      <c r="J1" s="19"/>
      <c r="K1" s="19"/>
      <c r="L1" s="19"/>
      <c r="M1" s="18"/>
      <c r="N1" s="18"/>
      <c r="O1" s="18"/>
      <c r="P1" s="18"/>
      <c r="Q1" s="18"/>
      <c r="R1" s="19"/>
      <c r="S1" s="19"/>
      <c r="T1" s="18"/>
      <c r="U1" s="18"/>
      <c r="V1" s="18"/>
      <c r="W1" s="18"/>
      <c r="X1" s="18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  <c r="AL1" s="20"/>
      <c r="AM1" s="19"/>
      <c r="AN1" s="19"/>
      <c r="AO1" s="19"/>
      <c r="AP1" s="18"/>
      <c r="AQ1" s="17"/>
      <c r="AR1" s="18"/>
      <c r="AS1" s="21"/>
      <c r="AT1" s="21"/>
      <c r="AU1" s="21"/>
      <c r="AV1" s="21"/>
      <c r="AW1" s="22"/>
      <c r="AX1" s="22"/>
      <c r="AY1" s="22"/>
      <c r="AZ1" s="22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</row>
    <row r="2" spans="1:125" hidden="1" x14ac:dyDescent="0.25">
      <c r="A2" s="18" t="s">
        <v>1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8"/>
      <c r="N2" s="18"/>
      <c r="O2" s="18"/>
      <c r="P2" s="18"/>
      <c r="Q2" s="18"/>
      <c r="R2" s="19"/>
      <c r="S2" s="19"/>
      <c r="T2" s="18"/>
      <c r="U2" s="18"/>
      <c r="V2" s="18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20"/>
      <c r="AL2" s="20"/>
      <c r="AM2" s="19"/>
      <c r="AN2" s="19"/>
      <c r="AO2" s="19"/>
      <c r="AP2" s="18"/>
      <c r="AQ2" s="17"/>
      <c r="AR2" s="18"/>
      <c r="AS2" s="21"/>
      <c r="AT2" s="21"/>
      <c r="AU2" s="21"/>
      <c r="AV2" s="21"/>
      <c r="AW2" s="22"/>
      <c r="AX2" s="22"/>
      <c r="AY2" s="22"/>
      <c r="AZ2" s="22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</row>
    <row r="3" spans="1:125" hidden="1" x14ac:dyDescent="0.25">
      <c r="A3" s="18" t="s">
        <v>2</v>
      </c>
      <c r="B3" s="18"/>
      <c r="C3" s="23"/>
      <c r="D3" s="23"/>
      <c r="E3" s="23"/>
      <c r="F3" s="23"/>
      <c r="G3" s="23"/>
      <c r="H3" s="23"/>
      <c r="I3" s="19"/>
      <c r="J3" s="19"/>
      <c r="K3" s="19"/>
      <c r="L3" s="19"/>
      <c r="M3" s="18"/>
      <c r="N3" s="18"/>
      <c r="O3" s="18"/>
      <c r="P3" s="18"/>
      <c r="Q3" s="18"/>
      <c r="R3" s="19"/>
      <c r="S3" s="19"/>
      <c r="T3" s="18"/>
      <c r="U3" s="18"/>
      <c r="V3" s="18"/>
      <c r="W3" s="18"/>
      <c r="X3" s="18"/>
      <c r="Y3" s="19"/>
      <c r="Z3" s="19"/>
      <c r="AA3" s="19"/>
      <c r="AB3" s="24"/>
      <c r="AC3" s="19"/>
      <c r="AD3" s="19"/>
      <c r="AE3" s="19"/>
      <c r="AF3" s="19"/>
      <c r="AG3" s="19"/>
      <c r="AH3" s="19"/>
      <c r="AI3" s="19"/>
      <c r="AJ3" s="23"/>
      <c r="AK3" s="18"/>
      <c r="AL3" s="18"/>
      <c r="AM3" s="19"/>
      <c r="AN3" s="19"/>
      <c r="AO3" s="19"/>
      <c r="AP3" s="18"/>
      <c r="AQ3" s="17"/>
      <c r="AR3" s="18"/>
      <c r="AS3" s="21"/>
      <c r="AT3" s="21"/>
      <c r="AU3" s="21"/>
      <c r="AV3" s="21"/>
      <c r="AW3" s="22"/>
      <c r="AX3" s="22"/>
      <c r="AY3" s="22"/>
      <c r="AZ3" s="22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</row>
    <row r="4" spans="1:125" ht="23.25" hidden="1" x14ac:dyDescent="0.25">
      <c r="A4" s="25" t="s">
        <v>3</v>
      </c>
      <c r="B4" s="18"/>
      <c r="C4" s="23"/>
      <c r="D4" s="23"/>
      <c r="E4" s="23"/>
      <c r="F4" s="23"/>
      <c r="G4" s="23"/>
      <c r="H4" s="23"/>
      <c r="I4" s="23"/>
      <c r="J4" s="19"/>
      <c r="K4" s="23"/>
      <c r="L4" s="19"/>
      <c r="M4" s="18"/>
      <c r="N4" s="18"/>
      <c r="O4" s="18"/>
      <c r="P4" s="18"/>
      <c r="Q4" s="18"/>
      <c r="R4" s="19"/>
      <c r="S4" s="19"/>
      <c r="T4" s="18"/>
      <c r="U4" s="18"/>
      <c r="V4" s="18"/>
      <c r="W4" s="18"/>
      <c r="X4" s="18"/>
      <c r="Y4" s="19"/>
      <c r="Z4" s="23"/>
      <c r="AA4" s="19"/>
      <c r="AB4" s="23"/>
      <c r="AC4" s="18"/>
      <c r="AD4" s="18"/>
      <c r="AE4" s="19"/>
      <c r="AF4" s="19"/>
      <c r="AG4" s="19"/>
      <c r="AH4" s="19"/>
      <c r="AI4" s="19"/>
      <c r="AJ4" s="23"/>
      <c r="AK4" s="18"/>
      <c r="AL4" s="20"/>
      <c r="AM4" s="17"/>
      <c r="AN4" s="17"/>
      <c r="AO4" s="18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 t="s">
        <v>4</v>
      </c>
      <c r="DF4" s="26"/>
      <c r="DG4" s="26" t="s">
        <v>5</v>
      </c>
      <c r="DH4" s="26" t="s">
        <v>6</v>
      </c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 t="s">
        <v>7</v>
      </c>
    </row>
    <row r="5" spans="1:125" ht="23.25" hidden="1" x14ac:dyDescent="0.25">
      <c r="A5" s="17"/>
      <c r="B5" s="17"/>
      <c r="C5" s="27"/>
      <c r="D5" s="27"/>
      <c r="E5" s="27"/>
      <c r="F5" s="27"/>
      <c r="G5" s="27"/>
      <c r="H5" s="27"/>
      <c r="I5" s="27"/>
      <c r="J5" s="27"/>
      <c r="K5" s="27"/>
      <c r="L5" s="27"/>
      <c r="M5" s="28">
        <v>2.1499999999999998E-2</v>
      </c>
      <c r="N5" s="29">
        <v>5.0000000000000001E-3</v>
      </c>
      <c r="O5" s="30"/>
      <c r="P5" s="31"/>
      <c r="Q5" s="31"/>
      <c r="R5" s="27"/>
      <c r="S5" s="27"/>
      <c r="T5" s="28">
        <v>2.2499999999999999E-2</v>
      </c>
      <c r="U5" s="29">
        <v>5.0000000000000001E-3</v>
      </c>
      <c r="V5" s="31"/>
      <c r="W5" s="31"/>
      <c r="X5" s="31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17"/>
      <c r="AL5" s="17"/>
      <c r="AM5" s="27"/>
      <c r="AN5" s="27"/>
      <c r="AO5" s="27"/>
      <c r="AP5" s="17"/>
      <c r="AQ5" s="17"/>
      <c r="AR5" s="17"/>
      <c r="AS5" s="32"/>
      <c r="AT5" s="32"/>
      <c r="AU5" s="32"/>
      <c r="AV5" s="32"/>
      <c r="AW5" s="33"/>
      <c r="AX5" s="33"/>
      <c r="AY5" s="33"/>
      <c r="AZ5" s="33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34">
        <v>0.5</v>
      </c>
      <c r="BN5" s="17"/>
      <c r="BO5" s="17"/>
      <c r="BP5" s="17"/>
      <c r="BQ5" s="17"/>
      <c r="BR5" s="17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 t="s">
        <v>8</v>
      </c>
      <c r="DE5" s="26"/>
      <c r="DF5" s="26" t="s">
        <v>9</v>
      </c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</row>
    <row r="6" spans="1:125" ht="34.5" customHeight="1" x14ac:dyDescent="0.25">
      <c r="A6" s="14" t="s">
        <v>10</v>
      </c>
      <c r="B6" s="13" t="s">
        <v>11</v>
      </c>
      <c r="C6" s="13" t="s">
        <v>12</v>
      </c>
      <c r="D6" s="12" t="s">
        <v>13</v>
      </c>
      <c r="E6" s="12" t="s">
        <v>14</v>
      </c>
      <c r="F6" s="12" t="s">
        <v>15</v>
      </c>
      <c r="G6" s="13" t="s">
        <v>16</v>
      </c>
      <c r="H6" s="13" t="s">
        <v>17</v>
      </c>
      <c r="I6" s="12" t="s">
        <v>18</v>
      </c>
      <c r="J6" s="12" t="s">
        <v>19</v>
      </c>
      <c r="K6" s="12" t="s">
        <v>20</v>
      </c>
      <c r="L6" s="12" t="s">
        <v>21</v>
      </c>
      <c r="M6" s="13" t="s">
        <v>22</v>
      </c>
      <c r="N6" s="13" t="s">
        <v>23</v>
      </c>
      <c r="O6" s="13" t="s">
        <v>24</v>
      </c>
      <c r="P6" s="13" t="s">
        <v>25</v>
      </c>
      <c r="Q6" s="12" t="s">
        <v>26</v>
      </c>
      <c r="R6" s="12" t="s">
        <v>27</v>
      </c>
      <c r="S6" s="12" t="s">
        <v>28</v>
      </c>
      <c r="T6" s="13" t="s">
        <v>29</v>
      </c>
      <c r="U6" s="13" t="s">
        <v>30</v>
      </c>
      <c r="V6" s="13" t="s">
        <v>31</v>
      </c>
      <c r="W6" s="13" t="s">
        <v>32</v>
      </c>
      <c r="X6" s="12" t="s">
        <v>26</v>
      </c>
      <c r="Y6" s="36"/>
      <c r="Z6" s="12" t="s">
        <v>33</v>
      </c>
      <c r="AA6" s="11" t="s">
        <v>34</v>
      </c>
      <c r="AB6" s="12" t="s">
        <v>5</v>
      </c>
      <c r="AC6" s="12" t="s">
        <v>35</v>
      </c>
      <c r="AD6" s="10" t="s">
        <v>36</v>
      </c>
      <c r="AE6" s="10"/>
      <c r="AF6" s="9" t="s">
        <v>37</v>
      </c>
      <c r="AG6" s="8" t="s">
        <v>38</v>
      </c>
      <c r="AH6" s="8"/>
      <c r="AI6" s="13" t="s">
        <v>39</v>
      </c>
      <c r="AJ6" s="36"/>
      <c r="AK6" s="13" t="s">
        <v>40</v>
      </c>
      <c r="AL6" s="13" t="s">
        <v>41</v>
      </c>
      <c r="AM6" s="7" t="s">
        <v>42</v>
      </c>
      <c r="AN6" s="6" t="s">
        <v>43</v>
      </c>
      <c r="AO6" s="38"/>
      <c r="AP6" s="5" t="s">
        <v>44</v>
      </c>
      <c r="AQ6" s="5" t="s">
        <v>45</v>
      </c>
      <c r="AR6" s="5" t="s">
        <v>46</v>
      </c>
      <c r="AS6" s="5" t="s">
        <v>47</v>
      </c>
      <c r="AT6" s="5" t="s">
        <v>48</v>
      </c>
      <c r="AU6" s="5" t="s">
        <v>49</v>
      </c>
      <c r="AV6" s="5" t="s">
        <v>50</v>
      </c>
      <c r="AW6" s="5" t="s">
        <v>51</v>
      </c>
      <c r="AX6" s="5" t="s">
        <v>52</v>
      </c>
      <c r="AY6" s="39"/>
      <c r="AZ6" s="37"/>
      <c r="BA6" s="4" t="s">
        <v>4</v>
      </c>
      <c r="BB6" s="40"/>
      <c r="BC6" s="13" t="s">
        <v>5</v>
      </c>
      <c r="BD6" s="13" t="s">
        <v>6</v>
      </c>
      <c r="BE6" s="5" t="s">
        <v>53</v>
      </c>
      <c r="BF6" s="5" t="s">
        <v>54</v>
      </c>
      <c r="BG6" s="5" t="s">
        <v>55</v>
      </c>
      <c r="BH6" s="5" t="s">
        <v>56</v>
      </c>
      <c r="BI6" s="5" t="s">
        <v>57</v>
      </c>
      <c r="BJ6" s="5" t="s">
        <v>58</v>
      </c>
      <c r="BK6" s="5" t="s">
        <v>59</v>
      </c>
      <c r="BL6" s="5" t="s">
        <v>60</v>
      </c>
      <c r="BM6" s="5" t="s">
        <v>61</v>
      </c>
      <c r="BN6" s="41"/>
      <c r="BO6" s="41"/>
      <c r="BP6" s="41"/>
      <c r="BQ6" s="5" t="s">
        <v>62</v>
      </c>
      <c r="BR6" s="3" t="s">
        <v>7</v>
      </c>
    </row>
    <row r="7" spans="1:125" ht="33.75" x14ac:dyDescent="0.25">
      <c r="A7" s="14"/>
      <c r="B7" s="13"/>
      <c r="C7" s="13"/>
      <c r="D7" s="12"/>
      <c r="E7" s="12"/>
      <c r="F7" s="12"/>
      <c r="G7" s="13"/>
      <c r="H7" s="13"/>
      <c r="I7" s="12"/>
      <c r="J7" s="12"/>
      <c r="K7" s="12"/>
      <c r="L7" s="12"/>
      <c r="M7" s="13"/>
      <c r="N7" s="13"/>
      <c r="O7" s="13"/>
      <c r="P7" s="13"/>
      <c r="Q7" s="12"/>
      <c r="R7" s="12"/>
      <c r="S7" s="12"/>
      <c r="T7" s="13"/>
      <c r="U7" s="13"/>
      <c r="V7" s="13"/>
      <c r="W7" s="13"/>
      <c r="X7" s="12"/>
      <c r="Y7" s="42" t="s">
        <v>63</v>
      </c>
      <c r="Z7" s="12"/>
      <c r="AA7" s="11"/>
      <c r="AB7" s="12"/>
      <c r="AC7" s="12"/>
      <c r="AD7" s="43" t="s">
        <v>64</v>
      </c>
      <c r="AE7" s="44" t="s">
        <v>65</v>
      </c>
      <c r="AF7" s="9"/>
      <c r="AG7" s="35" t="s">
        <v>66</v>
      </c>
      <c r="AH7" s="35" t="s">
        <v>67</v>
      </c>
      <c r="AI7" s="13"/>
      <c r="AJ7" s="45" t="s">
        <v>68</v>
      </c>
      <c r="AK7" s="13"/>
      <c r="AL7" s="13"/>
      <c r="AM7" s="7"/>
      <c r="AN7" s="6"/>
      <c r="AO7" s="46" t="s">
        <v>69</v>
      </c>
      <c r="AP7" s="5"/>
      <c r="AQ7" s="5"/>
      <c r="AR7" s="5"/>
      <c r="AS7" s="5"/>
      <c r="AT7" s="5"/>
      <c r="AU7" s="5"/>
      <c r="AV7" s="5"/>
      <c r="AW7" s="5"/>
      <c r="AX7" s="5"/>
      <c r="AY7" s="47"/>
      <c r="AZ7" s="48" t="s">
        <v>8</v>
      </c>
      <c r="BA7" s="4"/>
      <c r="BB7" s="49" t="s">
        <v>9</v>
      </c>
      <c r="BC7" s="13"/>
      <c r="BD7" s="13"/>
      <c r="BE7" s="5"/>
      <c r="BF7" s="5"/>
      <c r="BG7" s="5"/>
      <c r="BH7" s="5"/>
      <c r="BI7" s="5"/>
      <c r="BJ7" s="5"/>
      <c r="BK7" s="5"/>
      <c r="BL7" s="5"/>
      <c r="BM7" s="5"/>
      <c r="BN7" s="50"/>
      <c r="BO7" s="50"/>
      <c r="BP7" s="50"/>
      <c r="BQ7" s="5"/>
      <c r="BR7" s="3"/>
      <c r="BU7" s="17" t="s">
        <v>70</v>
      </c>
      <c r="BV7" s="17" t="s">
        <v>71</v>
      </c>
      <c r="BW7" s="17" t="s">
        <v>72</v>
      </c>
      <c r="BX7" s="17" t="s">
        <v>73</v>
      </c>
      <c r="BY7" s="17" t="s">
        <v>7</v>
      </c>
    </row>
    <row r="8" spans="1:125" x14ac:dyDescent="0.25">
      <c r="A8" s="51"/>
      <c r="B8" s="52"/>
      <c r="C8" s="53"/>
      <c r="D8" s="54"/>
      <c r="E8" s="54"/>
      <c r="F8" s="54"/>
      <c r="G8" s="53"/>
      <c r="H8" s="53"/>
      <c r="I8" s="54"/>
      <c r="J8" s="54"/>
      <c r="K8" s="54"/>
      <c r="L8" s="54"/>
      <c r="M8" s="52"/>
      <c r="N8" s="52"/>
      <c r="O8" s="52"/>
      <c r="P8" s="52"/>
      <c r="Q8" s="55"/>
      <c r="R8" s="54"/>
      <c r="S8" s="54"/>
      <c r="T8" s="52"/>
      <c r="U8" s="52"/>
      <c r="V8" s="52"/>
      <c r="W8" s="52"/>
      <c r="X8" s="55"/>
      <c r="Y8" s="54"/>
      <c r="Z8" s="54"/>
      <c r="AA8" s="54"/>
      <c r="AB8" s="54"/>
      <c r="AC8" s="56"/>
      <c r="AD8" s="57"/>
      <c r="AE8" s="57"/>
      <c r="AF8" s="54"/>
      <c r="AG8" s="53"/>
      <c r="AH8" s="53"/>
      <c r="AI8" s="53"/>
      <c r="AJ8" s="54"/>
      <c r="AK8" s="53"/>
      <c r="AL8" s="53"/>
      <c r="AM8" s="53"/>
      <c r="AN8" s="53"/>
      <c r="AO8" s="58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3"/>
      <c r="BA8" s="57"/>
      <c r="BB8" s="57"/>
      <c r="BC8" s="53"/>
      <c r="BD8" s="53"/>
      <c r="BE8" s="58"/>
      <c r="BF8" s="58"/>
      <c r="BG8" s="58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60"/>
    </row>
    <row r="9" spans="1:125" x14ac:dyDescent="0.25">
      <c r="A9" s="2">
        <v>43831</v>
      </c>
      <c r="B9" s="61" t="s">
        <v>74</v>
      </c>
      <c r="C9" s="62" t="s">
        <v>75</v>
      </c>
      <c r="D9" s="56"/>
      <c r="E9" s="56"/>
      <c r="F9" s="63"/>
      <c r="G9" s="62">
        <f>IF(E9-D9&lt;0,E9-D9,0)*-1</f>
        <v>0</v>
      </c>
      <c r="H9" s="62">
        <f>IF(E9-D9&gt;0,E9-D9,0)</f>
        <v>0</v>
      </c>
      <c r="I9" s="56"/>
      <c r="J9" s="56"/>
      <c r="K9" s="56"/>
      <c r="L9" s="56"/>
      <c r="M9" s="62">
        <f>(+K9)*M$5</f>
        <v>0</v>
      </c>
      <c r="N9" s="62">
        <f>(+K9)*N$5</f>
        <v>0</v>
      </c>
      <c r="O9" s="62">
        <f>+K9-M9-N9+P9</f>
        <v>0</v>
      </c>
      <c r="P9" s="62">
        <f>L9-(L9*(M$5+N$5))</f>
        <v>0</v>
      </c>
      <c r="Q9" s="64"/>
      <c r="R9" s="56"/>
      <c r="S9" s="56"/>
      <c r="T9" s="62">
        <f>+R9*T$5</f>
        <v>0</v>
      </c>
      <c r="U9" s="62">
        <f>+R9*U$5</f>
        <v>0</v>
      </c>
      <c r="V9" s="62">
        <f>+R9-T9-U9+W9</f>
        <v>0</v>
      </c>
      <c r="W9" s="62">
        <f>+S9-(S9*(T$5+U$5))</f>
        <v>0</v>
      </c>
      <c r="X9" s="64"/>
      <c r="Y9" s="56"/>
      <c r="Z9" s="56"/>
      <c r="AA9" s="56"/>
      <c r="AB9" s="56"/>
      <c r="AC9" s="56"/>
      <c r="AD9" s="65"/>
      <c r="AE9" s="65"/>
      <c r="AF9" s="56"/>
      <c r="AG9" s="62">
        <f>(AF9*0.8)*0.85</f>
        <v>0</v>
      </c>
      <c r="AH9" s="62">
        <f>(AF9*0.8)*0.15</f>
        <v>0</v>
      </c>
      <c r="AI9" s="62">
        <f>AF9*0.2</f>
        <v>0</v>
      </c>
      <c r="AJ9" s="56"/>
      <c r="AK9" s="62">
        <v>0</v>
      </c>
      <c r="AL9" s="62">
        <f>AK9-SUM(Y9:AC9)</f>
        <v>0</v>
      </c>
      <c r="AM9" s="62">
        <f>+AL9*0.12</f>
        <v>0</v>
      </c>
      <c r="AN9" s="62">
        <f>+AM9+AL9+AJ9</f>
        <v>0</v>
      </c>
      <c r="AO9" s="66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2">
        <f>SUM(AO9:AY9)</f>
        <v>0</v>
      </c>
      <c r="BA9" s="65"/>
      <c r="BB9" s="65"/>
      <c r="BC9" s="62">
        <f>SUM(BE9:BL9)*0.1+(BM9*0.5)</f>
        <v>0</v>
      </c>
      <c r="BD9" s="62">
        <f>SUM(BE9:BL9)+(BM9*0.5)</f>
        <v>0</v>
      </c>
      <c r="BE9" s="66"/>
      <c r="BF9" s="66"/>
      <c r="BG9" s="66"/>
      <c r="BH9" s="66"/>
      <c r="BI9" s="66"/>
      <c r="BJ9" s="66"/>
      <c r="BK9" s="66"/>
      <c r="BL9" s="66"/>
      <c r="BM9" s="66"/>
      <c r="BN9" s="66"/>
      <c r="BO9" s="66"/>
      <c r="BP9" s="66"/>
      <c r="BQ9" s="66"/>
      <c r="BR9" s="68">
        <f>AZ9+BA9+BB9+BD9-BC9</f>
        <v>0</v>
      </c>
    </row>
    <row r="10" spans="1:125" x14ac:dyDescent="0.25">
      <c r="A10" s="2"/>
      <c r="B10" s="32" t="s">
        <v>76</v>
      </c>
      <c r="C10" s="62"/>
      <c r="D10" s="56"/>
      <c r="E10" s="56"/>
      <c r="F10" s="63"/>
      <c r="G10" s="62">
        <f>IF(E10-D10&lt;0,E10-D10,0)*-1</f>
        <v>0</v>
      </c>
      <c r="H10" s="62">
        <f>IF(E10-D10&gt;0,E10-D10,0)</f>
        <v>0</v>
      </c>
      <c r="I10" s="56"/>
      <c r="J10" s="56"/>
      <c r="K10" s="56"/>
      <c r="L10" s="56"/>
      <c r="M10" s="62">
        <f>(+K10)*M$5</f>
        <v>0</v>
      </c>
      <c r="N10" s="62">
        <f>(+K10)*N$5</f>
        <v>0</v>
      </c>
      <c r="O10" s="62">
        <f>+K10-M10-N10+P10</f>
        <v>0</v>
      </c>
      <c r="P10" s="62">
        <f>L10-(L10*(M$5+N$5))</f>
        <v>0</v>
      </c>
      <c r="Q10" s="64"/>
      <c r="R10" s="56"/>
      <c r="S10" s="56"/>
      <c r="T10" s="62">
        <f>+R10*T$5</f>
        <v>0</v>
      </c>
      <c r="U10" s="62">
        <f>+R10*U$5</f>
        <v>0</v>
      </c>
      <c r="V10" s="62">
        <f>+R10-T10-U10+W10</f>
        <v>0</v>
      </c>
      <c r="W10" s="62">
        <f>+S10-(S10*(T$5+U$5))</f>
        <v>0</v>
      </c>
      <c r="X10" s="64"/>
      <c r="Y10" s="56"/>
      <c r="Z10" s="56"/>
      <c r="AA10" s="56"/>
      <c r="AB10" s="56"/>
      <c r="AC10" s="56"/>
      <c r="AD10" s="65"/>
      <c r="AE10" s="65"/>
      <c r="AF10" s="56"/>
      <c r="AG10" s="62">
        <f>(AF10*0.8)*0.85</f>
        <v>0</v>
      </c>
      <c r="AH10" s="62">
        <f>(AF10*0.8)*0.15</f>
        <v>0</v>
      </c>
      <c r="AI10" s="62">
        <f>AF10*0.2</f>
        <v>0</v>
      </c>
      <c r="AJ10" s="56"/>
      <c r="AK10" s="62">
        <f>(C10-AF10-AJ10)/1.12</f>
        <v>0</v>
      </c>
      <c r="AL10" s="62">
        <f>AK10-SUM(Y10:AC10)</f>
        <v>0</v>
      </c>
      <c r="AM10" s="62">
        <f>+AL10*0.12</f>
        <v>0</v>
      </c>
      <c r="AN10" s="62">
        <f>+AM10+AL10+AJ10</f>
        <v>0</v>
      </c>
      <c r="AO10" s="66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2">
        <f>SUM(AO10:AY10)</f>
        <v>0</v>
      </c>
      <c r="BA10" s="65"/>
      <c r="BB10" s="65"/>
      <c r="BC10" s="62">
        <v>0</v>
      </c>
      <c r="BD10" s="62">
        <f>SUM(BE10:BL10)+(BM10*0.5)</f>
        <v>0</v>
      </c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8">
        <f>AZ10+BA10+BB10+BD10-BC10</f>
        <v>0</v>
      </c>
    </row>
    <row r="11" spans="1:125" s="78" customFormat="1" x14ac:dyDescent="0.25">
      <c r="A11" s="69"/>
      <c r="B11" s="70"/>
      <c r="C11" s="71">
        <f>SUBTOTAL(9,C9:C10)</f>
        <v>0</v>
      </c>
      <c r="D11" s="72">
        <f>SUBTOTAL(9,D9:D10)</f>
        <v>0</v>
      </c>
      <c r="E11" s="72">
        <f>SUBTOTAL(9,E9:E10)</f>
        <v>0</v>
      </c>
      <c r="F11" s="72"/>
      <c r="G11" s="72">
        <f t="shared" ref="G11:P11" si="0">SUBTOTAL(9,G9:G10)</f>
        <v>0</v>
      </c>
      <c r="H11" s="72">
        <f t="shared" si="0"/>
        <v>0</v>
      </c>
      <c r="I11" s="72">
        <f t="shared" si="0"/>
        <v>0</v>
      </c>
      <c r="J11" s="72">
        <f t="shared" si="0"/>
        <v>0</v>
      </c>
      <c r="K11" s="73">
        <f t="shared" si="0"/>
        <v>0</v>
      </c>
      <c r="L11" s="72">
        <f t="shared" si="0"/>
        <v>0</v>
      </c>
      <c r="M11" s="71">
        <f t="shared" si="0"/>
        <v>0</v>
      </c>
      <c r="N11" s="71">
        <f t="shared" si="0"/>
        <v>0</v>
      </c>
      <c r="O11" s="71">
        <f t="shared" si="0"/>
        <v>0</v>
      </c>
      <c r="P11" s="71">
        <f t="shared" si="0"/>
        <v>0</v>
      </c>
      <c r="Q11" s="74"/>
      <c r="R11" s="72">
        <f t="shared" ref="R11:W11" si="1">SUBTOTAL(9,R9:R10)</f>
        <v>0</v>
      </c>
      <c r="S11" s="72">
        <f t="shared" si="1"/>
        <v>0</v>
      </c>
      <c r="T11" s="71">
        <f t="shared" si="1"/>
        <v>0</v>
      </c>
      <c r="U11" s="71">
        <f t="shared" si="1"/>
        <v>0</v>
      </c>
      <c r="V11" s="71">
        <f t="shared" si="1"/>
        <v>0</v>
      </c>
      <c r="W11" s="71">
        <f t="shared" si="1"/>
        <v>0</v>
      </c>
      <c r="X11" s="74"/>
      <c r="Y11" s="72">
        <f>SUBTOTAL(9,Y9:Y10)</f>
        <v>0</v>
      </c>
      <c r="Z11" s="72"/>
      <c r="AA11" s="72"/>
      <c r="AB11" s="72"/>
      <c r="AC11" s="75"/>
      <c r="AD11" s="76"/>
      <c r="AE11" s="76"/>
      <c r="AF11" s="72"/>
      <c r="AG11" s="71">
        <f t="shared" ref="AG11:AM11" si="2">SUBTOTAL(9,AG9:AG10)</f>
        <v>0</v>
      </c>
      <c r="AH11" s="71">
        <f t="shared" si="2"/>
        <v>0</v>
      </c>
      <c r="AI11" s="71">
        <f t="shared" si="2"/>
        <v>0</v>
      </c>
      <c r="AJ11" s="72">
        <f t="shared" si="2"/>
        <v>0</v>
      </c>
      <c r="AK11" s="71">
        <f t="shared" si="2"/>
        <v>0</v>
      </c>
      <c r="AL11" s="71">
        <f t="shared" si="2"/>
        <v>0</v>
      </c>
      <c r="AM11" s="71">
        <f t="shared" si="2"/>
        <v>0</v>
      </c>
      <c r="AN11" s="71">
        <f>+AN10+AN9</f>
        <v>0</v>
      </c>
      <c r="AO11" s="77">
        <f t="shared" ref="AO11:BP11" si="3">SUBTOTAL(9,AO9:AO10)</f>
        <v>0</v>
      </c>
      <c r="AP11" s="77">
        <f t="shared" si="3"/>
        <v>0</v>
      </c>
      <c r="AQ11" s="77">
        <f t="shared" si="3"/>
        <v>0</v>
      </c>
      <c r="AR11" s="77">
        <f t="shared" si="3"/>
        <v>0</v>
      </c>
      <c r="AS11" s="77">
        <f t="shared" si="3"/>
        <v>0</v>
      </c>
      <c r="AT11" s="77">
        <f t="shared" si="3"/>
        <v>0</v>
      </c>
      <c r="AU11" s="77">
        <f t="shared" si="3"/>
        <v>0</v>
      </c>
      <c r="AV11" s="77">
        <f t="shared" si="3"/>
        <v>0</v>
      </c>
      <c r="AW11" s="77">
        <f t="shared" si="3"/>
        <v>0</v>
      </c>
      <c r="AX11" s="77">
        <f t="shared" si="3"/>
        <v>0</v>
      </c>
      <c r="AY11" s="77">
        <f t="shared" si="3"/>
        <v>0</v>
      </c>
      <c r="AZ11" s="71">
        <f t="shared" si="3"/>
        <v>0</v>
      </c>
      <c r="BA11" s="76">
        <f t="shared" si="3"/>
        <v>0</v>
      </c>
      <c r="BB11" s="76">
        <f t="shared" si="3"/>
        <v>0</v>
      </c>
      <c r="BC11" s="71">
        <f t="shared" si="3"/>
        <v>0</v>
      </c>
      <c r="BD11" s="71">
        <f t="shared" si="3"/>
        <v>0</v>
      </c>
      <c r="BE11" s="77">
        <f t="shared" si="3"/>
        <v>0</v>
      </c>
      <c r="BF11" s="77">
        <f t="shared" si="3"/>
        <v>0</v>
      </c>
      <c r="BG11" s="77">
        <f t="shared" si="3"/>
        <v>0</v>
      </c>
      <c r="BH11" s="77">
        <f t="shared" si="3"/>
        <v>0</v>
      </c>
      <c r="BI11" s="77">
        <f t="shared" si="3"/>
        <v>0</v>
      </c>
      <c r="BJ11" s="77">
        <f t="shared" si="3"/>
        <v>0</v>
      </c>
      <c r="BK11" s="77">
        <f t="shared" si="3"/>
        <v>0</v>
      </c>
      <c r="BL11" s="77">
        <f t="shared" si="3"/>
        <v>0</v>
      </c>
      <c r="BM11" s="77">
        <f t="shared" si="3"/>
        <v>0</v>
      </c>
      <c r="BN11" s="77">
        <f t="shared" si="3"/>
        <v>0</v>
      </c>
      <c r="BO11" s="77">
        <f t="shared" si="3"/>
        <v>0</v>
      </c>
      <c r="BP11" s="77">
        <f t="shared" si="3"/>
        <v>0</v>
      </c>
      <c r="BQ11" s="77"/>
      <c r="BR11" s="71">
        <f>SUBTOTAL(9,BR9:BR10)</f>
        <v>0</v>
      </c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80"/>
      <c r="CV11" s="79"/>
      <c r="CW11" s="79"/>
      <c r="CX11" s="79"/>
      <c r="CY11" s="79"/>
      <c r="CZ11" s="79"/>
      <c r="DA11" s="79"/>
      <c r="DB11" s="79"/>
      <c r="DC11" s="79"/>
      <c r="DD11" s="79"/>
      <c r="DE11" s="79"/>
      <c r="DF11" s="79"/>
      <c r="DG11" s="79"/>
      <c r="DH11" s="79"/>
      <c r="DI11" s="79"/>
      <c r="DJ11" s="79"/>
      <c r="DK11" s="79"/>
      <c r="DL11" s="79"/>
      <c r="DM11" s="79"/>
      <c r="DN11" s="79"/>
      <c r="DO11" s="79"/>
      <c r="DP11" s="79"/>
      <c r="DQ11" s="79"/>
      <c r="DR11" s="79"/>
      <c r="DS11" s="79"/>
      <c r="DT11" s="79"/>
      <c r="DU11" s="79"/>
    </row>
    <row r="12" spans="1:125" x14ac:dyDescent="0.25">
      <c r="A12" s="1">
        <f>A9+1</f>
        <v>43832</v>
      </c>
      <c r="B12" s="61" t="s">
        <v>74</v>
      </c>
      <c r="C12" s="62">
        <v>13337.44</v>
      </c>
      <c r="D12" s="56">
        <v>9274.74</v>
      </c>
      <c r="E12" s="56">
        <v>9275</v>
      </c>
      <c r="F12" s="63">
        <v>43832</v>
      </c>
      <c r="G12" s="62">
        <f>IF(E12-D12&lt;0,E12-D12,0)*-1</f>
        <v>0</v>
      </c>
      <c r="H12" s="62">
        <f>IF(E12-D12&gt;0,E12-D12,0)</f>
        <v>0.26000000000021828</v>
      </c>
      <c r="I12" s="56"/>
      <c r="J12" s="56"/>
      <c r="K12" s="56">
        <v>3760.58</v>
      </c>
      <c r="L12" s="56"/>
      <c r="M12" s="62">
        <f t="shared" ref="M12:M22" si="4">(+K12)*M$5</f>
        <v>80.852469999999997</v>
      </c>
      <c r="N12" s="62">
        <f t="shared" ref="N12:N22" si="5">(+K12)*N$5</f>
        <v>18.802900000000001</v>
      </c>
      <c r="O12" s="62">
        <f t="shared" ref="O12:O22" si="6">+K12-M12-N12+P12</f>
        <v>3660.92463</v>
      </c>
      <c r="P12" s="62"/>
      <c r="Q12" s="64"/>
      <c r="R12" s="56"/>
      <c r="S12" s="56"/>
      <c r="T12" s="62">
        <f>+R12*T$5</f>
        <v>0</v>
      </c>
      <c r="U12" s="62">
        <f>+R12*U$5</f>
        <v>0</v>
      </c>
      <c r="V12" s="62">
        <f>+R12-T12-U12+W12</f>
        <v>0</v>
      </c>
      <c r="W12" s="62">
        <f>+S12-(S12*(T$5+U$5))</f>
        <v>0</v>
      </c>
      <c r="X12" s="64"/>
      <c r="Y12" s="56"/>
      <c r="Z12" s="56">
        <v>60.75</v>
      </c>
      <c r="AA12" s="56"/>
      <c r="AB12" s="56"/>
      <c r="AC12" s="56">
        <v>241.37</v>
      </c>
      <c r="AD12" s="65"/>
      <c r="AE12" s="65"/>
      <c r="AF12" s="56">
        <v>1047.26</v>
      </c>
      <c r="AG12" s="62">
        <f>(AF12*0.8)*0.85</f>
        <v>712.13679999999999</v>
      </c>
      <c r="AH12" s="62">
        <f>(AF12*0.8)*0.15</f>
        <v>125.6712</v>
      </c>
      <c r="AI12" s="62">
        <f>AF12*0.2</f>
        <v>209.452</v>
      </c>
      <c r="AJ12" s="56"/>
      <c r="AK12" s="62">
        <f>(C12-AF12-AJ12)/1.12</f>
        <v>10973.375</v>
      </c>
      <c r="AL12" s="62">
        <f>AK12-SUM(Y12:AC12)</f>
        <v>10671.254999999999</v>
      </c>
      <c r="AM12" s="62">
        <f>+AL12*0.12</f>
        <v>1280.5505999999998</v>
      </c>
      <c r="AN12" s="62">
        <f t="shared" ref="AN12:AN20" si="7">+AM12+AL12+AJ12</f>
        <v>11951.8056</v>
      </c>
      <c r="AO12" s="66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2">
        <f>SUM(AO12:AY12)</f>
        <v>0</v>
      </c>
      <c r="BA12" s="65"/>
      <c r="BB12" s="65"/>
      <c r="BC12" s="62">
        <f>SUM(BE12:BL12)*0.1+(BM12*0.5)</f>
        <v>0</v>
      </c>
      <c r="BD12" s="62">
        <f>SUM(BE12:BL12)+(BM12*0.5)</f>
        <v>0</v>
      </c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8">
        <f>AZ12+BA12+BB12+BD12-BC12</f>
        <v>0</v>
      </c>
      <c r="BT12" s="82"/>
      <c r="BU12" s="83"/>
      <c r="BV12" s="83"/>
      <c r="BW12" s="83"/>
      <c r="BX12" s="83"/>
      <c r="BY12" s="83"/>
      <c r="BZ12" s="83"/>
      <c r="CA12" s="83"/>
      <c r="CB12" s="83"/>
      <c r="CC12" s="83"/>
      <c r="CD12" s="83"/>
      <c r="CE12" s="83"/>
      <c r="CF12" s="83"/>
      <c r="CG12" s="83"/>
      <c r="CH12" s="83"/>
      <c r="CI12" s="83"/>
      <c r="CJ12" s="83"/>
      <c r="CK12" s="83"/>
      <c r="CL12" s="83"/>
      <c r="CM12" s="83"/>
      <c r="CN12" s="83"/>
      <c r="CO12" s="83"/>
      <c r="CP12" s="83"/>
      <c r="CQ12" s="83"/>
      <c r="CR12" s="83"/>
      <c r="CS12" s="83"/>
    </row>
    <row r="13" spans="1:125" x14ac:dyDescent="0.25">
      <c r="A13" s="1"/>
      <c r="B13" s="32" t="s">
        <v>76</v>
      </c>
      <c r="C13" s="62">
        <v>7359.56</v>
      </c>
      <c r="D13" s="56">
        <v>3217.86</v>
      </c>
      <c r="E13" s="56">
        <v>3221</v>
      </c>
      <c r="F13" s="63">
        <v>43833</v>
      </c>
      <c r="G13" s="62">
        <f>IF(E13-D13&lt;0,E13-D13,0)*-1</f>
        <v>0</v>
      </c>
      <c r="H13" s="62">
        <f>IF(E13-D13&gt;0,E13-D13,0)</f>
        <v>3.1399999999998727</v>
      </c>
      <c r="I13" s="56"/>
      <c r="J13" s="56"/>
      <c r="K13" s="56">
        <v>3389.28</v>
      </c>
      <c r="L13" s="56"/>
      <c r="M13" s="62">
        <f t="shared" si="4"/>
        <v>72.869519999999994</v>
      </c>
      <c r="N13" s="62">
        <f t="shared" si="5"/>
        <v>16.946400000000001</v>
      </c>
      <c r="O13" s="62">
        <f t="shared" si="6"/>
        <v>3299.4640800000002</v>
      </c>
      <c r="P13" s="62">
        <f>L13-(L13*(M$5+N$5))</f>
        <v>0</v>
      </c>
      <c r="Q13" s="64"/>
      <c r="R13" s="56"/>
      <c r="S13" s="56"/>
      <c r="T13" s="62">
        <f>+R13*T$5</f>
        <v>0</v>
      </c>
      <c r="U13" s="62">
        <f>+R13*U$5</f>
        <v>0</v>
      </c>
      <c r="V13" s="62">
        <f>+R13-T13-U13+W13</f>
        <v>0</v>
      </c>
      <c r="W13" s="62">
        <f>+S13-(S13*(T$5+U$5))</f>
        <v>0</v>
      </c>
      <c r="X13" s="64"/>
      <c r="Y13" s="56"/>
      <c r="Z13" s="56"/>
      <c r="AA13" s="56"/>
      <c r="AB13" s="56"/>
      <c r="AC13" s="56">
        <v>287.5</v>
      </c>
      <c r="AD13" s="65"/>
      <c r="AE13" s="65"/>
      <c r="AF13" s="56">
        <v>502.06</v>
      </c>
      <c r="AG13" s="62">
        <f>(AF13*0.8)*0.85</f>
        <v>341.4008</v>
      </c>
      <c r="AH13" s="62">
        <f>(AF13*0.8)*0.15</f>
        <v>60.247199999999999</v>
      </c>
      <c r="AI13" s="62">
        <f>AF13*0.2</f>
        <v>100.41200000000001</v>
      </c>
      <c r="AJ13" s="56">
        <v>0</v>
      </c>
      <c r="AK13" s="62">
        <f>(C13-AF13-AJ13)/1.12</f>
        <v>6122.7678571428569</v>
      </c>
      <c r="AL13" s="62">
        <f>AK13-SUM(Y13:AC13)</f>
        <v>5835.2678571428569</v>
      </c>
      <c r="AM13" s="62">
        <f>+AL13*0.12</f>
        <v>700.23214285714278</v>
      </c>
      <c r="AN13" s="62">
        <f t="shared" si="7"/>
        <v>6535.5</v>
      </c>
      <c r="AO13" s="66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2">
        <f>SUM(AO13:AY13)</f>
        <v>0</v>
      </c>
      <c r="BA13" s="65"/>
      <c r="BB13" s="65">
        <v>0</v>
      </c>
      <c r="BC13" s="62">
        <v>0</v>
      </c>
      <c r="BD13" s="62">
        <v>0</v>
      </c>
      <c r="BE13" s="66"/>
      <c r="BF13" s="66"/>
      <c r="BG13" s="66">
        <v>0</v>
      </c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8">
        <f>AZ13+BA13+BB13+BD13-BC13</f>
        <v>0</v>
      </c>
      <c r="BT13" s="82"/>
      <c r="BU13" s="83"/>
      <c r="BV13" s="83"/>
      <c r="BW13" s="83"/>
      <c r="BX13" s="83"/>
      <c r="BY13" s="83"/>
      <c r="BZ13" s="83"/>
      <c r="CA13" s="83"/>
      <c r="CB13" s="83"/>
      <c r="CC13" s="83"/>
      <c r="CD13" s="83"/>
      <c r="CE13" s="83"/>
      <c r="CF13" s="83"/>
      <c r="CG13" s="83"/>
      <c r="CH13" s="83"/>
      <c r="CI13" s="83"/>
      <c r="CJ13" s="83"/>
      <c r="CK13" s="83"/>
      <c r="CL13" s="83"/>
      <c r="CM13" s="83"/>
      <c r="CN13" s="83"/>
      <c r="CO13" s="83"/>
      <c r="CP13" s="83"/>
      <c r="CQ13" s="83"/>
      <c r="CR13" s="83"/>
      <c r="CS13" s="83"/>
    </row>
    <row r="14" spans="1:125" s="85" customFormat="1" x14ac:dyDescent="0.25">
      <c r="A14" s="69"/>
      <c r="B14" s="70"/>
      <c r="C14" s="71">
        <f>SUBTOTAL(9,C12:C13)</f>
        <v>20697</v>
      </c>
      <c r="D14" s="72">
        <f>SUBTOTAL(9,D12:D13)</f>
        <v>12492.6</v>
      </c>
      <c r="E14" s="72">
        <f>SUBTOTAL(9,E12:E13)</f>
        <v>12496</v>
      </c>
      <c r="F14" s="72"/>
      <c r="G14" s="72">
        <f t="shared" ref="G14:L14" si="8">SUBTOTAL(9,G12:G13)</f>
        <v>0</v>
      </c>
      <c r="H14" s="72">
        <f t="shared" si="8"/>
        <v>3.4000000000000909</v>
      </c>
      <c r="I14" s="72">
        <f t="shared" si="8"/>
        <v>0</v>
      </c>
      <c r="J14" s="72">
        <f t="shared" si="8"/>
        <v>0</v>
      </c>
      <c r="K14" s="73">
        <f t="shared" si="8"/>
        <v>7149.8600000000006</v>
      </c>
      <c r="L14" s="84">
        <f t="shared" si="8"/>
        <v>0</v>
      </c>
      <c r="M14" s="71">
        <f t="shared" si="4"/>
        <v>153.72199000000001</v>
      </c>
      <c r="N14" s="71">
        <f t="shared" si="5"/>
        <v>35.749300000000005</v>
      </c>
      <c r="O14" s="71">
        <f t="shared" si="6"/>
        <v>6960.3887100000002</v>
      </c>
      <c r="P14" s="71">
        <f>L14-(L14*(M$5+N$5))</f>
        <v>0</v>
      </c>
      <c r="Q14" s="74"/>
      <c r="R14" s="72">
        <f t="shared" ref="R14:W14" si="9">SUBTOTAL(9,R12:R13)</f>
        <v>0</v>
      </c>
      <c r="S14" s="72">
        <f t="shared" si="9"/>
        <v>0</v>
      </c>
      <c r="T14" s="71">
        <f t="shared" si="9"/>
        <v>0</v>
      </c>
      <c r="U14" s="71">
        <f t="shared" si="9"/>
        <v>0</v>
      </c>
      <c r="V14" s="71">
        <f t="shared" si="9"/>
        <v>0</v>
      </c>
      <c r="W14" s="71">
        <f t="shared" si="9"/>
        <v>0</v>
      </c>
      <c r="X14" s="74"/>
      <c r="Y14" s="72">
        <f>SUBTOTAL(9,Y12:Y13)</f>
        <v>0</v>
      </c>
      <c r="Z14" s="72"/>
      <c r="AA14" s="72"/>
      <c r="AB14" s="72"/>
      <c r="AC14" s="72"/>
      <c r="AD14" s="76"/>
      <c r="AE14" s="76"/>
      <c r="AF14" s="72"/>
      <c r="AG14" s="71">
        <f t="shared" ref="AG14:AM14" si="10">SUBTOTAL(9,AG12:AG13)</f>
        <v>1053.5376000000001</v>
      </c>
      <c r="AH14" s="71">
        <f t="shared" si="10"/>
        <v>185.91839999999999</v>
      </c>
      <c r="AI14" s="71">
        <f t="shared" si="10"/>
        <v>309.86400000000003</v>
      </c>
      <c r="AJ14" s="72">
        <f t="shared" si="10"/>
        <v>0</v>
      </c>
      <c r="AK14" s="71">
        <f t="shared" si="10"/>
        <v>17096.142857142855</v>
      </c>
      <c r="AL14" s="71">
        <f t="shared" si="10"/>
        <v>16506.522857142856</v>
      </c>
      <c r="AM14" s="71">
        <f t="shared" si="10"/>
        <v>1980.7827428571427</v>
      </c>
      <c r="AN14" s="71">
        <f t="shared" si="7"/>
        <v>18487.3056</v>
      </c>
      <c r="AO14" s="77">
        <f t="shared" ref="AO14:BC14" si="11">SUBTOTAL(9,AO12:AO13)</f>
        <v>0</v>
      </c>
      <c r="AP14" s="77">
        <f t="shared" si="11"/>
        <v>0</v>
      </c>
      <c r="AQ14" s="77">
        <f t="shared" si="11"/>
        <v>0</v>
      </c>
      <c r="AR14" s="77">
        <f t="shared" si="11"/>
        <v>0</v>
      </c>
      <c r="AS14" s="77">
        <f t="shared" si="11"/>
        <v>0</v>
      </c>
      <c r="AT14" s="77">
        <f t="shared" si="11"/>
        <v>0</v>
      </c>
      <c r="AU14" s="77">
        <f t="shared" si="11"/>
        <v>0</v>
      </c>
      <c r="AV14" s="77">
        <f t="shared" si="11"/>
        <v>0</v>
      </c>
      <c r="AW14" s="77">
        <f t="shared" si="11"/>
        <v>0</v>
      </c>
      <c r="AX14" s="77">
        <f t="shared" si="11"/>
        <v>0</v>
      </c>
      <c r="AY14" s="77">
        <f t="shared" si="11"/>
        <v>0</v>
      </c>
      <c r="AZ14" s="71">
        <f t="shared" si="11"/>
        <v>0</v>
      </c>
      <c r="BA14" s="76">
        <f t="shared" si="11"/>
        <v>0</v>
      </c>
      <c r="BB14" s="76">
        <f t="shared" si="11"/>
        <v>0</v>
      </c>
      <c r="BC14" s="71">
        <f t="shared" si="11"/>
        <v>0</v>
      </c>
      <c r="BD14" s="71">
        <v>0</v>
      </c>
      <c r="BE14" s="77">
        <f t="shared" ref="BE14:BP14" si="12">SUBTOTAL(9,BE12:BE13)</f>
        <v>0</v>
      </c>
      <c r="BF14" s="77">
        <f t="shared" si="12"/>
        <v>0</v>
      </c>
      <c r="BG14" s="77">
        <f t="shared" si="12"/>
        <v>0</v>
      </c>
      <c r="BH14" s="77">
        <f t="shared" si="12"/>
        <v>0</v>
      </c>
      <c r="BI14" s="77">
        <f t="shared" si="12"/>
        <v>0</v>
      </c>
      <c r="BJ14" s="77">
        <f t="shared" si="12"/>
        <v>0</v>
      </c>
      <c r="BK14" s="77">
        <f t="shared" si="12"/>
        <v>0</v>
      </c>
      <c r="BL14" s="77">
        <f t="shared" si="12"/>
        <v>0</v>
      </c>
      <c r="BM14" s="77">
        <f t="shared" si="12"/>
        <v>0</v>
      </c>
      <c r="BN14" s="77">
        <f t="shared" si="12"/>
        <v>0</v>
      </c>
      <c r="BO14" s="77">
        <f t="shared" si="12"/>
        <v>0</v>
      </c>
      <c r="BP14" s="77">
        <f t="shared" si="12"/>
        <v>0</v>
      </c>
      <c r="BQ14" s="77"/>
      <c r="BR14" s="71">
        <f>SUBTOTAL(9,BR12:BR13)</f>
        <v>0</v>
      </c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</row>
    <row r="15" spans="1:125" x14ac:dyDescent="0.25">
      <c r="A15" s="1">
        <f>+A12+1</f>
        <v>43833</v>
      </c>
      <c r="B15" s="61" t="s">
        <v>74</v>
      </c>
      <c r="C15" s="62">
        <v>27628.67</v>
      </c>
      <c r="D15" s="56">
        <v>19938.759999999998</v>
      </c>
      <c r="E15" s="56">
        <v>19940</v>
      </c>
      <c r="F15" s="63">
        <v>43833</v>
      </c>
      <c r="G15" s="62">
        <f>IF(E15-D15&lt;0,E15-D15,0)*-1</f>
        <v>0</v>
      </c>
      <c r="H15" s="62">
        <f>IF(E15-D15&gt;0,E15-D15,0)</f>
        <v>1.2400000000016007</v>
      </c>
      <c r="I15" s="56"/>
      <c r="J15" s="56"/>
      <c r="K15" s="56">
        <v>6134.76</v>
      </c>
      <c r="L15" s="56"/>
      <c r="M15" s="62">
        <f t="shared" si="4"/>
        <v>131.89733999999999</v>
      </c>
      <c r="N15" s="62">
        <f t="shared" si="5"/>
        <v>30.6738</v>
      </c>
      <c r="O15" s="62">
        <f t="shared" si="6"/>
        <v>5972.1888600000011</v>
      </c>
      <c r="P15" s="62">
        <f>L15-(L15*(M$5+N$5))</f>
        <v>0</v>
      </c>
      <c r="Q15" s="64"/>
      <c r="R15" s="56"/>
      <c r="S15" s="56"/>
      <c r="T15" s="62">
        <f>+R15*T$5</f>
        <v>0</v>
      </c>
      <c r="U15" s="62">
        <f>+R15*U$5</f>
        <v>0</v>
      </c>
      <c r="V15" s="62">
        <f>+R15-T15-U15+W15</f>
        <v>0</v>
      </c>
      <c r="W15" s="62">
        <f>+S15-(S15*(T$5+U$5))</f>
        <v>0</v>
      </c>
      <c r="X15" s="64"/>
      <c r="Y15" s="56"/>
      <c r="Z15" s="56">
        <v>30</v>
      </c>
      <c r="AA15" s="56"/>
      <c r="AB15" s="56"/>
      <c r="AC15" s="56">
        <v>415.15</v>
      </c>
      <c r="AD15" s="65" t="s">
        <v>77</v>
      </c>
      <c r="AE15" s="65">
        <v>1110</v>
      </c>
      <c r="AF15" s="56">
        <v>2072.75</v>
      </c>
      <c r="AG15" s="62">
        <f>(AF15*0.8)*0.85</f>
        <v>1409.47</v>
      </c>
      <c r="AH15" s="62">
        <f>(AF15*0.8)*0.15</f>
        <v>248.73</v>
      </c>
      <c r="AI15" s="62">
        <f>AF15*0.2</f>
        <v>414.55</v>
      </c>
      <c r="AJ15" s="56"/>
      <c r="AK15" s="62">
        <f>(C15-AF15-AJ15)/1.12</f>
        <v>22817.78571428571</v>
      </c>
      <c r="AL15" s="62">
        <f>AK15-SUM(Y15:AC15)</f>
        <v>22372.635714285709</v>
      </c>
      <c r="AM15" s="62">
        <f>+AL15*0.12</f>
        <v>2684.7162857142848</v>
      </c>
      <c r="AN15" s="62">
        <f t="shared" si="7"/>
        <v>25057.351999999992</v>
      </c>
      <c r="AO15" s="66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2">
        <f>SUM(AO15:AY15)</f>
        <v>0</v>
      </c>
      <c r="BA15" s="65"/>
      <c r="BB15" s="65"/>
      <c r="BC15" s="62">
        <f>SUM(BE15:BL15)*0.1+(BM15*0.5)</f>
        <v>0</v>
      </c>
      <c r="BD15" s="62">
        <f>SUM(BE15:BL15)+(BM15*0.5)</f>
        <v>0</v>
      </c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8">
        <f>AZ15+BA15+BB15+BD15-BC15</f>
        <v>0</v>
      </c>
      <c r="BT15" s="82"/>
      <c r="BU15" s="83"/>
      <c r="BV15" s="83"/>
      <c r="BW15" s="83"/>
      <c r="BX15" s="83"/>
      <c r="BY15" s="83"/>
      <c r="BZ15" s="83"/>
      <c r="CA15" s="83"/>
      <c r="CB15" s="83"/>
      <c r="CC15" s="83"/>
      <c r="CD15" s="83"/>
      <c r="CE15" s="83"/>
      <c r="CF15" s="83"/>
      <c r="CG15" s="83"/>
      <c r="CH15" s="83"/>
      <c r="CI15" s="83"/>
      <c r="CJ15" s="83"/>
      <c r="CK15" s="83"/>
      <c r="CL15" s="83"/>
      <c r="CM15" s="83"/>
      <c r="CN15" s="83"/>
      <c r="CO15" s="83"/>
      <c r="CP15" s="83"/>
      <c r="CQ15" s="83"/>
      <c r="CR15" s="83"/>
      <c r="CS15" s="83"/>
    </row>
    <row r="16" spans="1:125" x14ac:dyDescent="0.25">
      <c r="A16" s="1"/>
      <c r="B16" s="32" t="s">
        <v>76</v>
      </c>
      <c r="C16" s="62">
        <v>13998.24</v>
      </c>
      <c r="D16" s="56">
        <v>7762.81</v>
      </c>
      <c r="E16" s="56">
        <v>7765</v>
      </c>
      <c r="F16" s="63">
        <v>43834</v>
      </c>
      <c r="G16" s="62">
        <f>IF(E16-D16&lt;0,E16-D16,0)*-1</f>
        <v>0</v>
      </c>
      <c r="H16" s="62">
        <f>IF(E16-D16&gt;0,E16-D16,0)</f>
        <v>2.1899999999995998</v>
      </c>
      <c r="I16" s="56"/>
      <c r="J16" s="56"/>
      <c r="K16" s="56">
        <v>6001.96</v>
      </c>
      <c r="L16" s="56"/>
      <c r="M16" s="62">
        <f t="shared" si="4"/>
        <v>129.04213999999999</v>
      </c>
      <c r="N16" s="62">
        <f t="shared" si="5"/>
        <v>30.009800000000002</v>
      </c>
      <c r="O16" s="62">
        <f t="shared" si="6"/>
        <v>5842.9080600000007</v>
      </c>
      <c r="P16" s="62">
        <f>L16-(L16*(M$5+N$5))</f>
        <v>0</v>
      </c>
      <c r="Q16" s="64"/>
      <c r="R16" s="56"/>
      <c r="S16" s="56"/>
      <c r="T16" s="62">
        <f>+R16*T$5</f>
        <v>0</v>
      </c>
      <c r="U16" s="62">
        <f>+R16*U$5</f>
        <v>0</v>
      </c>
      <c r="V16" s="62">
        <f>+R16-T16-U16+W16</f>
        <v>0</v>
      </c>
      <c r="W16" s="62">
        <f>+S16-(S16*(T$5+U$5))</f>
        <v>0</v>
      </c>
      <c r="X16" s="64"/>
      <c r="Y16" s="56"/>
      <c r="Z16" s="56">
        <v>72.75</v>
      </c>
      <c r="AA16" s="56"/>
      <c r="AB16" s="56"/>
      <c r="AC16" s="56">
        <v>160.72</v>
      </c>
      <c r="AD16" s="65"/>
      <c r="AE16" s="65"/>
      <c r="AF16" s="56">
        <v>1074.67</v>
      </c>
      <c r="AG16" s="62">
        <f>(AF16*0.8)*0.85</f>
        <v>730.77560000000005</v>
      </c>
      <c r="AH16" s="62">
        <f>(AF16*0.8)*0.15</f>
        <v>128.96040000000002</v>
      </c>
      <c r="AI16" s="62">
        <f>AF16*0.2</f>
        <v>214.93400000000003</v>
      </c>
      <c r="AJ16" s="56">
        <v>0</v>
      </c>
      <c r="AK16" s="62">
        <f>(C16-AF16-AJ16)/1.12</f>
        <v>11538.901785714284</v>
      </c>
      <c r="AL16" s="62">
        <f>AK16-SUM(Y16:AC16)</f>
        <v>11305.431785714285</v>
      </c>
      <c r="AM16" s="62">
        <f>+AL16*0.12</f>
        <v>1356.6518142857142</v>
      </c>
      <c r="AN16" s="62">
        <f t="shared" si="7"/>
        <v>12662.0836</v>
      </c>
      <c r="AO16" s="66">
        <v>245</v>
      </c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2">
        <f>SUM(AO16:AY16)</f>
        <v>245</v>
      </c>
      <c r="BA16" s="65"/>
      <c r="BB16" s="65"/>
      <c r="BC16" s="62">
        <v>0</v>
      </c>
      <c r="BD16" s="62">
        <v>0</v>
      </c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8">
        <f>AZ16+BA16+BB16+BD16-BC16</f>
        <v>245</v>
      </c>
      <c r="BT16" s="82"/>
      <c r="BU16" s="83"/>
      <c r="BV16" s="83"/>
      <c r="BW16" s="83"/>
      <c r="BX16" s="83"/>
      <c r="BY16" s="83"/>
      <c r="BZ16" s="83"/>
      <c r="CA16" s="83"/>
      <c r="CB16" s="83"/>
      <c r="CC16" s="83"/>
      <c r="CD16" s="83"/>
      <c r="CE16" s="83"/>
      <c r="CF16" s="83"/>
      <c r="CG16" s="83"/>
      <c r="CH16" s="83"/>
      <c r="CI16" s="83"/>
      <c r="CJ16" s="83"/>
      <c r="CK16" s="83"/>
      <c r="CL16" s="83"/>
      <c r="CM16" s="83"/>
      <c r="CN16" s="83"/>
      <c r="CO16" s="83"/>
      <c r="CP16" s="83"/>
      <c r="CQ16" s="83"/>
      <c r="CR16" s="83"/>
      <c r="CS16" s="83"/>
    </row>
    <row r="17" spans="1:125" s="78" customFormat="1" x14ac:dyDescent="0.25">
      <c r="A17" s="69"/>
      <c r="B17" s="70"/>
      <c r="C17" s="71">
        <f>SUBTOTAL(9,C15:C16)</f>
        <v>41626.909999999996</v>
      </c>
      <c r="D17" s="72">
        <f>SUBTOTAL(9,D15:D16)</f>
        <v>27701.57</v>
      </c>
      <c r="E17" s="72">
        <f>SUBTOTAL(9,E15:E16)</f>
        <v>27705</v>
      </c>
      <c r="F17" s="72"/>
      <c r="G17" s="72">
        <f t="shared" ref="G17:L17" si="13">SUBTOTAL(9,G15:G16)</f>
        <v>0</v>
      </c>
      <c r="H17" s="72">
        <f t="shared" si="13"/>
        <v>3.4300000000012005</v>
      </c>
      <c r="I17" s="72">
        <f t="shared" si="13"/>
        <v>0</v>
      </c>
      <c r="J17" s="72">
        <f t="shared" si="13"/>
        <v>0</v>
      </c>
      <c r="K17" s="73">
        <f t="shared" si="13"/>
        <v>12136.720000000001</v>
      </c>
      <c r="L17" s="72">
        <f t="shared" si="13"/>
        <v>0</v>
      </c>
      <c r="M17" s="86">
        <f t="shared" si="4"/>
        <v>260.93948</v>
      </c>
      <c r="N17" s="86">
        <f t="shared" si="5"/>
        <v>60.683600000000006</v>
      </c>
      <c r="O17" s="86">
        <f t="shared" si="6"/>
        <v>11815.09692</v>
      </c>
      <c r="P17" s="86">
        <f>L17-(L17*(M$5+N$5))</f>
        <v>0</v>
      </c>
      <c r="Q17" s="74"/>
      <c r="R17" s="72">
        <f t="shared" ref="R17:W17" si="14">SUBTOTAL(9,R15:R16)</f>
        <v>0</v>
      </c>
      <c r="S17" s="72">
        <f t="shared" si="14"/>
        <v>0</v>
      </c>
      <c r="T17" s="71">
        <f t="shared" si="14"/>
        <v>0</v>
      </c>
      <c r="U17" s="71">
        <f t="shared" si="14"/>
        <v>0</v>
      </c>
      <c r="V17" s="71">
        <f t="shared" si="14"/>
        <v>0</v>
      </c>
      <c r="W17" s="71">
        <f t="shared" si="14"/>
        <v>0</v>
      </c>
      <c r="X17" s="74"/>
      <c r="Y17" s="72">
        <f>SUBTOTAL(9,Y15:Y16)</f>
        <v>0</v>
      </c>
      <c r="Z17" s="72"/>
      <c r="AA17" s="72"/>
      <c r="AB17" s="72"/>
      <c r="AC17" s="72"/>
      <c r="AD17" s="76"/>
      <c r="AE17" s="76"/>
      <c r="AF17" s="72"/>
      <c r="AG17" s="71">
        <f t="shared" ref="AG17:AM17" si="15">SUBTOTAL(9,AG15:AG16)</f>
        <v>2140.2456000000002</v>
      </c>
      <c r="AH17" s="71">
        <f t="shared" si="15"/>
        <v>377.69040000000001</v>
      </c>
      <c r="AI17" s="71">
        <f t="shared" si="15"/>
        <v>629.48400000000004</v>
      </c>
      <c r="AJ17" s="72">
        <f t="shared" si="15"/>
        <v>0</v>
      </c>
      <c r="AK17" s="71">
        <f t="shared" si="15"/>
        <v>34356.687499999993</v>
      </c>
      <c r="AL17" s="71">
        <f t="shared" si="15"/>
        <v>33678.06749999999</v>
      </c>
      <c r="AM17" s="71">
        <f t="shared" si="15"/>
        <v>4041.3680999999988</v>
      </c>
      <c r="AN17" s="71">
        <f t="shared" si="7"/>
        <v>37719.43559999999</v>
      </c>
      <c r="AO17" s="77">
        <f t="shared" ref="AO17:BP17" si="16">SUBTOTAL(9,AO15:AO16)</f>
        <v>245</v>
      </c>
      <c r="AP17" s="77">
        <f t="shared" si="16"/>
        <v>0</v>
      </c>
      <c r="AQ17" s="77">
        <f t="shared" si="16"/>
        <v>0</v>
      </c>
      <c r="AR17" s="77">
        <f t="shared" si="16"/>
        <v>0</v>
      </c>
      <c r="AS17" s="77">
        <f t="shared" si="16"/>
        <v>0</v>
      </c>
      <c r="AT17" s="77">
        <f t="shared" si="16"/>
        <v>0</v>
      </c>
      <c r="AU17" s="77">
        <f t="shared" si="16"/>
        <v>0</v>
      </c>
      <c r="AV17" s="77">
        <f t="shared" si="16"/>
        <v>0</v>
      </c>
      <c r="AW17" s="77">
        <f t="shared" si="16"/>
        <v>0</v>
      </c>
      <c r="AX17" s="77">
        <f t="shared" si="16"/>
        <v>0</v>
      </c>
      <c r="AY17" s="77">
        <f t="shared" si="16"/>
        <v>0</v>
      </c>
      <c r="AZ17" s="71">
        <f t="shared" si="16"/>
        <v>245</v>
      </c>
      <c r="BA17" s="76">
        <f t="shared" si="16"/>
        <v>0</v>
      </c>
      <c r="BB17" s="76">
        <f t="shared" si="16"/>
        <v>0</v>
      </c>
      <c r="BC17" s="71">
        <f t="shared" si="16"/>
        <v>0</v>
      </c>
      <c r="BD17" s="71">
        <f t="shared" si="16"/>
        <v>0</v>
      </c>
      <c r="BE17" s="77">
        <f t="shared" si="16"/>
        <v>0</v>
      </c>
      <c r="BF17" s="77">
        <f t="shared" si="16"/>
        <v>0</v>
      </c>
      <c r="BG17" s="77">
        <f t="shared" si="16"/>
        <v>0</v>
      </c>
      <c r="BH17" s="77">
        <f t="shared" si="16"/>
        <v>0</v>
      </c>
      <c r="BI17" s="77">
        <f t="shared" si="16"/>
        <v>0</v>
      </c>
      <c r="BJ17" s="77">
        <f t="shared" si="16"/>
        <v>0</v>
      </c>
      <c r="BK17" s="77">
        <f t="shared" si="16"/>
        <v>0</v>
      </c>
      <c r="BL17" s="77">
        <f t="shared" si="16"/>
        <v>0</v>
      </c>
      <c r="BM17" s="77">
        <f t="shared" si="16"/>
        <v>0</v>
      </c>
      <c r="BN17" s="77">
        <f t="shared" si="16"/>
        <v>0</v>
      </c>
      <c r="BO17" s="77">
        <f t="shared" si="16"/>
        <v>0</v>
      </c>
      <c r="BP17" s="77">
        <f t="shared" si="16"/>
        <v>0</v>
      </c>
      <c r="BQ17" s="77"/>
      <c r="BR17" s="71">
        <f>SUBTOTAL(9,BR15:BR16)</f>
        <v>245</v>
      </c>
      <c r="BU17" s="79"/>
      <c r="BV17" s="79"/>
      <c r="BW17" s="79"/>
      <c r="BX17" s="79"/>
      <c r="BY17" s="79"/>
      <c r="BZ17" s="79"/>
      <c r="CA17" s="79"/>
      <c r="CB17" s="79"/>
      <c r="CC17" s="79"/>
      <c r="CD17" s="79"/>
      <c r="CE17" s="79"/>
      <c r="CF17" s="79"/>
      <c r="CG17" s="79"/>
      <c r="CH17" s="79"/>
      <c r="CI17" s="79"/>
      <c r="CJ17" s="79"/>
      <c r="CK17" s="79"/>
      <c r="CL17" s="79"/>
      <c r="CM17" s="79"/>
      <c r="CN17" s="79"/>
      <c r="CO17" s="79"/>
      <c r="CP17" s="79"/>
      <c r="CQ17" s="79"/>
      <c r="CR17" s="79"/>
      <c r="CS17" s="79"/>
      <c r="CT17" s="79"/>
      <c r="CU17" s="79"/>
      <c r="CV17" s="79"/>
      <c r="CW17" s="79"/>
      <c r="CX17" s="79"/>
      <c r="CY17" s="79"/>
      <c r="CZ17" s="79"/>
      <c r="DA17" s="79"/>
      <c r="DB17" s="79"/>
      <c r="DC17" s="79"/>
      <c r="DD17" s="79"/>
      <c r="DE17" s="79"/>
      <c r="DF17" s="79"/>
      <c r="DG17" s="79"/>
      <c r="DH17" s="79"/>
      <c r="DI17" s="79"/>
      <c r="DJ17" s="79"/>
      <c r="DK17" s="79"/>
      <c r="DL17" s="79"/>
      <c r="DM17" s="79"/>
      <c r="DN17" s="79"/>
      <c r="DO17" s="79"/>
      <c r="DP17" s="79"/>
      <c r="DQ17" s="79"/>
      <c r="DR17" s="79"/>
      <c r="DS17" s="79"/>
      <c r="DT17" s="79"/>
      <c r="DU17" s="79"/>
    </row>
    <row r="18" spans="1:125" x14ac:dyDescent="0.25">
      <c r="A18" s="1">
        <f>+A15+1</f>
        <v>43834</v>
      </c>
      <c r="B18" s="61" t="s">
        <v>74</v>
      </c>
      <c r="C18" s="62"/>
      <c r="D18" s="56"/>
      <c r="E18" s="56"/>
      <c r="F18" s="63"/>
      <c r="G18" s="62">
        <f>IF(E18-D18&lt;0,E18-D18,0)*-1</f>
        <v>0</v>
      </c>
      <c r="H18" s="62">
        <f>IF(E18-D18&gt;0,E18-D18,0)</f>
        <v>0</v>
      </c>
      <c r="I18" s="56"/>
      <c r="J18" s="56"/>
      <c r="K18" s="56"/>
      <c r="L18" s="56"/>
      <c r="M18" s="62">
        <f t="shared" si="4"/>
        <v>0</v>
      </c>
      <c r="N18" s="62">
        <f t="shared" si="5"/>
        <v>0</v>
      </c>
      <c r="O18" s="62">
        <f t="shared" si="6"/>
        <v>0</v>
      </c>
      <c r="P18" s="62"/>
      <c r="Q18" s="64"/>
      <c r="R18" s="56"/>
      <c r="S18" s="56"/>
      <c r="T18" s="62"/>
      <c r="U18" s="62"/>
      <c r="V18" s="62"/>
      <c r="W18" s="62"/>
      <c r="X18" s="64"/>
      <c r="Y18" s="56"/>
      <c r="Z18" s="56"/>
      <c r="AA18" s="56"/>
      <c r="AB18" s="56"/>
      <c r="AC18" s="56"/>
      <c r="AD18" s="65"/>
      <c r="AE18" s="65"/>
      <c r="AF18" s="56"/>
      <c r="AG18" s="62">
        <f>(AF18*0.8)*0.85</f>
        <v>0</v>
      </c>
      <c r="AH18" s="62">
        <f>(AF18*0.8)*0.15</f>
        <v>0</v>
      </c>
      <c r="AI18" s="62">
        <f>AF18*0.2</f>
        <v>0</v>
      </c>
      <c r="AJ18" s="56"/>
      <c r="AK18" s="62">
        <f>(C18-AF18-AJ18)/1.12</f>
        <v>0</v>
      </c>
      <c r="AL18" s="62">
        <f>AK18-SUM(Y18:AC18)</f>
        <v>0</v>
      </c>
      <c r="AM18" s="62">
        <f>+AL18*0.12</f>
        <v>0</v>
      </c>
      <c r="AN18" s="62">
        <f t="shared" si="7"/>
        <v>0</v>
      </c>
      <c r="AO18" s="66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2">
        <f>SUM(AO18:AY18)</f>
        <v>0</v>
      </c>
      <c r="BA18" s="65"/>
      <c r="BB18" s="65"/>
      <c r="BC18" s="62">
        <f>SUM(BE18:BL18)*0.1+(BM18*0.5)</f>
        <v>0</v>
      </c>
      <c r="BD18" s="62">
        <f>SUM(BE18:BL18)+(BM18*0.5)</f>
        <v>0</v>
      </c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8">
        <f>AZ18+BA18+BB18+BD18-BC18</f>
        <v>0</v>
      </c>
      <c r="BT18" s="82"/>
      <c r="BU18" s="83"/>
      <c r="BV18" s="83"/>
      <c r="BW18" s="83"/>
      <c r="BX18" s="83"/>
      <c r="BY18" s="83"/>
      <c r="BZ18" s="83"/>
      <c r="CA18" s="83"/>
      <c r="CB18" s="83"/>
      <c r="CC18" s="83"/>
      <c r="CD18" s="83"/>
      <c r="CE18" s="83"/>
      <c r="CF18" s="83"/>
      <c r="CG18" s="83"/>
      <c r="CH18" s="83"/>
      <c r="CI18" s="83"/>
      <c r="CJ18" s="83"/>
      <c r="CK18" s="83"/>
      <c r="CL18" s="83"/>
      <c r="CM18" s="83"/>
      <c r="CN18" s="83"/>
      <c r="CO18" s="83"/>
      <c r="CP18" s="83"/>
      <c r="CQ18" s="83"/>
      <c r="CR18" s="83"/>
      <c r="CS18" s="83"/>
    </row>
    <row r="19" spans="1:125" x14ac:dyDescent="0.25">
      <c r="A19" s="1"/>
      <c r="B19" s="32" t="s">
        <v>76</v>
      </c>
      <c r="C19" s="62">
        <v>8641.4</v>
      </c>
      <c r="D19" s="56">
        <v>5759.91</v>
      </c>
      <c r="E19" s="56">
        <v>5760</v>
      </c>
      <c r="F19" s="63">
        <v>43836</v>
      </c>
      <c r="G19" s="62">
        <f>IF(E19-D19&lt;0,E19-D19,0)*-1</f>
        <v>0</v>
      </c>
      <c r="H19" s="62">
        <f>IF(E19-D19&gt;0,E19-D19,0)</f>
        <v>9.0000000000145519E-2</v>
      </c>
      <c r="I19" s="56">
        <v>300</v>
      </c>
      <c r="J19" s="56"/>
      <c r="K19" s="56">
        <v>2247.8000000000002</v>
      </c>
      <c r="L19" s="56"/>
      <c r="M19" s="62">
        <f t="shared" si="4"/>
        <v>48.3277</v>
      </c>
      <c r="N19" s="62">
        <f t="shared" si="5"/>
        <v>11.239000000000001</v>
      </c>
      <c r="O19" s="62">
        <f t="shared" si="6"/>
        <v>2188.2333000000003</v>
      </c>
      <c r="P19" s="62"/>
      <c r="Q19" s="64"/>
      <c r="R19" s="56"/>
      <c r="S19" s="56"/>
      <c r="T19" s="62"/>
      <c r="U19" s="62"/>
      <c r="V19" s="62"/>
      <c r="W19" s="62"/>
      <c r="X19" s="64"/>
      <c r="Y19" s="56"/>
      <c r="Z19" s="56"/>
      <c r="AA19" s="56"/>
      <c r="AB19" s="56"/>
      <c r="AC19" s="56">
        <v>138.69</v>
      </c>
      <c r="AD19" s="65" t="s">
        <v>77</v>
      </c>
      <c r="AE19" s="65">
        <v>195</v>
      </c>
      <c r="AF19" s="56">
        <v>619.61</v>
      </c>
      <c r="AG19" s="62">
        <f>(AF19*0.8)*0.85</f>
        <v>421.33480000000003</v>
      </c>
      <c r="AH19" s="62">
        <f>(AF19*0.8)*0.15</f>
        <v>74.353200000000001</v>
      </c>
      <c r="AI19" s="62">
        <f>AF19*0.2</f>
        <v>123.92200000000001</v>
      </c>
      <c r="AJ19" s="56">
        <v>0</v>
      </c>
      <c r="AK19" s="62">
        <f>(C19-AF19-AJ19)/1.12</f>
        <v>7162.3124999999991</v>
      </c>
      <c r="AL19" s="62">
        <f>AK19-SUM(Y19:AC19)</f>
        <v>7023.6224999999995</v>
      </c>
      <c r="AM19" s="62">
        <f>+AL19*0.12</f>
        <v>842.83469999999988</v>
      </c>
      <c r="AN19" s="62">
        <f t="shared" si="7"/>
        <v>7866.4571999999989</v>
      </c>
      <c r="AO19" s="66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2">
        <f>SUM(AO19:AY19)</f>
        <v>0</v>
      </c>
      <c r="BA19" s="65"/>
      <c r="BB19" s="65"/>
      <c r="BC19" s="62">
        <v>0</v>
      </c>
      <c r="BD19" s="62">
        <v>0</v>
      </c>
      <c r="BE19" s="66"/>
      <c r="BF19" s="66">
        <v>105</v>
      </c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8">
        <f>AZ19+BA19+BB19+BD19-BC19</f>
        <v>0</v>
      </c>
      <c r="BT19" s="82"/>
      <c r="BU19" s="83"/>
      <c r="BV19" s="83"/>
      <c r="BW19" s="83"/>
      <c r="BX19" s="83"/>
      <c r="BY19" s="83"/>
      <c r="BZ19" s="83"/>
      <c r="CA19" s="83"/>
      <c r="CB19" s="83"/>
      <c r="CC19" s="83"/>
      <c r="CD19" s="83"/>
      <c r="CE19" s="83"/>
      <c r="CF19" s="83"/>
      <c r="CG19" s="83"/>
      <c r="CH19" s="83"/>
      <c r="CI19" s="83"/>
      <c r="CJ19" s="83"/>
      <c r="CK19" s="83"/>
      <c r="CL19" s="83"/>
      <c r="CM19" s="83"/>
      <c r="CN19" s="83"/>
      <c r="CO19" s="83"/>
      <c r="CP19" s="83"/>
      <c r="CQ19" s="83"/>
      <c r="CR19" s="83"/>
      <c r="CS19" s="83"/>
    </row>
    <row r="20" spans="1:125" s="78" customFormat="1" x14ac:dyDescent="0.25">
      <c r="A20" s="69"/>
      <c r="B20" s="70"/>
      <c r="C20" s="71">
        <f>SUBTOTAL(9,C18:C19)</f>
        <v>8641.4</v>
      </c>
      <c r="D20" s="72">
        <f>SUBTOTAL(9,D18:D19)</f>
        <v>5759.91</v>
      </c>
      <c r="E20" s="72">
        <f>SUBTOTAL(9,E18:E19)</f>
        <v>5760</v>
      </c>
      <c r="F20" s="74"/>
      <c r="G20" s="72">
        <f t="shared" ref="G20:L20" si="17">SUBTOTAL(9,G18:G19)</f>
        <v>0</v>
      </c>
      <c r="H20" s="72">
        <f t="shared" si="17"/>
        <v>9.0000000000145519E-2</v>
      </c>
      <c r="I20" s="72">
        <f t="shared" si="17"/>
        <v>300</v>
      </c>
      <c r="J20" s="72">
        <f t="shared" si="17"/>
        <v>0</v>
      </c>
      <c r="K20" s="73">
        <f t="shared" si="17"/>
        <v>2247.8000000000002</v>
      </c>
      <c r="L20" s="72">
        <f t="shared" si="17"/>
        <v>0</v>
      </c>
      <c r="M20" s="86">
        <f t="shared" si="4"/>
        <v>48.3277</v>
      </c>
      <c r="N20" s="86">
        <f t="shared" si="5"/>
        <v>11.239000000000001</v>
      </c>
      <c r="O20" s="86">
        <f t="shared" si="6"/>
        <v>2188.2333000000003</v>
      </c>
      <c r="P20" s="86">
        <f>L20-(L20*(M$5+N$5))</f>
        <v>0</v>
      </c>
      <c r="Q20" s="74"/>
      <c r="R20" s="72">
        <f t="shared" ref="R20:W20" si="18">SUBTOTAL(9,R18:R19)</f>
        <v>0</v>
      </c>
      <c r="S20" s="72">
        <f t="shared" si="18"/>
        <v>0</v>
      </c>
      <c r="T20" s="71">
        <f t="shared" si="18"/>
        <v>0</v>
      </c>
      <c r="U20" s="71">
        <f t="shared" si="18"/>
        <v>0</v>
      </c>
      <c r="V20" s="71">
        <f t="shared" si="18"/>
        <v>0</v>
      </c>
      <c r="W20" s="71">
        <f t="shared" si="18"/>
        <v>0</v>
      </c>
      <c r="X20" s="74"/>
      <c r="Y20" s="72">
        <f>SUBTOTAL(9,Y18:Y19)</f>
        <v>0</v>
      </c>
      <c r="Z20" s="72"/>
      <c r="AA20" s="72"/>
      <c r="AB20" s="72"/>
      <c r="AC20" s="72"/>
      <c r="AD20" s="76"/>
      <c r="AE20" s="76"/>
      <c r="AF20" s="72"/>
      <c r="AG20" s="71">
        <f>SUBTOTAL(9,AG18:AG19)</f>
        <v>421.33480000000003</v>
      </c>
      <c r="AH20" s="71">
        <f>SUBTOTAL(9,AH18:AH19)</f>
        <v>74.353200000000001</v>
      </c>
      <c r="AI20" s="71">
        <f>SUBTOTAL(9,AI18:AI19)</f>
        <v>123.92200000000001</v>
      </c>
      <c r="AJ20" s="72">
        <v>0</v>
      </c>
      <c r="AK20" s="71">
        <f>SUBTOTAL(9,AK18:AK19)</f>
        <v>7162.3124999999991</v>
      </c>
      <c r="AL20" s="71">
        <f>SUBTOTAL(9,AL18:AL19)</f>
        <v>7023.6224999999995</v>
      </c>
      <c r="AM20" s="71">
        <f>SUBTOTAL(9,AM18:AM19)</f>
        <v>842.83469999999988</v>
      </c>
      <c r="AN20" s="71">
        <f t="shared" si="7"/>
        <v>7866.4571999999989</v>
      </c>
      <c r="AO20" s="77">
        <f t="shared" ref="AO20:BP20" si="19">SUBTOTAL(9,AO18:AO19)</f>
        <v>0</v>
      </c>
      <c r="AP20" s="77">
        <f t="shared" si="19"/>
        <v>0</v>
      </c>
      <c r="AQ20" s="77">
        <f t="shared" si="19"/>
        <v>0</v>
      </c>
      <c r="AR20" s="77">
        <f t="shared" si="19"/>
        <v>0</v>
      </c>
      <c r="AS20" s="77">
        <f t="shared" si="19"/>
        <v>0</v>
      </c>
      <c r="AT20" s="77">
        <f t="shared" si="19"/>
        <v>0</v>
      </c>
      <c r="AU20" s="77">
        <f t="shared" si="19"/>
        <v>0</v>
      </c>
      <c r="AV20" s="77">
        <f t="shared" si="19"/>
        <v>0</v>
      </c>
      <c r="AW20" s="77">
        <f t="shared" si="19"/>
        <v>0</v>
      </c>
      <c r="AX20" s="77">
        <f t="shared" si="19"/>
        <v>0</v>
      </c>
      <c r="AY20" s="77">
        <f t="shared" si="19"/>
        <v>0</v>
      </c>
      <c r="AZ20" s="71">
        <f t="shared" si="19"/>
        <v>0</v>
      </c>
      <c r="BA20" s="76">
        <f t="shared" si="19"/>
        <v>0</v>
      </c>
      <c r="BB20" s="76">
        <f t="shared" si="19"/>
        <v>0</v>
      </c>
      <c r="BC20" s="71">
        <f t="shared" si="19"/>
        <v>0</v>
      </c>
      <c r="BD20" s="71">
        <f t="shared" si="19"/>
        <v>0</v>
      </c>
      <c r="BE20" s="77">
        <f t="shared" si="19"/>
        <v>0</v>
      </c>
      <c r="BF20" s="77">
        <f t="shared" si="19"/>
        <v>105</v>
      </c>
      <c r="BG20" s="77">
        <f t="shared" si="19"/>
        <v>0</v>
      </c>
      <c r="BH20" s="77">
        <f t="shared" si="19"/>
        <v>0</v>
      </c>
      <c r="BI20" s="77">
        <f t="shared" si="19"/>
        <v>0</v>
      </c>
      <c r="BJ20" s="77">
        <f t="shared" si="19"/>
        <v>0</v>
      </c>
      <c r="BK20" s="77">
        <f t="shared" si="19"/>
        <v>0</v>
      </c>
      <c r="BL20" s="77">
        <f t="shared" si="19"/>
        <v>0</v>
      </c>
      <c r="BM20" s="77">
        <f t="shared" si="19"/>
        <v>0</v>
      </c>
      <c r="BN20" s="77">
        <f t="shared" si="19"/>
        <v>0</v>
      </c>
      <c r="BO20" s="77">
        <f t="shared" si="19"/>
        <v>0</v>
      </c>
      <c r="BP20" s="77">
        <f t="shared" si="19"/>
        <v>0</v>
      </c>
      <c r="BQ20" s="77"/>
      <c r="BR20" s="71">
        <f>SUBTOTAL(9,BR18:BR19)</f>
        <v>0</v>
      </c>
      <c r="BU20" s="79"/>
      <c r="BV20" s="79"/>
      <c r="BW20" s="79"/>
      <c r="BX20" s="79"/>
      <c r="BY20" s="79"/>
      <c r="BZ20" s="79"/>
      <c r="CA20" s="79"/>
      <c r="CB20" s="79"/>
      <c r="CC20" s="79"/>
      <c r="CD20" s="79"/>
      <c r="CE20" s="79"/>
      <c r="CF20" s="79"/>
      <c r="CG20" s="79"/>
      <c r="CH20" s="79"/>
      <c r="CI20" s="79"/>
      <c r="CJ20" s="79"/>
      <c r="CK20" s="79"/>
      <c r="CL20" s="79"/>
      <c r="CM20" s="79"/>
      <c r="CN20" s="79"/>
      <c r="CO20" s="79"/>
      <c r="CP20" s="79"/>
      <c r="CQ20" s="79"/>
      <c r="CR20" s="79"/>
      <c r="CS20" s="79"/>
      <c r="CT20" s="79"/>
      <c r="CU20" s="79"/>
      <c r="CV20" s="79"/>
      <c r="CW20" s="79"/>
      <c r="CX20" s="79"/>
      <c r="CY20" s="79"/>
      <c r="CZ20" s="79"/>
      <c r="DA20" s="79"/>
      <c r="DB20" s="79"/>
      <c r="DC20" s="79"/>
      <c r="DD20" s="79"/>
      <c r="DE20" s="79"/>
      <c r="DF20" s="79"/>
      <c r="DG20" s="79"/>
      <c r="DH20" s="79"/>
      <c r="DI20" s="79"/>
      <c r="DJ20" s="79"/>
      <c r="DK20" s="79"/>
      <c r="DL20" s="79"/>
      <c r="DM20" s="79"/>
      <c r="DN20" s="79"/>
      <c r="DO20" s="79"/>
      <c r="DP20" s="79"/>
      <c r="DQ20" s="79"/>
      <c r="DR20" s="79"/>
      <c r="DS20" s="79"/>
      <c r="DT20" s="79"/>
      <c r="DU20" s="79"/>
    </row>
    <row r="21" spans="1:125" x14ac:dyDescent="0.25">
      <c r="A21" s="1">
        <f>+A18+1</f>
        <v>43835</v>
      </c>
      <c r="B21" s="61" t="s">
        <v>74</v>
      </c>
      <c r="C21" s="62" t="s">
        <v>78</v>
      </c>
      <c r="D21" s="56"/>
      <c r="E21" s="56"/>
      <c r="F21" s="63"/>
      <c r="G21" s="62">
        <f>IF(E21-D21&lt;0,E21-D21,0)*-1</f>
        <v>0</v>
      </c>
      <c r="H21" s="62">
        <f>IF(E21-D21&gt;0,E21-D21,0)</f>
        <v>0</v>
      </c>
      <c r="I21" s="56"/>
      <c r="J21" s="56"/>
      <c r="K21" s="56"/>
      <c r="L21" s="56"/>
      <c r="M21" s="62">
        <f t="shared" si="4"/>
        <v>0</v>
      </c>
      <c r="N21" s="62">
        <f t="shared" si="5"/>
        <v>0</v>
      </c>
      <c r="O21" s="62">
        <f t="shared" si="6"/>
        <v>0</v>
      </c>
      <c r="P21" s="62"/>
      <c r="Q21" s="64"/>
      <c r="R21" s="56"/>
      <c r="S21" s="56"/>
      <c r="T21" s="62"/>
      <c r="U21" s="62"/>
      <c r="V21" s="62"/>
      <c r="W21" s="62"/>
      <c r="X21" s="64"/>
      <c r="Y21" s="56"/>
      <c r="Z21" s="56"/>
      <c r="AA21" s="56"/>
      <c r="AB21" s="56"/>
      <c r="AC21" s="56"/>
      <c r="AD21" s="65"/>
      <c r="AE21" s="65"/>
      <c r="AF21" s="56"/>
      <c r="AG21" s="62">
        <f>(AF21*0.8)*0.85</f>
        <v>0</v>
      </c>
      <c r="AH21" s="62">
        <f>(AF21*0.8)*0.15</f>
        <v>0</v>
      </c>
      <c r="AI21" s="62">
        <f>AF21*0.2</f>
        <v>0</v>
      </c>
      <c r="AJ21" s="56">
        <v>0</v>
      </c>
      <c r="AK21" s="62"/>
      <c r="AL21" s="62"/>
      <c r="AM21" s="62"/>
      <c r="AN21" s="62"/>
      <c r="AO21" s="66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2">
        <f>SUM(AO21:AY21)</f>
        <v>0</v>
      </c>
      <c r="BA21" s="65"/>
      <c r="BB21" s="65"/>
      <c r="BC21" s="62">
        <f>SUM(BE21:BL21)*0.1+(BM21*0.5)</f>
        <v>0</v>
      </c>
      <c r="BD21" s="62">
        <f>SUM(BE21:BL21)+(BM21*0.5)</f>
        <v>0</v>
      </c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8">
        <f>AZ21+BA21+BB21+BD21-BC21</f>
        <v>0</v>
      </c>
      <c r="BT21" s="82"/>
      <c r="BU21" s="83"/>
      <c r="BV21" s="83"/>
      <c r="BW21" s="83"/>
      <c r="BX21" s="83"/>
      <c r="BY21" s="83"/>
      <c r="BZ21" s="83"/>
      <c r="CA21" s="83"/>
      <c r="CB21" s="83"/>
      <c r="CC21" s="83"/>
      <c r="CD21" s="83"/>
      <c r="CE21" s="83"/>
      <c r="CF21" s="83"/>
      <c r="CG21" s="83"/>
      <c r="CH21" s="83"/>
      <c r="CI21" s="83"/>
      <c r="CJ21" s="83"/>
      <c r="CK21" s="83"/>
      <c r="CL21" s="83"/>
      <c r="CM21" s="83"/>
      <c r="CN21" s="83"/>
      <c r="CO21" s="83"/>
      <c r="CP21" s="83"/>
      <c r="CQ21" s="83"/>
      <c r="CR21" s="83"/>
      <c r="CS21" s="83"/>
    </row>
    <row r="22" spans="1:125" x14ac:dyDescent="0.25">
      <c r="A22" s="1"/>
      <c r="B22" s="32" t="s">
        <v>76</v>
      </c>
      <c r="C22" s="62"/>
      <c r="D22" s="56"/>
      <c r="E22" s="56"/>
      <c r="F22" s="63"/>
      <c r="G22" s="62">
        <f>IF(E22-D22&lt;0,E22-D22,0)*-1</f>
        <v>0</v>
      </c>
      <c r="H22" s="62">
        <f>IF(E22-D22&gt;0,E22-D22,0)</f>
        <v>0</v>
      </c>
      <c r="I22" s="56"/>
      <c r="J22" s="56"/>
      <c r="K22" s="56"/>
      <c r="L22" s="56"/>
      <c r="M22" s="62">
        <f t="shared" si="4"/>
        <v>0</v>
      </c>
      <c r="N22" s="62">
        <f t="shared" si="5"/>
        <v>0</v>
      </c>
      <c r="O22" s="62">
        <f t="shared" si="6"/>
        <v>0</v>
      </c>
      <c r="P22" s="62"/>
      <c r="Q22" s="64"/>
      <c r="R22" s="56"/>
      <c r="S22" s="56"/>
      <c r="T22" s="62"/>
      <c r="U22" s="62"/>
      <c r="V22" s="62"/>
      <c r="W22" s="62"/>
      <c r="X22" s="64"/>
      <c r="Y22" s="56"/>
      <c r="Z22" s="56"/>
      <c r="AA22" s="56"/>
      <c r="AB22" s="56"/>
      <c r="AC22" s="56"/>
      <c r="AD22" s="65"/>
      <c r="AE22" s="65"/>
      <c r="AF22" s="56"/>
      <c r="AG22" s="62">
        <f>(AF22*0.8)*0.85</f>
        <v>0</v>
      </c>
      <c r="AH22" s="62">
        <f>(AF22*0.8)*0.15</f>
        <v>0</v>
      </c>
      <c r="AI22" s="62">
        <f>AF22*0.2</f>
        <v>0</v>
      </c>
      <c r="AJ22" s="56">
        <v>0</v>
      </c>
      <c r="AK22" s="62">
        <f>(C22-AF22-AJ22)/1.12</f>
        <v>0</v>
      </c>
      <c r="AL22" s="62">
        <f>AK22-SUM(Y22:AC22)</f>
        <v>0</v>
      </c>
      <c r="AM22" s="62">
        <f>+AL22*0.12</f>
        <v>0</v>
      </c>
      <c r="AN22" s="62">
        <f t="shared" ref="AN22:AN38" si="20">+AM22+AL22+AJ22</f>
        <v>0</v>
      </c>
      <c r="AO22" s="66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2">
        <f>SUM(AO22:AY22)</f>
        <v>0</v>
      </c>
      <c r="BA22" s="65"/>
      <c r="BB22" s="65"/>
      <c r="BC22" s="62">
        <v>0</v>
      </c>
      <c r="BD22" s="62">
        <v>0</v>
      </c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8">
        <f>AZ22+BA22+BB22+BD22-BC22</f>
        <v>0</v>
      </c>
      <c r="BT22" s="82"/>
      <c r="BU22" s="83"/>
      <c r="BV22" s="83"/>
      <c r="BW22" s="83"/>
      <c r="BX22" s="83"/>
      <c r="BY22" s="83"/>
      <c r="BZ22" s="83"/>
      <c r="CA22" s="83"/>
      <c r="CB22" s="83"/>
      <c r="CC22" s="83"/>
      <c r="CD22" s="83"/>
      <c r="CE22" s="83"/>
      <c r="CF22" s="83"/>
      <c r="CG22" s="83"/>
      <c r="CH22" s="83"/>
      <c r="CI22" s="83"/>
      <c r="CJ22" s="83"/>
      <c r="CK22" s="83"/>
      <c r="CL22" s="83"/>
      <c r="CM22" s="83"/>
      <c r="CN22" s="83"/>
      <c r="CO22" s="83"/>
      <c r="CP22" s="83"/>
      <c r="CQ22" s="83"/>
      <c r="CR22" s="83"/>
      <c r="CS22" s="83"/>
    </row>
    <row r="23" spans="1:125" x14ac:dyDescent="0.25">
      <c r="A23" s="87"/>
      <c r="B23" s="70"/>
      <c r="C23" s="71">
        <f>SUBTOTAL(9,C21:C22)</f>
        <v>0</v>
      </c>
      <c r="D23" s="72">
        <f>SUBTOTAL(9,D21:D22)</f>
        <v>0</v>
      </c>
      <c r="E23" s="72">
        <f>SUBTOTAL(9,E21:E22)</f>
        <v>0</v>
      </c>
      <c r="F23" s="74"/>
      <c r="G23" s="72">
        <f t="shared" ref="G23:P23" si="21">SUBTOTAL(9,G21:G22)</f>
        <v>0</v>
      </c>
      <c r="H23" s="72">
        <f t="shared" si="21"/>
        <v>0</v>
      </c>
      <c r="I23" s="72">
        <f t="shared" si="21"/>
        <v>0</v>
      </c>
      <c r="J23" s="72">
        <f t="shared" si="21"/>
        <v>0</v>
      </c>
      <c r="K23" s="73">
        <f t="shared" si="21"/>
        <v>0</v>
      </c>
      <c r="L23" s="72">
        <f t="shared" si="21"/>
        <v>0</v>
      </c>
      <c r="M23" s="71">
        <f t="shared" si="21"/>
        <v>0</v>
      </c>
      <c r="N23" s="71">
        <f t="shared" si="21"/>
        <v>0</v>
      </c>
      <c r="O23" s="71">
        <f t="shared" si="21"/>
        <v>0</v>
      </c>
      <c r="P23" s="71">
        <f t="shared" si="21"/>
        <v>0</v>
      </c>
      <c r="Q23" s="74"/>
      <c r="R23" s="72">
        <f t="shared" ref="R23:W23" si="22">SUBTOTAL(9,R21:R22)</f>
        <v>0</v>
      </c>
      <c r="S23" s="72">
        <f t="shared" si="22"/>
        <v>0</v>
      </c>
      <c r="T23" s="71">
        <f t="shared" si="22"/>
        <v>0</v>
      </c>
      <c r="U23" s="71">
        <f t="shared" si="22"/>
        <v>0</v>
      </c>
      <c r="V23" s="71">
        <f t="shared" si="22"/>
        <v>0</v>
      </c>
      <c r="W23" s="71">
        <f t="shared" si="22"/>
        <v>0</v>
      </c>
      <c r="X23" s="74"/>
      <c r="Y23" s="72">
        <f>SUBTOTAL(9,Y21:Y22)</f>
        <v>0</v>
      </c>
      <c r="Z23" s="72"/>
      <c r="AA23" s="72"/>
      <c r="AB23" s="72"/>
      <c r="AC23" s="72"/>
      <c r="AD23" s="76"/>
      <c r="AE23" s="76"/>
      <c r="AF23" s="72"/>
      <c r="AG23" s="71">
        <f>SUBTOTAL(9,AG21:AG22)</f>
        <v>0</v>
      </c>
      <c r="AH23" s="71">
        <f>SUBTOTAL(9,AH21:AH22)</f>
        <v>0</v>
      </c>
      <c r="AI23" s="71">
        <f>SUBTOTAL(9,AI21:AI22)</f>
        <v>0</v>
      </c>
      <c r="AJ23" s="72">
        <v>0</v>
      </c>
      <c r="AK23" s="71">
        <f>SUBTOTAL(9,AK21:AK22)</f>
        <v>0</v>
      </c>
      <c r="AL23" s="71">
        <f>SUBTOTAL(9,AL21:AL22)</f>
        <v>0</v>
      </c>
      <c r="AM23" s="71">
        <f>SUBTOTAL(9,AM21:AM22)</f>
        <v>0</v>
      </c>
      <c r="AN23" s="71">
        <f t="shared" si="20"/>
        <v>0</v>
      </c>
      <c r="AO23" s="77">
        <f t="shared" ref="AO23:AZ23" si="23">SUBTOTAL(9,AO21:AO22)</f>
        <v>0</v>
      </c>
      <c r="AP23" s="77">
        <f t="shared" si="23"/>
        <v>0</v>
      </c>
      <c r="AQ23" s="77">
        <f t="shared" si="23"/>
        <v>0</v>
      </c>
      <c r="AR23" s="77">
        <f t="shared" si="23"/>
        <v>0</v>
      </c>
      <c r="AS23" s="77">
        <f t="shared" si="23"/>
        <v>0</v>
      </c>
      <c r="AT23" s="77">
        <f t="shared" si="23"/>
        <v>0</v>
      </c>
      <c r="AU23" s="77">
        <f t="shared" si="23"/>
        <v>0</v>
      </c>
      <c r="AV23" s="77">
        <f t="shared" si="23"/>
        <v>0</v>
      </c>
      <c r="AW23" s="77">
        <f t="shared" si="23"/>
        <v>0</v>
      </c>
      <c r="AX23" s="77">
        <f t="shared" si="23"/>
        <v>0</v>
      </c>
      <c r="AY23" s="77">
        <f t="shared" si="23"/>
        <v>0</v>
      </c>
      <c r="AZ23" s="71">
        <f t="shared" si="23"/>
        <v>0</v>
      </c>
      <c r="BA23" s="76"/>
      <c r="BB23" s="76">
        <f t="shared" ref="BB23:BP23" si="24">SUBTOTAL(9,BB21:BB22)</f>
        <v>0</v>
      </c>
      <c r="BC23" s="71">
        <f t="shared" si="24"/>
        <v>0</v>
      </c>
      <c r="BD23" s="71">
        <f t="shared" si="24"/>
        <v>0</v>
      </c>
      <c r="BE23" s="77">
        <f t="shared" si="24"/>
        <v>0</v>
      </c>
      <c r="BF23" s="77">
        <f t="shared" si="24"/>
        <v>0</v>
      </c>
      <c r="BG23" s="77">
        <f t="shared" si="24"/>
        <v>0</v>
      </c>
      <c r="BH23" s="77">
        <f t="shared" si="24"/>
        <v>0</v>
      </c>
      <c r="BI23" s="77">
        <f t="shared" si="24"/>
        <v>0</v>
      </c>
      <c r="BJ23" s="77">
        <f t="shared" si="24"/>
        <v>0</v>
      </c>
      <c r="BK23" s="77">
        <f t="shared" si="24"/>
        <v>0</v>
      </c>
      <c r="BL23" s="77">
        <f t="shared" si="24"/>
        <v>0</v>
      </c>
      <c r="BM23" s="77">
        <f t="shared" si="24"/>
        <v>0</v>
      </c>
      <c r="BN23" s="77">
        <f t="shared" si="24"/>
        <v>0</v>
      </c>
      <c r="BO23" s="77">
        <f t="shared" si="24"/>
        <v>0</v>
      </c>
      <c r="BP23" s="77">
        <f t="shared" si="24"/>
        <v>0</v>
      </c>
      <c r="BQ23" s="77"/>
      <c r="BR23" s="71">
        <f>SUBTOTAL(9,BR21:BR22)</f>
        <v>0</v>
      </c>
    </row>
    <row r="24" spans="1:125" x14ac:dyDescent="0.25">
      <c r="A24" s="1">
        <f>A21+1</f>
        <v>43836</v>
      </c>
      <c r="B24" s="61" t="s">
        <v>74</v>
      </c>
      <c r="C24" s="62">
        <v>30360.95</v>
      </c>
      <c r="D24" s="56">
        <v>14169.56</v>
      </c>
      <c r="E24" s="56">
        <v>14170</v>
      </c>
      <c r="F24" s="63">
        <v>43836</v>
      </c>
      <c r="G24" s="62">
        <f>IF(E24-D24&lt;0,E24-D24,0)*-1</f>
        <v>0</v>
      </c>
      <c r="H24" s="62">
        <f>IF(E24-D24&gt;0,E24-D24,0)</f>
        <v>0.44000000000050932</v>
      </c>
      <c r="I24" s="56"/>
      <c r="J24" s="56"/>
      <c r="K24" s="56">
        <v>15815.49</v>
      </c>
      <c r="L24" s="56"/>
      <c r="M24" s="62">
        <f>(+K24)*M$5</f>
        <v>340.03303499999998</v>
      </c>
      <c r="N24" s="62">
        <f>(+K24)*N$5</f>
        <v>79.077449999999999</v>
      </c>
      <c r="O24" s="62">
        <f>+K24-M24-N24+P24</f>
        <v>15396.379514999999</v>
      </c>
      <c r="P24" s="62"/>
      <c r="Q24" s="64"/>
      <c r="R24" s="56"/>
      <c r="S24" s="56"/>
      <c r="T24" s="62"/>
      <c r="U24" s="62"/>
      <c r="V24" s="62"/>
      <c r="W24" s="62"/>
      <c r="X24" s="64"/>
      <c r="Y24" s="56"/>
      <c r="Z24" s="56">
        <v>171</v>
      </c>
      <c r="AA24" s="56"/>
      <c r="AB24" s="56"/>
      <c r="AC24" s="56">
        <v>204.9</v>
      </c>
      <c r="AD24" s="65"/>
      <c r="AE24" s="65"/>
      <c r="AF24" s="56">
        <v>2383.9</v>
      </c>
      <c r="AG24" s="62">
        <f>(AF24*0.8)*0.85</f>
        <v>1621.0520000000001</v>
      </c>
      <c r="AH24" s="62">
        <f>(AF24*0.8)*0.15</f>
        <v>286.06799999999998</v>
      </c>
      <c r="AI24" s="62">
        <f>AF24*0.2</f>
        <v>476.78000000000003</v>
      </c>
      <c r="AJ24" s="56">
        <v>0</v>
      </c>
      <c r="AK24" s="62">
        <f>(C24-AF24-AJ24)/1.12</f>
        <v>24979.508928571424</v>
      </c>
      <c r="AL24" s="62">
        <f>AK24-SUM(Y24:AC24)</f>
        <v>24603.608928571422</v>
      </c>
      <c r="AM24" s="62">
        <f>+AL24*0.12</f>
        <v>2952.4330714285707</v>
      </c>
      <c r="AN24" s="62">
        <f t="shared" si="20"/>
        <v>27556.041999999994</v>
      </c>
      <c r="AO24" s="66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2">
        <f>SUM(AO24:AY24)</f>
        <v>0</v>
      </c>
      <c r="BA24" s="65"/>
      <c r="BB24" s="65"/>
      <c r="BC24" s="62">
        <f>SUM(BE24:BL24)*0.1+(BM24*0.5)</f>
        <v>0</v>
      </c>
      <c r="BD24" s="62">
        <f>SUM(BE24:BL24)+(BM24*0.5)</f>
        <v>0</v>
      </c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8">
        <f>AZ24+BA24+BB24+BD24-BC24</f>
        <v>0</v>
      </c>
      <c r="BT24" s="82"/>
      <c r="BU24" s="83"/>
      <c r="BV24" s="83"/>
      <c r="BW24" s="83"/>
      <c r="BX24" s="83"/>
      <c r="BY24" s="83"/>
      <c r="BZ24" s="83"/>
      <c r="CA24" s="83"/>
      <c r="CB24" s="83"/>
      <c r="CC24" s="83"/>
      <c r="CD24" s="83"/>
      <c r="CE24" s="83"/>
      <c r="CF24" s="83"/>
      <c r="CG24" s="83"/>
      <c r="CH24" s="83"/>
      <c r="CI24" s="83"/>
      <c r="CJ24" s="83"/>
      <c r="CK24" s="83"/>
      <c r="CL24" s="83"/>
      <c r="CM24" s="83"/>
      <c r="CN24" s="83"/>
      <c r="CO24" s="83"/>
      <c r="CP24" s="83"/>
      <c r="CQ24" s="83"/>
      <c r="CR24" s="83"/>
      <c r="CS24" s="83"/>
    </row>
    <row r="25" spans="1:125" x14ac:dyDescent="0.25">
      <c r="A25" s="1"/>
      <c r="B25" s="32" t="s">
        <v>76</v>
      </c>
      <c r="C25" s="62">
        <v>14174.1</v>
      </c>
      <c r="D25" s="56">
        <v>8328.2000000000007</v>
      </c>
      <c r="E25" s="56">
        <v>8330</v>
      </c>
      <c r="F25" s="63">
        <v>43837</v>
      </c>
      <c r="G25" s="62">
        <f>IF(E25-D25&lt;0,E25-D25,0)*-1</f>
        <v>0</v>
      </c>
      <c r="H25" s="62">
        <f>IF(E25-D25&gt;0,E25-D25,0)</f>
        <v>1.7999999999992724</v>
      </c>
      <c r="I25" s="56"/>
      <c r="J25" s="56"/>
      <c r="K25" s="56">
        <v>5775.36</v>
      </c>
      <c r="L25" s="56"/>
      <c r="M25" s="62">
        <f>(+K25)*M$5</f>
        <v>124.17023999999998</v>
      </c>
      <c r="N25" s="62">
        <f>(+K25)*N$5</f>
        <v>28.876799999999999</v>
      </c>
      <c r="O25" s="62">
        <f>+K25-M25-N25+P25</f>
        <v>5622.3129599999993</v>
      </c>
      <c r="P25" s="62"/>
      <c r="Q25" s="64"/>
      <c r="R25" s="56"/>
      <c r="S25" s="56"/>
      <c r="T25" s="62"/>
      <c r="U25" s="62"/>
      <c r="V25" s="62"/>
      <c r="W25" s="62"/>
      <c r="X25" s="64"/>
      <c r="Y25" s="56"/>
      <c r="Z25" s="56"/>
      <c r="AA25" s="56"/>
      <c r="AB25" s="56"/>
      <c r="AC25" s="56">
        <v>70.540000000000006</v>
      </c>
      <c r="AD25" s="65"/>
      <c r="AE25" s="65"/>
      <c r="AF25" s="56">
        <v>1101.42</v>
      </c>
      <c r="AG25" s="62">
        <f>(AF25*0.8)*0.85</f>
        <v>748.96559999999999</v>
      </c>
      <c r="AH25" s="62">
        <f>(AF25*0.8)*0.15</f>
        <v>132.1704</v>
      </c>
      <c r="AI25" s="62">
        <f>AF25*0.2</f>
        <v>220.28400000000002</v>
      </c>
      <c r="AJ25" s="56">
        <v>0</v>
      </c>
      <c r="AK25" s="62">
        <f>(C25-AF25-AJ25)/1.12</f>
        <v>11672.035714285714</v>
      </c>
      <c r="AL25" s="62">
        <f>AK25-SUM(Y25:AC25)</f>
        <v>11601.495714285713</v>
      </c>
      <c r="AM25" s="62">
        <f>+AL25*0.12</f>
        <v>1392.1794857142854</v>
      </c>
      <c r="AN25" s="62">
        <f t="shared" si="20"/>
        <v>12993.675199999998</v>
      </c>
      <c r="AO25" s="66">
        <v>505</v>
      </c>
      <c r="AP25" s="67"/>
      <c r="AQ25" s="67">
        <v>760</v>
      </c>
      <c r="AR25" s="67">
        <v>245</v>
      </c>
      <c r="AS25" s="67"/>
      <c r="AT25" s="67"/>
      <c r="AU25" s="67"/>
      <c r="AV25" s="67"/>
      <c r="AW25" s="67"/>
      <c r="AX25" s="67"/>
      <c r="AY25" s="67"/>
      <c r="AZ25" s="62"/>
      <c r="BA25" s="65"/>
      <c r="BB25" s="65"/>
      <c r="BC25" s="62">
        <f>SUM(BE25:BL25)*0.1+(BM25*0.5)</f>
        <v>0</v>
      </c>
      <c r="BD25" s="62">
        <f>SUM(BE25:BL25)+(BM25*0.5)</f>
        <v>0</v>
      </c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8">
        <f>AZ25+BA25+BB25+BD25-BC25</f>
        <v>0</v>
      </c>
      <c r="BT25" s="82"/>
      <c r="BU25" s="83"/>
      <c r="BV25" s="83"/>
      <c r="BW25" s="83"/>
      <c r="BX25" s="83"/>
      <c r="BY25" s="83"/>
      <c r="BZ25" s="83"/>
      <c r="CA25" s="83"/>
      <c r="CB25" s="83"/>
      <c r="CC25" s="83"/>
      <c r="CD25" s="83"/>
      <c r="CE25" s="83"/>
      <c r="CF25" s="83"/>
      <c r="CG25" s="83"/>
      <c r="CH25" s="83"/>
      <c r="CI25" s="83"/>
      <c r="CJ25" s="83"/>
      <c r="CK25" s="83"/>
      <c r="CL25" s="83"/>
      <c r="CM25" s="83"/>
      <c r="CN25" s="83"/>
      <c r="CO25" s="83"/>
      <c r="CP25" s="83"/>
      <c r="CQ25" s="83"/>
      <c r="CR25" s="83"/>
      <c r="CS25" s="83"/>
    </row>
    <row r="26" spans="1:125" x14ac:dyDescent="0.25">
      <c r="A26" s="87"/>
      <c r="B26" s="70"/>
      <c r="C26" s="71">
        <f>SUBTOTAL(9,C24:C25)</f>
        <v>44535.05</v>
      </c>
      <c r="D26" s="72">
        <f>SUBTOTAL(9,D24:D25)</f>
        <v>22497.760000000002</v>
      </c>
      <c r="E26" s="72">
        <v>0</v>
      </c>
      <c r="F26" s="74"/>
      <c r="G26" s="72">
        <f t="shared" ref="G26:P26" si="25">SUBTOTAL(9,G24:G25)</f>
        <v>0</v>
      </c>
      <c r="H26" s="72">
        <f t="shared" si="25"/>
        <v>2.2399999999997817</v>
      </c>
      <c r="I26" s="72">
        <f t="shared" si="25"/>
        <v>0</v>
      </c>
      <c r="J26" s="72">
        <f t="shared" si="25"/>
        <v>0</v>
      </c>
      <c r="K26" s="73">
        <f t="shared" si="25"/>
        <v>21590.85</v>
      </c>
      <c r="L26" s="72">
        <f t="shared" si="25"/>
        <v>0</v>
      </c>
      <c r="M26" s="71">
        <f t="shared" si="25"/>
        <v>464.20327499999996</v>
      </c>
      <c r="N26" s="71">
        <f t="shared" si="25"/>
        <v>107.95425</v>
      </c>
      <c r="O26" s="71">
        <f t="shared" si="25"/>
        <v>21018.692474999996</v>
      </c>
      <c r="P26" s="71">
        <f t="shared" si="25"/>
        <v>0</v>
      </c>
      <c r="Q26" s="74"/>
      <c r="R26" s="72">
        <f t="shared" ref="R26:W26" si="26">SUBTOTAL(9,R24:R25)</f>
        <v>0</v>
      </c>
      <c r="S26" s="72">
        <f t="shared" si="26"/>
        <v>0</v>
      </c>
      <c r="T26" s="71">
        <f t="shared" si="26"/>
        <v>0</v>
      </c>
      <c r="U26" s="71">
        <f t="shared" si="26"/>
        <v>0</v>
      </c>
      <c r="V26" s="71">
        <f t="shared" si="26"/>
        <v>0</v>
      </c>
      <c r="W26" s="71">
        <f t="shared" si="26"/>
        <v>0</v>
      </c>
      <c r="X26" s="74"/>
      <c r="Y26" s="72">
        <f>SUBTOTAL(9,Y24:Y25)</f>
        <v>0</v>
      </c>
      <c r="Z26" s="72"/>
      <c r="AA26" s="72"/>
      <c r="AB26" s="72"/>
      <c r="AC26" s="72"/>
      <c r="AD26" s="76"/>
      <c r="AE26" s="76"/>
      <c r="AF26" s="72"/>
      <c r="AG26" s="71">
        <f>SUBTOTAL(9,AG24:AG25)</f>
        <v>2370.0176000000001</v>
      </c>
      <c r="AH26" s="71">
        <f>SUBTOTAL(9,AH24:AH25)</f>
        <v>418.23839999999996</v>
      </c>
      <c r="AI26" s="71">
        <f>SUBTOTAL(9,AI24:AI25)</f>
        <v>697.06400000000008</v>
      </c>
      <c r="AJ26" s="72">
        <v>0</v>
      </c>
      <c r="AK26" s="71">
        <f>SUBTOTAL(9,AK24:AK25)</f>
        <v>36651.544642857138</v>
      </c>
      <c r="AL26" s="71">
        <f>SUBTOTAL(9,AL24:AL25)</f>
        <v>36205.104642857135</v>
      </c>
      <c r="AM26" s="71">
        <f>SUBTOTAL(9,AM24:AM25)</f>
        <v>4344.6125571428565</v>
      </c>
      <c r="AN26" s="71">
        <f t="shared" si="20"/>
        <v>40549.717199999992</v>
      </c>
      <c r="AO26" s="77">
        <f t="shared" ref="AO26:BP26" si="27">SUBTOTAL(9,AO24:AO25)</f>
        <v>505</v>
      </c>
      <c r="AP26" s="77">
        <f t="shared" si="27"/>
        <v>0</v>
      </c>
      <c r="AQ26" s="77">
        <f t="shared" si="27"/>
        <v>760</v>
      </c>
      <c r="AR26" s="77">
        <f t="shared" si="27"/>
        <v>245</v>
      </c>
      <c r="AS26" s="77">
        <f t="shared" si="27"/>
        <v>0</v>
      </c>
      <c r="AT26" s="77">
        <f t="shared" si="27"/>
        <v>0</v>
      </c>
      <c r="AU26" s="77">
        <f t="shared" si="27"/>
        <v>0</v>
      </c>
      <c r="AV26" s="77">
        <f t="shared" si="27"/>
        <v>0</v>
      </c>
      <c r="AW26" s="77">
        <f t="shared" si="27"/>
        <v>0</v>
      </c>
      <c r="AX26" s="77">
        <f t="shared" si="27"/>
        <v>0</v>
      </c>
      <c r="AY26" s="77">
        <f t="shared" si="27"/>
        <v>0</v>
      </c>
      <c r="AZ26" s="71">
        <f t="shared" si="27"/>
        <v>0</v>
      </c>
      <c r="BA26" s="76">
        <f t="shared" si="27"/>
        <v>0</v>
      </c>
      <c r="BB26" s="76">
        <f t="shared" si="27"/>
        <v>0</v>
      </c>
      <c r="BC26" s="71">
        <f t="shared" si="27"/>
        <v>0</v>
      </c>
      <c r="BD26" s="71">
        <f t="shared" si="27"/>
        <v>0</v>
      </c>
      <c r="BE26" s="77">
        <f t="shared" si="27"/>
        <v>0</v>
      </c>
      <c r="BF26" s="77">
        <f t="shared" si="27"/>
        <v>0</v>
      </c>
      <c r="BG26" s="77">
        <f t="shared" si="27"/>
        <v>0</v>
      </c>
      <c r="BH26" s="77">
        <f t="shared" si="27"/>
        <v>0</v>
      </c>
      <c r="BI26" s="77">
        <f t="shared" si="27"/>
        <v>0</v>
      </c>
      <c r="BJ26" s="77">
        <f t="shared" si="27"/>
        <v>0</v>
      </c>
      <c r="BK26" s="77">
        <f t="shared" si="27"/>
        <v>0</v>
      </c>
      <c r="BL26" s="77">
        <f t="shared" si="27"/>
        <v>0</v>
      </c>
      <c r="BM26" s="77">
        <f t="shared" si="27"/>
        <v>0</v>
      </c>
      <c r="BN26" s="77">
        <f t="shared" si="27"/>
        <v>0</v>
      </c>
      <c r="BO26" s="77">
        <f t="shared" si="27"/>
        <v>0</v>
      </c>
      <c r="BP26" s="77">
        <f t="shared" si="27"/>
        <v>0</v>
      </c>
      <c r="BQ26" s="77"/>
      <c r="BR26" s="71">
        <f>SUBTOTAL(9,BR24:BR25)</f>
        <v>0</v>
      </c>
    </row>
    <row r="27" spans="1:125" x14ac:dyDescent="0.25">
      <c r="A27" s="1">
        <f>+A24+1</f>
        <v>43837</v>
      </c>
      <c r="B27" s="61" t="s">
        <v>74</v>
      </c>
      <c r="C27" s="62">
        <v>22310.95</v>
      </c>
      <c r="D27" s="56">
        <v>12060.22</v>
      </c>
      <c r="E27" s="56">
        <v>12061</v>
      </c>
      <c r="F27" s="63">
        <v>43837</v>
      </c>
      <c r="G27" s="62"/>
      <c r="H27" s="62">
        <f>IF(E27-D27&gt;0,E27-D27,0)</f>
        <v>0.78000000000065484</v>
      </c>
      <c r="I27" s="56"/>
      <c r="J27" s="56"/>
      <c r="K27" s="56">
        <v>9796.14</v>
      </c>
      <c r="L27" s="56"/>
      <c r="M27" s="62">
        <f>(+K27)*M$5</f>
        <v>210.61700999999996</v>
      </c>
      <c r="N27" s="62">
        <f>(+K27)*N$5</f>
        <v>48.980699999999999</v>
      </c>
      <c r="O27" s="62">
        <f>+K27-M27-N27+P27</f>
        <v>9536.5422899999994</v>
      </c>
      <c r="P27" s="62"/>
      <c r="Q27" s="64"/>
      <c r="R27" s="56"/>
      <c r="S27" s="56"/>
      <c r="T27" s="62"/>
      <c r="U27" s="62"/>
      <c r="V27" s="62"/>
      <c r="W27" s="62"/>
      <c r="X27" s="64"/>
      <c r="Y27" s="56"/>
      <c r="Z27" s="56">
        <v>21.25</v>
      </c>
      <c r="AA27" s="56"/>
      <c r="AB27" s="56"/>
      <c r="AC27" s="56">
        <v>433.34</v>
      </c>
      <c r="AD27" s="65"/>
      <c r="AE27" s="65"/>
      <c r="AF27" s="56">
        <v>1770.94</v>
      </c>
      <c r="AG27" s="62">
        <f>(AF27*0.8)*0.85</f>
        <v>1204.2392000000002</v>
      </c>
      <c r="AH27" s="62">
        <f>(AF27*0.8)*0.15</f>
        <v>212.51280000000003</v>
      </c>
      <c r="AI27" s="62">
        <f>AF27*0.2</f>
        <v>354.18800000000005</v>
      </c>
      <c r="AJ27" s="56">
        <v>0</v>
      </c>
      <c r="AK27" s="62">
        <f>(C27-AF27-AJ27)/1.12</f>
        <v>18339.294642857141</v>
      </c>
      <c r="AL27" s="62">
        <f>AK27-SUM(Y27:AC27)</f>
        <v>17884.704642857141</v>
      </c>
      <c r="AM27" s="62">
        <f>+AL27*0.12</f>
        <v>2146.1645571428567</v>
      </c>
      <c r="AN27" s="62">
        <f t="shared" si="20"/>
        <v>20030.869199999997</v>
      </c>
      <c r="AO27" s="66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2">
        <f>SUM(AO27:AY27)</f>
        <v>0</v>
      </c>
      <c r="BA27" s="65"/>
      <c r="BB27" s="65"/>
      <c r="BC27" s="62">
        <f>SUM(BE27:BL27)*0.1+(BM27*0.5)</f>
        <v>0</v>
      </c>
      <c r="BD27" s="62">
        <f>SUM(BE27:BL27)+(BM27*0.5)</f>
        <v>0</v>
      </c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8">
        <f>AZ27+BA27+BB27+BD27-BC27</f>
        <v>0</v>
      </c>
      <c r="BT27" s="82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</row>
    <row r="28" spans="1:125" x14ac:dyDescent="0.25">
      <c r="A28" s="1"/>
      <c r="B28" s="32" t="s">
        <v>76</v>
      </c>
      <c r="C28" s="62">
        <v>14007.18</v>
      </c>
      <c r="D28" s="56">
        <v>9700.75</v>
      </c>
      <c r="E28" s="56">
        <v>9701</v>
      </c>
      <c r="F28" s="63">
        <v>43838</v>
      </c>
      <c r="G28" s="62"/>
      <c r="H28" s="62">
        <f>IF(E28-D28&gt;0,E28-D28,0)</f>
        <v>0.25</v>
      </c>
      <c r="I28" s="56"/>
      <c r="J28" s="56"/>
      <c r="K28" s="56">
        <v>4277.68</v>
      </c>
      <c r="L28" s="56"/>
      <c r="M28" s="62">
        <f>(+K28)*M$5</f>
        <v>91.970119999999994</v>
      </c>
      <c r="N28" s="62">
        <f>(+K28)*N$5</f>
        <v>21.388400000000001</v>
      </c>
      <c r="O28" s="62">
        <f>+K28-M28-N28+P28</f>
        <v>4164.3214800000005</v>
      </c>
      <c r="P28" s="62"/>
      <c r="Q28" s="64"/>
      <c r="R28" s="56"/>
      <c r="S28" s="56"/>
      <c r="T28" s="62"/>
      <c r="U28" s="62"/>
      <c r="V28" s="62"/>
      <c r="W28" s="62"/>
      <c r="X28" s="64"/>
      <c r="Y28" s="56"/>
      <c r="Z28" s="56">
        <v>28.75</v>
      </c>
      <c r="AA28" s="56"/>
      <c r="AB28" s="56"/>
      <c r="AC28" s="56"/>
      <c r="AD28" s="65"/>
      <c r="AE28" s="65"/>
      <c r="AF28" s="56">
        <v>1037.18</v>
      </c>
      <c r="AG28" s="62">
        <f>(AF28*0.8)*0.85</f>
        <v>705.28240000000005</v>
      </c>
      <c r="AH28" s="62">
        <f>(AF28*0.8)*0.15</f>
        <v>124.46160000000002</v>
      </c>
      <c r="AI28" s="62">
        <f>AF28*0.2</f>
        <v>207.43600000000004</v>
      </c>
      <c r="AJ28" s="56">
        <v>0</v>
      </c>
      <c r="AK28" s="62">
        <f>(C28-AF28-AJ28)/1.12</f>
        <v>11580.357142857141</v>
      </c>
      <c r="AL28" s="62">
        <f>AK28-SUM(Y28:AC28)</f>
        <v>11551.607142857141</v>
      </c>
      <c r="AM28" s="62">
        <f>+AL28*0.12</f>
        <v>1386.1928571428568</v>
      </c>
      <c r="AN28" s="62">
        <f t="shared" si="20"/>
        <v>12937.799999999997</v>
      </c>
      <c r="AO28" s="66">
        <v>175</v>
      </c>
      <c r="AP28" s="67">
        <v>1505</v>
      </c>
      <c r="AQ28" s="67"/>
      <c r="AR28" s="67"/>
      <c r="AS28" s="67"/>
      <c r="AT28" s="67"/>
      <c r="AU28" s="67"/>
      <c r="AV28" s="67"/>
      <c r="AW28" s="67"/>
      <c r="AX28" s="67"/>
      <c r="AY28" s="67"/>
      <c r="AZ28" s="62">
        <f>SUM(AO28:AY28)</f>
        <v>1680</v>
      </c>
      <c r="BA28" s="65">
        <v>1995</v>
      </c>
      <c r="BB28" s="65"/>
      <c r="BC28" s="62">
        <v>0</v>
      </c>
      <c r="BD28" s="62">
        <f>SUM(BE28:BL28)+(BM28*0.5)</f>
        <v>0</v>
      </c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8">
        <f>AZ28+BA28+BB28+BD28-BC28</f>
        <v>3675</v>
      </c>
      <c r="BT28" s="82"/>
      <c r="BU28" s="83"/>
      <c r="BV28" s="83"/>
      <c r="BW28" s="83"/>
      <c r="BX28" s="83"/>
      <c r="BY28" s="83"/>
      <c r="BZ28" s="83"/>
      <c r="CA28" s="83"/>
      <c r="CB28" s="83"/>
      <c r="CC28" s="83"/>
      <c r="CD28" s="83"/>
      <c r="CE28" s="83"/>
      <c r="CF28" s="83"/>
      <c r="CG28" s="83"/>
      <c r="CH28" s="83"/>
      <c r="CI28" s="83"/>
      <c r="CJ28" s="83"/>
      <c r="CK28" s="83"/>
      <c r="CL28" s="83"/>
      <c r="CM28" s="83"/>
      <c r="CN28" s="83"/>
      <c r="CO28" s="83"/>
      <c r="CP28" s="83"/>
      <c r="CQ28" s="83"/>
      <c r="CR28" s="83"/>
      <c r="CS28" s="83"/>
    </row>
    <row r="29" spans="1:125" x14ac:dyDescent="0.25">
      <c r="A29" s="87"/>
      <c r="B29" s="70"/>
      <c r="C29" s="71">
        <f>SUBTOTAL(9,C27:C28)</f>
        <v>36318.130000000005</v>
      </c>
      <c r="D29" s="72">
        <f>SUBTOTAL(9,D27:D28)</f>
        <v>21760.97</v>
      </c>
      <c r="E29" s="72">
        <f>SUBTOTAL(9,E27:E28)</f>
        <v>21762</v>
      </c>
      <c r="F29" s="74"/>
      <c r="G29" s="72">
        <f t="shared" ref="G29:P29" si="28">SUBTOTAL(9,G27:G28)</f>
        <v>0</v>
      </c>
      <c r="H29" s="72">
        <f t="shared" si="28"/>
        <v>1.0300000000006548</v>
      </c>
      <c r="I29" s="72">
        <f t="shared" si="28"/>
        <v>0</v>
      </c>
      <c r="J29" s="72">
        <f t="shared" si="28"/>
        <v>0</v>
      </c>
      <c r="K29" s="73">
        <f t="shared" si="28"/>
        <v>14073.82</v>
      </c>
      <c r="L29" s="72">
        <f t="shared" si="28"/>
        <v>0</v>
      </c>
      <c r="M29" s="71">
        <f t="shared" si="28"/>
        <v>302.58712999999995</v>
      </c>
      <c r="N29" s="71">
        <f t="shared" si="28"/>
        <v>70.369100000000003</v>
      </c>
      <c r="O29" s="71">
        <f t="shared" si="28"/>
        <v>13700.86377</v>
      </c>
      <c r="P29" s="71">
        <f t="shared" si="28"/>
        <v>0</v>
      </c>
      <c r="Q29" s="74"/>
      <c r="R29" s="72">
        <f t="shared" ref="R29:W29" si="29">SUBTOTAL(9,R27:R28)</f>
        <v>0</v>
      </c>
      <c r="S29" s="72">
        <f t="shared" si="29"/>
        <v>0</v>
      </c>
      <c r="T29" s="71">
        <f t="shared" si="29"/>
        <v>0</v>
      </c>
      <c r="U29" s="71">
        <f t="shared" si="29"/>
        <v>0</v>
      </c>
      <c r="V29" s="71">
        <f t="shared" si="29"/>
        <v>0</v>
      </c>
      <c r="W29" s="71">
        <f t="shared" si="29"/>
        <v>0</v>
      </c>
      <c r="X29" s="74"/>
      <c r="Y29" s="72">
        <f>SUBTOTAL(9,Y27:Y28)</f>
        <v>0</v>
      </c>
      <c r="Z29" s="72"/>
      <c r="AA29" s="72"/>
      <c r="AB29" s="72"/>
      <c r="AC29" s="72"/>
      <c r="AD29" s="76"/>
      <c r="AE29" s="76"/>
      <c r="AF29" s="72"/>
      <c r="AG29" s="71">
        <f t="shared" ref="AG29:AM29" si="30">SUBTOTAL(9,AG27:AG28)</f>
        <v>1909.5216000000003</v>
      </c>
      <c r="AH29" s="71">
        <f t="shared" si="30"/>
        <v>336.97440000000006</v>
      </c>
      <c r="AI29" s="71">
        <f t="shared" si="30"/>
        <v>561.62400000000002</v>
      </c>
      <c r="AJ29" s="72">
        <f t="shared" si="30"/>
        <v>0</v>
      </c>
      <c r="AK29" s="71">
        <f t="shared" si="30"/>
        <v>29919.651785714283</v>
      </c>
      <c r="AL29" s="71">
        <f t="shared" si="30"/>
        <v>29436.311785714282</v>
      </c>
      <c r="AM29" s="71">
        <f t="shared" si="30"/>
        <v>3532.3574142857133</v>
      </c>
      <c r="AN29" s="71">
        <f t="shared" si="20"/>
        <v>32968.669199999997</v>
      </c>
      <c r="AO29" s="77">
        <f t="shared" ref="AO29:BP29" si="31">SUBTOTAL(9,AO27:AO28)</f>
        <v>175</v>
      </c>
      <c r="AP29" s="77">
        <f t="shared" si="31"/>
        <v>1505</v>
      </c>
      <c r="AQ29" s="77">
        <f t="shared" si="31"/>
        <v>0</v>
      </c>
      <c r="AR29" s="77">
        <f t="shared" si="31"/>
        <v>0</v>
      </c>
      <c r="AS29" s="77">
        <f t="shared" si="31"/>
        <v>0</v>
      </c>
      <c r="AT29" s="77">
        <f t="shared" si="31"/>
        <v>0</v>
      </c>
      <c r="AU29" s="77">
        <f t="shared" si="31"/>
        <v>0</v>
      </c>
      <c r="AV29" s="77">
        <f t="shared" si="31"/>
        <v>0</v>
      </c>
      <c r="AW29" s="77">
        <f t="shared" si="31"/>
        <v>0</v>
      </c>
      <c r="AX29" s="77">
        <f t="shared" si="31"/>
        <v>0</v>
      </c>
      <c r="AY29" s="77">
        <f t="shared" si="31"/>
        <v>0</v>
      </c>
      <c r="AZ29" s="71">
        <f t="shared" si="31"/>
        <v>1680</v>
      </c>
      <c r="BA29" s="76">
        <f t="shared" si="31"/>
        <v>1995</v>
      </c>
      <c r="BB29" s="76">
        <f t="shared" si="31"/>
        <v>0</v>
      </c>
      <c r="BC29" s="71">
        <f t="shared" si="31"/>
        <v>0</v>
      </c>
      <c r="BD29" s="71">
        <f t="shared" si="31"/>
        <v>0</v>
      </c>
      <c r="BE29" s="77">
        <f t="shared" si="31"/>
        <v>0</v>
      </c>
      <c r="BF29" s="77">
        <f t="shared" si="31"/>
        <v>0</v>
      </c>
      <c r="BG29" s="77">
        <f t="shared" si="31"/>
        <v>0</v>
      </c>
      <c r="BH29" s="77">
        <f t="shared" si="31"/>
        <v>0</v>
      </c>
      <c r="BI29" s="77">
        <f t="shared" si="31"/>
        <v>0</v>
      </c>
      <c r="BJ29" s="77">
        <f t="shared" si="31"/>
        <v>0</v>
      </c>
      <c r="BK29" s="77">
        <f t="shared" si="31"/>
        <v>0</v>
      </c>
      <c r="BL29" s="77">
        <f t="shared" si="31"/>
        <v>0</v>
      </c>
      <c r="BM29" s="77">
        <f t="shared" si="31"/>
        <v>0</v>
      </c>
      <c r="BN29" s="77">
        <f t="shared" si="31"/>
        <v>0</v>
      </c>
      <c r="BO29" s="77">
        <f t="shared" si="31"/>
        <v>0</v>
      </c>
      <c r="BP29" s="77">
        <f t="shared" si="31"/>
        <v>0</v>
      </c>
      <c r="BQ29" s="77"/>
      <c r="BR29" s="71">
        <f>SUBTOTAL(9,BR27:BR28)</f>
        <v>3675</v>
      </c>
    </row>
    <row r="30" spans="1:125" x14ac:dyDescent="0.25">
      <c r="A30" s="1">
        <f>+A27+1</f>
        <v>43838</v>
      </c>
      <c r="B30" s="61" t="s">
        <v>74</v>
      </c>
      <c r="C30" s="62">
        <v>22944.14</v>
      </c>
      <c r="D30" s="56">
        <v>16187.26</v>
      </c>
      <c r="E30" s="56">
        <v>16190</v>
      </c>
      <c r="F30" s="63">
        <v>43838</v>
      </c>
      <c r="G30" s="62">
        <f>IF(E30-D30&lt;0,E30-D30,0)*-1</f>
        <v>0</v>
      </c>
      <c r="H30" s="62">
        <f>IF(E30-D30&gt;0,E30-D30,0)</f>
        <v>2.7399999999997817</v>
      </c>
      <c r="I30" s="56"/>
      <c r="J30" s="56"/>
      <c r="K30" s="56">
        <v>5562.24</v>
      </c>
      <c r="L30" s="56"/>
      <c r="M30" s="62">
        <f>(+K30)*M$5</f>
        <v>119.58815999999999</v>
      </c>
      <c r="N30" s="62">
        <f>(+K30)*N$5</f>
        <v>27.811199999999999</v>
      </c>
      <c r="O30" s="62">
        <f>+K30-M30-N30+P30</f>
        <v>5414.8406399999994</v>
      </c>
      <c r="P30" s="62"/>
      <c r="Q30" s="64"/>
      <c r="R30" s="56"/>
      <c r="S30" s="56"/>
      <c r="T30" s="62"/>
      <c r="U30" s="62"/>
      <c r="V30" s="62"/>
      <c r="W30" s="62"/>
      <c r="X30" s="64"/>
      <c r="Y30" s="56"/>
      <c r="Z30" s="56">
        <v>52.5</v>
      </c>
      <c r="AA30" s="56"/>
      <c r="AB30" s="56"/>
      <c r="AC30" s="56">
        <v>547.14</v>
      </c>
      <c r="AD30" s="65" t="s">
        <v>77</v>
      </c>
      <c r="AE30" s="65">
        <v>595</v>
      </c>
      <c r="AF30" s="56">
        <v>1634.43</v>
      </c>
      <c r="AG30" s="62">
        <f>(AF30*0.8)*0.85</f>
        <v>1111.4124000000002</v>
      </c>
      <c r="AH30" s="62">
        <f>(AF30*0.8)*0.15</f>
        <v>196.13160000000002</v>
      </c>
      <c r="AI30" s="62">
        <f>AF30*0.2</f>
        <v>326.88600000000002</v>
      </c>
      <c r="AJ30" s="56">
        <v>0</v>
      </c>
      <c r="AK30" s="62">
        <f>(C30-AF30-AJ30)/1.12</f>
        <v>19026.526785714283</v>
      </c>
      <c r="AL30" s="62">
        <f>AK30-SUM(Y30:AC30)</f>
        <v>18426.886785714283</v>
      </c>
      <c r="AM30" s="62">
        <f>+AL30*0.12</f>
        <v>2211.2264142857139</v>
      </c>
      <c r="AN30" s="62">
        <f t="shared" si="20"/>
        <v>20638.113199999996</v>
      </c>
      <c r="AO30" s="66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2">
        <f>SUM(AO30:AY30)</f>
        <v>0</v>
      </c>
      <c r="BA30" s="65"/>
      <c r="BB30" s="65"/>
      <c r="BC30" s="62">
        <f>SUM(BE30:BL30)*0.1+(BM30*0.5)</f>
        <v>0</v>
      </c>
      <c r="BD30" s="62">
        <f>SUM(BE30:BL30)+(BM30*0.5)</f>
        <v>0</v>
      </c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8">
        <f>AZ30+BA30+BB30+BD30-BC30</f>
        <v>0</v>
      </c>
      <c r="BT30" s="82"/>
      <c r="BU30" s="83"/>
      <c r="BV30" s="83"/>
      <c r="BW30" s="83"/>
      <c r="BX30" s="83"/>
      <c r="BY30" s="83"/>
      <c r="BZ30" s="83"/>
      <c r="CA30" s="83"/>
      <c r="CB30" s="83"/>
      <c r="CC30" s="83"/>
      <c r="CD30" s="83"/>
      <c r="CE30" s="83"/>
      <c r="CF30" s="83"/>
      <c r="CG30" s="83"/>
      <c r="CH30" s="83"/>
      <c r="CI30" s="83"/>
      <c r="CJ30" s="83"/>
      <c r="CK30" s="83"/>
      <c r="CL30" s="83"/>
      <c r="CM30" s="83"/>
      <c r="CN30" s="83"/>
      <c r="CO30" s="83"/>
      <c r="CP30" s="83"/>
      <c r="CQ30" s="83"/>
      <c r="CR30" s="83"/>
      <c r="CS30" s="83"/>
    </row>
    <row r="31" spans="1:125" x14ac:dyDescent="0.25">
      <c r="A31" s="1"/>
      <c r="B31" s="32" t="s">
        <v>76</v>
      </c>
      <c r="C31" s="62">
        <v>23744.41</v>
      </c>
      <c r="D31" s="56">
        <v>13250.34</v>
      </c>
      <c r="E31" s="56">
        <v>13251</v>
      </c>
      <c r="F31" s="63">
        <v>43839</v>
      </c>
      <c r="G31" s="62">
        <f>IF(E31-D31&lt;0,E31-D31,0)*-1</f>
        <v>0</v>
      </c>
      <c r="H31" s="62">
        <f>IF(E31-D31&gt;0,E31-D31,0)</f>
        <v>0.65999999999985448</v>
      </c>
      <c r="I31" s="56">
        <v>600</v>
      </c>
      <c r="J31" s="56"/>
      <c r="K31" s="56">
        <v>9038.48</v>
      </c>
      <c r="L31" s="56"/>
      <c r="M31" s="62">
        <f>(+K31)*M$5</f>
        <v>194.32731999999999</v>
      </c>
      <c r="N31" s="62">
        <f>(+K31)*N$5</f>
        <v>45.192399999999999</v>
      </c>
      <c r="O31" s="62">
        <f>+K31-M31-N31+P31</f>
        <v>8798.9602799999993</v>
      </c>
      <c r="P31" s="62"/>
      <c r="Q31" s="64"/>
      <c r="R31" s="56"/>
      <c r="S31" s="56"/>
      <c r="T31" s="62"/>
      <c r="U31" s="62"/>
      <c r="V31" s="62"/>
      <c r="W31" s="62"/>
      <c r="X31" s="64"/>
      <c r="Y31" s="56"/>
      <c r="Z31" s="56">
        <v>224.25</v>
      </c>
      <c r="AA31" s="56"/>
      <c r="AB31" s="56"/>
      <c r="AC31" s="56">
        <v>126.34</v>
      </c>
      <c r="AD31" s="65" t="s">
        <v>77</v>
      </c>
      <c r="AE31" s="65">
        <v>505</v>
      </c>
      <c r="AF31" s="56">
        <v>1785.21</v>
      </c>
      <c r="AG31" s="62">
        <f>(AF31*0.8)*0.85</f>
        <v>1213.9428</v>
      </c>
      <c r="AH31" s="62">
        <f>(AF31*0.8)*0.15</f>
        <v>214.2252</v>
      </c>
      <c r="AI31" s="62">
        <f>AF31*0.2</f>
        <v>357.04200000000003</v>
      </c>
      <c r="AJ31" s="56">
        <v>0</v>
      </c>
      <c r="AK31" s="62">
        <f>(C31-AF31-AJ31)/1.12</f>
        <v>19606.428571428569</v>
      </c>
      <c r="AL31" s="62">
        <f>AK31-SUM(Y31:AC31)</f>
        <v>19255.838571428569</v>
      </c>
      <c r="AM31" s="62">
        <f>+AL31*0.12</f>
        <v>2310.7006285714283</v>
      </c>
      <c r="AN31" s="62">
        <f t="shared" si="20"/>
        <v>21566.539199999996</v>
      </c>
      <c r="AO31" s="66">
        <v>185</v>
      </c>
      <c r="AP31" s="67"/>
      <c r="AQ31" s="67"/>
      <c r="AR31" s="67">
        <v>430</v>
      </c>
      <c r="AS31" s="67"/>
      <c r="AT31" s="67"/>
      <c r="AU31" s="67"/>
      <c r="AV31" s="67"/>
      <c r="AW31" s="67"/>
      <c r="AX31" s="67"/>
      <c r="AY31" s="67"/>
      <c r="AZ31" s="62">
        <f>SUM(AO31:AY31)</f>
        <v>615</v>
      </c>
      <c r="BA31" s="65"/>
      <c r="BB31" s="65">
        <v>0</v>
      </c>
      <c r="BC31" s="62">
        <v>0</v>
      </c>
      <c r="BD31" s="62">
        <v>0</v>
      </c>
      <c r="BE31" s="66">
        <v>0</v>
      </c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8">
        <f>AZ31+BA31+BB31+BD31-BC31</f>
        <v>615</v>
      </c>
      <c r="BT31" s="82"/>
      <c r="BU31" s="83"/>
      <c r="BV31" s="83"/>
      <c r="BW31" s="83"/>
      <c r="BX31" s="83"/>
      <c r="BY31" s="83"/>
      <c r="BZ31" s="83"/>
      <c r="CA31" s="83"/>
      <c r="CB31" s="83"/>
      <c r="CC31" s="83"/>
      <c r="CD31" s="83"/>
      <c r="CE31" s="83"/>
      <c r="CF31" s="83"/>
      <c r="CG31" s="83"/>
      <c r="CH31" s="83"/>
      <c r="CI31" s="83"/>
      <c r="CJ31" s="83"/>
      <c r="CK31" s="83"/>
      <c r="CL31" s="83"/>
      <c r="CM31" s="83"/>
      <c r="CN31" s="83"/>
      <c r="CO31" s="83"/>
      <c r="CP31" s="83"/>
      <c r="CQ31" s="83"/>
      <c r="CR31" s="83"/>
      <c r="CS31" s="83"/>
    </row>
    <row r="32" spans="1:125" x14ac:dyDescent="0.25">
      <c r="A32" s="87"/>
      <c r="B32" s="70"/>
      <c r="C32" s="71">
        <f>SUBTOTAL(9,C30:C31)</f>
        <v>46688.55</v>
      </c>
      <c r="D32" s="72">
        <f>SUBTOTAL(9,D30:D31)</f>
        <v>29437.599999999999</v>
      </c>
      <c r="E32" s="72">
        <f>SUBTOTAL(9,E30:E31)</f>
        <v>29441</v>
      </c>
      <c r="F32" s="74"/>
      <c r="G32" s="72">
        <f t="shared" ref="G32:P32" si="32">SUBTOTAL(9,G30:G31)</f>
        <v>0</v>
      </c>
      <c r="H32" s="72">
        <f t="shared" si="32"/>
        <v>3.3999999999996362</v>
      </c>
      <c r="I32" s="72">
        <f t="shared" si="32"/>
        <v>600</v>
      </c>
      <c r="J32" s="72">
        <f t="shared" si="32"/>
        <v>0</v>
      </c>
      <c r="K32" s="73">
        <f t="shared" si="32"/>
        <v>14600.72</v>
      </c>
      <c r="L32" s="72">
        <f t="shared" si="32"/>
        <v>0</v>
      </c>
      <c r="M32" s="71">
        <f t="shared" si="32"/>
        <v>313.91548</v>
      </c>
      <c r="N32" s="71">
        <f t="shared" si="32"/>
        <v>73.003600000000006</v>
      </c>
      <c r="O32" s="71">
        <f t="shared" si="32"/>
        <v>14213.800919999998</v>
      </c>
      <c r="P32" s="71">
        <f t="shared" si="32"/>
        <v>0</v>
      </c>
      <c r="Q32" s="74"/>
      <c r="R32" s="72">
        <f t="shared" ref="R32:W32" si="33">SUBTOTAL(9,R30:R31)</f>
        <v>0</v>
      </c>
      <c r="S32" s="72">
        <f t="shared" si="33"/>
        <v>0</v>
      </c>
      <c r="T32" s="71">
        <f t="shared" si="33"/>
        <v>0</v>
      </c>
      <c r="U32" s="71">
        <f t="shared" si="33"/>
        <v>0</v>
      </c>
      <c r="V32" s="71">
        <f t="shared" si="33"/>
        <v>0</v>
      </c>
      <c r="W32" s="71">
        <f t="shared" si="33"/>
        <v>0</v>
      </c>
      <c r="X32" s="74"/>
      <c r="Y32" s="72">
        <f>SUBTOTAL(9,Y30:Y31)</f>
        <v>0</v>
      </c>
      <c r="Z32" s="72"/>
      <c r="AA32" s="72"/>
      <c r="AB32" s="72"/>
      <c r="AC32" s="72"/>
      <c r="AD32" s="76"/>
      <c r="AE32" s="76"/>
      <c r="AF32" s="72"/>
      <c r="AG32" s="71">
        <f t="shared" ref="AG32:AM32" si="34">SUBTOTAL(9,AG30:AG31)</f>
        <v>2325.3552</v>
      </c>
      <c r="AH32" s="71">
        <f t="shared" si="34"/>
        <v>410.35680000000002</v>
      </c>
      <c r="AI32" s="71">
        <f t="shared" si="34"/>
        <v>683.92800000000011</v>
      </c>
      <c r="AJ32" s="72">
        <f t="shared" si="34"/>
        <v>0</v>
      </c>
      <c r="AK32" s="71">
        <f t="shared" si="34"/>
        <v>38632.955357142855</v>
      </c>
      <c r="AL32" s="71">
        <f t="shared" si="34"/>
        <v>37682.725357142852</v>
      </c>
      <c r="AM32" s="71">
        <f t="shared" si="34"/>
        <v>4521.9270428571417</v>
      </c>
      <c r="AN32" s="71">
        <f t="shared" si="20"/>
        <v>42204.652399999992</v>
      </c>
      <c r="AO32" s="77">
        <f>SUBTOTAL(9,AO30:AO31)</f>
        <v>185</v>
      </c>
      <c r="AP32" s="77" t="s">
        <v>79</v>
      </c>
      <c r="AQ32" s="77">
        <f t="shared" ref="AQ32:BP32" si="35">SUBTOTAL(9,AQ30:AQ31)</f>
        <v>0</v>
      </c>
      <c r="AR32" s="77">
        <f t="shared" si="35"/>
        <v>430</v>
      </c>
      <c r="AS32" s="77">
        <f t="shared" si="35"/>
        <v>0</v>
      </c>
      <c r="AT32" s="77">
        <f t="shared" si="35"/>
        <v>0</v>
      </c>
      <c r="AU32" s="77">
        <f t="shared" si="35"/>
        <v>0</v>
      </c>
      <c r="AV32" s="77">
        <f t="shared" si="35"/>
        <v>0</v>
      </c>
      <c r="AW32" s="77">
        <f t="shared" si="35"/>
        <v>0</v>
      </c>
      <c r="AX32" s="77">
        <f t="shared" si="35"/>
        <v>0</v>
      </c>
      <c r="AY32" s="77">
        <f t="shared" si="35"/>
        <v>0</v>
      </c>
      <c r="AZ32" s="71">
        <f t="shared" si="35"/>
        <v>615</v>
      </c>
      <c r="BA32" s="76">
        <f t="shared" si="35"/>
        <v>0</v>
      </c>
      <c r="BB32" s="76">
        <f t="shared" si="35"/>
        <v>0</v>
      </c>
      <c r="BC32" s="71">
        <f t="shared" si="35"/>
        <v>0</v>
      </c>
      <c r="BD32" s="71">
        <f t="shared" si="35"/>
        <v>0</v>
      </c>
      <c r="BE32" s="77">
        <f t="shared" si="35"/>
        <v>0</v>
      </c>
      <c r="BF32" s="77">
        <f t="shared" si="35"/>
        <v>0</v>
      </c>
      <c r="BG32" s="77">
        <f t="shared" si="35"/>
        <v>0</v>
      </c>
      <c r="BH32" s="77">
        <f t="shared" si="35"/>
        <v>0</v>
      </c>
      <c r="BI32" s="77">
        <f t="shared" si="35"/>
        <v>0</v>
      </c>
      <c r="BJ32" s="77">
        <f t="shared" si="35"/>
        <v>0</v>
      </c>
      <c r="BK32" s="77">
        <f t="shared" si="35"/>
        <v>0</v>
      </c>
      <c r="BL32" s="77">
        <f t="shared" si="35"/>
        <v>0</v>
      </c>
      <c r="BM32" s="77">
        <f t="shared" si="35"/>
        <v>0</v>
      </c>
      <c r="BN32" s="77">
        <f t="shared" si="35"/>
        <v>0</v>
      </c>
      <c r="BO32" s="77">
        <f t="shared" si="35"/>
        <v>0</v>
      </c>
      <c r="BP32" s="77">
        <f t="shared" si="35"/>
        <v>0</v>
      </c>
      <c r="BQ32" s="77"/>
      <c r="BR32" s="71">
        <f>SUBTOTAL(9,BR30:BR31)</f>
        <v>615</v>
      </c>
    </row>
    <row r="33" spans="1:97" x14ac:dyDescent="0.25">
      <c r="A33" s="1">
        <f>+A30+1</f>
        <v>43839</v>
      </c>
      <c r="B33" s="61" t="s">
        <v>74</v>
      </c>
      <c r="C33" s="62">
        <v>25102</v>
      </c>
      <c r="D33" s="56">
        <v>15551.78</v>
      </c>
      <c r="E33" s="56">
        <v>15552</v>
      </c>
      <c r="F33" s="63">
        <v>43839</v>
      </c>
      <c r="G33" s="62">
        <f>IF(E33-D33&lt;0,E33-D33,0)*-1</f>
        <v>0</v>
      </c>
      <c r="H33" s="62">
        <f>IF(E33-D33&gt;0,E33-D33,0)</f>
        <v>0.21999999999934516</v>
      </c>
      <c r="I33" s="56"/>
      <c r="J33" s="56"/>
      <c r="K33" s="56">
        <v>8024.13</v>
      </c>
      <c r="L33" s="56"/>
      <c r="M33" s="62">
        <f>(+K33)*M$5</f>
        <v>172.51879499999998</v>
      </c>
      <c r="N33" s="62">
        <f>(+K33)*N$5</f>
        <v>40.120650000000005</v>
      </c>
      <c r="O33" s="62">
        <f>+K33-M33-N33+P33</f>
        <v>7811.4905550000003</v>
      </c>
      <c r="P33" s="62"/>
      <c r="Q33" s="64"/>
      <c r="R33" s="56"/>
      <c r="S33" s="56"/>
      <c r="T33" s="62"/>
      <c r="U33" s="62"/>
      <c r="V33" s="62"/>
      <c r="W33" s="62"/>
      <c r="X33" s="64"/>
      <c r="Y33" s="56"/>
      <c r="Z33" s="56">
        <v>84</v>
      </c>
      <c r="AA33" s="56"/>
      <c r="AB33" s="56"/>
      <c r="AC33" s="56">
        <v>272.08999999999997</v>
      </c>
      <c r="AD33" s="65" t="s">
        <v>77</v>
      </c>
      <c r="AE33" s="65">
        <v>1170</v>
      </c>
      <c r="AF33" s="56">
        <v>1735.26</v>
      </c>
      <c r="AG33" s="62">
        <f>(AF33*0.8)*0.85</f>
        <v>1179.9768000000001</v>
      </c>
      <c r="AH33" s="62">
        <f>(AF33*0.8)*0.15</f>
        <v>208.2312</v>
      </c>
      <c r="AI33" s="62">
        <f>AF33*0.2</f>
        <v>347.05200000000002</v>
      </c>
      <c r="AJ33" s="56"/>
      <c r="AK33" s="62">
        <f>(C33-AF33-AJ33)/1.12</f>
        <v>20863.160714285714</v>
      </c>
      <c r="AL33" s="62">
        <f>AK33-SUM(Y33:AC33)</f>
        <v>20507.070714285714</v>
      </c>
      <c r="AM33" s="62">
        <f>+AL33*0.12</f>
        <v>2460.8484857142857</v>
      </c>
      <c r="AN33" s="62">
        <f t="shared" si="20"/>
        <v>22967.9192</v>
      </c>
      <c r="AO33" s="66"/>
      <c r="AP33" s="67">
        <v>0</v>
      </c>
      <c r="AQ33" s="67"/>
      <c r="AR33" s="67"/>
      <c r="AS33" s="67"/>
      <c r="AT33" s="67"/>
      <c r="AU33" s="67"/>
      <c r="AV33" s="67"/>
      <c r="AW33" s="67"/>
      <c r="AX33" s="67"/>
      <c r="AY33" s="67"/>
      <c r="AZ33" s="62">
        <f>SUM(AO33:AY33)</f>
        <v>0</v>
      </c>
      <c r="BA33" s="65"/>
      <c r="BB33" s="65"/>
      <c r="BC33" s="62">
        <f>SUM(BE33:BL33)*0.1+(BM33*0.5)</f>
        <v>0</v>
      </c>
      <c r="BD33" s="62">
        <f>SUM(BE33:BL33)+(BM33*0.5)</f>
        <v>0</v>
      </c>
      <c r="BE33" s="66"/>
      <c r="BF33" s="66"/>
      <c r="BG33" s="66"/>
      <c r="BH33" s="66"/>
      <c r="BI33" s="66"/>
      <c r="BJ33" s="66"/>
      <c r="BK33" s="66"/>
      <c r="BL33" s="66">
        <v>0</v>
      </c>
      <c r="BM33" s="66"/>
      <c r="BN33" s="66"/>
      <c r="BO33" s="66"/>
      <c r="BP33" s="66"/>
      <c r="BQ33" s="66"/>
      <c r="BR33" s="68">
        <f>AZ33+BA33+BB33+BD33-BC33</f>
        <v>0</v>
      </c>
      <c r="BT33" s="82"/>
      <c r="BU33" s="83"/>
      <c r="BV33" s="83"/>
      <c r="BW33" s="83"/>
      <c r="BX33" s="83"/>
      <c r="BY33" s="83"/>
      <c r="BZ33" s="83"/>
      <c r="CA33" s="83"/>
      <c r="CB33" s="83"/>
      <c r="CC33" s="83"/>
      <c r="CD33" s="83"/>
      <c r="CE33" s="83"/>
      <c r="CF33" s="83"/>
      <c r="CG33" s="83"/>
      <c r="CH33" s="83"/>
      <c r="CI33" s="83"/>
      <c r="CJ33" s="83"/>
      <c r="CK33" s="83"/>
      <c r="CL33" s="83"/>
      <c r="CM33" s="83"/>
      <c r="CN33" s="83"/>
      <c r="CO33" s="83"/>
      <c r="CP33" s="83"/>
      <c r="CQ33" s="83"/>
      <c r="CR33" s="83"/>
      <c r="CS33" s="83"/>
    </row>
    <row r="34" spans="1:97" x14ac:dyDescent="0.25">
      <c r="A34" s="1"/>
      <c r="B34" s="32" t="s">
        <v>76</v>
      </c>
      <c r="C34" s="62">
        <v>22369.48</v>
      </c>
      <c r="D34" s="56">
        <v>19485.96</v>
      </c>
      <c r="E34" s="56">
        <v>19490</v>
      </c>
      <c r="F34" s="63">
        <v>43840</v>
      </c>
      <c r="G34" s="62">
        <f>IF(E34-D34&lt;0,E34-D34,0)*-1</f>
        <v>0</v>
      </c>
      <c r="H34" s="62">
        <f>IF(E34-D34&gt;0,E34-D34,0)</f>
        <v>4.0400000000008731</v>
      </c>
      <c r="I34" s="56"/>
      <c r="J34" s="56"/>
      <c r="K34" s="56">
        <v>2234.9499999999998</v>
      </c>
      <c r="L34" s="56"/>
      <c r="M34" s="62">
        <f>(+K34)*M$5</f>
        <v>48.051424999999995</v>
      </c>
      <c r="N34" s="62">
        <f>(+K34)*N$5</f>
        <v>11.17475</v>
      </c>
      <c r="O34" s="62">
        <f>+K34-M34-N34+P34</f>
        <v>2175.7238249999996</v>
      </c>
      <c r="P34" s="62"/>
      <c r="Q34" s="64"/>
      <c r="R34" s="56"/>
      <c r="S34" s="56"/>
      <c r="T34" s="62"/>
      <c r="U34" s="62"/>
      <c r="V34" s="62"/>
      <c r="W34" s="62"/>
      <c r="X34" s="64"/>
      <c r="Y34" s="56"/>
      <c r="Z34" s="56">
        <f>13.25+66.95</f>
        <v>80.2</v>
      </c>
      <c r="AA34" s="56"/>
      <c r="AB34" s="56"/>
      <c r="AC34" s="56">
        <v>103.57</v>
      </c>
      <c r="AD34" s="65" t="s">
        <v>77</v>
      </c>
      <c r="AE34" s="65">
        <v>465</v>
      </c>
      <c r="AF34" s="56">
        <v>1681.62</v>
      </c>
      <c r="AG34" s="62">
        <f>(AF34*0.8)*0.85</f>
        <v>1143.5016000000001</v>
      </c>
      <c r="AH34" s="62">
        <f>(AF34*0.8)*0.15</f>
        <v>201.7944</v>
      </c>
      <c r="AI34" s="62">
        <f>AF34*0.2</f>
        <v>336.32400000000001</v>
      </c>
      <c r="AJ34" s="56">
        <v>0</v>
      </c>
      <c r="AK34" s="62">
        <f>(C34-AF34-AJ34)/1.12</f>
        <v>18471.303571428569</v>
      </c>
      <c r="AL34" s="62">
        <f>AK34-SUM(Y34:AC34)</f>
        <v>18287.533571428568</v>
      </c>
      <c r="AM34" s="62">
        <f>+AL34*0.12</f>
        <v>2194.5040285714281</v>
      </c>
      <c r="AN34" s="62">
        <f t="shared" si="20"/>
        <v>20482.037599999996</v>
      </c>
      <c r="AO34" s="66">
        <v>230</v>
      </c>
      <c r="AP34" s="67"/>
      <c r="AQ34" s="67" t="s">
        <v>79</v>
      </c>
      <c r="AR34" s="67">
        <v>335</v>
      </c>
      <c r="AS34" s="67"/>
      <c r="AT34" s="67"/>
      <c r="AU34" s="67"/>
      <c r="AV34" s="67"/>
      <c r="AW34" s="67"/>
      <c r="AX34" s="67"/>
      <c r="AY34" s="67"/>
      <c r="AZ34" s="62">
        <f>SUM(AO34:AY34)</f>
        <v>565</v>
      </c>
      <c r="BA34" s="65">
        <v>285</v>
      </c>
      <c r="BB34" s="65"/>
      <c r="BC34" s="62">
        <v>0</v>
      </c>
      <c r="BD34" s="62">
        <v>0</v>
      </c>
      <c r="BE34" s="66"/>
      <c r="BF34" s="66"/>
      <c r="BG34" s="66"/>
      <c r="BH34" s="66"/>
      <c r="BI34" s="66"/>
      <c r="BJ34" s="66"/>
      <c r="BK34" s="66"/>
      <c r="BL34" s="66">
        <v>0</v>
      </c>
      <c r="BM34" s="66"/>
      <c r="BN34" s="66"/>
      <c r="BO34" s="66"/>
      <c r="BP34" s="66"/>
      <c r="BQ34" s="66"/>
      <c r="BR34" s="68">
        <f>AZ34+BA34+BB34+BD34-BC34</f>
        <v>850</v>
      </c>
      <c r="BT34" s="82"/>
      <c r="BU34" s="83"/>
      <c r="BV34" s="83"/>
      <c r="BW34" s="83"/>
      <c r="BX34" s="83"/>
      <c r="BY34" s="83"/>
      <c r="BZ34" s="83"/>
      <c r="CA34" s="83"/>
      <c r="CB34" s="83"/>
      <c r="CC34" s="83"/>
      <c r="CD34" s="83"/>
      <c r="CE34" s="83"/>
      <c r="CF34" s="83"/>
      <c r="CG34" s="83"/>
      <c r="CH34" s="83"/>
      <c r="CI34" s="83"/>
      <c r="CJ34" s="83"/>
      <c r="CK34" s="83"/>
      <c r="CL34" s="83"/>
      <c r="CM34" s="83"/>
      <c r="CN34" s="83"/>
      <c r="CO34" s="83"/>
      <c r="CP34" s="83"/>
      <c r="CQ34" s="83"/>
      <c r="CR34" s="83"/>
      <c r="CS34" s="83"/>
    </row>
    <row r="35" spans="1:97" x14ac:dyDescent="0.25">
      <c r="A35" s="87"/>
      <c r="B35" s="70"/>
      <c r="C35" s="71">
        <f>SUBTOTAL(9,C33:C34)</f>
        <v>47471.479999999996</v>
      </c>
      <c r="D35" s="73">
        <f>SUBTOTAL(9,D33:D34)</f>
        <v>35037.74</v>
      </c>
      <c r="E35" s="73">
        <f>SUBTOTAL(9,E33:E34)</f>
        <v>35042</v>
      </c>
      <c r="F35" s="88"/>
      <c r="G35" s="71">
        <f t="shared" ref="G35:Y35" si="36">SUBTOTAL(9,G33:G34)</f>
        <v>0</v>
      </c>
      <c r="H35" s="71">
        <f t="shared" si="36"/>
        <v>4.2600000000002183</v>
      </c>
      <c r="I35" s="73">
        <f t="shared" si="36"/>
        <v>0</v>
      </c>
      <c r="J35" s="73">
        <f t="shared" si="36"/>
        <v>0</v>
      </c>
      <c r="K35" s="73">
        <f t="shared" si="36"/>
        <v>10259.08</v>
      </c>
      <c r="L35" s="73">
        <f t="shared" si="36"/>
        <v>0</v>
      </c>
      <c r="M35" s="71">
        <f t="shared" si="36"/>
        <v>220.57021999999998</v>
      </c>
      <c r="N35" s="71">
        <f t="shared" si="36"/>
        <v>51.295400000000001</v>
      </c>
      <c r="O35" s="71">
        <f t="shared" si="36"/>
        <v>9987.2143799999994</v>
      </c>
      <c r="P35" s="71">
        <f t="shared" si="36"/>
        <v>0</v>
      </c>
      <c r="Q35" s="73">
        <f t="shared" si="36"/>
        <v>0</v>
      </c>
      <c r="R35" s="73">
        <f t="shared" si="36"/>
        <v>0</v>
      </c>
      <c r="S35" s="73">
        <f t="shared" si="36"/>
        <v>0</v>
      </c>
      <c r="T35" s="71">
        <f t="shared" si="36"/>
        <v>0</v>
      </c>
      <c r="U35" s="71">
        <f t="shared" si="36"/>
        <v>0</v>
      </c>
      <c r="V35" s="71">
        <f t="shared" si="36"/>
        <v>0</v>
      </c>
      <c r="W35" s="71">
        <f t="shared" si="36"/>
        <v>0</v>
      </c>
      <c r="X35" s="73">
        <f t="shared" si="36"/>
        <v>0</v>
      </c>
      <c r="Y35" s="73">
        <f t="shared" si="36"/>
        <v>0</v>
      </c>
      <c r="Z35" s="73"/>
      <c r="AA35" s="73"/>
      <c r="AB35" s="73"/>
      <c r="AC35" s="73"/>
      <c r="AD35" s="76"/>
      <c r="AE35" s="76"/>
      <c r="AF35" s="72"/>
      <c r="AG35" s="71">
        <f t="shared" ref="AG35:AM35" si="37">SUBTOTAL(9,AG33:AG34)</f>
        <v>2323.4784</v>
      </c>
      <c r="AH35" s="71">
        <f t="shared" si="37"/>
        <v>410.0256</v>
      </c>
      <c r="AI35" s="71">
        <f t="shared" si="37"/>
        <v>683.37599999999998</v>
      </c>
      <c r="AJ35" s="72">
        <f t="shared" si="37"/>
        <v>0</v>
      </c>
      <c r="AK35" s="71">
        <f t="shared" si="37"/>
        <v>39334.464285714283</v>
      </c>
      <c r="AL35" s="71">
        <f t="shared" si="37"/>
        <v>38794.604285714282</v>
      </c>
      <c r="AM35" s="71">
        <f t="shared" si="37"/>
        <v>4655.3525142857143</v>
      </c>
      <c r="AN35" s="71">
        <f t="shared" si="20"/>
        <v>43449.9568</v>
      </c>
      <c r="AO35" s="77">
        <f t="shared" ref="AO35:BP35" si="38">SUBTOTAL(9,AO33:AO34)</f>
        <v>230</v>
      </c>
      <c r="AP35" s="77">
        <f t="shared" si="38"/>
        <v>0</v>
      </c>
      <c r="AQ35" s="77">
        <f t="shared" si="38"/>
        <v>0</v>
      </c>
      <c r="AR35" s="77">
        <f t="shared" si="38"/>
        <v>335</v>
      </c>
      <c r="AS35" s="77">
        <f t="shared" si="38"/>
        <v>0</v>
      </c>
      <c r="AT35" s="77">
        <f t="shared" si="38"/>
        <v>0</v>
      </c>
      <c r="AU35" s="77">
        <f t="shared" si="38"/>
        <v>0</v>
      </c>
      <c r="AV35" s="77">
        <f t="shared" si="38"/>
        <v>0</v>
      </c>
      <c r="AW35" s="77">
        <f t="shared" si="38"/>
        <v>0</v>
      </c>
      <c r="AX35" s="77">
        <f t="shared" si="38"/>
        <v>0</v>
      </c>
      <c r="AY35" s="77">
        <f t="shared" si="38"/>
        <v>0</v>
      </c>
      <c r="AZ35" s="71">
        <f t="shared" si="38"/>
        <v>565</v>
      </c>
      <c r="BA35" s="76">
        <f t="shared" si="38"/>
        <v>285</v>
      </c>
      <c r="BB35" s="76">
        <f t="shared" si="38"/>
        <v>0</v>
      </c>
      <c r="BC35" s="71">
        <f t="shared" si="38"/>
        <v>0</v>
      </c>
      <c r="BD35" s="71">
        <f t="shared" si="38"/>
        <v>0</v>
      </c>
      <c r="BE35" s="77">
        <f t="shared" si="38"/>
        <v>0</v>
      </c>
      <c r="BF35" s="77">
        <f t="shared" si="38"/>
        <v>0</v>
      </c>
      <c r="BG35" s="77">
        <f t="shared" si="38"/>
        <v>0</v>
      </c>
      <c r="BH35" s="77">
        <f t="shared" si="38"/>
        <v>0</v>
      </c>
      <c r="BI35" s="77">
        <f t="shared" si="38"/>
        <v>0</v>
      </c>
      <c r="BJ35" s="77">
        <f t="shared" si="38"/>
        <v>0</v>
      </c>
      <c r="BK35" s="77">
        <f t="shared" si="38"/>
        <v>0</v>
      </c>
      <c r="BL35" s="77">
        <f t="shared" si="38"/>
        <v>0</v>
      </c>
      <c r="BM35" s="77">
        <f t="shared" si="38"/>
        <v>0</v>
      </c>
      <c r="BN35" s="77">
        <f t="shared" si="38"/>
        <v>0</v>
      </c>
      <c r="BO35" s="77">
        <f t="shared" si="38"/>
        <v>0</v>
      </c>
      <c r="BP35" s="77">
        <f t="shared" si="38"/>
        <v>0</v>
      </c>
      <c r="BQ35" s="77"/>
      <c r="BR35" s="71">
        <f>SUBTOTAL(9,BR33:BR34)</f>
        <v>850</v>
      </c>
    </row>
    <row r="36" spans="1:97" x14ac:dyDescent="0.25">
      <c r="A36" s="1">
        <f>+A33+1</f>
        <v>43840</v>
      </c>
      <c r="B36" s="32" t="s">
        <v>74</v>
      </c>
      <c r="C36" s="62">
        <v>52700.42</v>
      </c>
      <c r="D36" s="56">
        <v>34418.49</v>
      </c>
      <c r="E36" s="56">
        <v>34418</v>
      </c>
      <c r="F36" s="63">
        <v>43840</v>
      </c>
      <c r="G36" s="62">
        <f>IF(E36-D36&lt;0,E36-D36,0)*-1</f>
        <v>0.48999999999796273</v>
      </c>
      <c r="H36" s="62">
        <f>IF(E36-D36&gt;0,E36-D36,0)</f>
        <v>0</v>
      </c>
      <c r="I36" s="56"/>
      <c r="J36" s="56">
        <v>0</v>
      </c>
      <c r="K36" s="56">
        <v>17925.400000000001</v>
      </c>
      <c r="L36" s="56"/>
      <c r="M36" s="62">
        <f>(+K36)*M$5</f>
        <v>385.39609999999999</v>
      </c>
      <c r="N36" s="62">
        <f>(+K36)*N$5</f>
        <v>89.62700000000001</v>
      </c>
      <c r="O36" s="62">
        <f>+K36-M36-N36+P36</f>
        <v>17450.376899999999</v>
      </c>
      <c r="P36" s="62">
        <f>L36-(L36*(M$5+N$5))</f>
        <v>0</v>
      </c>
      <c r="Q36" s="64"/>
      <c r="R36" s="56"/>
      <c r="S36" s="56"/>
      <c r="T36" s="62">
        <f>+R36*T$5</f>
        <v>0</v>
      </c>
      <c r="U36" s="62">
        <f>+R36*U$5</f>
        <v>0</v>
      </c>
      <c r="V36" s="62">
        <f>+R36-T36-U36+W36</f>
        <v>0</v>
      </c>
      <c r="W36" s="62">
        <f>+S36-(S36*(T$5+U$5))</f>
        <v>0</v>
      </c>
      <c r="X36" s="64"/>
      <c r="Y36" s="56"/>
      <c r="Z36" s="56"/>
      <c r="AA36" s="56"/>
      <c r="AB36" s="56"/>
      <c r="AC36" s="56">
        <v>356.53</v>
      </c>
      <c r="AD36" s="65"/>
      <c r="AE36" s="65"/>
      <c r="AF36" s="56">
        <v>4146.34</v>
      </c>
      <c r="AG36" s="62">
        <f>(AF36*0.8)*0.85</f>
        <v>2819.5111999999999</v>
      </c>
      <c r="AH36" s="62">
        <f>(AF36*0.8)*0.15</f>
        <v>497.56079999999997</v>
      </c>
      <c r="AI36" s="62">
        <f>AF36*0.2</f>
        <v>829.26800000000003</v>
      </c>
      <c r="AJ36" s="56">
        <v>0</v>
      </c>
      <c r="AK36" s="62">
        <f>(C36-AF36-AJ36)/1.12</f>
        <v>43351.857142857138</v>
      </c>
      <c r="AL36" s="62">
        <f>AK36-SUM(Y36:AC36)</f>
        <v>42995.327142857139</v>
      </c>
      <c r="AM36" s="62">
        <f>+AL36*0.12</f>
        <v>5159.4392571428561</v>
      </c>
      <c r="AN36" s="62">
        <f t="shared" si="20"/>
        <v>48154.766399999993</v>
      </c>
      <c r="AO36" s="66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2">
        <f>SUM(AO36:AY36)</f>
        <v>0</v>
      </c>
      <c r="BA36" s="65"/>
      <c r="BB36" s="65"/>
      <c r="BC36" s="62">
        <f>SUM(BE36:BL36)*0.1+(BM36*0.5)</f>
        <v>0</v>
      </c>
      <c r="BD36" s="62">
        <f>SUM(BE36:BL36)+(BM36*0.5)</f>
        <v>0</v>
      </c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8">
        <f>AZ36+BA36+BB36+BD36-BC36</f>
        <v>0</v>
      </c>
      <c r="BT36" s="82"/>
      <c r="BU36" s="83"/>
      <c r="BV36" s="83"/>
      <c r="BW36" s="83"/>
      <c r="BX36" s="83"/>
      <c r="BY36" s="83"/>
      <c r="BZ36" s="83"/>
      <c r="CA36" s="83"/>
      <c r="CB36" s="83"/>
      <c r="CC36" s="83"/>
      <c r="CD36" s="83"/>
      <c r="CE36" s="83"/>
      <c r="CF36" s="83"/>
      <c r="CG36" s="8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</row>
    <row r="37" spans="1:97" x14ac:dyDescent="0.25">
      <c r="A37" s="1"/>
      <c r="B37" s="32" t="s">
        <v>76</v>
      </c>
      <c r="C37" s="62">
        <v>26940.3</v>
      </c>
      <c r="D37" s="56">
        <v>16461.68</v>
      </c>
      <c r="E37" s="56">
        <v>16462</v>
      </c>
      <c r="F37" s="63">
        <v>43843</v>
      </c>
      <c r="G37" s="62">
        <f>IF(E37-D37&lt;0,E37-D37,0)*-1</f>
        <v>0</v>
      </c>
      <c r="H37" s="62">
        <f>IF(E37-D37&gt;0,E37-D37,0)</f>
        <v>0.31999999999970896</v>
      </c>
      <c r="I37" s="56"/>
      <c r="J37" s="56"/>
      <c r="K37" s="56">
        <v>10070.32</v>
      </c>
      <c r="L37" s="56"/>
      <c r="M37" s="62">
        <f>(+K37)*M$5</f>
        <v>216.51187999999996</v>
      </c>
      <c r="N37" s="62">
        <f>(+K37)*N$5</f>
        <v>50.351599999999998</v>
      </c>
      <c r="O37" s="62">
        <f>+K37-M37-N37+P37</f>
        <v>9803.4565199999997</v>
      </c>
      <c r="P37" s="62">
        <f>L37-(L37*(M$5+N$5))</f>
        <v>0</v>
      </c>
      <c r="Q37" s="64"/>
      <c r="R37" s="56"/>
      <c r="S37" s="56"/>
      <c r="T37" s="62">
        <f>+R37*T$5</f>
        <v>0</v>
      </c>
      <c r="U37" s="62">
        <f>+R37*U$5</f>
        <v>0</v>
      </c>
      <c r="V37" s="62">
        <f>+R37-T37-U37+W37</f>
        <v>0</v>
      </c>
      <c r="W37" s="62">
        <f>+S37-(S37*(T$5+U$5))</f>
        <v>0</v>
      </c>
      <c r="X37" s="64"/>
      <c r="Y37" s="56"/>
      <c r="Z37" s="56">
        <v>60.5</v>
      </c>
      <c r="AA37" s="56"/>
      <c r="AB37" s="56"/>
      <c r="AC37" s="56">
        <v>187.8</v>
      </c>
      <c r="AD37" s="65" t="s">
        <v>77</v>
      </c>
      <c r="AE37" s="65">
        <v>160</v>
      </c>
      <c r="AF37" s="56">
        <v>1947.97</v>
      </c>
      <c r="AG37" s="62">
        <f>(AF37*0.8)*0.85</f>
        <v>1324.6196000000002</v>
      </c>
      <c r="AH37" s="62">
        <f>(AF37*0.8)*0.15</f>
        <v>233.75640000000001</v>
      </c>
      <c r="AI37" s="62">
        <f>AF37*0.2</f>
        <v>389.59400000000005</v>
      </c>
      <c r="AJ37" s="56"/>
      <c r="AK37" s="62">
        <f>(C37-AF37-AJ37)/1.12</f>
        <v>22314.580357142855</v>
      </c>
      <c r="AL37" s="62">
        <f>AK37-SUM(Y37:AC37)</f>
        <v>22066.280357142856</v>
      </c>
      <c r="AM37" s="62">
        <f>+AL37*0.12</f>
        <v>2647.9536428571428</v>
      </c>
      <c r="AN37" s="62">
        <f t="shared" si="20"/>
        <v>24714.233999999997</v>
      </c>
      <c r="AO37" s="66"/>
      <c r="AP37" s="67">
        <v>570</v>
      </c>
      <c r="AQ37" s="67"/>
      <c r="AR37" s="67"/>
      <c r="AS37" s="67"/>
      <c r="AT37" s="67"/>
      <c r="AU37" s="67"/>
      <c r="AV37" s="67"/>
      <c r="AW37" s="67"/>
      <c r="AX37" s="67"/>
      <c r="AY37" s="67"/>
      <c r="AZ37" s="62">
        <f>SUM(AO37:AY37)</f>
        <v>570</v>
      </c>
      <c r="BA37" s="65">
        <v>515</v>
      </c>
      <c r="BB37" s="65">
        <v>0</v>
      </c>
      <c r="BC37" s="62">
        <v>0</v>
      </c>
      <c r="BD37" s="62">
        <v>0</v>
      </c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8">
        <f>AZ37+BA37+BB37+BD37-BC37</f>
        <v>1085</v>
      </c>
      <c r="BT37" s="82"/>
      <c r="BU37" s="83"/>
      <c r="BV37" s="83"/>
      <c r="BW37" s="83"/>
      <c r="BX37" s="83"/>
      <c r="BY37" s="83"/>
      <c r="BZ37" s="83"/>
      <c r="CA37" s="83"/>
      <c r="CB37" s="83"/>
      <c r="CC37" s="83"/>
      <c r="CD37" s="83"/>
      <c r="CE37" s="83"/>
      <c r="CF37" s="83"/>
      <c r="CG37" s="83"/>
      <c r="CH37" s="83"/>
      <c r="CI37" s="83"/>
      <c r="CJ37" s="83"/>
      <c r="CK37" s="83"/>
      <c r="CL37" s="83"/>
      <c r="CM37" s="83"/>
      <c r="CN37" s="83"/>
      <c r="CO37" s="83"/>
      <c r="CP37" s="83"/>
      <c r="CQ37" s="83"/>
      <c r="CR37" s="83"/>
      <c r="CS37" s="83"/>
    </row>
    <row r="38" spans="1:97" x14ac:dyDescent="0.25">
      <c r="A38" s="87"/>
      <c r="B38" s="70"/>
      <c r="C38" s="71">
        <f>SUBTOTAL(9,C36:C37)</f>
        <v>79640.72</v>
      </c>
      <c r="D38" s="72">
        <f>SUBTOTAL(9,D36:D37)</f>
        <v>50880.17</v>
      </c>
      <c r="E38" s="72">
        <f>SUBTOTAL(9,E36:E37)</f>
        <v>50880</v>
      </c>
      <c r="F38" s="74"/>
      <c r="G38" s="72">
        <f t="shared" ref="G38:P38" si="39">SUBTOTAL(9,G36:G37)</f>
        <v>0.48999999999796273</v>
      </c>
      <c r="H38" s="72">
        <f t="shared" si="39"/>
        <v>0.31999999999970896</v>
      </c>
      <c r="I38" s="73">
        <f t="shared" si="39"/>
        <v>0</v>
      </c>
      <c r="J38" s="73">
        <f t="shared" si="39"/>
        <v>0</v>
      </c>
      <c r="K38" s="73">
        <f t="shared" si="39"/>
        <v>27995.72</v>
      </c>
      <c r="L38" s="73">
        <f t="shared" si="39"/>
        <v>0</v>
      </c>
      <c r="M38" s="71">
        <f t="shared" si="39"/>
        <v>601.90797999999995</v>
      </c>
      <c r="N38" s="71">
        <f t="shared" si="39"/>
        <v>139.9786</v>
      </c>
      <c r="O38" s="71">
        <f t="shared" si="39"/>
        <v>27253.833419999999</v>
      </c>
      <c r="P38" s="71">
        <f t="shared" si="39"/>
        <v>0</v>
      </c>
      <c r="Q38" s="74"/>
      <c r="R38" s="72">
        <f t="shared" ref="R38:W38" si="40">SUBTOTAL(9,R36:R37)</f>
        <v>0</v>
      </c>
      <c r="S38" s="72">
        <f t="shared" si="40"/>
        <v>0</v>
      </c>
      <c r="T38" s="71">
        <f t="shared" si="40"/>
        <v>0</v>
      </c>
      <c r="U38" s="71">
        <f t="shared" si="40"/>
        <v>0</v>
      </c>
      <c r="V38" s="71">
        <f t="shared" si="40"/>
        <v>0</v>
      </c>
      <c r="W38" s="71">
        <f t="shared" si="40"/>
        <v>0</v>
      </c>
      <c r="X38" s="74"/>
      <c r="Y38" s="72">
        <f>SUBTOTAL(9,Y36:Y37)</f>
        <v>0</v>
      </c>
      <c r="Z38" s="72"/>
      <c r="AA38" s="72"/>
      <c r="AB38" s="72"/>
      <c r="AC38" s="72"/>
      <c r="AD38" s="76"/>
      <c r="AE38" s="76"/>
      <c r="AF38" s="72"/>
      <c r="AG38" s="71">
        <f t="shared" ref="AG38:AM38" si="41">SUBTOTAL(9,AG36:AG37)</f>
        <v>4144.1307999999999</v>
      </c>
      <c r="AH38" s="71">
        <f t="shared" si="41"/>
        <v>731.31719999999996</v>
      </c>
      <c r="AI38" s="71">
        <f t="shared" si="41"/>
        <v>1218.8620000000001</v>
      </c>
      <c r="AJ38" s="72">
        <f t="shared" si="41"/>
        <v>0</v>
      </c>
      <c r="AK38" s="71">
        <f t="shared" si="41"/>
        <v>65666.4375</v>
      </c>
      <c r="AL38" s="71">
        <f t="shared" si="41"/>
        <v>65061.607499999998</v>
      </c>
      <c r="AM38" s="71">
        <f t="shared" si="41"/>
        <v>7807.3928999999989</v>
      </c>
      <c r="AN38" s="71">
        <f t="shared" si="20"/>
        <v>72869.00039999999</v>
      </c>
      <c r="AO38" s="77">
        <f t="shared" ref="AO38:BP38" si="42">SUBTOTAL(9,AO36:AO37)</f>
        <v>0</v>
      </c>
      <c r="AP38" s="77">
        <f t="shared" si="42"/>
        <v>570</v>
      </c>
      <c r="AQ38" s="77">
        <f t="shared" si="42"/>
        <v>0</v>
      </c>
      <c r="AR38" s="77">
        <f t="shared" si="42"/>
        <v>0</v>
      </c>
      <c r="AS38" s="77">
        <f t="shared" si="42"/>
        <v>0</v>
      </c>
      <c r="AT38" s="77">
        <f t="shared" si="42"/>
        <v>0</v>
      </c>
      <c r="AU38" s="77">
        <f t="shared" si="42"/>
        <v>0</v>
      </c>
      <c r="AV38" s="77">
        <f t="shared" si="42"/>
        <v>0</v>
      </c>
      <c r="AW38" s="77">
        <f t="shared" si="42"/>
        <v>0</v>
      </c>
      <c r="AX38" s="77">
        <f t="shared" si="42"/>
        <v>0</v>
      </c>
      <c r="AY38" s="77">
        <f t="shared" si="42"/>
        <v>0</v>
      </c>
      <c r="AZ38" s="71">
        <f t="shared" si="42"/>
        <v>570</v>
      </c>
      <c r="BA38" s="76">
        <f t="shared" si="42"/>
        <v>515</v>
      </c>
      <c r="BB38" s="76">
        <f t="shared" si="42"/>
        <v>0</v>
      </c>
      <c r="BC38" s="71">
        <f t="shared" si="42"/>
        <v>0</v>
      </c>
      <c r="BD38" s="71">
        <f t="shared" si="42"/>
        <v>0</v>
      </c>
      <c r="BE38" s="77">
        <f t="shared" si="42"/>
        <v>0</v>
      </c>
      <c r="BF38" s="77">
        <f t="shared" si="42"/>
        <v>0</v>
      </c>
      <c r="BG38" s="77">
        <f t="shared" si="42"/>
        <v>0</v>
      </c>
      <c r="BH38" s="77">
        <f t="shared" si="42"/>
        <v>0</v>
      </c>
      <c r="BI38" s="77">
        <f t="shared" si="42"/>
        <v>0</v>
      </c>
      <c r="BJ38" s="77">
        <f t="shared" si="42"/>
        <v>0</v>
      </c>
      <c r="BK38" s="77">
        <f t="shared" si="42"/>
        <v>0</v>
      </c>
      <c r="BL38" s="77">
        <f t="shared" si="42"/>
        <v>0</v>
      </c>
      <c r="BM38" s="77">
        <f t="shared" si="42"/>
        <v>0</v>
      </c>
      <c r="BN38" s="77">
        <f t="shared" si="42"/>
        <v>0</v>
      </c>
      <c r="BO38" s="77">
        <f t="shared" si="42"/>
        <v>0</v>
      </c>
      <c r="BP38" s="77">
        <f t="shared" si="42"/>
        <v>0</v>
      </c>
      <c r="BQ38" s="77"/>
      <c r="BR38" s="71">
        <f>SUBTOTAL(9,BR36:BR37)</f>
        <v>1085</v>
      </c>
    </row>
    <row r="39" spans="1:97" x14ac:dyDescent="0.25">
      <c r="A39" s="1">
        <f>+A36+1</f>
        <v>43841</v>
      </c>
      <c r="B39" s="33" t="s">
        <v>74</v>
      </c>
      <c r="C39" s="62" t="s">
        <v>80</v>
      </c>
      <c r="D39" s="56"/>
      <c r="E39" s="56"/>
      <c r="F39" s="63"/>
      <c r="G39" s="62">
        <f>IF(E39-D39&lt;0,E39-D39,0)*-1</f>
        <v>0</v>
      </c>
      <c r="H39" s="62">
        <f>IF(E39-D39&gt;0,E39-D39,0)</f>
        <v>0</v>
      </c>
      <c r="I39" s="56"/>
      <c r="J39" s="56"/>
      <c r="K39" s="56"/>
      <c r="L39" s="56"/>
      <c r="M39" s="62">
        <f>(+K39)*M$5</f>
        <v>0</v>
      </c>
      <c r="N39" s="62">
        <f>(+K39)*N$5</f>
        <v>0</v>
      </c>
      <c r="O39" s="62">
        <f>+K39-M39-N39+P39</f>
        <v>0</v>
      </c>
      <c r="P39" s="62"/>
      <c r="Q39" s="64"/>
      <c r="R39" s="56"/>
      <c r="S39" s="56"/>
      <c r="T39" s="62"/>
      <c r="U39" s="62"/>
      <c r="V39" s="62"/>
      <c r="W39" s="62"/>
      <c r="X39" s="64"/>
      <c r="Y39" s="56"/>
      <c r="Z39" s="56"/>
      <c r="AA39" s="56"/>
      <c r="AB39" s="56"/>
      <c r="AC39" s="56"/>
      <c r="AD39" s="65"/>
      <c r="AE39" s="65"/>
      <c r="AF39" s="56"/>
      <c r="AG39" s="62">
        <f>(AF39*0.8)*0.85</f>
        <v>0</v>
      </c>
      <c r="AH39" s="62">
        <f>(AF39*0.8)*0.15</f>
        <v>0</v>
      </c>
      <c r="AI39" s="62">
        <f>AF39*0.2</f>
        <v>0</v>
      </c>
      <c r="AJ39" s="56"/>
      <c r="AK39" s="62"/>
      <c r="AL39" s="62"/>
      <c r="AM39" s="62"/>
      <c r="AN39" s="62"/>
      <c r="AO39" s="66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2">
        <f>SUM(AO39:AY39)</f>
        <v>0</v>
      </c>
      <c r="BA39" s="65"/>
      <c r="BB39" s="65"/>
      <c r="BC39" s="62">
        <f>SUM(BE39:BL39)*0.1+(BM39*0.5)</f>
        <v>0</v>
      </c>
      <c r="BD39" s="62">
        <f>SUM(BE39:BL39)+(BM39*0.5)</f>
        <v>0</v>
      </c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8">
        <f>AZ39+BA39+BB39+BD39-BC39</f>
        <v>0</v>
      </c>
      <c r="BT39" s="82"/>
      <c r="BU39" s="83"/>
      <c r="BV39" s="83"/>
      <c r="BW39" s="83"/>
      <c r="BX39" s="83"/>
      <c r="BY39" s="83"/>
      <c r="BZ39" s="83"/>
      <c r="CA39" s="83"/>
      <c r="CB39" s="83"/>
      <c r="CC39" s="83"/>
      <c r="CD39" s="83"/>
      <c r="CE39" s="83"/>
      <c r="CF39" s="83"/>
      <c r="CG39" s="83"/>
      <c r="CH39" s="83"/>
      <c r="CI39" s="83"/>
      <c r="CJ39" s="83"/>
      <c r="CK39" s="83"/>
      <c r="CL39" s="83"/>
      <c r="CM39" s="83"/>
      <c r="CN39" s="83"/>
      <c r="CO39" s="83"/>
      <c r="CP39" s="83"/>
      <c r="CQ39" s="83"/>
      <c r="CR39" s="83"/>
      <c r="CS39" s="83"/>
    </row>
    <row r="40" spans="1:97" x14ac:dyDescent="0.25">
      <c r="A40" s="1"/>
      <c r="B40" s="33" t="s">
        <v>76</v>
      </c>
      <c r="C40" s="62">
        <v>5172.41</v>
      </c>
      <c r="D40" s="56">
        <v>1927.59</v>
      </c>
      <c r="E40" s="56">
        <v>1928</v>
      </c>
      <c r="F40" s="63">
        <v>43844</v>
      </c>
      <c r="G40" s="62">
        <f>IF(E40-D40&lt;0,E40-D40,0)*-1</f>
        <v>0</v>
      </c>
      <c r="H40" s="62">
        <f>IF(E40-D40&gt;0,E40-D40,0)</f>
        <v>0.41000000000008185</v>
      </c>
      <c r="I40" s="56">
        <v>900</v>
      </c>
      <c r="J40" s="56">
        <v>0</v>
      </c>
      <c r="K40" s="56">
        <v>1267.68</v>
      </c>
      <c r="L40" s="56"/>
      <c r="M40" s="62">
        <f>(+K40)*M$5</f>
        <v>27.255119999999998</v>
      </c>
      <c r="N40" s="62">
        <f>(+K40)*N$5</f>
        <v>6.3384</v>
      </c>
      <c r="O40" s="62">
        <f>+K40-M40-N40+P40</f>
        <v>1234.0864799999999</v>
      </c>
      <c r="P40" s="62"/>
      <c r="Q40" s="64"/>
      <c r="R40" s="56"/>
      <c r="S40" s="56"/>
      <c r="T40" s="62"/>
      <c r="U40" s="62"/>
      <c r="V40" s="62"/>
      <c r="W40" s="62"/>
      <c r="X40" s="64"/>
      <c r="Y40" s="56"/>
      <c r="Z40" s="56"/>
      <c r="AA40" s="56"/>
      <c r="AB40" s="56"/>
      <c r="AC40" s="56">
        <v>132.13999999999999</v>
      </c>
      <c r="AD40" s="65" t="s">
        <v>77</v>
      </c>
      <c r="AE40" s="65">
        <v>945</v>
      </c>
      <c r="AF40" s="56">
        <v>216.7</v>
      </c>
      <c r="AG40" s="62">
        <f>(AF40*0.8)*0.85</f>
        <v>147.35599999999999</v>
      </c>
      <c r="AH40" s="62">
        <f>(AF40*0.8)*0.15</f>
        <v>26.004000000000001</v>
      </c>
      <c r="AI40" s="62">
        <f>AF40*0.2</f>
        <v>43.34</v>
      </c>
      <c r="AJ40" s="56"/>
      <c r="AK40" s="62">
        <f>(C40-AF40-AJ40)/1.12</f>
        <v>4424.7410714285706</v>
      </c>
      <c r="AL40" s="62">
        <f>AK40-SUM(Y40:AC40)</f>
        <v>4292.6010714285703</v>
      </c>
      <c r="AM40" s="62">
        <f>+AL40*0.12</f>
        <v>515.11212857142846</v>
      </c>
      <c r="AN40" s="62">
        <f>+AM40+AL40+AJ40</f>
        <v>4807.7131999999983</v>
      </c>
      <c r="AO40" s="66"/>
      <c r="AP40" s="67"/>
      <c r="AQ40" s="67">
        <v>1060</v>
      </c>
      <c r="AR40" s="67"/>
      <c r="AS40" s="67"/>
      <c r="AT40" s="67"/>
      <c r="AU40" s="67"/>
      <c r="AV40" s="67"/>
      <c r="AW40" s="67"/>
      <c r="AX40" s="67"/>
      <c r="AY40" s="67"/>
      <c r="AZ40" s="62">
        <f>SUM(AO40:AY40)</f>
        <v>1060</v>
      </c>
      <c r="BA40" s="65"/>
      <c r="BB40" s="65"/>
      <c r="BC40" s="62"/>
      <c r="BD40" s="62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8">
        <f>AZ40+BA40+BB40+BD40-BC40</f>
        <v>1060</v>
      </c>
      <c r="BT40" s="82"/>
      <c r="BU40" s="83"/>
      <c r="BV40" s="83"/>
      <c r="BW40" s="83"/>
      <c r="BX40" s="83"/>
      <c r="BY40" s="83"/>
      <c r="BZ40" s="83"/>
      <c r="CA40" s="83"/>
      <c r="CB40" s="83"/>
      <c r="CC40" s="83"/>
      <c r="CD40" s="83"/>
      <c r="CE40" s="83"/>
      <c r="CF40" s="83"/>
      <c r="CG40" s="83"/>
      <c r="CH40" s="83"/>
      <c r="CI40" s="83"/>
      <c r="CJ40" s="83"/>
      <c r="CK40" s="83"/>
      <c r="CL40" s="83"/>
      <c r="CM40" s="83"/>
      <c r="CN40" s="83"/>
      <c r="CO40" s="83"/>
      <c r="CP40" s="83"/>
      <c r="CQ40" s="83"/>
      <c r="CR40" s="83"/>
      <c r="CS40" s="83"/>
    </row>
    <row r="41" spans="1:97" x14ac:dyDescent="0.25">
      <c r="A41" s="87"/>
      <c r="B41" s="70"/>
      <c r="C41" s="71">
        <f>SUBTOTAL(9,C39:C40)</f>
        <v>5172.41</v>
      </c>
      <c r="D41" s="72">
        <f>SUBTOTAL(9,D39:D40)</f>
        <v>1927.59</v>
      </c>
      <c r="E41" s="72">
        <f>SUBTOTAL(9,E39:E40)</f>
        <v>1928</v>
      </c>
      <c r="F41" s="74"/>
      <c r="G41" s="72">
        <f t="shared" ref="G41:P41" si="43">SUBTOTAL(9,G39:G40)</f>
        <v>0</v>
      </c>
      <c r="H41" s="72">
        <f t="shared" si="43"/>
        <v>0.41000000000008185</v>
      </c>
      <c r="I41" s="73">
        <f t="shared" si="43"/>
        <v>900</v>
      </c>
      <c r="J41" s="73">
        <f t="shared" si="43"/>
        <v>0</v>
      </c>
      <c r="K41" s="73">
        <f t="shared" si="43"/>
        <v>1267.68</v>
      </c>
      <c r="L41" s="73">
        <f t="shared" si="43"/>
        <v>0</v>
      </c>
      <c r="M41" s="71">
        <f t="shared" si="43"/>
        <v>27.255119999999998</v>
      </c>
      <c r="N41" s="71">
        <f t="shared" si="43"/>
        <v>6.3384</v>
      </c>
      <c r="O41" s="71">
        <f t="shared" si="43"/>
        <v>1234.0864799999999</v>
      </c>
      <c r="P41" s="71">
        <f t="shared" si="43"/>
        <v>0</v>
      </c>
      <c r="Q41" s="74"/>
      <c r="R41" s="72">
        <f t="shared" ref="R41:W41" si="44">SUBTOTAL(9,R39:R40)</f>
        <v>0</v>
      </c>
      <c r="S41" s="72">
        <f t="shared" si="44"/>
        <v>0</v>
      </c>
      <c r="T41" s="71">
        <f t="shared" si="44"/>
        <v>0</v>
      </c>
      <c r="U41" s="71">
        <f t="shared" si="44"/>
        <v>0</v>
      </c>
      <c r="V41" s="71">
        <f t="shared" si="44"/>
        <v>0</v>
      </c>
      <c r="W41" s="71">
        <f t="shared" si="44"/>
        <v>0</v>
      </c>
      <c r="X41" s="74"/>
      <c r="Y41" s="72">
        <f>SUBTOTAL(9,Y39:Y40)</f>
        <v>0</v>
      </c>
      <c r="Z41" s="72"/>
      <c r="AA41" s="72"/>
      <c r="AB41" s="72"/>
      <c r="AC41" s="72"/>
      <c r="AD41" s="76"/>
      <c r="AE41" s="76"/>
      <c r="AF41" s="72"/>
      <c r="AG41" s="71">
        <f t="shared" ref="AG41:AM41" si="45">SUBTOTAL(9,AG39:AG40)</f>
        <v>147.35599999999999</v>
      </c>
      <c r="AH41" s="71">
        <f t="shared" si="45"/>
        <v>26.004000000000001</v>
      </c>
      <c r="AI41" s="71">
        <f t="shared" si="45"/>
        <v>43.34</v>
      </c>
      <c r="AJ41" s="72">
        <f t="shared" si="45"/>
        <v>0</v>
      </c>
      <c r="AK41" s="71">
        <f t="shared" si="45"/>
        <v>4424.7410714285706</v>
      </c>
      <c r="AL41" s="71">
        <f t="shared" si="45"/>
        <v>4292.6010714285703</v>
      </c>
      <c r="AM41" s="71">
        <f t="shared" si="45"/>
        <v>515.11212857142846</v>
      </c>
      <c r="AN41" s="71">
        <f>+AM41+AL41+AJ41</f>
        <v>4807.7131999999983</v>
      </c>
      <c r="AO41" s="77">
        <f t="shared" ref="AO41:BP41" si="46">SUBTOTAL(9,AO39:AO40)</f>
        <v>0</v>
      </c>
      <c r="AP41" s="77">
        <f t="shared" si="46"/>
        <v>0</v>
      </c>
      <c r="AQ41" s="77">
        <f t="shared" si="46"/>
        <v>1060</v>
      </c>
      <c r="AR41" s="77">
        <f t="shared" si="46"/>
        <v>0</v>
      </c>
      <c r="AS41" s="77">
        <f t="shared" si="46"/>
        <v>0</v>
      </c>
      <c r="AT41" s="77">
        <f t="shared" si="46"/>
        <v>0</v>
      </c>
      <c r="AU41" s="77">
        <f t="shared" si="46"/>
        <v>0</v>
      </c>
      <c r="AV41" s="77">
        <f t="shared" si="46"/>
        <v>0</v>
      </c>
      <c r="AW41" s="77">
        <f t="shared" si="46"/>
        <v>0</v>
      </c>
      <c r="AX41" s="77">
        <f t="shared" si="46"/>
        <v>0</v>
      </c>
      <c r="AY41" s="77">
        <f t="shared" si="46"/>
        <v>0</v>
      </c>
      <c r="AZ41" s="71">
        <f t="shared" si="46"/>
        <v>1060</v>
      </c>
      <c r="BA41" s="76">
        <f t="shared" si="46"/>
        <v>0</v>
      </c>
      <c r="BB41" s="76">
        <f t="shared" si="46"/>
        <v>0</v>
      </c>
      <c r="BC41" s="71">
        <f t="shared" si="46"/>
        <v>0</v>
      </c>
      <c r="BD41" s="71">
        <f t="shared" si="46"/>
        <v>0</v>
      </c>
      <c r="BE41" s="77">
        <f t="shared" si="46"/>
        <v>0</v>
      </c>
      <c r="BF41" s="77">
        <f t="shared" si="46"/>
        <v>0</v>
      </c>
      <c r="BG41" s="77">
        <f t="shared" si="46"/>
        <v>0</v>
      </c>
      <c r="BH41" s="77">
        <f t="shared" si="46"/>
        <v>0</v>
      </c>
      <c r="BI41" s="77">
        <f t="shared" si="46"/>
        <v>0</v>
      </c>
      <c r="BJ41" s="77">
        <f t="shared" si="46"/>
        <v>0</v>
      </c>
      <c r="BK41" s="77">
        <f t="shared" si="46"/>
        <v>0</v>
      </c>
      <c r="BL41" s="77">
        <f t="shared" si="46"/>
        <v>0</v>
      </c>
      <c r="BM41" s="77">
        <f t="shared" si="46"/>
        <v>0</v>
      </c>
      <c r="BN41" s="77">
        <f t="shared" si="46"/>
        <v>0</v>
      </c>
      <c r="BO41" s="77">
        <f t="shared" si="46"/>
        <v>0</v>
      </c>
      <c r="BP41" s="77">
        <f t="shared" si="46"/>
        <v>0</v>
      </c>
      <c r="BQ41" s="77"/>
      <c r="BR41" s="71">
        <f>SUBTOTAL(9,BR39:BR40)</f>
        <v>1060</v>
      </c>
    </row>
    <row r="42" spans="1:97" x14ac:dyDescent="0.25">
      <c r="A42" s="1">
        <f>+A39+1</f>
        <v>43842</v>
      </c>
      <c r="B42" s="32" t="s">
        <v>74</v>
      </c>
      <c r="C42" s="62" t="s">
        <v>78</v>
      </c>
      <c r="D42" s="56"/>
      <c r="E42" s="56"/>
      <c r="F42" s="63"/>
      <c r="G42" s="62">
        <f>IF(E42-D42&lt;0,E42-D42,0)*-1</f>
        <v>0</v>
      </c>
      <c r="H42" s="62">
        <f>IF(E42-D42&gt;0,E42-D42,0)</f>
        <v>0</v>
      </c>
      <c r="I42" s="56"/>
      <c r="J42" s="56"/>
      <c r="K42" s="56"/>
      <c r="L42" s="56"/>
      <c r="M42" s="62">
        <f>(+K42)*M$5</f>
        <v>0</v>
      </c>
      <c r="N42" s="62">
        <f>(+K42)*N$5</f>
        <v>0</v>
      </c>
      <c r="O42" s="62">
        <f>+K42-M42-N42+P42</f>
        <v>0</v>
      </c>
      <c r="P42" s="62"/>
      <c r="Q42" s="64"/>
      <c r="R42" s="56"/>
      <c r="S42" s="56"/>
      <c r="T42" s="62"/>
      <c r="U42" s="62"/>
      <c r="V42" s="62"/>
      <c r="W42" s="62"/>
      <c r="X42" s="64"/>
      <c r="Y42" s="56"/>
      <c r="Z42" s="56"/>
      <c r="AA42" s="56"/>
      <c r="AB42" s="56"/>
      <c r="AC42" s="56"/>
      <c r="AD42" s="65"/>
      <c r="AE42" s="65"/>
      <c r="AF42" s="56"/>
      <c r="AG42" s="62">
        <f>(AF42*0.8)*0.85</f>
        <v>0</v>
      </c>
      <c r="AH42" s="62">
        <f>(AF42*0.8)*0.15</f>
        <v>0</v>
      </c>
      <c r="AI42" s="62">
        <f>AF42*0.2</f>
        <v>0</v>
      </c>
      <c r="AJ42" s="56"/>
      <c r="AK42" s="62"/>
      <c r="AL42" s="62"/>
      <c r="AM42" s="62"/>
      <c r="AN42" s="62"/>
      <c r="AO42" s="66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2">
        <f>SUM(AO42:AY42)</f>
        <v>0</v>
      </c>
      <c r="BA42" s="65"/>
      <c r="BB42" s="65"/>
      <c r="BC42" s="62">
        <f>SUM(BE42:BL42)*0.1+(BM42*0.5)</f>
        <v>0</v>
      </c>
      <c r="BD42" s="62">
        <f>SUM(BE42:BL42)+(BM42*0.5)</f>
        <v>0</v>
      </c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8">
        <f>AZ42+BA42+BB42+BD42-BC42</f>
        <v>0</v>
      </c>
      <c r="BT42" s="82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83"/>
      <c r="CR42" s="83"/>
      <c r="CS42" s="83"/>
    </row>
    <row r="43" spans="1:97" x14ac:dyDescent="0.25">
      <c r="A43" s="1"/>
      <c r="B43" s="32" t="s">
        <v>76</v>
      </c>
      <c r="C43" s="62"/>
      <c r="D43" s="56"/>
      <c r="E43" s="56"/>
      <c r="F43" s="63"/>
      <c r="G43" s="62">
        <f>IF(E43-D43&lt;0,E43-D43,0)*-1</f>
        <v>0</v>
      </c>
      <c r="H43" s="62">
        <f>IF(E43-D43&gt;0,E43-D43,0)</f>
        <v>0</v>
      </c>
      <c r="I43" s="56"/>
      <c r="J43" s="56"/>
      <c r="K43" s="56"/>
      <c r="L43" s="56"/>
      <c r="M43" s="62">
        <f>(+K43)*M$5</f>
        <v>0</v>
      </c>
      <c r="N43" s="62">
        <f>(+K43)*N$5</f>
        <v>0</v>
      </c>
      <c r="O43" s="62">
        <f>+K43-M43-N43+P43</f>
        <v>0</v>
      </c>
      <c r="P43" s="62"/>
      <c r="Q43" s="64"/>
      <c r="R43" s="56"/>
      <c r="S43" s="56"/>
      <c r="T43" s="62"/>
      <c r="U43" s="62"/>
      <c r="V43" s="62"/>
      <c r="W43" s="62"/>
      <c r="X43" s="64"/>
      <c r="Y43" s="56"/>
      <c r="Z43" s="56"/>
      <c r="AA43" s="56"/>
      <c r="AB43" s="56"/>
      <c r="AC43" s="56"/>
      <c r="AD43" s="65"/>
      <c r="AE43" s="65"/>
      <c r="AF43" s="56"/>
      <c r="AG43" s="62">
        <f>(AF43*0.8)*0.85</f>
        <v>0</v>
      </c>
      <c r="AH43" s="62">
        <f>(AF43*0.8)*0.15</f>
        <v>0</v>
      </c>
      <c r="AI43" s="62">
        <f>AF43*0.2</f>
        <v>0</v>
      </c>
      <c r="AJ43" s="56"/>
      <c r="AK43" s="62">
        <f>(C43-AF43-AJ43)/1.12</f>
        <v>0</v>
      </c>
      <c r="AL43" s="62">
        <f>AK43-SUM(Y43:AC43)</f>
        <v>0</v>
      </c>
      <c r="AM43" s="62">
        <f>+AL43*0.12</f>
        <v>0</v>
      </c>
      <c r="AN43" s="62">
        <f>+AM43+AL43+AJ43</f>
        <v>0</v>
      </c>
      <c r="AO43" s="66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2">
        <f>SUM(AO43:AY43)</f>
        <v>0</v>
      </c>
      <c r="BA43" s="65"/>
      <c r="BB43" s="65">
        <v>0</v>
      </c>
      <c r="BC43" s="62"/>
      <c r="BD43" s="62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8">
        <f>AZ43+BA43+BB43+BD43-BC43</f>
        <v>0</v>
      </c>
      <c r="BT43" s="82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83"/>
      <c r="CR43" s="83"/>
      <c r="CS43" s="83"/>
    </row>
    <row r="44" spans="1:97" x14ac:dyDescent="0.25">
      <c r="A44" s="87"/>
      <c r="B44" s="70"/>
      <c r="C44" s="71">
        <f>SUBTOTAL(9,C42:C43)</f>
        <v>0</v>
      </c>
      <c r="D44" s="72">
        <f>SUBTOTAL(9,D42:D43)</f>
        <v>0</v>
      </c>
      <c r="E44" s="72">
        <f>SUBTOTAL(9,E42:E43)</f>
        <v>0</v>
      </c>
      <c r="F44" s="74"/>
      <c r="G44" s="72">
        <f t="shared" ref="G44:P44" si="47">SUBTOTAL(9,G42:G43)</f>
        <v>0</v>
      </c>
      <c r="H44" s="72">
        <f t="shared" si="47"/>
        <v>0</v>
      </c>
      <c r="I44" s="73">
        <f t="shared" si="47"/>
        <v>0</v>
      </c>
      <c r="J44" s="73">
        <f t="shared" si="47"/>
        <v>0</v>
      </c>
      <c r="K44" s="73">
        <f t="shared" si="47"/>
        <v>0</v>
      </c>
      <c r="L44" s="73">
        <f t="shared" si="47"/>
        <v>0</v>
      </c>
      <c r="M44" s="71">
        <f t="shared" si="47"/>
        <v>0</v>
      </c>
      <c r="N44" s="71">
        <f t="shared" si="47"/>
        <v>0</v>
      </c>
      <c r="O44" s="71">
        <f t="shared" si="47"/>
        <v>0</v>
      </c>
      <c r="P44" s="71">
        <f t="shared" si="47"/>
        <v>0</v>
      </c>
      <c r="Q44" s="74"/>
      <c r="R44" s="72">
        <f t="shared" ref="R44:W44" si="48">SUBTOTAL(9,R42:R43)</f>
        <v>0</v>
      </c>
      <c r="S44" s="72">
        <f t="shared" si="48"/>
        <v>0</v>
      </c>
      <c r="T44" s="71">
        <f t="shared" si="48"/>
        <v>0</v>
      </c>
      <c r="U44" s="71">
        <f t="shared" si="48"/>
        <v>0</v>
      </c>
      <c r="V44" s="71">
        <f t="shared" si="48"/>
        <v>0</v>
      </c>
      <c r="W44" s="71">
        <f t="shared" si="48"/>
        <v>0</v>
      </c>
      <c r="X44" s="74"/>
      <c r="Y44" s="72">
        <f>SUBTOTAL(9,Y42:Y43)</f>
        <v>0</v>
      </c>
      <c r="Z44" s="72"/>
      <c r="AA44" s="72"/>
      <c r="AB44" s="72"/>
      <c r="AC44" s="72"/>
      <c r="AD44" s="76"/>
      <c r="AE44" s="76"/>
      <c r="AF44" s="72"/>
      <c r="AG44" s="71">
        <f t="shared" ref="AG44:AM44" si="49">SUBTOTAL(9,AG42:AG43)</f>
        <v>0</v>
      </c>
      <c r="AH44" s="71">
        <f t="shared" si="49"/>
        <v>0</v>
      </c>
      <c r="AI44" s="71">
        <f t="shared" si="49"/>
        <v>0</v>
      </c>
      <c r="AJ44" s="72">
        <f t="shared" si="49"/>
        <v>0</v>
      </c>
      <c r="AK44" s="71">
        <f t="shared" si="49"/>
        <v>0</v>
      </c>
      <c r="AL44" s="71">
        <f t="shared" si="49"/>
        <v>0</v>
      </c>
      <c r="AM44" s="71">
        <f t="shared" si="49"/>
        <v>0</v>
      </c>
      <c r="AN44" s="71">
        <f>+AM44+AL44+AJ44</f>
        <v>0</v>
      </c>
      <c r="AO44" s="77" t="s">
        <v>79</v>
      </c>
      <c r="AP44" s="77">
        <f t="shared" ref="AP44:BP44" si="50">SUBTOTAL(9,AP42:AP43)</f>
        <v>0</v>
      </c>
      <c r="AQ44" s="77">
        <f t="shared" si="50"/>
        <v>0</v>
      </c>
      <c r="AR44" s="77">
        <f t="shared" si="50"/>
        <v>0</v>
      </c>
      <c r="AS44" s="77">
        <f t="shared" si="50"/>
        <v>0</v>
      </c>
      <c r="AT44" s="77">
        <f t="shared" si="50"/>
        <v>0</v>
      </c>
      <c r="AU44" s="77">
        <f t="shared" si="50"/>
        <v>0</v>
      </c>
      <c r="AV44" s="77">
        <f t="shared" si="50"/>
        <v>0</v>
      </c>
      <c r="AW44" s="77">
        <f t="shared" si="50"/>
        <v>0</v>
      </c>
      <c r="AX44" s="77">
        <f t="shared" si="50"/>
        <v>0</v>
      </c>
      <c r="AY44" s="77">
        <f t="shared" si="50"/>
        <v>0</v>
      </c>
      <c r="AZ44" s="71">
        <f t="shared" si="50"/>
        <v>0</v>
      </c>
      <c r="BA44" s="76">
        <f t="shared" si="50"/>
        <v>0</v>
      </c>
      <c r="BB44" s="76">
        <f t="shared" si="50"/>
        <v>0</v>
      </c>
      <c r="BC44" s="71">
        <f t="shared" si="50"/>
        <v>0</v>
      </c>
      <c r="BD44" s="71">
        <f t="shared" si="50"/>
        <v>0</v>
      </c>
      <c r="BE44" s="77">
        <f t="shared" si="50"/>
        <v>0</v>
      </c>
      <c r="BF44" s="77">
        <f t="shared" si="50"/>
        <v>0</v>
      </c>
      <c r="BG44" s="77">
        <f t="shared" si="50"/>
        <v>0</v>
      </c>
      <c r="BH44" s="77">
        <f t="shared" si="50"/>
        <v>0</v>
      </c>
      <c r="BI44" s="77">
        <f t="shared" si="50"/>
        <v>0</v>
      </c>
      <c r="BJ44" s="77">
        <f t="shared" si="50"/>
        <v>0</v>
      </c>
      <c r="BK44" s="77">
        <f t="shared" si="50"/>
        <v>0</v>
      </c>
      <c r="BL44" s="77">
        <f t="shared" si="50"/>
        <v>0</v>
      </c>
      <c r="BM44" s="77">
        <f t="shared" si="50"/>
        <v>0</v>
      </c>
      <c r="BN44" s="77">
        <f t="shared" si="50"/>
        <v>0</v>
      </c>
      <c r="BO44" s="77">
        <f t="shared" si="50"/>
        <v>0</v>
      </c>
      <c r="BP44" s="77">
        <f t="shared" si="50"/>
        <v>0</v>
      </c>
      <c r="BQ44" s="77"/>
      <c r="BR44" s="71">
        <f>SUBTOTAL(9,BR42:BR43)</f>
        <v>0</v>
      </c>
    </row>
    <row r="45" spans="1:97" x14ac:dyDescent="0.25">
      <c r="A45" s="1">
        <f>+A42+1</f>
        <v>43843</v>
      </c>
      <c r="B45" s="32" t="s">
        <v>74</v>
      </c>
      <c r="C45" s="62" t="s">
        <v>75</v>
      </c>
      <c r="D45" s="56"/>
      <c r="E45" s="56"/>
      <c r="F45" s="63"/>
      <c r="G45" s="62">
        <v>0</v>
      </c>
      <c r="H45" s="62">
        <f>IF(E45-D45&gt;0,E45-D45,0)</f>
        <v>0</v>
      </c>
      <c r="I45" s="56"/>
      <c r="J45" s="56"/>
      <c r="K45" s="56"/>
      <c r="L45" s="56"/>
      <c r="M45" s="62">
        <f>(+K45)*M$5</f>
        <v>0</v>
      </c>
      <c r="N45" s="62">
        <f>(+K45)*N$5</f>
        <v>0</v>
      </c>
      <c r="O45" s="62">
        <f>+K45-M45-N45+P45</f>
        <v>0</v>
      </c>
      <c r="P45" s="62"/>
      <c r="Q45" s="64"/>
      <c r="R45" s="56"/>
      <c r="S45" s="56"/>
      <c r="T45" s="62"/>
      <c r="U45" s="62"/>
      <c r="V45" s="62"/>
      <c r="W45" s="62"/>
      <c r="X45" s="64"/>
      <c r="Y45" s="56"/>
      <c r="Z45" s="56"/>
      <c r="AA45" s="56"/>
      <c r="AB45" s="56"/>
      <c r="AC45" s="56"/>
      <c r="AD45" s="65"/>
      <c r="AE45" s="65"/>
      <c r="AF45" s="56"/>
      <c r="AG45" s="62">
        <f>(AF45*0.8)*0.85</f>
        <v>0</v>
      </c>
      <c r="AH45" s="62">
        <f>(AF45*0.8)*0.15</f>
        <v>0</v>
      </c>
      <c r="AI45" s="62">
        <f>AF45*0.2</f>
        <v>0</v>
      </c>
      <c r="AJ45" s="56"/>
      <c r="AK45" s="62"/>
      <c r="AL45" s="62"/>
      <c r="AM45" s="62"/>
      <c r="AN45" s="62"/>
      <c r="AO45" s="66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2">
        <f>SUM(AO45:AY45)</f>
        <v>0</v>
      </c>
      <c r="BA45" s="65"/>
      <c r="BB45" s="65"/>
      <c r="BC45" s="62">
        <f>SUM(BE45:BL45)*0.1+(BM45*0.5)</f>
        <v>0</v>
      </c>
      <c r="BD45" s="62">
        <f>SUM(BE45:BL45)+(BM45*0.5)</f>
        <v>0</v>
      </c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8">
        <f>AZ45+BA45+BB45+BD45-BC45</f>
        <v>0</v>
      </c>
      <c r="BT45" s="82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83"/>
      <c r="CR45" s="83"/>
      <c r="CS45" s="83"/>
    </row>
    <row r="46" spans="1:97" x14ac:dyDescent="0.25">
      <c r="A46" s="1"/>
      <c r="B46" s="32" t="s">
        <v>76</v>
      </c>
      <c r="C46" s="62"/>
      <c r="D46" s="56"/>
      <c r="E46" s="56"/>
      <c r="F46" s="63"/>
      <c r="G46" s="62">
        <f>IF(E46-D46&lt;0,E46-D46,0)*-1</f>
        <v>0</v>
      </c>
      <c r="H46" s="62">
        <f>IF(E46-D46&gt;0,E46-D46,0)</f>
        <v>0</v>
      </c>
      <c r="I46" s="56"/>
      <c r="J46" s="56"/>
      <c r="K46" s="56"/>
      <c r="L46" s="56"/>
      <c r="M46" s="62">
        <f>(+K46)*M$5</f>
        <v>0</v>
      </c>
      <c r="N46" s="62">
        <f>(+K46)*N$5</f>
        <v>0</v>
      </c>
      <c r="O46" s="62">
        <f>+K46-M46-N46+P46</f>
        <v>0</v>
      </c>
      <c r="P46" s="62"/>
      <c r="Q46" s="64"/>
      <c r="R46" s="56"/>
      <c r="S46" s="56"/>
      <c r="T46" s="62"/>
      <c r="U46" s="62"/>
      <c r="V46" s="62"/>
      <c r="W46" s="62"/>
      <c r="X46" s="64"/>
      <c r="Y46" s="56"/>
      <c r="Z46" s="56"/>
      <c r="AA46" s="56"/>
      <c r="AB46" s="56"/>
      <c r="AC46" s="56"/>
      <c r="AD46" s="65"/>
      <c r="AE46" s="65"/>
      <c r="AF46" s="56"/>
      <c r="AG46" s="62">
        <f>(AF46*0.8)*0.85</f>
        <v>0</v>
      </c>
      <c r="AH46" s="62">
        <f>(AF46*0.8)*0.15</f>
        <v>0</v>
      </c>
      <c r="AI46" s="62">
        <f>AF46*0.2</f>
        <v>0</v>
      </c>
      <c r="AJ46" s="56"/>
      <c r="AK46" s="62">
        <f>(C46-AF46-AJ46)/1.12</f>
        <v>0</v>
      </c>
      <c r="AL46" s="62">
        <f>AK46-SUM(Y46:AC46)</f>
        <v>0</v>
      </c>
      <c r="AM46" s="62">
        <f>+AL46*0.12</f>
        <v>0</v>
      </c>
      <c r="AN46" s="62">
        <f t="shared" ref="AN46:AN59" si="51">+AM46+AL46+AJ46</f>
        <v>0</v>
      </c>
      <c r="AO46" s="66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2">
        <f>SUM(AO46:AY46)</f>
        <v>0</v>
      </c>
      <c r="BA46" s="65"/>
      <c r="BB46" s="65"/>
      <c r="BC46" s="62"/>
      <c r="BD46" s="62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8">
        <f>AZ46+BA46+BB46+BD46-BC46</f>
        <v>0</v>
      </c>
      <c r="BT46" s="82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</row>
    <row r="47" spans="1:97" x14ac:dyDescent="0.25">
      <c r="A47" s="87"/>
      <c r="B47" s="70"/>
      <c r="C47" s="71">
        <f>SUBTOTAL(9,C45:C46)</f>
        <v>0</v>
      </c>
      <c r="D47" s="72">
        <f>SUBTOTAL(9,D45:D46)</f>
        <v>0</v>
      </c>
      <c r="E47" s="72">
        <f>SUBTOTAL(9,E45:E46)</f>
        <v>0</v>
      </c>
      <c r="F47" s="74"/>
      <c r="G47" s="72">
        <f t="shared" ref="G47:P47" si="52">SUBTOTAL(9,G45:G46)</f>
        <v>0</v>
      </c>
      <c r="H47" s="72">
        <f t="shared" si="52"/>
        <v>0</v>
      </c>
      <c r="I47" s="73">
        <f t="shared" si="52"/>
        <v>0</v>
      </c>
      <c r="J47" s="73">
        <f t="shared" si="52"/>
        <v>0</v>
      </c>
      <c r="K47" s="73">
        <f t="shared" si="52"/>
        <v>0</v>
      </c>
      <c r="L47" s="73">
        <f t="shared" si="52"/>
        <v>0</v>
      </c>
      <c r="M47" s="71">
        <f t="shared" si="52"/>
        <v>0</v>
      </c>
      <c r="N47" s="71">
        <f t="shared" si="52"/>
        <v>0</v>
      </c>
      <c r="O47" s="71">
        <f t="shared" si="52"/>
        <v>0</v>
      </c>
      <c r="P47" s="71">
        <f t="shared" si="52"/>
        <v>0</v>
      </c>
      <c r="Q47" s="74"/>
      <c r="R47" s="72">
        <f t="shared" ref="R47:W47" si="53">SUBTOTAL(9,R45:R46)</f>
        <v>0</v>
      </c>
      <c r="S47" s="72">
        <f t="shared" si="53"/>
        <v>0</v>
      </c>
      <c r="T47" s="71">
        <f t="shared" si="53"/>
        <v>0</v>
      </c>
      <c r="U47" s="71">
        <f t="shared" si="53"/>
        <v>0</v>
      </c>
      <c r="V47" s="71">
        <f t="shared" si="53"/>
        <v>0</v>
      </c>
      <c r="W47" s="71">
        <f t="shared" si="53"/>
        <v>0</v>
      </c>
      <c r="X47" s="74"/>
      <c r="Y47" s="72">
        <f>SUBTOTAL(9,Y45:Y46)</f>
        <v>0</v>
      </c>
      <c r="Z47" s="72"/>
      <c r="AA47" s="72"/>
      <c r="AB47" s="72"/>
      <c r="AC47" s="72"/>
      <c r="AD47" s="76"/>
      <c r="AE47" s="76"/>
      <c r="AF47" s="72"/>
      <c r="AG47" s="71">
        <f t="shared" ref="AG47:AM47" si="54">SUBTOTAL(9,AG45:AG46)</f>
        <v>0</v>
      </c>
      <c r="AH47" s="71">
        <f t="shared" si="54"/>
        <v>0</v>
      </c>
      <c r="AI47" s="71">
        <f t="shared" si="54"/>
        <v>0</v>
      </c>
      <c r="AJ47" s="72">
        <f t="shared" si="54"/>
        <v>0</v>
      </c>
      <c r="AK47" s="71">
        <f t="shared" si="54"/>
        <v>0</v>
      </c>
      <c r="AL47" s="71">
        <f t="shared" si="54"/>
        <v>0</v>
      </c>
      <c r="AM47" s="71">
        <f t="shared" si="54"/>
        <v>0</v>
      </c>
      <c r="AN47" s="71">
        <f t="shared" si="51"/>
        <v>0</v>
      </c>
      <c r="AO47" s="77">
        <f t="shared" ref="AO47:BP47" si="55">SUBTOTAL(9,AO45:AO46)</f>
        <v>0</v>
      </c>
      <c r="AP47" s="77">
        <f t="shared" si="55"/>
        <v>0</v>
      </c>
      <c r="AQ47" s="77">
        <f t="shared" si="55"/>
        <v>0</v>
      </c>
      <c r="AR47" s="77">
        <f t="shared" si="55"/>
        <v>0</v>
      </c>
      <c r="AS47" s="77">
        <f t="shared" si="55"/>
        <v>0</v>
      </c>
      <c r="AT47" s="77">
        <f t="shared" si="55"/>
        <v>0</v>
      </c>
      <c r="AU47" s="77">
        <f t="shared" si="55"/>
        <v>0</v>
      </c>
      <c r="AV47" s="77">
        <f t="shared" si="55"/>
        <v>0</v>
      </c>
      <c r="AW47" s="77">
        <f t="shared" si="55"/>
        <v>0</v>
      </c>
      <c r="AX47" s="77">
        <f t="shared" si="55"/>
        <v>0</v>
      </c>
      <c r="AY47" s="77">
        <f t="shared" si="55"/>
        <v>0</v>
      </c>
      <c r="AZ47" s="71">
        <f t="shared" si="55"/>
        <v>0</v>
      </c>
      <c r="BA47" s="76">
        <f t="shared" si="55"/>
        <v>0</v>
      </c>
      <c r="BB47" s="76">
        <f t="shared" si="55"/>
        <v>0</v>
      </c>
      <c r="BC47" s="71">
        <f t="shared" si="55"/>
        <v>0</v>
      </c>
      <c r="BD47" s="71">
        <f t="shared" si="55"/>
        <v>0</v>
      </c>
      <c r="BE47" s="77">
        <f t="shared" si="55"/>
        <v>0</v>
      </c>
      <c r="BF47" s="77">
        <f t="shared" si="55"/>
        <v>0</v>
      </c>
      <c r="BG47" s="77">
        <f t="shared" si="55"/>
        <v>0</v>
      </c>
      <c r="BH47" s="77">
        <f t="shared" si="55"/>
        <v>0</v>
      </c>
      <c r="BI47" s="77">
        <f t="shared" si="55"/>
        <v>0</v>
      </c>
      <c r="BJ47" s="77">
        <f t="shared" si="55"/>
        <v>0</v>
      </c>
      <c r="BK47" s="77">
        <f t="shared" si="55"/>
        <v>0</v>
      </c>
      <c r="BL47" s="77">
        <f t="shared" si="55"/>
        <v>0</v>
      </c>
      <c r="BM47" s="77">
        <f t="shared" si="55"/>
        <v>0</v>
      </c>
      <c r="BN47" s="77">
        <f t="shared" si="55"/>
        <v>0</v>
      </c>
      <c r="BO47" s="77">
        <f t="shared" si="55"/>
        <v>0</v>
      </c>
      <c r="BP47" s="77">
        <f t="shared" si="55"/>
        <v>0</v>
      </c>
      <c r="BQ47" s="77"/>
      <c r="BR47" s="71">
        <f>SUBTOTAL(9,BR45:BR46)</f>
        <v>0</v>
      </c>
    </row>
    <row r="48" spans="1:97" x14ac:dyDescent="0.25">
      <c r="A48" s="1">
        <f>A45+1</f>
        <v>43844</v>
      </c>
      <c r="B48" s="33" t="s">
        <v>74</v>
      </c>
      <c r="C48" s="62">
        <v>31220.74</v>
      </c>
      <c r="D48" s="56">
        <v>16678.080000000002</v>
      </c>
      <c r="E48" s="56">
        <v>16680</v>
      </c>
      <c r="F48" s="63">
        <v>43844</v>
      </c>
      <c r="G48" s="62">
        <f>IF(E48-D48&lt;0,E48-D48,0)*-1</f>
        <v>0</v>
      </c>
      <c r="H48" s="62">
        <f>IF(E48-D48&gt;0,E48-D48,0)</f>
        <v>1.9199999999982538</v>
      </c>
      <c r="I48" s="56"/>
      <c r="J48" s="56">
        <v>0</v>
      </c>
      <c r="K48" s="56">
        <v>13413.57</v>
      </c>
      <c r="L48" s="56"/>
      <c r="M48" s="62">
        <f>(+K48)*M$5</f>
        <v>288.39175499999999</v>
      </c>
      <c r="N48" s="62">
        <f>(+K48)*N$5</f>
        <v>67.067849999999993</v>
      </c>
      <c r="O48" s="62">
        <f>+K48-M48-N48+P48</f>
        <v>13058.110395</v>
      </c>
      <c r="P48" s="62"/>
      <c r="Q48" s="64"/>
      <c r="R48" s="56"/>
      <c r="S48" s="56"/>
      <c r="T48" s="62"/>
      <c r="U48" s="62"/>
      <c r="V48" s="62"/>
      <c r="W48" s="62"/>
      <c r="X48" s="64"/>
      <c r="Y48" s="56"/>
      <c r="Z48" s="56"/>
      <c r="AA48" s="56"/>
      <c r="AB48" s="56"/>
      <c r="AC48" s="56">
        <v>649.09</v>
      </c>
      <c r="AD48" s="65" t="s">
        <v>77</v>
      </c>
      <c r="AE48" s="65">
        <v>480</v>
      </c>
      <c r="AF48" s="56">
        <v>2350.1999999999998</v>
      </c>
      <c r="AG48" s="62">
        <f>(AF48*0.8)*0.85</f>
        <v>1598.1359999999997</v>
      </c>
      <c r="AH48" s="62">
        <f>(AF48*0.8)*0.15</f>
        <v>282.02399999999994</v>
      </c>
      <c r="AI48" s="62">
        <f>AF48*0.2</f>
        <v>470.03999999999996</v>
      </c>
      <c r="AJ48" s="56"/>
      <c r="AK48" s="62">
        <f>(C48-AF48-AJ48)/1.12</f>
        <v>25777.267857142855</v>
      </c>
      <c r="AL48" s="62">
        <f>AK48-SUM(Y48:AC48)</f>
        <v>25128.177857142855</v>
      </c>
      <c r="AM48" s="62">
        <f>+AL48*0.12</f>
        <v>3015.3813428571425</v>
      </c>
      <c r="AN48" s="62">
        <f t="shared" si="51"/>
        <v>28143.559199999996</v>
      </c>
      <c r="AO48" s="66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2">
        <f>SUM(AO48:AY48)</f>
        <v>0</v>
      </c>
      <c r="BA48" s="65"/>
      <c r="BB48" s="65"/>
      <c r="BC48" s="62">
        <f>SUM(BE48:BL48)*0.1+(BM48*0.5)</f>
        <v>0</v>
      </c>
      <c r="BD48" s="62">
        <f>SUM(BE48:BL48)+(BM48*0.5)</f>
        <v>0</v>
      </c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8">
        <f>AZ48+BA48+BB48+BD48-BC48</f>
        <v>0</v>
      </c>
      <c r="BT48" s="82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83"/>
      <c r="CR48" s="83"/>
      <c r="CS48" s="83"/>
    </row>
    <row r="49" spans="1:97" x14ac:dyDescent="0.25">
      <c r="A49" s="1"/>
      <c r="B49" s="33" t="s">
        <v>76</v>
      </c>
      <c r="C49" s="62">
        <v>17822.240000000002</v>
      </c>
      <c r="D49" s="56">
        <v>10126.709999999999</v>
      </c>
      <c r="E49" s="56">
        <v>10135</v>
      </c>
      <c r="F49" s="63">
        <v>43845</v>
      </c>
      <c r="G49" s="62">
        <f>IF(E49-D49&lt;0,E49-D49,0)*-1</f>
        <v>0</v>
      </c>
      <c r="H49" s="62">
        <f>IF(E49-D49&gt;0,E49-D49,0)</f>
        <v>8.2900000000008731</v>
      </c>
      <c r="I49" s="56">
        <v>300</v>
      </c>
      <c r="J49" s="56"/>
      <c r="K49" s="56">
        <v>7165.67</v>
      </c>
      <c r="L49" s="56"/>
      <c r="M49" s="62">
        <f>(+K49)*M$5</f>
        <v>154.061905</v>
      </c>
      <c r="N49" s="62">
        <f>(+K49)*N$5</f>
        <v>35.82835</v>
      </c>
      <c r="O49" s="62">
        <f>+K49-M49-N49+P49</f>
        <v>6975.7797450000007</v>
      </c>
      <c r="P49" s="62"/>
      <c r="Q49" s="64"/>
      <c r="R49" s="56"/>
      <c r="S49" s="56"/>
      <c r="T49" s="62"/>
      <c r="U49" s="62"/>
      <c r="V49" s="62"/>
      <c r="W49" s="62"/>
      <c r="X49" s="64"/>
      <c r="Y49" s="56"/>
      <c r="Z49" s="56"/>
      <c r="AA49" s="56">
        <v>82</v>
      </c>
      <c r="AB49" s="56"/>
      <c r="AC49" s="56">
        <v>167.86</v>
      </c>
      <c r="AD49" s="65"/>
      <c r="AE49" s="65"/>
      <c r="AF49" s="56">
        <v>1332.95</v>
      </c>
      <c r="AG49" s="62">
        <f>(AF49*0.8)*0.85</f>
        <v>906.40600000000006</v>
      </c>
      <c r="AH49" s="62">
        <f>(AF49*0.8)*0.15</f>
        <v>159.95400000000001</v>
      </c>
      <c r="AI49" s="62">
        <f>AF49*0.2</f>
        <v>266.59000000000003</v>
      </c>
      <c r="AJ49" s="56"/>
      <c r="AK49" s="62">
        <f>(C49-AF49-AJ49)/1.12</f>
        <v>14722.580357142857</v>
      </c>
      <c r="AL49" s="62">
        <f>AK49-SUM(Y49:AC49)</f>
        <v>14472.720357142856</v>
      </c>
      <c r="AM49" s="62">
        <f>+AL49*0.12</f>
        <v>1736.7264428571427</v>
      </c>
      <c r="AN49" s="62">
        <f t="shared" si="51"/>
        <v>16209.4468</v>
      </c>
      <c r="AO49" s="66">
        <v>565</v>
      </c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2">
        <f>SUM(AO49:AY49)</f>
        <v>565</v>
      </c>
      <c r="BA49" s="65"/>
      <c r="BB49" s="65"/>
      <c r="BC49" s="62">
        <v>0</v>
      </c>
      <c r="BD49" s="62">
        <v>0</v>
      </c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8">
        <f>AZ49+BA49+BB49+BD49-BC49</f>
        <v>565</v>
      </c>
      <c r="BT49" s="82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83"/>
      <c r="CR49" s="83"/>
      <c r="CS49" s="83"/>
    </row>
    <row r="50" spans="1:97" x14ac:dyDescent="0.25">
      <c r="A50" s="87"/>
      <c r="B50" s="70"/>
      <c r="C50" s="71">
        <f>SUBTOTAL(9,C48:C49)</f>
        <v>49042.98</v>
      </c>
      <c r="D50" s="72">
        <f>SUBTOTAL(9,D48:D49)</f>
        <v>26804.79</v>
      </c>
      <c r="E50" s="72">
        <f>SUBTOTAL(9,E48:E49)</f>
        <v>26815</v>
      </c>
      <c r="F50" s="74"/>
      <c r="G50" s="72">
        <f t="shared" ref="G50:P50" si="56">SUBTOTAL(9,G48:G49)</f>
        <v>0</v>
      </c>
      <c r="H50" s="72">
        <f t="shared" si="56"/>
        <v>10.209999999999127</v>
      </c>
      <c r="I50" s="73">
        <f t="shared" si="56"/>
        <v>300</v>
      </c>
      <c r="J50" s="73">
        <f t="shared" si="56"/>
        <v>0</v>
      </c>
      <c r="K50" s="73">
        <f t="shared" si="56"/>
        <v>20579.239999999998</v>
      </c>
      <c r="L50" s="73">
        <f t="shared" si="56"/>
        <v>0</v>
      </c>
      <c r="M50" s="71">
        <f t="shared" si="56"/>
        <v>442.45366000000001</v>
      </c>
      <c r="N50" s="71">
        <f t="shared" si="56"/>
        <v>102.89619999999999</v>
      </c>
      <c r="O50" s="71">
        <f t="shared" si="56"/>
        <v>20033.89014</v>
      </c>
      <c r="P50" s="71">
        <f t="shared" si="56"/>
        <v>0</v>
      </c>
      <c r="Q50" s="74"/>
      <c r="R50" s="72">
        <f t="shared" ref="R50:W50" si="57">SUBTOTAL(9,R48:R49)</f>
        <v>0</v>
      </c>
      <c r="S50" s="72">
        <f t="shared" si="57"/>
        <v>0</v>
      </c>
      <c r="T50" s="71">
        <f t="shared" si="57"/>
        <v>0</v>
      </c>
      <c r="U50" s="71">
        <f t="shared" si="57"/>
        <v>0</v>
      </c>
      <c r="V50" s="71">
        <f t="shared" si="57"/>
        <v>0</v>
      </c>
      <c r="W50" s="71">
        <f t="shared" si="57"/>
        <v>0</v>
      </c>
      <c r="X50" s="74"/>
      <c r="Y50" s="72">
        <f>SUBTOTAL(9,Y48:Y49)</f>
        <v>0</v>
      </c>
      <c r="Z50" s="72"/>
      <c r="AA50" s="72"/>
      <c r="AB50" s="72"/>
      <c r="AC50" s="72"/>
      <c r="AD50" s="76"/>
      <c r="AE50" s="76"/>
      <c r="AF50" s="72"/>
      <c r="AG50" s="71">
        <f t="shared" ref="AG50:AM50" si="58">SUBTOTAL(9,AG48:AG49)</f>
        <v>2504.5419999999999</v>
      </c>
      <c r="AH50" s="71">
        <f t="shared" si="58"/>
        <v>441.97799999999995</v>
      </c>
      <c r="AI50" s="71">
        <f t="shared" si="58"/>
        <v>736.63</v>
      </c>
      <c r="AJ50" s="72">
        <f t="shared" si="58"/>
        <v>0</v>
      </c>
      <c r="AK50" s="71">
        <f t="shared" si="58"/>
        <v>40499.84821428571</v>
      </c>
      <c r="AL50" s="71">
        <f t="shared" si="58"/>
        <v>39600.898214285713</v>
      </c>
      <c r="AM50" s="71">
        <f t="shared" si="58"/>
        <v>4752.1077857142855</v>
      </c>
      <c r="AN50" s="71">
        <f t="shared" si="51"/>
        <v>44353.006000000001</v>
      </c>
      <c r="AO50" s="77">
        <f t="shared" ref="AO50:BP50" si="59">SUBTOTAL(9,AO48:AO49)</f>
        <v>565</v>
      </c>
      <c r="AP50" s="77">
        <f t="shared" si="59"/>
        <v>0</v>
      </c>
      <c r="AQ50" s="77">
        <f t="shared" si="59"/>
        <v>0</v>
      </c>
      <c r="AR50" s="77">
        <f t="shared" si="59"/>
        <v>0</v>
      </c>
      <c r="AS50" s="77">
        <f t="shared" si="59"/>
        <v>0</v>
      </c>
      <c r="AT50" s="77">
        <f t="shared" si="59"/>
        <v>0</v>
      </c>
      <c r="AU50" s="77">
        <f t="shared" si="59"/>
        <v>0</v>
      </c>
      <c r="AV50" s="77">
        <f t="shared" si="59"/>
        <v>0</v>
      </c>
      <c r="AW50" s="77">
        <f t="shared" si="59"/>
        <v>0</v>
      </c>
      <c r="AX50" s="77">
        <f t="shared" si="59"/>
        <v>0</v>
      </c>
      <c r="AY50" s="77">
        <f t="shared" si="59"/>
        <v>0</v>
      </c>
      <c r="AZ50" s="71">
        <f t="shared" si="59"/>
        <v>565</v>
      </c>
      <c r="BA50" s="76">
        <f t="shared" si="59"/>
        <v>0</v>
      </c>
      <c r="BB50" s="76">
        <f t="shared" si="59"/>
        <v>0</v>
      </c>
      <c r="BC50" s="71">
        <f t="shared" si="59"/>
        <v>0</v>
      </c>
      <c r="BD50" s="71">
        <f t="shared" si="59"/>
        <v>0</v>
      </c>
      <c r="BE50" s="77">
        <f t="shared" si="59"/>
        <v>0</v>
      </c>
      <c r="BF50" s="77">
        <f t="shared" si="59"/>
        <v>0</v>
      </c>
      <c r="BG50" s="77">
        <f t="shared" si="59"/>
        <v>0</v>
      </c>
      <c r="BH50" s="77">
        <f t="shared" si="59"/>
        <v>0</v>
      </c>
      <c r="BI50" s="77">
        <f t="shared" si="59"/>
        <v>0</v>
      </c>
      <c r="BJ50" s="77">
        <f t="shared" si="59"/>
        <v>0</v>
      </c>
      <c r="BK50" s="77">
        <f t="shared" si="59"/>
        <v>0</v>
      </c>
      <c r="BL50" s="77">
        <f t="shared" si="59"/>
        <v>0</v>
      </c>
      <c r="BM50" s="77">
        <f t="shared" si="59"/>
        <v>0</v>
      </c>
      <c r="BN50" s="77">
        <f t="shared" si="59"/>
        <v>0</v>
      </c>
      <c r="BO50" s="77">
        <f t="shared" si="59"/>
        <v>0</v>
      </c>
      <c r="BP50" s="77">
        <f t="shared" si="59"/>
        <v>0</v>
      </c>
      <c r="BQ50" s="77"/>
      <c r="BR50" s="71">
        <f>SUBTOTAL(9,BR48:BR49)</f>
        <v>565</v>
      </c>
    </row>
    <row r="51" spans="1:97" x14ac:dyDescent="0.25">
      <c r="A51" s="1">
        <f>+A48+1</f>
        <v>43845</v>
      </c>
      <c r="B51" s="33" t="s">
        <v>74</v>
      </c>
      <c r="C51" s="62">
        <v>24584.78</v>
      </c>
      <c r="D51" s="56">
        <v>18814.93</v>
      </c>
      <c r="E51" s="56">
        <v>18820</v>
      </c>
      <c r="F51" s="63">
        <v>43845</v>
      </c>
      <c r="G51" s="62">
        <f>IF(E51-D51&lt;0,E51-D51,0)*-1</f>
        <v>0</v>
      </c>
      <c r="H51" s="62">
        <f>IF(E51-D51&gt;0,E51-D51,0)</f>
        <v>5.069999999999709</v>
      </c>
      <c r="I51" s="56"/>
      <c r="J51" s="56"/>
      <c r="K51" s="56">
        <v>5356.94</v>
      </c>
      <c r="L51" s="56"/>
      <c r="M51" s="62">
        <f>(+K51)*M$5</f>
        <v>115.17420999999999</v>
      </c>
      <c r="N51" s="62">
        <f>(+K51)*N$5</f>
        <v>26.784699999999997</v>
      </c>
      <c r="O51" s="62">
        <f>+K51-M51-N51+P51</f>
        <v>5214.9810899999993</v>
      </c>
      <c r="P51" s="62"/>
      <c r="Q51" s="64"/>
      <c r="R51" s="56"/>
      <c r="S51" s="56"/>
      <c r="T51" s="62"/>
      <c r="U51" s="62"/>
      <c r="V51" s="62"/>
      <c r="W51" s="62"/>
      <c r="X51" s="64"/>
      <c r="Y51" s="56"/>
      <c r="Z51" s="56">
        <v>84.5</v>
      </c>
      <c r="AA51" s="56"/>
      <c r="AB51" s="56"/>
      <c r="AC51" s="56">
        <v>328.41</v>
      </c>
      <c r="AD51" s="65"/>
      <c r="AE51" s="65"/>
      <c r="AF51" s="56">
        <v>1861.84</v>
      </c>
      <c r="AG51" s="62">
        <f>(AF51*0.8)*0.85</f>
        <v>1266.0511999999999</v>
      </c>
      <c r="AH51" s="62">
        <f>(AF51*0.8)*0.15</f>
        <v>223.42079999999999</v>
      </c>
      <c r="AI51" s="62">
        <f>AF51*0.2</f>
        <v>372.36799999999999</v>
      </c>
      <c r="AJ51" s="56"/>
      <c r="AK51" s="62">
        <f>(C51-AF51-AJ51)/1.12</f>
        <v>20288.339285714283</v>
      </c>
      <c r="AL51" s="62">
        <f>AK51-SUM(Y51:AC51)</f>
        <v>19875.429285714283</v>
      </c>
      <c r="AM51" s="62">
        <f>+AL51*0.12</f>
        <v>2385.0515142857139</v>
      </c>
      <c r="AN51" s="62">
        <f t="shared" si="51"/>
        <v>22260.480799999998</v>
      </c>
      <c r="AO51" s="66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2">
        <f>SUM(AO51:AY51)</f>
        <v>0</v>
      </c>
      <c r="BA51" s="65"/>
      <c r="BB51" s="65"/>
      <c r="BC51" s="62">
        <f>SUM(BE51:BL51)*0.1+(BM51*0.5)</f>
        <v>0</v>
      </c>
      <c r="BD51" s="62">
        <f>SUM(BE51:BL51)+(BM51*0.5)</f>
        <v>0</v>
      </c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8">
        <f>AZ51+BA51+BB51+BD51-BC51</f>
        <v>0</v>
      </c>
      <c r="BT51" s="82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83"/>
      <c r="CR51" s="83"/>
      <c r="CS51" s="83"/>
    </row>
    <row r="52" spans="1:97" x14ac:dyDescent="0.25">
      <c r="A52" s="1"/>
      <c r="B52" s="33" t="s">
        <v>76</v>
      </c>
      <c r="C52" s="62">
        <v>25445.01</v>
      </c>
      <c r="D52" s="56">
        <v>19379.810000000001</v>
      </c>
      <c r="E52" s="56">
        <v>19380</v>
      </c>
      <c r="F52" s="63">
        <v>43846</v>
      </c>
      <c r="G52" s="62">
        <f>IF(E52-D52&lt;0,E52-D52,0)*-1</f>
        <v>0</v>
      </c>
      <c r="H52" s="62">
        <f>IF(E52-D52&gt;0,E52-D52,0)</f>
        <v>0.18999999999869033</v>
      </c>
      <c r="I52" s="56"/>
      <c r="J52" s="56"/>
      <c r="K52" s="56">
        <v>5662.09</v>
      </c>
      <c r="L52" s="56"/>
      <c r="M52" s="62">
        <f>(+K52)*M$5</f>
        <v>121.73493499999999</v>
      </c>
      <c r="N52" s="62">
        <f>(+K52)*N$5</f>
        <v>28.310450000000003</v>
      </c>
      <c r="O52" s="62">
        <f>+K52-M52-N52+P52</f>
        <v>5512.0446149999998</v>
      </c>
      <c r="P52" s="62"/>
      <c r="Q52" s="64"/>
      <c r="R52" s="56"/>
      <c r="S52" s="56"/>
      <c r="T52" s="62"/>
      <c r="U52" s="62"/>
      <c r="V52" s="62"/>
      <c r="W52" s="62"/>
      <c r="X52" s="64"/>
      <c r="Y52" s="56"/>
      <c r="Z52" s="56">
        <v>104</v>
      </c>
      <c r="AA52" s="56"/>
      <c r="AB52" s="56"/>
      <c r="AC52" s="56">
        <v>299.11</v>
      </c>
      <c r="AD52" s="65"/>
      <c r="AE52" s="65"/>
      <c r="AF52" s="56">
        <v>1929.47</v>
      </c>
      <c r="AG52" s="62">
        <f>(AF52*0.8)*0.85</f>
        <v>1312.0396000000001</v>
      </c>
      <c r="AH52" s="62">
        <f>(AF52*0.8)*0.15</f>
        <v>231.53639999999999</v>
      </c>
      <c r="AI52" s="62">
        <f>AF52*0.2</f>
        <v>385.89400000000001</v>
      </c>
      <c r="AJ52" s="56"/>
      <c r="AK52" s="62">
        <f>(C52-AF52-AJ52)/1.12</f>
        <v>20996.017857142851</v>
      </c>
      <c r="AL52" s="62">
        <f>AK52-SUM(Y52:AC52)</f>
        <v>20592.907857142851</v>
      </c>
      <c r="AM52" s="62">
        <f>+AL52*0.12</f>
        <v>2471.1489428571422</v>
      </c>
      <c r="AN52" s="62">
        <f t="shared" si="51"/>
        <v>23064.056799999991</v>
      </c>
      <c r="AO52" s="66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2">
        <f>SUM(AO52:AY52)</f>
        <v>0</v>
      </c>
      <c r="BA52" s="65">
        <v>2260</v>
      </c>
      <c r="BB52" s="65"/>
      <c r="BC52" s="62"/>
      <c r="BD52" s="62"/>
      <c r="BE52" s="66"/>
      <c r="BF52" s="66">
        <v>0</v>
      </c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8">
        <f>AZ52+BA52+BB52+BD52-BC52</f>
        <v>2260</v>
      </c>
      <c r="BT52" s="82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83"/>
      <c r="CR52" s="83"/>
      <c r="CS52" s="83"/>
    </row>
    <row r="53" spans="1:97" x14ac:dyDescent="0.25">
      <c r="A53" s="87"/>
      <c r="B53" s="70"/>
      <c r="C53" s="71">
        <f>SUBTOTAL(9,C51:C52)</f>
        <v>50029.789999999994</v>
      </c>
      <c r="D53" s="72">
        <f>SUBTOTAL(9,D51:D52)</f>
        <v>38194.740000000005</v>
      </c>
      <c r="E53" s="72">
        <f>SUBTOTAL(9,E51:E52)</f>
        <v>38200</v>
      </c>
      <c r="F53" s="74"/>
      <c r="G53" s="72">
        <f t="shared" ref="G53:P53" si="60">SUBTOTAL(9,G51:G52)</f>
        <v>0</v>
      </c>
      <c r="H53" s="72">
        <f t="shared" si="60"/>
        <v>5.2599999999983993</v>
      </c>
      <c r="I53" s="73">
        <f t="shared" si="60"/>
        <v>0</v>
      </c>
      <c r="J53" s="73">
        <f t="shared" si="60"/>
        <v>0</v>
      </c>
      <c r="K53" s="73">
        <f t="shared" si="60"/>
        <v>11019.029999999999</v>
      </c>
      <c r="L53" s="73">
        <f t="shared" si="60"/>
        <v>0</v>
      </c>
      <c r="M53" s="71">
        <f t="shared" si="60"/>
        <v>236.90914499999997</v>
      </c>
      <c r="N53" s="71">
        <f t="shared" si="60"/>
        <v>55.095150000000004</v>
      </c>
      <c r="O53" s="71">
        <f t="shared" si="60"/>
        <v>10727.025705</v>
      </c>
      <c r="P53" s="71">
        <f t="shared" si="60"/>
        <v>0</v>
      </c>
      <c r="Q53" s="74"/>
      <c r="R53" s="72">
        <f t="shared" ref="R53:W53" si="61">SUBTOTAL(9,R51:R52)</f>
        <v>0</v>
      </c>
      <c r="S53" s="72">
        <f t="shared" si="61"/>
        <v>0</v>
      </c>
      <c r="T53" s="71">
        <f t="shared" si="61"/>
        <v>0</v>
      </c>
      <c r="U53" s="71">
        <f t="shared" si="61"/>
        <v>0</v>
      </c>
      <c r="V53" s="71">
        <f t="shared" si="61"/>
        <v>0</v>
      </c>
      <c r="W53" s="71">
        <f t="shared" si="61"/>
        <v>0</v>
      </c>
      <c r="X53" s="74"/>
      <c r="Y53" s="72">
        <f>SUBTOTAL(9,Y51:Y52)</f>
        <v>0</v>
      </c>
      <c r="Z53" s="72"/>
      <c r="AA53" s="72"/>
      <c r="AB53" s="72"/>
      <c r="AC53" s="72"/>
      <c r="AD53" s="76"/>
      <c r="AE53" s="76"/>
      <c r="AF53" s="72"/>
      <c r="AG53" s="71">
        <f t="shared" ref="AG53:AM53" si="62">SUBTOTAL(9,AG51:AG52)</f>
        <v>2578.0907999999999</v>
      </c>
      <c r="AH53" s="71">
        <f t="shared" si="62"/>
        <v>454.95719999999994</v>
      </c>
      <c r="AI53" s="71">
        <f t="shared" si="62"/>
        <v>758.26199999999994</v>
      </c>
      <c r="AJ53" s="72">
        <f t="shared" si="62"/>
        <v>0</v>
      </c>
      <c r="AK53" s="71">
        <f t="shared" si="62"/>
        <v>41284.35714285713</v>
      </c>
      <c r="AL53" s="71">
        <f t="shared" si="62"/>
        <v>40468.337142857134</v>
      </c>
      <c r="AM53" s="71">
        <f t="shared" si="62"/>
        <v>4856.2004571428561</v>
      </c>
      <c r="AN53" s="71">
        <f t="shared" si="51"/>
        <v>45324.537599999989</v>
      </c>
      <c r="AO53" s="77">
        <f>SUBTOTAL(9,AO51:AO52)</f>
        <v>0</v>
      </c>
      <c r="AP53" s="77">
        <f>SUBTOTAL(9,AP51:AP52)</f>
        <v>0</v>
      </c>
      <c r="AQ53" s="77" t="s">
        <v>79</v>
      </c>
      <c r="AR53" s="77">
        <f t="shared" ref="AR53:BP53" si="63">SUBTOTAL(9,AR51:AR52)</f>
        <v>0</v>
      </c>
      <c r="AS53" s="77">
        <f t="shared" si="63"/>
        <v>0</v>
      </c>
      <c r="AT53" s="77">
        <f t="shared" si="63"/>
        <v>0</v>
      </c>
      <c r="AU53" s="77">
        <f t="shared" si="63"/>
        <v>0</v>
      </c>
      <c r="AV53" s="77">
        <f t="shared" si="63"/>
        <v>0</v>
      </c>
      <c r="AW53" s="77">
        <f t="shared" si="63"/>
        <v>0</v>
      </c>
      <c r="AX53" s="77">
        <f t="shared" si="63"/>
        <v>0</v>
      </c>
      <c r="AY53" s="77">
        <f t="shared" si="63"/>
        <v>0</v>
      </c>
      <c r="AZ53" s="71">
        <f t="shared" si="63"/>
        <v>0</v>
      </c>
      <c r="BA53" s="76">
        <f t="shared" si="63"/>
        <v>2260</v>
      </c>
      <c r="BB53" s="76">
        <f t="shared" si="63"/>
        <v>0</v>
      </c>
      <c r="BC53" s="71">
        <f t="shared" si="63"/>
        <v>0</v>
      </c>
      <c r="BD53" s="71">
        <f t="shared" si="63"/>
        <v>0</v>
      </c>
      <c r="BE53" s="77">
        <f t="shared" si="63"/>
        <v>0</v>
      </c>
      <c r="BF53" s="77">
        <f t="shared" si="63"/>
        <v>0</v>
      </c>
      <c r="BG53" s="77">
        <f t="shared" si="63"/>
        <v>0</v>
      </c>
      <c r="BH53" s="77">
        <f t="shared" si="63"/>
        <v>0</v>
      </c>
      <c r="BI53" s="77">
        <f t="shared" si="63"/>
        <v>0</v>
      </c>
      <c r="BJ53" s="77">
        <f t="shared" si="63"/>
        <v>0</v>
      </c>
      <c r="BK53" s="77">
        <f t="shared" si="63"/>
        <v>0</v>
      </c>
      <c r="BL53" s="77">
        <f t="shared" si="63"/>
        <v>0</v>
      </c>
      <c r="BM53" s="77">
        <f t="shared" si="63"/>
        <v>0</v>
      </c>
      <c r="BN53" s="77">
        <f t="shared" si="63"/>
        <v>0</v>
      </c>
      <c r="BO53" s="77">
        <f t="shared" si="63"/>
        <v>0</v>
      </c>
      <c r="BP53" s="77">
        <f t="shared" si="63"/>
        <v>0</v>
      </c>
      <c r="BQ53" s="77"/>
      <c r="BR53" s="71">
        <f>SUBTOTAL(9,BR51:BR52)</f>
        <v>2260</v>
      </c>
    </row>
    <row r="54" spans="1:97" x14ac:dyDescent="0.25">
      <c r="A54" s="1">
        <f>+A51+1</f>
        <v>43846</v>
      </c>
      <c r="B54" s="33" t="s">
        <v>74</v>
      </c>
      <c r="C54" s="62">
        <v>35448.89</v>
      </c>
      <c r="D54" s="56">
        <v>27609.14</v>
      </c>
      <c r="E54" s="56">
        <v>27610</v>
      </c>
      <c r="F54" s="63">
        <v>43846</v>
      </c>
      <c r="G54" s="62">
        <f>IF(E54-D54&lt;0,E54-D54,0)*-1</f>
        <v>0</v>
      </c>
      <c r="H54" s="62">
        <f>IF(E54-D54&gt;0,E54-D54,0)</f>
        <v>0.86000000000058208</v>
      </c>
      <c r="I54" s="56"/>
      <c r="J54" s="56"/>
      <c r="K54" s="56">
        <v>7304.49</v>
      </c>
      <c r="L54" s="56"/>
      <c r="M54" s="62">
        <f>(+K54)*M$5</f>
        <v>157.04653499999998</v>
      </c>
      <c r="N54" s="62">
        <f>(+K54)*N$5</f>
        <v>36.522449999999999</v>
      </c>
      <c r="O54" s="62">
        <f>+K54-M54-N54+P54</f>
        <v>7110.921014999999</v>
      </c>
      <c r="P54" s="62"/>
      <c r="Q54" s="64"/>
      <c r="R54" s="56"/>
      <c r="S54" s="56"/>
      <c r="T54" s="62"/>
      <c r="U54" s="62"/>
      <c r="V54" s="62"/>
      <c r="W54" s="62"/>
      <c r="X54" s="64"/>
      <c r="Y54" s="56"/>
      <c r="Z54" s="56">
        <v>91</v>
      </c>
      <c r="AA54" s="56"/>
      <c r="AB54" s="56"/>
      <c r="AC54" s="56">
        <v>444.26</v>
      </c>
      <c r="AD54" s="65"/>
      <c r="AE54" s="65"/>
      <c r="AF54" s="56">
        <v>2737.44</v>
      </c>
      <c r="AG54" s="62">
        <f>(AF54*0.8)*0.85</f>
        <v>1861.4592000000002</v>
      </c>
      <c r="AH54" s="62">
        <f>(AF54*0.8)*0.15</f>
        <v>328.49280000000005</v>
      </c>
      <c r="AI54" s="62">
        <f>AF54*0.2</f>
        <v>547.48800000000006</v>
      </c>
      <c r="AJ54" s="56"/>
      <c r="AK54" s="62">
        <f>(C54-AF54-AJ54)/1.12</f>
        <v>29206.651785714283</v>
      </c>
      <c r="AL54" s="62">
        <f>AK54-SUM(Y54:AC54)</f>
        <v>28671.391785714284</v>
      </c>
      <c r="AM54" s="62">
        <f>+AL54*0.12</f>
        <v>3440.5670142857139</v>
      </c>
      <c r="AN54" s="62">
        <f t="shared" si="51"/>
        <v>32111.958799999997</v>
      </c>
      <c r="AO54" s="66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2">
        <f>SUM(AO54:AY54)</f>
        <v>0</v>
      </c>
      <c r="BA54" s="65"/>
      <c r="BB54" s="65"/>
      <c r="BC54" s="62">
        <f>SUM(BE54:BL54)*0.1+(BM54*0.5)</f>
        <v>0</v>
      </c>
      <c r="BD54" s="62">
        <f>SUM(BE54:BL54)+(BM54*0.5)</f>
        <v>0</v>
      </c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8">
        <f>AZ54+BA54+BB54+BD54-BC54</f>
        <v>0</v>
      </c>
      <c r="BT54" s="82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83"/>
      <c r="CR54" s="83"/>
      <c r="CS54" s="83"/>
    </row>
    <row r="55" spans="1:97" x14ac:dyDescent="0.25">
      <c r="A55" s="1"/>
      <c r="B55" s="33" t="s">
        <v>76</v>
      </c>
      <c r="C55" s="62">
        <v>29106.92</v>
      </c>
      <c r="D55" s="56">
        <v>14281.04</v>
      </c>
      <c r="E55" s="56">
        <v>14282</v>
      </c>
      <c r="F55" s="63">
        <v>43847</v>
      </c>
      <c r="G55" s="62">
        <f>IF(E55-D55&lt;0,E55-D55,0)*-1</f>
        <v>0</v>
      </c>
      <c r="H55" s="62">
        <f>IF(E55-D55&gt;0,E55-D55,0)</f>
        <v>0.95999999999912689</v>
      </c>
      <c r="I55" s="56"/>
      <c r="J55" s="56"/>
      <c r="K55" s="56">
        <v>14639.73</v>
      </c>
      <c r="L55" s="56"/>
      <c r="M55" s="62">
        <f>(+K55)*M$5</f>
        <v>314.75419499999998</v>
      </c>
      <c r="N55" s="62">
        <f>(+K55)*N$5</f>
        <v>73.198650000000001</v>
      </c>
      <c r="O55" s="62">
        <f>+K55-M55-N55+P55</f>
        <v>14251.777155</v>
      </c>
      <c r="P55" s="62"/>
      <c r="Q55" s="64"/>
      <c r="R55" s="56"/>
      <c r="S55" s="56"/>
      <c r="T55" s="62"/>
      <c r="U55" s="62"/>
      <c r="V55" s="62"/>
      <c r="W55" s="62"/>
      <c r="X55" s="64"/>
      <c r="Y55" s="56"/>
      <c r="Z55" s="56">
        <v>85.25</v>
      </c>
      <c r="AA55" s="56"/>
      <c r="AB55" s="56"/>
      <c r="AC55" s="56">
        <v>100.9</v>
      </c>
      <c r="AD55" s="65"/>
      <c r="AE55" s="65"/>
      <c r="AF55" s="56">
        <v>2289.4499999999998</v>
      </c>
      <c r="AG55" s="62">
        <f>(AF55*0.8)*0.85</f>
        <v>1556.826</v>
      </c>
      <c r="AH55" s="62">
        <f>(AF55*0.8)*0.15</f>
        <v>274.73399999999998</v>
      </c>
      <c r="AI55" s="62">
        <f>AF55*0.2</f>
        <v>457.89</v>
      </c>
      <c r="AJ55" s="56"/>
      <c r="AK55" s="62">
        <f>(C55-AF55-AJ55)/1.12</f>
        <v>23944.169642857138</v>
      </c>
      <c r="AL55" s="62">
        <f>AK55-SUM(Y55:AC55)</f>
        <v>23758.019642857136</v>
      </c>
      <c r="AM55" s="62">
        <f>+AL55*0.12</f>
        <v>2850.962357142856</v>
      </c>
      <c r="AN55" s="62">
        <f t="shared" si="51"/>
        <v>26608.981999999993</v>
      </c>
      <c r="AO55" s="66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2">
        <f>SUM(AO55:AY55)</f>
        <v>0</v>
      </c>
      <c r="BA55" s="65"/>
      <c r="BB55" s="65"/>
      <c r="BC55" s="62">
        <v>0</v>
      </c>
      <c r="BD55" s="62">
        <v>0</v>
      </c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8">
        <f>AZ55+BA55+BB55+BD55-BC55</f>
        <v>0</v>
      </c>
      <c r="BT55" s="82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83"/>
      <c r="CR55" s="83"/>
      <c r="CS55" s="83"/>
    </row>
    <row r="56" spans="1:97" x14ac:dyDescent="0.25">
      <c r="A56" s="87"/>
      <c r="B56" s="70"/>
      <c r="C56" s="71">
        <f>SUBTOTAL(9,C54:C55)</f>
        <v>64555.81</v>
      </c>
      <c r="D56" s="72">
        <f>SUBTOTAL(9,D54:D55)</f>
        <v>41890.18</v>
      </c>
      <c r="E56" s="72">
        <f>SUBTOTAL(9,E54:E55)</f>
        <v>41892</v>
      </c>
      <c r="F56" s="74"/>
      <c r="G56" s="72">
        <f t="shared" ref="G56:P56" si="64">SUBTOTAL(9,G54:G55)</f>
        <v>0</v>
      </c>
      <c r="H56" s="72">
        <f t="shared" si="64"/>
        <v>1.819999999999709</v>
      </c>
      <c r="I56" s="73">
        <f t="shared" si="64"/>
        <v>0</v>
      </c>
      <c r="J56" s="73">
        <f t="shared" si="64"/>
        <v>0</v>
      </c>
      <c r="K56" s="73">
        <f t="shared" si="64"/>
        <v>21944.22</v>
      </c>
      <c r="L56" s="73">
        <f t="shared" si="64"/>
        <v>0</v>
      </c>
      <c r="M56" s="71">
        <f t="shared" si="64"/>
        <v>471.80072999999993</v>
      </c>
      <c r="N56" s="71">
        <f t="shared" si="64"/>
        <v>109.72110000000001</v>
      </c>
      <c r="O56" s="71">
        <f t="shared" si="64"/>
        <v>21362.69817</v>
      </c>
      <c r="P56" s="71">
        <f t="shared" si="64"/>
        <v>0</v>
      </c>
      <c r="Q56" s="74"/>
      <c r="R56" s="72">
        <f t="shared" ref="R56:W56" si="65">SUBTOTAL(9,R54:R55)</f>
        <v>0</v>
      </c>
      <c r="S56" s="72">
        <f t="shared" si="65"/>
        <v>0</v>
      </c>
      <c r="T56" s="71">
        <f t="shared" si="65"/>
        <v>0</v>
      </c>
      <c r="U56" s="71">
        <f t="shared" si="65"/>
        <v>0</v>
      </c>
      <c r="V56" s="71">
        <f t="shared" si="65"/>
        <v>0</v>
      </c>
      <c r="W56" s="71">
        <f t="shared" si="65"/>
        <v>0</v>
      </c>
      <c r="X56" s="74"/>
      <c r="Y56" s="72">
        <f>SUBTOTAL(9,Y54:Y55)</f>
        <v>0</v>
      </c>
      <c r="Z56" s="72"/>
      <c r="AA56" s="72"/>
      <c r="AB56" s="72"/>
      <c r="AC56" s="72"/>
      <c r="AD56" s="76"/>
      <c r="AE56" s="76"/>
      <c r="AF56" s="72"/>
      <c r="AG56" s="71">
        <f t="shared" ref="AG56:AM56" si="66">SUBTOTAL(9,AG54:AG55)</f>
        <v>3418.2852000000003</v>
      </c>
      <c r="AH56" s="71">
        <f t="shared" si="66"/>
        <v>603.22680000000003</v>
      </c>
      <c r="AI56" s="71">
        <f t="shared" si="66"/>
        <v>1005.378</v>
      </c>
      <c r="AJ56" s="72">
        <f t="shared" si="66"/>
        <v>0</v>
      </c>
      <c r="AK56" s="71">
        <f t="shared" si="66"/>
        <v>53150.82142857142</v>
      </c>
      <c r="AL56" s="71">
        <f t="shared" si="66"/>
        <v>52429.411428571417</v>
      </c>
      <c r="AM56" s="71">
        <f t="shared" si="66"/>
        <v>6291.5293714285699</v>
      </c>
      <c r="AN56" s="71">
        <f t="shared" si="51"/>
        <v>58720.940799999989</v>
      </c>
      <c r="AO56" s="77">
        <f t="shared" ref="AO56:BP56" si="67">SUBTOTAL(9,AO54:AO55)</f>
        <v>0</v>
      </c>
      <c r="AP56" s="77">
        <f t="shared" si="67"/>
        <v>0</v>
      </c>
      <c r="AQ56" s="77">
        <f t="shared" si="67"/>
        <v>0</v>
      </c>
      <c r="AR56" s="77">
        <f t="shared" si="67"/>
        <v>0</v>
      </c>
      <c r="AS56" s="77">
        <f t="shared" si="67"/>
        <v>0</v>
      </c>
      <c r="AT56" s="77">
        <f t="shared" si="67"/>
        <v>0</v>
      </c>
      <c r="AU56" s="77">
        <f t="shared" si="67"/>
        <v>0</v>
      </c>
      <c r="AV56" s="77">
        <f t="shared" si="67"/>
        <v>0</v>
      </c>
      <c r="AW56" s="77">
        <f t="shared" si="67"/>
        <v>0</v>
      </c>
      <c r="AX56" s="77">
        <f t="shared" si="67"/>
        <v>0</v>
      </c>
      <c r="AY56" s="77">
        <f t="shared" si="67"/>
        <v>0</v>
      </c>
      <c r="AZ56" s="71">
        <f t="shared" si="67"/>
        <v>0</v>
      </c>
      <c r="BA56" s="76">
        <f t="shared" si="67"/>
        <v>0</v>
      </c>
      <c r="BB56" s="76">
        <f t="shared" si="67"/>
        <v>0</v>
      </c>
      <c r="BC56" s="71">
        <f t="shared" si="67"/>
        <v>0</v>
      </c>
      <c r="BD56" s="71">
        <f t="shared" si="67"/>
        <v>0</v>
      </c>
      <c r="BE56" s="77">
        <f t="shared" si="67"/>
        <v>0</v>
      </c>
      <c r="BF56" s="77">
        <f t="shared" si="67"/>
        <v>0</v>
      </c>
      <c r="BG56" s="77">
        <f t="shared" si="67"/>
        <v>0</v>
      </c>
      <c r="BH56" s="77">
        <f t="shared" si="67"/>
        <v>0</v>
      </c>
      <c r="BI56" s="77">
        <f t="shared" si="67"/>
        <v>0</v>
      </c>
      <c r="BJ56" s="77">
        <f t="shared" si="67"/>
        <v>0</v>
      </c>
      <c r="BK56" s="77">
        <f t="shared" si="67"/>
        <v>0</v>
      </c>
      <c r="BL56" s="77">
        <f t="shared" si="67"/>
        <v>0</v>
      </c>
      <c r="BM56" s="77">
        <f t="shared" si="67"/>
        <v>0</v>
      </c>
      <c r="BN56" s="77">
        <f t="shared" si="67"/>
        <v>0</v>
      </c>
      <c r="BO56" s="77">
        <f t="shared" si="67"/>
        <v>0</v>
      </c>
      <c r="BP56" s="77">
        <f t="shared" si="67"/>
        <v>0</v>
      </c>
      <c r="BQ56" s="77"/>
      <c r="BR56" s="71">
        <f>SUBTOTAL(9,BR54:BR55)</f>
        <v>0</v>
      </c>
    </row>
    <row r="57" spans="1:97" x14ac:dyDescent="0.25">
      <c r="A57" s="1">
        <f>+A54+1</f>
        <v>43847</v>
      </c>
      <c r="B57" s="33" t="s">
        <v>74</v>
      </c>
      <c r="C57" s="62">
        <v>44094</v>
      </c>
      <c r="D57" s="56">
        <v>28253.17</v>
      </c>
      <c r="E57" s="56">
        <v>28255</v>
      </c>
      <c r="F57" s="63">
        <v>43847</v>
      </c>
      <c r="G57" s="62"/>
      <c r="H57" s="62">
        <f>IF(E57-D57&gt;0,E57-D57,0)</f>
        <v>1.8300000000017462</v>
      </c>
      <c r="I57" s="56"/>
      <c r="J57" s="56"/>
      <c r="K57" s="56">
        <v>15298.75</v>
      </c>
      <c r="L57" s="56"/>
      <c r="M57" s="62">
        <f>(+K57)*M$5</f>
        <v>328.92312499999997</v>
      </c>
      <c r="N57" s="62">
        <f>(+K57)*N$5</f>
        <v>76.493750000000006</v>
      </c>
      <c r="O57" s="62">
        <f>+K57-M57-N57+P57</f>
        <v>14893.333125000001</v>
      </c>
      <c r="P57" s="62">
        <v>0</v>
      </c>
      <c r="Q57" s="64"/>
      <c r="R57" s="56"/>
      <c r="S57" s="56"/>
      <c r="T57" s="62">
        <f>+R57*T$5</f>
        <v>0</v>
      </c>
      <c r="U57" s="62">
        <f>+R57*U$5</f>
        <v>0</v>
      </c>
      <c r="V57" s="62">
        <f>+R57-T57-U57+W57</f>
        <v>0</v>
      </c>
      <c r="W57" s="62">
        <f>+S57-(S57*(T$5+U$5))</f>
        <v>0</v>
      </c>
      <c r="X57" s="64"/>
      <c r="Y57" s="56"/>
      <c r="Z57" s="56"/>
      <c r="AA57" s="56"/>
      <c r="AB57" s="56"/>
      <c r="AC57" s="56">
        <v>542.08000000000004</v>
      </c>
      <c r="AD57" s="65"/>
      <c r="AE57" s="65"/>
      <c r="AF57" s="56">
        <v>3420.26</v>
      </c>
      <c r="AG57" s="62">
        <f>(AF57*0.8)*0.85</f>
        <v>2325.7768000000005</v>
      </c>
      <c r="AH57" s="62">
        <f>(AF57*0.8)*0.15</f>
        <v>410.43120000000005</v>
      </c>
      <c r="AI57" s="62">
        <f>AF57*0.2</f>
        <v>684.05200000000013</v>
      </c>
      <c r="AJ57" s="56"/>
      <c r="AK57" s="62">
        <f>(C57-AF57-AJ57)/1.12</f>
        <v>36315.839285714283</v>
      </c>
      <c r="AL57" s="62">
        <f>AK57-SUM(Y57:AC57)</f>
        <v>35773.759285714281</v>
      </c>
      <c r="AM57" s="62">
        <f>+AL57*0.12</f>
        <v>4292.8511142857133</v>
      </c>
      <c r="AN57" s="62">
        <f t="shared" si="51"/>
        <v>40066.61039999999</v>
      </c>
      <c r="AO57" s="66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2">
        <f>SUM(AO57:AY57)</f>
        <v>0</v>
      </c>
      <c r="BA57" s="65"/>
      <c r="BB57" s="65"/>
      <c r="BC57" s="62">
        <f>SUM(BE57:BL57)*0.1+(BM57*0.5)</f>
        <v>0</v>
      </c>
      <c r="BD57" s="62">
        <f>SUM(BE57:BL57)+(BM57*0.5)</f>
        <v>0</v>
      </c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8">
        <f>AZ57+BA57+BB57+BD57-BC57</f>
        <v>0</v>
      </c>
      <c r="BT57" s="82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</row>
    <row r="58" spans="1:97" x14ac:dyDescent="0.25">
      <c r="A58" s="1"/>
      <c r="B58" s="33" t="s">
        <v>76</v>
      </c>
      <c r="C58" s="89">
        <v>34820.18</v>
      </c>
      <c r="D58" s="56">
        <v>23524.1</v>
      </c>
      <c r="E58" s="56">
        <v>23530</v>
      </c>
      <c r="F58" s="63">
        <v>43848</v>
      </c>
      <c r="G58" s="62"/>
      <c r="H58" s="62">
        <f>IF(E58-D58&gt;0,E58-D58,0)</f>
        <v>5.9000000000014552</v>
      </c>
      <c r="I58" s="56"/>
      <c r="J58" s="56"/>
      <c r="K58" s="56">
        <v>9891.43</v>
      </c>
      <c r="L58" s="56"/>
      <c r="M58" s="62">
        <f>(+K58)*M$5</f>
        <v>212.66574499999999</v>
      </c>
      <c r="N58" s="62">
        <f>(+K58)*N$5</f>
        <v>49.457150000000006</v>
      </c>
      <c r="O58" s="62">
        <f>+K58-M58-N58+P58</f>
        <v>9629.3071049999999</v>
      </c>
      <c r="P58" s="62">
        <f>L58-(L58*(M$5+N$5))</f>
        <v>0</v>
      </c>
      <c r="Q58" s="64"/>
      <c r="R58" s="56"/>
      <c r="S58" s="56"/>
      <c r="T58" s="62">
        <f>+R58*T$5</f>
        <v>0</v>
      </c>
      <c r="U58" s="62">
        <f>+R58*U$5</f>
        <v>0</v>
      </c>
      <c r="V58" s="62">
        <f>+R58-T58-U58+W58</f>
        <v>0</v>
      </c>
      <c r="W58" s="62">
        <f>+S58-(S58*(T$5+U$5))</f>
        <v>0</v>
      </c>
      <c r="X58" s="64"/>
      <c r="Y58" s="56"/>
      <c r="Z58" s="56">
        <f>28+152.75</f>
        <v>180.75</v>
      </c>
      <c r="AA58" s="56"/>
      <c r="AB58" s="56"/>
      <c r="AC58" s="56">
        <v>143.9</v>
      </c>
      <c r="AD58" s="65" t="s">
        <v>77</v>
      </c>
      <c r="AE58" s="65">
        <v>1080</v>
      </c>
      <c r="AF58" s="56">
        <v>2706.52</v>
      </c>
      <c r="AG58" s="62">
        <f>(AF58*0.8)*0.85</f>
        <v>1840.4335999999998</v>
      </c>
      <c r="AH58" s="62">
        <f>(AF58*0.8)*0.15</f>
        <v>324.7824</v>
      </c>
      <c r="AI58" s="62">
        <f>AF58*0.2</f>
        <v>541.30399999999997</v>
      </c>
      <c r="AJ58" s="56"/>
      <c r="AK58" s="62">
        <f>(C58-AF58-AJ58)/1.12</f>
        <v>28672.91071428571</v>
      </c>
      <c r="AL58" s="62">
        <f>AK58-SUM(Y58:AC58)</f>
        <v>28348.260714285709</v>
      </c>
      <c r="AM58" s="62">
        <f>+AL58*0.12</f>
        <v>3401.7912857142851</v>
      </c>
      <c r="AN58" s="62">
        <f t="shared" si="51"/>
        <v>31750.051999999992</v>
      </c>
      <c r="AO58" s="66">
        <v>430</v>
      </c>
      <c r="AP58" s="67"/>
      <c r="AQ58" s="67"/>
      <c r="AR58" s="67">
        <v>755</v>
      </c>
      <c r="AS58" s="67"/>
      <c r="AT58" s="67"/>
      <c r="AU58" s="67"/>
      <c r="AV58" s="67"/>
      <c r="AW58" s="67"/>
      <c r="AX58" s="67"/>
      <c r="AY58" s="67"/>
      <c r="AZ58" s="62">
        <f>SUM(AO58:AY58)</f>
        <v>1185</v>
      </c>
      <c r="BA58" s="65">
        <v>195</v>
      </c>
      <c r="BB58" s="65"/>
      <c r="BC58" s="62"/>
      <c r="BD58" s="62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8">
        <f>AZ58+BA58+BB58+BD58-BC58</f>
        <v>1380</v>
      </c>
      <c r="BT58" s="82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83"/>
      <c r="CR58" s="83"/>
      <c r="CS58" s="83"/>
    </row>
    <row r="59" spans="1:97" x14ac:dyDescent="0.25">
      <c r="A59" s="87"/>
      <c r="B59" s="70"/>
      <c r="C59" s="71">
        <f>SUBTOTAL(9,C57:C58)</f>
        <v>78914.179999999993</v>
      </c>
      <c r="D59" s="72">
        <f>SUBTOTAL(9,D57:D58)</f>
        <v>51777.27</v>
      </c>
      <c r="E59" s="72">
        <f>SUBTOTAL(9,E57:E58)</f>
        <v>51785</v>
      </c>
      <c r="F59" s="74"/>
      <c r="G59" s="72">
        <f t="shared" ref="G59:P59" si="68">SUBTOTAL(9,G57:G58)</f>
        <v>0</v>
      </c>
      <c r="H59" s="72">
        <f t="shared" si="68"/>
        <v>7.7300000000032014</v>
      </c>
      <c r="I59" s="73">
        <f t="shared" si="68"/>
        <v>0</v>
      </c>
      <c r="J59" s="73">
        <f t="shared" si="68"/>
        <v>0</v>
      </c>
      <c r="K59" s="73">
        <f t="shared" si="68"/>
        <v>25190.18</v>
      </c>
      <c r="L59" s="73">
        <f t="shared" si="68"/>
        <v>0</v>
      </c>
      <c r="M59" s="71">
        <f t="shared" si="68"/>
        <v>541.58886999999993</v>
      </c>
      <c r="N59" s="71">
        <f t="shared" si="68"/>
        <v>125.95090000000002</v>
      </c>
      <c r="O59" s="71">
        <f t="shared" si="68"/>
        <v>24522.640230000001</v>
      </c>
      <c r="P59" s="71">
        <f t="shared" si="68"/>
        <v>0</v>
      </c>
      <c r="Q59" s="74"/>
      <c r="R59" s="72">
        <f t="shared" ref="R59:W59" si="69">SUBTOTAL(9,R57:R58)</f>
        <v>0</v>
      </c>
      <c r="S59" s="72">
        <f t="shared" si="69"/>
        <v>0</v>
      </c>
      <c r="T59" s="71">
        <f t="shared" si="69"/>
        <v>0</v>
      </c>
      <c r="U59" s="71">
        <f t="shared" si="69"/>
        <v>0</v>
      </c>
      <c r="V59" s="71">
        <f t="shared" si="69"/>
        <v>0</v>
      </c>
      <c r="W59" s="71">
        <f t="shared" si="69"/>
        <v>0</v>
      </c>
      <c r="X59" s="74"/>
      <c r="Y59" s="72">
        <f>SUBTOTAL(9,Y57:Y58)</f>
        <v>0</v>
      </c>
      <c r="Z59" s="72"/>
      <c r="AA59" s="72"/>
      <c r="AB59" s="72"/>
      <c r="AC59" s="72"/>
      <c r="AD59" s="76"/>
      <c r="AE59" s="76"/>
      <c r="AF59" s="72"/>
      <c r="AG59" s="71">
        <f t="shared" ref="AG59:AM59" si="70">SUBTOTAL(9,AG57:AG58)</f>
        <v>4166.2103999999999</v>
      </c>
      <c r="AH59" s="71">
        <f t="shared" si="70"/>
        <v>735.21360000000004</v>
      </c>
      <c r="AI59" s="71">
        <f t="shared" si="70"/>
        <v>1225.3560000000002</v>
      </c>
      <c r="AJ59" s="72">
        <f t="shared" si="70"/>
        <v>0</v>
      </c>
      <c r="AK59" s="71">
        <f t="shared" si="70"/>
        <v>64988.749999999993</v>
      </c>
      <c r="AL59" s="71">
        <f t="shared" si="70"/>
        <v>64122.01999999999</v>
      </c>
      <c r="AM59" s="71">
        <f t="shared" si="70"/>
        <v>7694.6423999999988</v>
      </c>
      <c r="AN59" s="71">
        <f t="shared" si="51"/>
        <v>71816.662399999987</v>
      </c>
      <c r="AO59" s="77">
        <f t="shared" ref="AO59:BP59" si="71">SUBTOTAL(9,AO57:AO58)</f>
        <v>430</v>
      </c>
      <c r="AP59" s="77">
        <f t="shared" si="71"/>
        <v>0</v>
      </c>
      <c r="AQ59" s="77">
        <f t="shared" si="71"/>
        <v>0</v>
      </c>
      <c r="AR59" s="77">
        <f t="shared" si="71"/>
        <v>755</v>
      </c>
      <c r="AS59" s="77">
        <f t="shared" si="71"/>
        <v>0</v>
      </c>
      <c r="AT59" s="77">
        <f t="shared" si="71"/>
        <v>0</v>
      </c>
      <c r="AU59" s="77">
        <f t="shared" si="71"/>
        <v>0</v>
      </c>
      <c r="AV59" s="77">
        <f t="shared" si="71"/>
        <v>0</v>
      </c>
      <c r="AW59" s="77">
        <f t="shared" si="71"/>
        <v>0</v>
      </c>
      <c r="AX59" s="77">
        <f t="shared" si="71"/>
        <v>0</v>
      </c>
      <c r="AY59" s="77">
        <f t="shared" si="71"/>
        <v>0</v>
      </c>
      <c r="AZ59" s="71">
        <f t="shared" si="71"/>
        <v>1185</v>
      </c>
      <c r="BA59" s="76">
        <f t="shared" si="71"/>
        <v>195</v>
      </c>
      <c r="BB59" s="76">
        <f t="shared" si="71"/>
        <v>0</v>
      </c>
      <c r="BC59" s="71">
        <f t="shared" si="71"/>
        <v>0</v>
      </c>
      <c r="BD59" s="71">
        <f t="shared" si="71"/>
        <v>0</v>
      </c>
      <c r="BE59" s="77">
        <f t="shared" si="71"/>
        <v>0</v>
      </c>
      <c r="BF59" s="77">
        <f t="shared" si="71"/>
        <v>0</v>
      </c>
      <c r="BG59" s="77">
        <f t="shared" si="71"/>
        <v>0</v>
      </c>
      <c r="BH59" s="77">
        <f t="shared" si="71"/>
        <v>0</v>
      </c>
      <c r="BI59" s="77">
        <f t="shared" si="71"/>
        <v>0</v>
      </c>
      <c r="BJ59" s="77">
        <f t="shared" si="71"/>
        <v>0</v>
      </c>
      <c r="BK59" s="77">
        <f t="shared" si="71"/>
        <v>0</v>
      </c>
      <c r="BL59" s="77">
        <f t="shared" si="71"/>
        <v>0</v>
      </c>
      <c r="BM59" s="77">
        <f t="shared" si="71"/>
        <v>0</v>
      </c>
      <c r="BN59" s="77">
        <f t="shared" si="71"/>
        <v>0</v>
      </c>
      <c r="BO59" s="77">
        <f t="shared" si="71"/>
        <v>0</v>
      </c>
      <c r="BP59" s="77">
        <f t="shared" si="71"/>
        <v>0</v>
      </c>
      <c r="BQ59" s="77"/>
      <c r="BR59" s="71">
        <f>SUBTOTAL(9,BR57:BR58)</f>
        <v>1380</v>
      </c>
    </row>
    <row r="60" spans="1:97" x14ac:dyDescent="0.25">
      <c r="A60" s="1">
        <f>A57+1</f>
        <v>43848</v>
      </c>
      <c r="B60" s="33" t="s">
        <v>74</v>
      </c>
      <c r="C60" s="62" t="s">
        <v>80</v>
      </c>
      <c r="D60" s="56"/>
      <c r="E60" s="56"/>
      <c r="F60" s="63"/>
      <c r="G60" s="62"/>
      <c r="H60" s="62">
        <f>IF(E60-D60&gt;0,E60-D60,0)</f>
        <v>0</v>
      </c>
      <c r="I60" s="56"/>
      <c r="J60" s="56"/>
      <c r="K60" s="56"/>
      <c r="L60" s="56"/>
      <c r="M60" s="62">
        <f>(+K60)*M$5</f>
        <v>0</v>
      </c>
      <c r="N60" s="62">
        <f>(+K60)*N$5</f>
        <v>0</v>
      </c>
      <c r="O60" s="62">
        <f>+K60-M60-N60+P60</f>
        <v>0</v>
      </c>
      <c r="P60" s="62"/>
      <c r="Q60" s="64"/>
      <c r="R60" s="56"/>
      <c r="S60" s="56"/>
      <c r="T60" s="62"/>
      <c r="U60" s="62"/>
      <c r="V60" s="62"/>
      <c r="W60" s="62"/>
      <c r="X60" s="64"/>
      <c r="Y60" s="56"/>
      <c r="Z60" s="56"/>
      <c r="AA60" s="56"/>
      <c r="AB60" s="56"/>
      <c r="AC60" s="56"/>
      <c r="AD60" s="65"/>
      <c r="AE60" s="65"/>
      <c r="AF60" s="56"/>
      <c r="AG60" s="62">
        <f>(AF60*0.8)*0.85</f>
        <v>0</v>
      </c>
      <c r="AH60" s="62">
        <f>(AF60*0.8)*0.15</f>
        <v>0</v>
      </c>
      <c r="AI60" s="62">
        <f>AF60*0.2</f>
        <v>0</v>
      </c>
      <c r="AJ60" s="56"/>
      <c r="AK60" s="62"/>
      <c r="AL60" s="62"/>
      <c r="AM60" s="62"/>
      <c r="AN60" s="62"/>
      <c r="AO60" s="66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2">
        <f>SUM(AO60:AY60)</f>
        <v>0</v>
      </c>
      <c r="BA60" s="65"/>
      <c r="BB60" s="65"/>
      <c r="BC60" s="62">
        <f>SUM(BE60:BL60)*0.1+(BM60*0.5)</f>
        <v>0</v>
      </c>
      <c r="BD60" s="62">
        <f>SUM(BE60:BL60)+(BM60*0.5)</f>
        <v>0</v>
      </c>
      <c r="BE60" s="66"/>
      <c r="BF60" s="66"/>
      <c r="BG60" s="66"/>
      <c r="BH60" s="66"/>
      <c r="BI60" s="66"/>
      <c r="BJ60" s="66"/>
      <c r="BK60" s="66"/>
      <c r="BL60" s="66"/>
      <c r="BM60" s="66"/>
      <c r="BN60" s="66"/>
      <c r="BO60" s="66"/>
      <c r="BP60" s="66"/>
      <c r="BQ60" s="66"/>
      <c r="BR60" s="68">
        <f>AZ60+BA60+BB60+BD60-BC60</f>
        <v>0</v>
      </c>
      <c r="BT60" s="82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83"/>
      <c r="CR60" s="83"/>
      <c r="CS60" s="83"/>
    </row>
    <row r="61" spans="1:97" x14ac:dyDescent="0.25">
      <c r="A61" s="1"/>
      <c r="B61" s="33" t="s">
        <v>76</v>
      </c>
      <c r="C61" s="62">
        <v>10413.94</v>
      </c>
      <c r="D61" s="56">
        <v>5380.23</v>
      </c>
      <c r="E61" s="56">
        <v>5380</v>
      </c>
      <c r="F61" s="63">
        <v>43848</v>
      </c>
      <c r="G61" s="62"/>
      <c r="H61" s="62">
        <f>IF(E61-D61&gt;0,E61-D61,0)</f>
        <v>0</v>
      </c>
      <c r="I61" s="56">
        <v>300</v>
      </c>
      <c r="J61" s="56"/>
      <c r="K61" s="56">
        <v>4124.58</v>
      </c>
      <c r="L61" s="56"/>
      <c r="M61" s="62">
        <f>(+K61)*M$5</f>
        <v>88.67846999999999</v>
      </c>
      <c r="N61" s="62">
        <f>(+K61)*N$5</f>
        <v>20.622900000000001</v>
      </c>
      <c r="O61" s="62">
        <f>+K61-M61-N61+P61</f>
        <v>4015.2786300000002</v>
      </c>
      <c r="P61" s="62">
        <f>L61-(L61*(M$5+N$5))</f>
        <v>0</v>
      </c>
      <c r="Q61" s="64"/>
      <c r="R61" s="56"/>
      <c r="S61" s="56"/>
      <c r="T61" s="62">
        <f>+R61*T$5</f>
        <v>0</v>
      </c>
      <c r="U61" s="62">
        <f>+R61*U$5</f>
        <v>0</v>
      </c>
      <c r="V61" s="62">
        <f>+R61-T61-U61+W61</f>
        <v>0</v>
      </c>
      <c r="W61" s="62">
        <f>+S61-(S61*(T$5+U$5))</f>
        <v>0</v>
      </c>
      <c r="X61" s="64"/>
      <c r="Y61" s="56"/>
      <c r="Z61" s="56">
        <v>33.5</v>
      </c>
      <c r="AA61" s="56"/>
      <c r="AB61" s="56"/>
      <c r="AC61" s="56">
        <v>65.63</v>
      </c>
      <c r="AD61" s="65" t="s">
        <v>77</v>
      </c>
      <c r="AE61" s="65">
        <v>510</v>
      </c>
      <c r="AF61" s="56">
        <v>683.31</v>
      </c>
      <c r="AG61" s="62">
        <f>(AF61*0.8)*0.85</f>
        <v>464.6508</v>
      </c>
      <c r="AH61" s="62">
        <f>(AF61*0.8)*0.15</f>
        <v>81.997200000000007</v>
      </c>
      <c r="AI61" s="62">
        <f>AF61*0.2</f>
        <v>136.66200000000001</v>
      </c>
      <c r="AJ61" s="56"/>
      <c r="AK61" s="62">
        <f>(C61-AF61-AJ61)/1.12</f>
        <v>8688.0625</v>
      </c>
      <c r="AL61" s="62">
        <f>AK61-SUM(Y61:AC61)</f>
        <v>8588.9325000000008</v>
      </c>
      <c r="AM61" s="62">
        <f>+AL61*0.12</f>
        <v>1030.6719000000001</v>
      </c>
      <c r="AN61" s="62">
        <f>+AM61+AL61+AJ61</f>
        <v>9619.6044000000002</v>
      </c>
      <c r="AO61" s="66">
        <v>270</v>
      </c>
      <c r="AP61" s="67">
        <v>0</v>
      </c>
      <c r="AQ61" s="67"/>
      <c r="AR61" s="67"/>
      <c r="AS61" s="67"/>
      <c r="AT61" s="67"/>
      <c r="AU61" s="67"/>
      <c r="AV61" s="67"/>
      <c r="AW61" s="67"/>
      <c r="AX61" s="67"/>
      <c r="AY61" s="67"/>
      <c r="AZ61" s="62">
        <f>SUM(AO61:AY61)</f>
        <v>270</v>
      </c>
      <c r="BA61" s="65"/>
      <c r="BB61" s="65"/>
      <c r="BC61" s="62"/>
      <c r="BD61" s="62"/>
      <c r="BE61" s="66"/>
      <c r="BF61" s="66"/>
      <c r="BG61" s="66"/>
      <c r="BH61" s="66"/>
      <c r="BI61" s="66"/>
      <c r="BJ61" s="66"/>
      <c r="BK61" s="66"/>
      <c r="BL61" s="66"/>
      <c r="BM61" s="66"/>
      <c r="BN61" s="66"/>
      <c r="BO61" s="66"/>
      <c r="BP61" s="66"/>
      <c r="BQ61" s="66"/>
      <c r="BR61" s="68">
        <f>AZ61+BA61+BB61+BD61-BC61</f>
        <v>270</v>
      </c>
      <c r="BT61" s="82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83"/>
      <c r="CR61" s="83"/>
      <c r="CS61" s="83"/>
    </row>
    <row r="62" spans="1:97" x14ac:dyDescent="0.25">
      <c r="A62" s="87"/>
      <c r="B62" s="70"/>
      <c r="C62" s="71">
        <f>SUBTOTAL(9,C60:C61)</f>
        <v>10413.94</v>
      </c>
      <c r="D62" s="72">
        <f>SUBTOTAL(9,D60:D61)</f>
        <v>5380.23</v>
      </c>
      <c r="E62" s="72">
        <f>SUBTOTAL(9,E60:E61)</f>
        <v>5380</v>
      </c>
      <c r="F62" s="74"/>
      <c r="G62" s="72">
        <f t="shared" ref="G62:P62" si="72">SUBTOTAL(9,G60:G61)</f>
        <v>0</v>
      </c>
      <c r="H62" s="72">
        <f t="shared" si="72"/>
        <v>0</v>
      </c>
      <c r="I62" s="73">
        <f t="shared" si="72"/>
        <v>300</v>
      </c>
      <c r="J62" s="73">
        <f t="shared" si="72"/>
        <v>0</v>
      </c>
      <c r="K62" s="73">
        <f t="shared" si="72"/>
        <v>4124.58</v>
      </c>
      <c r="L62" s="73">
        <f t="shared" si="72"/>
        <v>0</v>
      </c>
      <c r="M62" s="71">
        <f t="shared" si="72"/>
        <v>88.67846999999999</v>
      </c>
      <c r="N62" s="71">
        <f t="shared" si="72"/>
        <v>20.622900000000001</v>
      </c>
      <c r="O62" s="71">
        <f t="shared" si="72"/>
        <v>4015.2786300000002</v>
      </c>
      <c r="P62" s="71">
        <f t="shared" si="72"/>
        <v>0</v>
      </c>
      <c r="Q62" s="74"/>
      <c r="R62" s="72">
        <f t="shared" ref="R62:W62" si="73">SUBTOTAL(9,R60:R61)</f>
        <v>0</v>
      </c>
      <c r="S62" s="72">
        <f t="shared" si="73"/>
        <v>0</v>
      </c>
      <c r="T62" s="71">
        <f t="shared" si="73"/>
        <v>0</v>
      </c>
      <c r="U62" s="71">
        <f t="shared" si="73"/>
        <v>0</v>
      </c>
      <c r="V62" s="71">
        <f t="shared" si="73"/>
        <v>0</v>
      </c>
      <c r="W62" s="71">
        <f t="shared" si="73"/>
        <v>0</v>
      </c>
      <c r="X62" s="74"/>
      <c r="Y62" s="72">
        <f>SUBTOTAL(9,Y60:Y61)</f>
        <v>0</v>
      </c>
      <c r="Z62" s="72"/>
      <c r="AA62" s="72"/>
      <c r="AB62" s="72"/>
      <c r="AC62" s="72"/>
      <c r="AD62" s="76"/>
      <c r="AE62" s="76"/>
      <c r="AF62" s="72"/>
      <c r="AG62" s="71">
        <f t="shared" ref="AG62:AM62" si="74">SUBTOTAL(9,AG60:AG61)</f>
        <v>464.6508</v>
      </c>
      <c r="AH62" s="71">
        <f t="shared" si="74"/>
        <v>81.997200000000007</v>
      </c>
      <c r="AI62" s="71">
        <f t="shared" si="74"/>
        <v>136.66200000000001</v>
      </c>
      <c r="AJ62" s="72">
        <f t="shared" si="74"/>
        <v>0</v>
      </c>
      <c r="AK62" s="71">
        <f t="shared" si="74"/>
        <v>8688.0625</v>
      </c>
      <c r="AL62" s="71">
        <f t="shared" si="74"/>
        <v>8588.9325000000008</v>
      </c>
      <c r="AM62" s="71">
        <f t="shared" si="74"/>
        <v>1030.6719000000001</v>
      </c>
      <c r="AN62" s="71">
        <f>+AM62+AL62+AJ62</f>
        <v>9619.6044000000002</v>
      </c>
      <c r="AO62" s="77">
        <f t="shared" ref="AO62:BP62" si="75">SUBTOTAL(9,AO60:AO61)</f>
        <v>270</v>
      </c>
      <c r="AP62" s="77">
        <f t="shared" si="75"/>
        <v>0</v>
      </c>
      <c r="AQ62" s="77">
        <f t="shared" si="75"/>
        <v>0</v>
      </c>
      <c r="AR62" s="77">
        <f t="shared" si="75"/>
        <v>0</v>
      </c>
      <c r="AS62" s="77">
        <f t="shared" si="75"/>
        <v>0</v>
      </c>
      <c r="AT62" s="77">
        <f t="shared" si="75"/>
        <v>0</v>
      </c>
      <c r="AU62" s="77">
        <f t="shared" si="75"/>
        <v>0</v>
      </c>
      <c r="AV62" s="77">
        <f t="shared" si="75"/>
        <v>0</v>
      </c>
      <c r="AW62" s="77">
        <f t="shared" si="75"/>
        <v>0</v>
      </c>
      <c r="AX62" s="77">
        <f t="shared" si="75"/>
        <v>0</v>
      </c>
      <c r="AY62" s="77">
        <f t="shared" si="75"/>
        <v>0</v>
      </c>
      <c r="AZ62" s="71">
        <f t="shared" si="75"/>
        <v>270</v>
      </c>
      <c r="BA62" s="76">
        <f t="shared" si="75"/>
        <v>0</v>
      </c>
      <c r="BB62" s="76">
        <f t="shared" si="75"/>
        <v>0</v>
      </c>
      <c r="BC62" s="71">
        <f t="shared" si="75"/>
        <v>0</v>
      </c>
      <c r="BD62" s="71">
        <f t="shared" si="75"/>
        <v>0</v>
      </c>
      <c r="BE62" s="77">
        <f t="shared" si="75"/>
        <v>0</v>
      </c>
      <c r="BF62" s="77">
        <f t="shared" si="75"/>
        <v>0</v>
      </c>
      <c r="BG62" s="77">
        <f t="shared" si="75"/>
        <v>0</v>
      </c>
      <c r="BH62" s="77">
        <f t="shared" si="75"/>
        <v>0</v>
      </c>
      <c r="BI62" s="77">
        <f t="shared" si="75"/>
        <v>0</v>
      </c>
      <c r="BJ62" s="77">
        <f t="shared" si="75"/>
        <v>0</v>
      </c>
      <c r="BK62" s="77">
        <f t="shared" si="75"/>
        <v>0</v>
      </c>
      <c r="BL62" s="77">
        <f t="shared" si="75"/>
        <v>0</v>
      </c>
      <c r="BM62" s="77">
        <f t="shared" si="75"/>
        <v>0</v>
      </c>
      <c r="BN62" s="77">
        <f t="shared" si="75"/>
        <v>0</v>
      </c>
      <c r="BO62" s="77">
        <f t="shared" si="75"/>
        <v>0</v>
      </c>
      <c r="BP62" s="77">
        <f t="shared" si="75"/>
        <v>0</v>
      </c>
      <c r="BQ62" s="77"/>
      <c r="BR62" s="71">
        <f>SUBTOTAL(9,BR60:BR61)</f>
        <v>270</v>
      </c>
    </row>
    <row r="63" spans="1:97" x14ac:dyDescent="0.25">
      <c r="A63" s="1">
        <f>+A60+1</f>
        <v>43849</v>
      </c>
      <c r="B63" s="33" t="s">
        <v>74</v>
      </c>
      <c r="C63" s="62" t="s">
        <v>78</v>
      </c>
      <c r="D63" s="56"/>
      <c r="E63" s="56"/>
      <c r="F63" s="63"/>
      <c r="G63" s="62">
        <f>IF(E63-D63&lt;0,E63-D63,0)*-1</f>
        <v>0</v>
      </c>
      <c r="H63" s="62">
        <f>IF(E63-D63&gt;0,E63-D63,0)</f>
        <v>0</v>
      </c>
      <c r="I63" s="56"/>
      <c r="J63" s="56"/>
      <c r="K63" s="56"/>
      <c r="L63" s="56"/>
      <c r="M63" s="62">
        <f>(+K63)*M$5</f>
        <v>0</v>
      </c>
      <c r="N63" s="62">
        <f>(+K63)*N$5</f>
        <v>0</v>
      </c>
      <c r="O63" s="62">
        <f>+K63-M63-N63+P63</f>
        <v>0</v>
      </c>
      <c r="P63" s="62"/>
      <c r="Q63" s="64"/>
      <c r="R63" s="56"/>
      <c r="S63" s="56"/>
      <c r="T63" s="62"/>
      <c r="U63" s="62"/>
      <c r="V63" s="62"/>
      <c r="W63" s="62"/>
      <c r="X63" s="64"/>
      <c r="Y63" s="56"/>
      <c r="Z63" s="56"/>
      <c r="AA63" s="56"/>
      <c r="AB63" s="56"/>
      <c r="AC63" s="56"/>
      <c r="AD63" s="65"/>
      <c r="AE63" s="65"/>
      <c r="AF63" s="56"/>
      <c r="AG63" s="62">
        <f>(AF63*0.8)*0.85</f>
        <v>0</v>
      </c>
      <c r="AH63" s="62">
        <f>(AF63*0.8)*0.15</f>
        <v>0</v>
      </c>
      <c r="AI63" s="62">
        <f>AF63*0.2</f>
        <v>0</v>
      </c>
      <c r="AJ63" s="56"/>
      <c r="AK63" s="62"/>
      <c r="AL63" s="62"/>
      <c r="AM63" s="62"/>
      <c r="AN63" s="62"/>
      <c r="AO63" s="66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2">
        <f>SUM(AO63:AY63)</f>
        <v>0</v>
      </c>
      <c r="BA63" s="65"/>
      <c r="BB63" s="65"/>
      <c r="BC63" s="62">
        <f>SUM(BE63:BL63)*0.1+(BM63*0.5)</f>
        <v>0</v>
      </c>
      <c r="BD63" s="62">
        <f>SUM(BE63:BL63)+(BM63*0.5)</f>
        <v>0</v>
      </c>
      <c r="BE63" s="66"/>
      <c r="BF63" s="66"/>
      <c r="BG63" s="66"/>
      <c r="BH63" s="66"/>
      <c r="BI63" s="66"/>
      <c r="BJ63" s="66"/>
      <c r="BK63" s="66"/>
      <c r="BL63" s="66"/>
      <c r="BM63" s="66"/>
      <c r="BN63" s="66"/>
      <c r="BO63" s="66"/>
      <c r="BP63" s="66"/>
      <c r="BQ63" s="66"/>
      <c r="BR63" s="68">
        <f>AZ63+BA63+BB63+BD63-BC63</f>
        <v>0</v>
      </c>
      <c r="BT63" s="82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83"/>
      <c r="CR63" s="83"/>
      <c r="CS63" s="83"/>
    </row>
    <row r="64" spans="1:97" x14ac:dyDescent="0.25">
      <c r="A64" s="1"/>
      <c r="B64" s="33" t="s">
        <v>76</v>
      </c>
      <c r="C64" s="62"/>
      <c r="D64" s="56"/>
      <c r="E64" s="56"/>
      <c r="F64" s="63"/>
      <c r="G64" s="62">
        <f>IF(E64-D64&lt;0,E64-D64,0)*-1</f>
        <v>0</v>
      </c>
      <c r="H64" s="62">
        <f>IF(E64-D64&gt;0,E64-D64,0)</f>
        <v>0</v>
      </c>
      <c r="I64" s="56"/>
      <c r="J64" s="56"/>
      <c r="K64" s="56"/>
      <c r="L64" s="56"/>
      <c r="M64" s="62">
        <f>(+K64)*M$5</f>
        <v>0</v>
      </c>
      <c r="N64" s="62">
        <f>(+K64)*N$5</f>
        <v>0</v>
      </c>
      <c r="O64" s="62">
        <f>+K64-M64-N64+P64</f>
        <v>0</v>
      </c>
      <c r="P64" s="62"/>
      <c r="Q64" s="64"/>
      <c r="R64" s="56"/>
      <c r="S64" s="56"/>
      <c r="T64" s="62"/>
      <c r="U64" s="62"/>
      <c r="V64" s="62"/>
      <c r="W64" s="62"/>
      <c r="X64" s="64"/>
      <c r="Y64" s="56"/>
      <c r="Z64" s="56"/>
      <c r="AA64" s="56"/>
      <c r="AB64" s="56"/>
      <c r="AC64" s="56"/>
      <c r="AD64" s="65"/>
      <c r="AE64" s="65"/>
      <c r="AF64" s="56"/>
      <c r="AG64" s="62">
        <f>(AF64*0.8)*0.85</f>
        <v>0</v>
      </c>
      <c r="AH64" s="62">
        <f>(AF64*0.8)*0.15</f>
        <v>0</v>
      </c>
      <c r="AI64" s="62">
        <f>AF64*0.2</f>
        <v>0</v>
      </c>
      <c r="AJ64" s="56"/>
      <c r="AK64" s="62">
        <f>(C64-AF64-AJ64)/1.12</f>
        <v>0</v>
      </c>
      <c r="AL64" s="62">
        <f>AK64-SUM(Y64:AC64)</f>
        <v>0</v>
      </c>
      <c r="AM64" s="62">
        <f>+AL64*0.12</f>
        <v>0</v>
      </c>
      <c r="AN64" s="62">
        <f t="shared" ref="AN64:AN83" si="76">+AM64+AL64+AJ64</f>
        <v>0</v>
      </c>
      <c r="AO64" s="66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2">
        <f>SUM(AO64:AY64)</f>
        <v>0</v>
      </c>
      <c r="BA64" s="65"/>
      <c r="BB64" s="65"/>
      <c r="BC64" s="62">
        <v>0</v>
      </c>
      <c r="BD64" s="62">
        <v>0</v>
      </c>
      <c r="BE64" s="66"/>
      <c r="BF64" s="66"/>
      <c r="BG64" s="66"/>
      <c r="BH64" s="66"/>
      <c r="BI64" s="66"/>
      <c r="BJ64" s="66"/>
      <c r="BK64" s="66"/>
      <c r="BL64" s="66"/>
      <c r="BM64" s="66"/>
      <c r="BN64" s="66"/>
      <c r="BO64" s="66"/>
      <c r="BP64" s="66"/>
      <c r="BQ64" s="66"/>
      <c r="BR64" s="68">
        <f>AZ64+BA64+BB64+BD64-BC64</f>
        <v>0</v>
      </c>
      <c r="BT64" s="82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83"/>
      <c r="CR64" s="83"/>
      <c r="CS64" s="83"/>
    </row>
    <row r="65" spans="1:97" x14ac:dyDescent="0.25">
      <c r="A65" s="87"/>
      <c r="B65" s="70"/>
      <c r="C65" s="71">
        <f>SUBTOTAL(9,C63:C64)</f>
        <v>0</v>
      </c>
      <c r="D65" s="72">
        <f>SUBTOTAL(9,D63:D64)</f>
        <v>0</v>
      </c>
      <c r="E65" s="72">
        <f>SUBTOTAL(9,E63:E64)</f>
        <v>0</v>
      </c>
      <c r="F65" s="74"/>
      <c r="G65" s="72">
        <f t="shared" ref="G65:P65" si="77">SUBTOTAL(9,G63:G64)</f>
        <v>0</v>
      </c>
      <c r="H65" s="72">
        <f t="shared" si="77"/>
        <v>0</v>
      </c>
      <c r="I65" s="73">
        <f t="shared" si="77"/>
        <v>0</v>
      </c>
      <c r="J65" s="73">
        <f t="shared" si="77"/>
        <v>0</v>
      </c>
      <c r="K65" s="73">
        <f t="shared" si="77"/>
        <v>0</v>
      </c>
      <c r="L65" s="73">
        <f t="shared" si="77"/>
        <v>0</v>
      </c>
      <c r="M65" s="71">
        <f t="shared" si="77"/>
        <v>0</v>
      </c>
      <c r="N65" s="71">
        <f t="shared" si="77"/>
        <v>0</v>
      </c>
      <c r="O65" s="71">
        <f t="shared" si="77"/>
        <v>0</v>
      </c>
      <c r="P65" s="71">
        <f t="shared" si="77"/>
        <v>0</v>
      </c>
      <c r="Q65" s="74"/>
      <c r="R65" s="72">
        <f t="shared" ref="R65:W65" si="78">SUBTOTAL(9,R63:R64)</f>
        <v>0</v>
      </c>
      <c r="S65" s="72">
        <f t="shared" si="78"/>
        <v>0</v>
      </c>
      <c r="T65" s="71">
        <f t="shared" si="78"/>
        <v>0</v>
      </c>
      <c r="U65" s="71">
        <f t="shared" si="78"/>
        <v>0</v>
      </c>
      <c r="V65" s="71">
        <f t="shared" si="78"/>
        <v>0</v>
      </c>
      <c r="W65" s="71">
        <f t="shared" si="78"/>
        <v>0</v>
      </c>
      <c r="X65" s="74"/>
      <c r="Y65" s="72">
        <f>SUBTOTAL(9,Y63:Y64)</f>
        <v>0</v>
      </c>
      <c r="Z65" s="72"/>
      <c r="AA65" s="72"/>
      <c r="AB65" s="72"/>
      <c r="AC65" s="72"/>
      <c r="AD65" s="76"/>
      <c r="AE65" s="76"/>
      <c r="AF65" s="72"/>
      <c r="AG65" s="71">
        <f t="shared" ref="AG65:AM65" si="79">SUBTOTAL(9,AG63:AG64)</f>
        <v>0</v>
      </c>
      <c r="AH65" s="71">
        <f t="shared" si="79"/>
        <v>0</v>
      </c>
      <c r="AI65" s="71">
        <f t="shared" si="79"/>
        <v>0</v>
      </c>
      <c r="AJ65" s="72">
        <f t="shared" si="79"/>
        <v>0</v>
      </c>
      <c r="AK65" s="71">
        <f t="shared" si="79"/>
        <v>0</v>
      </c>
      <c r="AL65" s="71">
        <f t="shared" si="79"/>
        <v>0</v>
      </c>
      <c r="AM65" s="71">
        <f t="shared" si="79"/>
        <v>0</v>
      </c>
      <c r="AN65" s="71">
        <f t="shared" si="76"/>
        <v>0</v>
      </c>
      <c r="AO65" s="77">
        <f t="shared" ref="AO65:BF65" si="80">SUBTOTAL(9,AO63:AO64)</f>
        <v>0</v>
      </c>
      <c r="AP65" s="77">
        <f t="shared" si="80"/>
        <v>0</v>
      </c>
      <c r="AQ65" s="77">
        <f t="shared" si="80"/>
        <v>0</v>
      </c>
      <c r="AR65" s="77">
        <f t="shared" si="80"/>
        <v>0</v>
      </c>
      <c r="AS65" s="77">
        <f t="shared" si="80"/>
        <v>0</v>
      </c>
      <c r="AT65" s="77">
        <f t="shared" si="80"/>
        <v>0</v>
      </c>
      <c r="AU65" s="77">
        <f t="shared" si="80"/>
        <v>0</v>
      </c>
      <c r="AV65" s="77">
        <f t="shared" si="80"/>
        <v>0</v>
      </c>
      <c r="AW65" s="77">
        <f t="shared" si="80"/>
        <v>0</v>
      </c>
      <c r="AX65" s="77">
        <f t="shared" si="80"/>
        <v>0</v>
      </c>
      <c r="AY65" s="77">
        <f t="shared" si="80"/>
        <v>0</v>
      </c>
      <c r="AZ65" s="71">
        <f t="shared" si="80"/>
        <v>0</v>
      </c>
      <c r="BA65" s="76">
        <f t="shared" si="80"/>
        <v>0</v>
      </c>
      <c r="BB65" s="76">
        <f t="shared" si="80"/>
        <v>0</v>
      </c>
      <c r="BC65" s="71">
        <f t="shared" si="80"/>
        <v>0</v>
      </c>
      <c r="BD65" s="71">
        <f t="shared" si="80"/>
        <v>0</v>
      </c>
      <c r="BE65" s="77">
        <f t="shared" si="80"/>
        <v>0</v>
      </c>
      <c r="BF65" s="77">
        <f t="shared" si="80"/>
        <v>0</v>
      </c>
      <c r="BG65" s="77" t="s">
        <v>79</v>
      </c>
      <c r="BH65" s="77">
        <f t="shared" ref="BH65:BP65" si="81">SUBTOTAL(9,BH63:BH64)</f>
        <v>0</v>
      </c>
      <c r="BI65" s="77">
        <f t="shared" si="81"/>
        <v>0</v>
      </c>
      <c r="BJ65" s="77">
        <f t="shared" si="81"/>
        <v>0</v>
      </c>
      <c r="BK65" s="77">
        <f t="shared" si="81"/>
        <v>0</v>
      </c>
      <c r="BL65" s="77">
        <f t="shared" si="81"/>
        <v>0</v>
      </c>
      <c r="BM65" s="77">
        <f t="shared" si="81"/>
        <v>0</v>
      </c>
      <c r="BN65" s="77">
        <f t="shared" si="81"/>
        <v>0</v>
      </c>
      <c r="BO65" s="77">
        <f t="shared" si="81"/>
        <v>0</v>
      </c>
      <c r="BP65" s="77">
        <f t="shared" si="81"/>
        <v>0</v>
      </c>
      <c r="BQ65" s="77"/>
      <c r="BR65" s="71">
        <f>SUBTOTAL(9,BR63:BR64)</f>
        <v>0</v>
      </c>
    </row>
    <row r="66" spans="1:97" x14ac:dyDescent="0.25">
      <c r="A66" s="1">
        <f>A63+1</f>
        <v>43850</v>
      </c>
      <c r="B66" s="33" t="s">
        <v>74</v>
      </c>
      <c r="C66" s="62">
        <v>26521.73</v>
      </c>
      <c r="D66" s="56">
        <v>15472.71</v>
      </c>
      <c r="E66" s="56">
        <v>15475</v>
      </c>
      <c r="F66" s="63">
        <v>43850</v>
      </c>
      <c r="G66" s="62">
        <f>IF(E66-D66&lt;0,E66-D66,0)*-1</f>
        <v>0</v>
      </c>
      <c r="H66" s="62">
        <f>IF(E66-D66&gt;0,E66-D66,0)</f>
        <v>2.2900000000008731</v>
      </c>
      <c r="I66" s="56"/>
      <c r="J66" s="56"/>
      <c r="K66" s="56">
        <v>10216.75</v>
      </c>
      <c r="L66" s="56"/>
      <c r="M66" s="62">
        <f>(+K66)*M$5</f>
        <v>219.66012499999999</v>
      </c>
      <c r="N66" s="62">
        <f>(+K66)*N$5</f>
        <v>51.083750000000002</v>
      </c>
      <c r="O66" s="62">
        <f>+K66-M66-N66+P66</f>
        <v>9946.0061249999999</v>
      </c>
      <c r="P66" s="62"/>
      <c r="Q66" s="64"/>
      <c r="R66" s="56"/>
      <c r="S66" s="56"/>
      <c r="T66" s="62"/>
      <c r="U66" s="62"/>
      <c r="V66" s="62"/>
      <c r="W66" s="62"/>
      <c r="X66" s="64"/>
      <c r="Y66" s="56"/>
      <c r="Z66" s="56">
        <v>298.25</v>
      </c>
      <c r="AA66" s="56"/>
      <c r="AB66" s="56"/>
      <c r="AC66" s="56">
        <v>179.02</v>
      </c>
      <c r="AD66" s="65" t="s">
        <v>77</v>
      </c>
      <c r="AE66" s="65">
        <v>355</v>
      </c>
      <c r="AF66" s="56">
        <v>2059.14</v>
      </c>
      <c r="AG66" s="62">
        <f>(AF66*0.8)*0.85</f>
        <v>1400.2151999999999</v>
      </c>
      <c r="AH66" s="62">
        <f>(AF66*0.8)*0.15</f>
        <v>247.09679999999997</v>
      </c>
      <c r="AI66" s="62">
        <f>AF66*0.2</f>
        <v>411.82799999999997</v>
      </c>
      <c r="AJ66" s="56"/>
      <c r="AK66" s="62">
        <f>(C66-AF66-AJ66)/1.12</f>
        <v>21841.598214285714</v>
      </c>
      <c r="AL66" s="62">
        <f>AK66-SUM(Y66:AC66)</f>
        <v>21364.328214285713</v>
      </c>
      <c r="AM66" s="62">
        <f>+AL66*0.12</f>
        <v>2563.7193857142856</v>
      </c>
      <c r="AN66" s="62">
        <f t="shared" si="76"/>
        <v>23928.047599999998</v>
      </c>
      <c r="AO66" s="66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2">
        <f>SUM(AO66:AY66)</f>
        <v>0</v>
      </c>
      <c r="BA66" s="65"/>
      <c r="BB66" s="65"/>
      <c r="BC66" s="62">
        <f>SUM(BE66:BL66)*0.1+(BM66*0.5)</f>
        <v>0</v>
      </c>
      <c r="BD66" s="62">
        <f>SUM(BE66:BL66)+(BM66*0.5)</f>
        <v>0</v>
      </c>
      <c r="BE66" s="66"/>
      <c r="BF66" s="66"/>
      <c r="BG66" s="66"/>
      <c r="BH66" s="66"/>
      <c r="BI66" s="66"/>
      <c r="BJ66" s="66"/>
      <c r="BK66" s="66"/>
      <c r="BL66" s="66"/>
      <c r="BM66" s="66"/>
      <c r="BN66" s="66"/>
      <c r="BO66" s="66"/>
      <c r="BP66" s="66"/>
      <c r="BQ66" s="66"/>
      <c r="BR66" s="68">
        <f>AZ66+BA66+BB66+BD66-BC66</f>
        <v>0</v>
      </c>
      <c r="BT66" s="82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83"/>
      <c r="CR66" s="83"/>
      <c r="CS66" s="83"/>
    </row>
    <row r="67" spans="1:97" x14ac:dyDescent="0.25">
      <c r="A67" s="1"/>
      <c r="B67" s="33" t="s">
        <v>76</v>
      </c>
      <c r="C67" s="62">
        <v>11970.45</v>
      </c>
      <c r="D67" s="56">
        <v>5960.61</v>
      </c>
      <c r="E67" s="56">
        <v>5962</v>
      </c>
      <c r="F67" s="63">
        <v>43851</v>
      </c>
      <c r="G67" s="62">
        <f>IF(E67-D67&lt;0,E67-D67,0)*-1</f>
        <v>0</v>
      </c>
      <c r="H67" s="62">
        <f>IF(E67-D67&gt;0,E67-D67,0)</f>
        <v>1.3900000000003274</v>
      </c>
      <c r="I67" s="56"/>
      <c r="J67" s="56"/>
      <c r="K67" s="56">
        <v>4478.84</v>
      </c>
      <c r="L67" s="56"/>
      <c r="M67" s="62">
        <f>(+K67)*M$5</f>
        <v>96.295059999999992</v>
      </c>
      <c r="N67" s="62">
        <f>(+K67)*N$5</f>
        <v>22.394200000000001</v>
      </c>
      <c r="O67" s="62">
        <f>+K67-M67-N67+P67</f>
        <v>4360.15074</v>
      </c>
      <c r="P67" s="62"/>
      <c r="Q67" s="64"/>
      <c r="R67" s="56"/>
      <c r="S67" s="56"/>
      <c r="T67" s="62"/>
      <c r="U67" s="62"/>
      <c r="V67" s="62"/>
      <c r="W67" s="62"/>
      <c r="X67" s="64"/>
      <c r="Y67" s="56"/>
      <c r="Z67" s="56">
        <v>12.25</v>
      </c>
      <c r="AA67" s="56"/>
      <c r="AB67" s="56"/>
      <c r="AC67" s="56">
        <v>43.75</v>
      </c>
      <c r="AD67" s="65" t="s">
        <v>77</v>
      </c>
      <c r="AE67" s="65">
        <v>1475</v>
      </c>
      <c r="AF67" s="56">
        <v>661.7</v>
      </c>
      <c r="AG67" s="62">
        <f>(AF67*0.8)*0.85</f>
        <v>449.95600000000002</v>
      </c>
      <c r="AH67" s="62">
        <f>(AF67*0.8)*0.15</f>
        <v>79.403999999999996</v>
      </c>
      <c r="AI67" s="62">
        <f>AF67*0.2</f>
        <v>132.34</v>
      </c>
      <c r="AJ67" s="56"/>
      <c r="AK67" s="62">
        <f>(C67-AF67-AJ67)/1.12</f>
        <v>10097.098214285714</v>
      </c>
      <c r="AL67" s="62">
        <f>AK67-SUM(Y67:AC67)</f>
        <v>10041.098214285714</v>
      </c>
      <c r="AM67" s="62">
        <f>+AL67*0.12</f>
        <v>1204.9317857142855</v>
      </c>
      <c r="AN67" s="62">
        <f t="shared" si="76"/>
        <v>11246.029999999999</v>
      </c>
      <c r="AO67" s="66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2">
        <f>SUM(AO67:AY67)</f>
        <v>0</v>
      </c>
      <c r="BA67" s="65"/>
      <c r="BB67" s="65"/>
      <c r="BC67" s="62">
        <v>0</v>
      </c>
      <c r="BD67" s="62">
        <v>0</v>
      </c>
      <c r="BE67" s="66"/>
      <c r="BF67" s="66"/>
      <c r="BG67" s="66"/>
      <c r="BH67" s="66"/>
      <c r="BI67" s="66"/>
      <c r="BJ67" s="66"/>
      <c r="BK67" s="66"/>
      <c r="BL67" s="66"/>
      <c r="BM67" s="90"/>
      <c r="BN67" s="66"/>
      <c r="BO67" s="66"/>
      <c r="BP67" s="66"/>
      <c r="BQ67" s="66"/>
      <c r="BR67" s="68">
        <f>AZ67+BA67+BB67+BD67-BC67</f>
        <v>0</v>
      </c>
      <c r="BT67" s="82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83"/>
      <c r="CR67" s="83"/>
      <c r="CS67" s="83"/>
    </row>
    <row r="68" spans="1:97" x14ac:dyDescent="0.25">
      <c r="A68" s="87"/>
      <c r="B68" s="70"/>
      <c r="C68" s="71">
        <f>SUBTOTAL(9,C66:C67)</f>
        <v>38492.18</v>
      </c>
      <c r="D68" s="72">
        <f>SUBTOTAL(9,D66:D67)</f>
        <v>21433.32</v>
      </c>
      <c r="E68" s="72">
        <f>SUBTOTAL(9,E66:E67)</f>
        <v>21437</v>
      </c>
      <c r="F68" s="74"/>
      <c r="G68" s="72">
        <f t="shared" ref="G68:P68" si="82">SUBTOTAL(9,G66:G67)</f>
        <v>0</v>
      </c>
      <c r="H68" s="72">
        <f t="shared" si="82"/>
        <v>3.6800000000012005</v>
      </c>
      <c r="I68" s="73">
        <f t="shared" si="82"/>
        <v>0</v>
      </c>
      <c r="J68" s="73">
        <f t="shared" si="82"/>
        <v>0</v>
      </c>
      <c r="K68" s="73">
        <f t="shared" si="82"/>
        <v>14695.59</v>
      </c>
      <c r="L68" s="73">
        <f t="shared" si="82"/>
        <v>0</v>
      </c>
      <c r="M68" s="71">
        <f t="shared" si="82"/>
        <v>315.95518499999997</v>
      </c>
      <c r="N68" s="71">
        <f t="shared" si="82"/>
        <v>73.477950000000007</v>
      </c>
      <c r="O68" s="71">
        <f t="shared" si="82"/>
        <v>14306.156865000001</v>
      </c>
      <c r="P68" s="71">
        <f t="shared" si="82"/>
        <v>0</v>
      </c>
      <c r="Q68" s="74"/>
      <c r="R68" s="72">
        <f t="shared" ref="R68:W68" si="83">SUBTOTAL(9,R66:R67)</f>
        <v>0</v>
      </c>
      <c r="S68" s="72">
        <f t="shared" si="83"/>
        <v>0</v>
      </c>
      <c r="T68" s="71">
        <f t="shared" si="83"/>
        <v>0</v>
      </c>
      <c r="U68" s="71">
        <f t="shared" si="83"/>
        <v>0</v>
      </c>
      <c r="V68" s="71">
        <f t="shared" si="83"/>
        <v>0</v>
      </c>
      <c r="W68" s="71">
        <f t="shared" si="83"/>
        <v>0</v>
      </c>
      <c r="X68" s="74"/>
      <c r="Y68" s="72">
        <f>SUBTOTAL(9,Y66:Y67)</f>
        <v>0</v>
      </c>
      <c r="Z68" s="72"/>
      <c r="AA68" s="72"/>
      <c r="AB68" s="72"/>
      <c r="AC68" s="72"/>
      <c r="AD68" s="76"/>
      <c r="AE68" s="76"/>
      <c r="AF68" s="72"/>
      <c r="AG68" s="71">
        <f t="shared" ref="AG68:AM68" si="84">SUBTOTAL(9,AG66:AG67)</f>
        <v>1850.1711999999998</v>
      </c>
      <c r="AH68" s="71">
        <f t="shared" si="84"/>
        <v>326.50079999999997</v>
      </c>
      <c r="AI68" s="71">
        <f t="shared" si="84"/>
        <v>544.16800000000001</v>
      </c>
      <c r="AJ68" s="72">
        <f t="shared" si="84"/>
        <v>0</v>
      </c>
      <c r="AK68" s="71">
        <f t="shared" si="84"/>
        <v>31938.696428571428</v>
      </c>
      <c r="AL68" s="71">
        <f t="shared" si="84"/>
        <v>31405.426428571427</v>
      </c>
      <c r="AM68" s="71">
        <f t="shared" si="84"/>
        <v>3768.6511714285712</v>
      </c>
      <c r="AN68" s="71">
        <f t="shared" si="76"/>
        <v>35174.077599999997</v>
      </c>
      <c r="AO68" s="77">
        <f t="shared" ref="AO68:BP68" si="85">SUBTOTAL(9,AO66:AO67)</f>
        <v>0</v>
      </c>
      <c r="AP68" s="77">
        <f t="shared" si="85"/>
        <v>0</v>
      </c>
      <c r="AQ68" s="77">
        <f t="shared" si="85"/>
        <v>0</v>
      </c>
      <c r="AR68" s="77">
        <f t="shared" si="85"/>
        <v>0</v>
      </c>
      <c r="AS68" s="77">
        <f t="shared" si="85"/>
        <v>0</v>
      </c>
      <c r="AT68" s="77">
        <f t="shared" si="85"/>
        <v>0</v>
      </c>
      <c r="AU68" s="77">
        <f t="shared" si="85"/>
        <v>0</v>
      </c>
      <c r="AV68" s="77">
        <f t="shared" si="85"/>
        <v>0</v>
      </c>
      <c r="AW68" s="77">
        <f t="shared" si="85"/>
        <v>0</v>
      </c>
      <c r="AX68" s="77">
        <f t="shared" si="85"/>
        <v>0</v>
      </c>
      <c r="AY68" s="77">
        <f t="shared" si="85"/>
        <v>0</v>
      </c>
      <c r="AZ68" s="71">
        <f t="shared" si="85"/>
        <v>0</v>
      </c>
      <c r="BA68" s="76">
        <f t="shared" si="85"/>
        <v>0</v>
      </c>
      <c r="BB68" s="76">
        <f t="shared" si="85"/>
        <v>0</v>
      </c>
      <c r="BC68" s="71">
        <f t="shared" si="85"/>
        <v>0</v>
      </c>
      <c r="BD68" s="71">
        <f t="shared" si="85"/>
        <v>0</v>
      </c>
      <c r="BE68" s="77">
        <f t="shared" si="85"/>
        <v>0</v>
      </c>
      <c r="BF68" s="77">
        <f t="shared" si="85"/>
        <v>0</v>
      </c>
      <c r="BG68" s="77">
        <f t="shared" si="85"/>
        <v>0</v>
      </c>
      <c r="BH68" s="77">
        <f t="shared" si="85"/>
        <v>0</v>
      </c>
      <c r="BI68" s="77">
        <f t="shared" si="85"/>
        <v>0</v>
      </c>
      <c r="BJ68" s="77">
        <f t="shared" si="85"/>
        <v>0</v>
      </c>
      <c r="BK68" s="77">
        <f t="shared" si="85"/>
        <v>0</v>
      </c>
      <c r="BL68" s="77">
        <f t="shared" si="85"/>
        <v>0</v>
      </c>
      <c r="BM68" s="77">
        <f t="shared" si="85"/>
        <v>0</v>
      </c>
      <c r="BN68" s="77">
        <f t="shared" si="85"/>
        <v>0</v>
      </c>
      <c r="BO68" s="77">
        <f t="shared" si="85"/>
        <v>0</v>
      </c>
      <c r="BP68" s="77">
        <f t="shared" si="85"/>
        <v>0</v>
      </c>
      <c r="BQ68" s="77"/>
      <c r="BR68" s="71">
        <f>SUBTOTAL(9,BR66:BR67)</f>
        <v>0</v>
      </c>
    </row>
    <row r="69" spans="1:97" x14ac:dyDescent="0.25">
      <c r="A69" s="1">
        <f>+A66+1</f>
        <v>43851</v>
      </c>
      <c r="B69" s="33" t="s">
        <v>74</v>
      </c>
      <c r="C69" s="62">
        <v>24998.09</v>
      </c>
      <c r="D69" s="56">
        <v>15285.96</v>
      </c>
      <c r="E69" s="56">
        <v>15286</v>
      </c>
      <c r="F69" s="63">
        <v>43851</v>
      </c>
      <c r="G69" s="62">
        <f>IF(E69-D69&lt;0,E69-D69,0)*-1</f>
        <v>0</v>
      </c>
      <c r="H69" s="62">
        <f>IF(E69-D69&gt;0,E69-D69,0)</f>
        <v>4.0000000000873115E-2</v>
      </c>
      <c r="I69" s="56"/>
      <c r="J69" s="56"/>
      <c r="K69" s="56">
        <v>9132.52</v>
      </c>
      <c r="L69" s="56"/>
      <c r="M69" s="62">
        <f>(+K69)*M$5</f>
        <v>196.34917999999999</v>
      </c>
      <c r="N69" s="62">
        <f>(+K69)*N$5</f>
        <v>45.662600000000005</v>
      </c>
      <c r="O69" s="62">
        <f>+K69-M69-N69+P69</f>
        <v>8890.5082200000015</v>
      </c>
      <c r="P69" s="62"/>
      <c r="Q69" s="64"/>
      <c r="R69" s="56"/>
      <c r="S69" s="56"/>
      <c r="T69" s="62"/>
      <c r="U69" s="62"/>
      <c r="V69" s="62"/>
      <c r="W69" s="62"/>
      <c r="X69" s="64"/>
      <c r="Y69" s="56"/>
      <c r="Z69" s="56">
        <v>30.5</v>
      </c>
      <c r="AA69" s="56"/>
      <c r="AB69" s="56"/>
      <c r="AC69" s="56">
        <v>549.11</v>
      </c>
      <c r="AD69" s="65"/>
      <c r="AE69" s="65"/>
      <c r="AF69" s="56">
        <v>1757.56</v>
      </c>
      <c r="AG69" s="62">
        <f>(AF69*0.8)*0.85</f>
        <v>1195.1407999999999</v>
      </c>
      <c r="AH69" s="62">
        <f>(AF69*0.8)*0.15</f>
        <v>210.90719999999999</v>
      </c>
      <c r="AI69" s="62">
        <f>AF69*0.2</f>
        <v>351.512</v>
      </c>
      <c r="AJ69" s="56"/>
      <c r="AK69" s="62">
        <f>(C69-AF69-AJ69)/1.12</f>
        <v>20750.47321428571</v>
      </c>
      <c r="AL69" s="62">
        <f>AK69-SUM(Y69:AC69)</f>
        <v>20170.86321428571</v>
      </c>
      <c r="AM69" s="62">
        <f>+AL69*0.12</f>
        <v>2420.5035857142852</v>
      </c>
      <c r="AN69" s="62">
        <f t="shared" si="76"/>
        <v>22591.366799999996</v>
      </c>
      <c r="AO69" s="66">
        <v>0</v>
      </c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2">
        <f>SUM(AO69:AY69)</f>
        <v>0</v>
      </c>
      <c r="BA69" s="65"/>
      <c r="BB69" s="65"/>
      <c r="BC69" s="62">
        <f>SUM(BE69:BL69)*0.1+(BM69*0.5)</f>
        <v>0</v>
      </c>
      <c r="BD69" s="62">
        <f>SUM(BE69:BL69)+(BM69*0.5)</f>
        <v>0</v>
      </c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6"/>
      <c r="BP69" s="66"/>
      <c r="BQ69" s="66"/>
      <c r="BR69" s="68">
        <f>AZ69+BA69+BB69+BD69-BC69</f>
        <v>0</v>
      </c>
      <c r="BT69" s="82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83"/>
      <c r="CR69" s="83"/>
      <c r="CS69" s="83"/>
    </row>
    <row r="70" spans="1:97" x14ac:dyDescent="0.25">
      <c r="A70" s="1"/>
      <c r="B70" s="33" t="s">
        <v>76</v>
      </c>
      <c r="C70" s="62">
        <v>29706.94</v>
      </c>
      <c r="D70" s="56">
        <v>25102.86</v>
      </c>
      <c r="E70" s="56">
        <v>25105</v>
      </c>
      <c r="F70" s="63">
        <v>43852</v>
      </c>
      <c r="G70" s="62">
        <f>IF(E70-D70&lt;0,E70-D70,0)*-1</f>
        <v>0</v>
      </c>
      <c r="H70" s="62">
        <f>IF(E70-D70&gt;0,E70-D70,0)</f>
        <v>2.1399999999994179</v>
      </c>
      <c r="I70" s="56"/>
      <c r="J70" s="56"/>
      <c r="K70" s="56">
        <v>3966.87</v>
      </c>
      <c r="L70" s="56"/>
      <c r="M70" s="62">
        <f>(+K70)*M$5</f>
        <v>85.287704999999988</v>
      </c>
      <c r="N70" s="62">
        <f>(+K70)*N$5</f>
        <v>19.834350000000001</v>
      </c>
      <c r="O70" s="62">
        <f>+K70-M70-N70+P70</f>
        <v>3861.7479449999996</v>
      </c>
      <c r="P70" s="62"/>
      <c r="Q70" s="64"/>
      <c r="R70" s="56"/>
      <c r="S70" s="56"/>
      <c r="T70" s="62"/>
      <c r="U70" s="62"/>
      <c r="V70" s="62"/>
      <c r="W70" s="62"/>
      <c r="X70" s="64"/>
      <c r="Y70" s="56"/>
      <c r="Z70" s="56">
        <f>27+243.25</f>
        <v>270.25</v>
      </c>
      <c r="AA70" s="56"/>
      <c r="AB70" s="56"/>
      <c r="AC70" s="56">
        <v>366.96</v>
      </c>
      <c r="AD70" s="65"/>
      <c r="AE70" s="65"/>
      <c r="AF70" s="56">
        <v>2217.12</v>
      </c>
      <c r="AG70" s="62">
        <f>(AF70*0.8)*0.85</f>
        <v>1507.6415999999999</v>
      </c>
      <c r="AH70" s="62">
        <f>(AF70*0.8)*0.15</f>
        <v>266.05439999999999</v>
      </c>
      <c r="AI70" s="62">
        <f>AF70*0.2</f>
        <v>443.42399999999998</v>
      </c>
      <c r="AJ70" s="56"/>
      <c r="AK70" s="62">
        <f>(C70-AF70-AJ70)/1.12</f>
        <v>24544.482142857141</v>
      </c>
      <c r="AL70" s="62">
        <f>AK70-SUM(Y70:AC70)</f>
        <v>23907.272142857142</v>
      </c>
      <c r="AM70" s="62">
        <f>+AL70*0.12</f>
        <v>2868.872657142857</v>
      </c>
      <c r="AN70" s="62">
        <f t="shared" si="76"/>
        <v>26776.144799999998</v>
      </c>
      <c r="AO70" s="66">
        <v>330</v>
      </c>
      <c r="AP70" s="67"/>
      <c r="AQ70" s="67">
        <v>280</v>
      </c>
      <c r="AR70" s="67">
        <v>295</v>
      </c>
      <c r="AS70" s="67"/>
      <c r="AT70" s="67"/>
      <c r="AU70" s="67"/>
      <c r="AV70" s="67"/>
      <c r="AW70" s="67"/>
      <c r="AX70" s="67"/>
      <c r="AY70" s="67"/>
      <c r="AZ70" s="62">
        <f>SUM(AO70:AY70)</f>
        <v>905</v>
      </c>
      <c r="BA70" s="65"/>
      <c r="BB70" s="65">
        <v>0</v>
      </c>
      <c r="BC70" s="62"/>
      <c r="BD70" s="62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6"/>
      <c r="BP70" s="66"/>
      <c r="BQ70" s="66"/>
      <c r="BR70" s="68">
        <f>AZ70+BA70+BB70+BD70-BC70</f>
        <v>905</v>
      </c>
      <c r="BT70" s="82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83"/>
      <c r="CR70" s="83"/>
      <c r="CS70" s="83"/>
    </row>
    <row r="71" spans="1:97" x14ac:dyDescent="0.25">
      <c r="A71" s="87"/>
      <c r="B71" s="70"/>
      <c r="C71" s="71">
        <f>SUBTOTAL(9,C69:C70)</f>
        <v>54705.03</v>
      </c>
      <c r="D71" s="72">
        <f>SUBTOTAL(9,D69:D70)</f>
        <v>40388.82</v>
      </c>
      <c r="E71" s="72">
        <f>SUBTOTAL(9,E69:E70)</f>
        <v>40391</v>
      </c>
      <c r="F71" s="74"/>
      <c r="G71" s="72">
        <f t="shared" ref="G71:P71" si="86">SUBTOTAL(9,G69:G70)</f>
        <v>0</v>
      </c>
      <c r="H71" s="72">
        <f t="shared" si="86"/>
        <v>2.180000000000291</v>
      </c>
      <c r="I71" s="73">
        <f t="shared" si="86"/>
        <v>0</v>
      </c>
      <c r="J71" s="73">
        <f t="shared" si="86"/>
        <v>0</v>
      </c>
      <c r="K71" s="73">
        <f t="shared" si="86"/>
        <v>13099.39</v>
      </c>
      <c r="L71" s="73">
        <f t="shared" si="86"/>
        <v>0</v>
      </c>
      <c r="M71" s="71">
        <f t="shared" si="86"/>
        <v>281.63688500000001</v>
      </c>
      <c r="N71" s="71">
        <f t="shared" si="86"/>
        <v>65.496949999999998</v>
      </c>
      <c r="O71" s="71">
        <f t="shared" si="86"/>
        <v>12752.256165000001</v>
      </c>
      <c r="P71" s="71">
        <f t="shared" si="86"/>
        <v>0</v>
      </c>
      <c r="Q71" s="74"/>
      <c r="R71" s="72">
        <f t="shared" ref="R71:W71" si="87">SUBTOTAL(9,R69:R70)</f>
        <v>0</v>
      </c>
      <c r="S71" s="72">
        <f t="shared" si="87"/>
        <v>0</v>
      </c>
      <c r="T71" s="71">
        <f t="shared" si="87"/>
        <v>0</v>
      </c>
      <c r="U71" s="71">
        <f t="shared" si="87"/>
        <v>0</v>
      </c>
      <c r="V71" s="71">
        <f t="shared" si="87"/>
        <v>0</v>
      </c>
      <c r="W71" s="71">
        <f t="shared" si="87"/>
        <v>0</v>
      </c>
      <c r="X71" s="74"/>
      <c r="Y71" s="72">
        <f>SUBTOTAL(9,Y69:Y70)</f>
        <v>0</v>
      </c>
      <c r="Z71" s="72"/>
      <c r="AA71" s="72"/>
      <c r="AB71" s="72"/>
      <c r="AC71" s="72"/>
      <c r="AD71" s="76"/>
      <c r="AE71" s="76"/>
      <c r="AF71" s="72"/>
      <c r="AG71" s="71">
        <f t="shared" ref="AG71:AM71" si="88">SUBTOTAL(9,AG69:AG70)</f>
        <v>2702.7824000000001</v>
      </c>
      <c r="AH71" s="71">
        <f t="shared" si="88"/>
        <v>476.96159999999998</v>
      </c>
      <c r="AI71" s="71">
        <f t="shared" si="88"/>
        <v>794.93599999999992</v>
      </c>
      <c r="AJ71" s="72">
        <f t="shared" si="88"/>
        <v>0</v>
      </c>
      <c r="AK71" s="71">
        <f t="shared" si="88"/>
        <v>45294.955357142855</v>
      </c>
      <c r="AL71" s="71">
        <f t="shared" si="88"/>
        <v>44078.135357142848</v>
      </c>
      <c r="AM71" s="71">
        <f t="shared" si="88"/>
        <v>5289.3762428571426</v>
      </c>
      <c r="AN71" s="71">
        <f t="shared" si="76"/>
        <v>49367.511599999991</v>
      </c>
      <c r="AO71" s="77">
        <f t="shared" ref="AO71:BP71" si="89">SUBTOTAL(9,AO69:AO70)</f>
        <v>330</v>
      </c>
      <c r="AP71" s="77">
        <f t="shared" si="89"/>
        <v>0</v>
      </c>
      <c r="AQ71" s="77">
        <f t="shared" si="89"/>
        <v>280</v>
      </c>
      <c r="AR71" s="77">
        <f t="shared" si="89"/>
        <v>295</v>
      </c>
      <c r="AS71" s="77">
        <f t="shared" si="89"/>
        <v>0</v>
      </c>
      <c r="AT71" s="77">
        <f t="shared" si="89"/>
        <v>0</v>
      </c>
      <c r="AU71" s="77">
        <f t="shared" si="89"/>
        <v>0</v>
      </c>
      <c r="AV71" s="77">
        <f t="shared" si="89"/>
        <v>0</v>
      </c>
      <c r="AW71" s="77">
        <f t="shared" si="89"/>
        <v>0</v>
      </c>
      <c r="AX71" s="77">
        <f t="shared" si="89"/>
        <v>0</v>
      </c>
      <c r="AY71" s="77">
        <f t="shared" si="89"/>
        <v>0</v>
      </c>
      <c r="AZ71" s="71">
        <f t="shared" si="89"/>
        <v>905</v>
      </c>
      <c r="BA71" s="76">
        <f t="shared" si="89"/>
        <v>0</v>
      </c>
      <c r="BB71" s="76">
        <f t="shared" si="89"/>
        <v>0</v>
      </c>
      <c r="BC71" s="71">
        <f t="shared" si="89"/>
        <v>0</v>
      </c>
      <c r="BD71" s="71">
        <f t="shared" si="89"/>
        <v>0</v>
      </c>
      <c r="BE71" s="77">
        <f t="shared" si="89"/>
        <v>0</v>
      </c>
      <c r="BF71" s="77">
        <f t="shared" si="89"/>
        <v>0</v>
      </c>
      <c r="BG71" s="77">
        <f t="shared" si="89"/>
        <v>0</v>
      </c>
      <c r="BH71" s="77">
        <f t="shared" si="89"/>
        <v>0</v>
      </c>
      <c r="BI71" s="77">
        <f t="shared" si="89"/>
        <v>0</v>
      </c>
      <c r="BJ71" s="77">
        <f t="shared" si="89"/>
        <v>0</v>
      </c>
      <c r="BK71" s="77">
        <f t="shared" si="89"/>
        <v>0</v>
      </c>
      <c r="BL71" s="77">
        <f t="shared" si="89"/>
        <v>0</v>
      </c>
      <c r="BM71" s="77">
        <f t="shared" si="89"/>
        <v>0</v>
      </c>
      <c r="BN71" s="77">
        <f t="shared" si="89"/>
        <v>0</v>
      </c>
      <c r="BO71" s="77">
        <f t="shared" si="89"/>
        <v>0</v>
      </c>
      <c r="BP71" s="77">
        <f t="shared" si="89"/>
        <v>0</v>
      </c>
      <c r="BQ71" s="77"/>
      <c r="BR71" s="71">
        <f>SUBTOTAL(9,BR69:BR70)</f>
        <v>905</v>
      </c>
    </row>
    <row r="72" spans="1:97" x14ac:dyDescent="0.25">
      <c r="A72" s="1">
        <f>+A69+1</f>
        <v>43852</v>
      </c>
      <c r="B72" s="33" t="s">
        <v>74</v>
      </c>
      <c r="C72" s="62">
        <v>26413.11</v>
      </c>
      <c r="D72" s="56">
        <v>10947.39</v>
      </c>
      <c r="E72" s="56">
        <v>10948</v>
      </c>
      <c r="F72" s="63">
        <v>43852</v>
      </c>
      <c r="G72" s="62">
        <f>IF(E72-D72&lt;0,E72-D72,0)*-1</f>
        <v>0</v>
      </c>
      <c r="H72" s="62">
        <f>IF(E72-D72&gt;0,E72-D72,0)</f>
        <v>0.61000000000058208</v>
      </c>
      <c r="I72" s="56"/>
      <c r="J72" s="56"/>
      <c r="K72" s="56">
        <v>15091.1</v>
      </c>
      <c r="L72" s="56"/>
      <c r="M72" s="62">
        <f>(+K72)*M$5</f>
        <v>324.45864999999998</v>
      </c>
      <c r="N72" s="62">
        <f>(+K72)*N$5</f>
        <v>75.455500000000001</v>
      </c>
      <c r="O72" s="62">
        <f>+K72-M72-N72+P72</f>
        <v>14691.18585</v>
      </c>
      <c r="P72" s="62"/>
      <c r="Q72" s="64"/>
      <c r="R72" s="56"/>
      <c r="S72" s="56"/>
      <c r="T72" s="62"/>
      <c r="U72" s="62"/>
      <c r="V72" s="62"/>
      <c r="W72" s="62"/>
      <c r="X72" s="64"/>
      <c r="Y72" s="56"/>
      <c r="Z72" s="56">
        <v>66</v>
      </c>
      <c r="AA72" s="56"/>
      <c r="AB72" s="56"/>
      <c r="AC72" s="56">
        <v>308.62</v>
      </c>
      <c r="AD72" s="65" t="s">
        <v>81</v>
      </c>
      <c r="AE72" s="65">
        <v>2823.03</v>
      </c>
      <c r="AF72" s="56">
        <v>2090.2800000000002</v>
      </c>
      <c r="AG72" s="62">
        <f>(AF72*0.8)*0.85</f>
        <v>1421.3904</v>
      </c>
      <c r="AH72" s="62">
        <f>(AF72*0.8)*0.15</f>
        <v>250.83360000000002</v>
      </c>
      <c r="AI72" s="62">
        <f>AF72*0.2</f>
        <v>418.05600000000004</v>
      </c>
      <c r="AJ72" s="56"/>
      <c r="AK72" s="62">
        <f>(C72-AF72-AJ72)/1.12</f>
        <v>21716.8125</v>
      </c>
      <c r="AL72" s="62">
        <f>AK72-SUM(Y72:AC72)</f>
        <v>21342.192500000001</v>
      </c>
      <c r="AM72" s="62">
        <f>+AL72*0.12</f>
        <v>2561.0630999999998</v>
      </c>
      <c r="AN72" s="62">
        <f t="shared" si="76"/>
        <v>23903.2556</v>
      </c>
      <c r="AO72" s="66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2">
        <f>SUM(AO72:AY72)</f>
        <v>0</v>
      </c>
      <c r="BA72" s="65"/>
      <c r="BB72" s="65"/>
      <c r="BC72" s="62">
        <f>SUM(BE72:BL72)*0.1+(BM72*0.5)</f>
        <v>0</v>
      </c>
      <c r="BD72" s="62">
        <f>SUM(BE72:BL72)+(BM72*0.5)</f>
        <v>0</v>
      </c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6"/>
      <c r="BP72" s="66"/>
      <c r="BQ72" s="66"/>
      <c r="BR72" s="68">
        <f>AZ72+BA72+BB72+BD72-BC72</f>
        <v>0</v>
      </c>
      <c r="BT72" s="82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83"/>
      <c r="CR72" s="83"/>
      <c r="CS72" s="83"/>
    </row>
    <row r="73" spans="1:97" x14ac:dyDescent="0.25">
      <c r="A73" s="1"/>
      <c r="B73" s="33" t="s">
        <v>76</v>
      </c>
      <c r="C73" s="62">
        <v>28678.86</v>
      </c>
      <c r="D73" s="56">
        <v>15047.14</v>
      </c>
      <c r="E73" s="56">
        <v>15047</v>
      </c>
      <c r="F73" s="63">
        <v>43853</v>
      </c>
      <c r="G73" s="62">
        <f>IF(E73-D73&lt;0,E73-D73,0)*-1</f>
        <v>0.13999999999941792</v>
      </c>
      <c r="H73" s="62">
        <f>IF(E73-D73&gt;0,E73-D73,0)</f>
        <v>0</v>
      </c>
      <c r="I73" s="56">
        <v>900</v>
      </c>
      <c r="J73" s="56"/>
      <c r="K73" s="56">
        <v>8317.85</v>
      </c>
      <c r="L73" s="56"/>
      <c r="M73" s="62">
        <f>(+K73)*M$5</f>
        <v>178.833775</v>
      </c>
      <c r="N73" s="62">
        <f>(+K73)*N$5</f>
        <v>41.58925</v>
      </c>
      <c r="O73" s="62">
        <f>+K73-M73-N73+P73</f>
        <v>8097.4269750000003</v>
      </c>
      <c r="P73" s="62"/>
      <c r="Q73" s="64"/>
      <c r="R73" s="56"/>
      <c r="S73" s="56"/>
      <c r="T73" s="62"/>
      <c r="U73" s="62"/>
      <c r="V73" s="62"/>
      <c r="W73" s="62"/>
      <c r="X73" s="64"/>
      <c r="Y73" s="56"/>
      <c r="Z73" s="56"/>
      <c r="AA73" s="56"/>
      <c r="AB73" s="56"/>
      <c r="AC73" s="56">
        <v>1080.8399999999999</v>
      </c>
      <c r="AD73" s="65" t="s">
        <v>77</v>
      </c>
      <c r="AE73" s="65">
        <v>510</v>
      </c>
      <c r="AF73" s="56">
        <v>2067.36</v>
      </c>
      <c r="AG73" s="62">
        <f>(AF73*0.8)*0.85</f>
        <v>1405.8048000000001</v>
      </c>
      <c r="AH73" s="62">
        <f>(AF73*0.8)*0.15</f>
        <v>248.08320000000001</v>
      </c>
      <c r="AI73" s="62">
        <f>AF73*0.2</f>
        <v>413.47200000000004</v>
      </c>
      <c r="AJ73" s="56"/>
      <c r="AK73" s="62">
        <f>(C73-AF73-AJ73)/1.12</f>
        <v>23760.267857142855</v>
      </c>
      <c r="AL73" s="62">
        <f>AK73-SUM(Y73:AC73)</f>
        <v>22679.427857142855</v>
      </c>
      <c r="AM73" s="62">
        <f>+AL73*0.12</f>
        <v>2721.5313428571426</v>
      </c>
      <c r="AN73" s="62">
        <f t="shared" si="76"/>
        <v>25400.959199999998</v>
      </c>
      <c r="AO73" s="66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2">
        <f>SUM(AO73:AY73)</f>
        <v>0</v>
      </c>
      <c r="BA73" s="65"/>
      <c r="BB73" s="65"/>
      <c r="BC73" s="62">
        <f>SUM(BE73:BL73)*0.1+(BM73*0.5)</f>
        <v>0</v>
      </c>
      <c r="BD73" s="62">
        <f>SUM(BE73:BL73)+(BM73*0.5)</f>
        <v>0</v>
      </c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6"/>
      <c r="BP73" s="66"/>
      <c r="BQ73" s="66"/>
      <c r="BR73" s="68">
        <f>AZ73+BA73+BB73+BD73-BC73</f>
        <v>0</v>
      </c>
      <c r="BT73" s="82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83"/>
      <c r="CR73" s="83"/>
      <c r="CS73" s="83"/>
    </row>
    <row r="74" spans="1:97" x14ac:dyDescent="0.25">
      <c r="A74" s="87"/>
      <c r="B74" s="70"/>
      <c r="C74" s="71">
        <f>SUBTOTAL(9,C72:C73)</f>
        <v>55091.97</v>
      </c>
      <c r="D74" s="72">
        <f>SUBTOTAL(9,D72:D73)</f>
        <v>25994.53</v>
      </c>
      <c r="E74" s="72">
        <f>SUBTOTAL(9,E72:E73)</f>
        <v>25995</v>
      </c>
      <c r="F74" s="74"/>
      <c r="G74" s="72">
        <f t="shared" ref="G74:P74" si="90">SUBTOTAL(9,G72:G73)</f>
        <v>0.13999999999941792</v>
      </c>
      <c r="H74" s="72">
        <f t="shared" si="90"/>
        <v>0.61000000000058208</v>
      </c>
      <c r="I74" s="73">
        <f t="shared" si="90"/>
        <v>900</v>
      </c>
      <c r="J74" s="73">
        <f t="shared" si="90"/>
        <v>0</v>
      </c>
      <c r="K74" s="73">
        <f t="shared" si="90"/>
        <v>23408.95</v>
      </c>
      <c r="L74" s="73">
        <f t="shared" si="90"/>
        <v>0</v>
      </c>
      <c r="M74" s="71">
        <f t="shared" si="90"/>
        <v>503.29242499999998</v>
      </c>
      <c r="N74" s="71">
        <f t="shared" si="90"/>
        <v>117.04474999999999</v>
      </c>
      <c r="O74" s="71">
        <f t="shared" si="90"/>
        <v>22788.612825</v>
      </c>
      <c r="P74" s="71">
        <f t="shared" si="90"/>
        <v>0</v>
      </c>
      <c r="Q74" s="74"/>
      <c r="R74" s="72">
        <f t="shared" ref="R74:W74" si="91">SUBTOTAL(9,R72:R73)</f>
        <v>0</v>
      </c>
      <c r="S74" s="72">
        <f t="shared" si="91"/>
        <v>0</v>
      </c>
      <c r="T74" s="71">
        <f t="shared" si="91"/>
        <v>0</v>
      </c>
      <c r="U74" s="71">
        <f t="shared" si="91"/>
        <v>0</v>
      </c>
      <c r="V74" s="71">
        <f t="shared" si="91"/>
        <v>0</v>
      </c>
      <c r="W74" s="71">
        <f t="shared" si="91"/>
        <v>0</v>
      </c>
      <c r="X74" s="74"/>
      <c r="Y74" s="72">
        <f>SUBTOTAL(9,Y72:Y73)</f>
        <v>0</v>
      </c>
      <c r="Z74" s="72"/>
      <c r="AA74" s="72"/>
      <c r="AB74" s="72"/>
      <c r="AC74" s="72"/>
      <c r="AD74" s="76"/>
      <c r="AE74" s="76"/>
      <c r="AF74" s="72"/>
      <c r="AG74" s="71">
        <f t="shared" ref="AG74:AM74" si="92">SUBTOTAL(9,AG72:AG73)</f>
        <v>2827.1952000000001</v>
      </c>
      <c r="AH74" s="71">
        <f t="shared" si="92"/>
        <v>498.91680000000002</v>
      </c>
      <c r="AI74" s="71">
        <f t="shared" si="92"/>
        <v>831.52800000000002</v>
      </c>
      <c r="AJ74" s="72">
        <f t="shared" si="92"/>
        <v>0</v>
      </c>
      <c r="AK74" s="71">
        <f t="shared" si="92"/>
        <v>45477.080357142855</v>
      </c>
      <c r="AL74" s="71">
        <f t="shared" si="92"/>
        <v>44021.620357142856</v>
      </c>
      <c r="AM74" s="71">
        <f t="shared" si="92"/>
        <v>5282.594442857142</v>
      </c>
      <c r="AN74" s="71">
        <f t="shared" si="76"/>
        <v>49304.214800000002</v>
      </c>
      <c r="AO74" s="77">
        <f t="shared" ref="AO74:BP74" si="93">SUBTOTAL(9,AO72:AO73)</f>
        <v>0</v>
      </c>
      <c r="AP74" s="77">
        <f t="shared" si="93"/>
        <v>0</v>
      </c>
      <c r="AQ74" s="77">
        <f t="shared" si="93"/>
        <v>0</v>
      </c>
      <c r="AR74" s="77">
        <f t="shared" si="93"/>
        <v>0</v>
      </c>
      <c r="AS74" s="77">
        <f t="shared" si="93"/>
        <v>0</v>
      </c>
      <c r="AT74" s="77">
        <f t="shared" si="93"/>
        <v>0</v>
      </c>
      <c r="AU74" s="77">
        <f t="shared" si="93"/>
        <v>0</v>
      </c>
      <c r="AV74" s="77">
        <f t="shared" si="93"/>
        <v>0</v>
      </c>
      <c r="AW74" s="77">
        <f t="shared" si="93"/>
        <v>0</v>
      </c>
      <c r="AX74" s="77">
        <f t="shared" si="93"/>
        <v>0</v>
      </c>
      <c r="AY74" s="77">
        <f t="shared" si="93"/>
        <v>0</v>
      </c>
      <c r="AZ74" s="71">
        <f t="shared" si="93"/>
        <v>0</v>
      </c>
      <c r="BA74" s="76">
        <f t="shared" si="93"/>
        <v>0</v>
      </c>
      <c r="BB74" s="76">
        <f t="shared" si="93"/>
        <v>0</v>
      </c>
      <c r="BC74" s="71">
        <f t="shared" si="93"/>
        <v>0</v>
      </c>
      <c r="BD74" s="71">
        <f t="shared" si="93"/>
        <v>0</v>
      </c>
      <c r="BE74" s="77">
        <f t="shared" si="93"/>
        <v>0</v>
      </c>
      <c r="BF74" s="77">
        <f t="shared" si="93"/>
        <v>0</v>
      </c>
      <c r="BG74" s="77">
        <f t="shared" si="93"/>
        <v>0</v>
      </c>
      <c r="BH74" s="77">
        <f t="shared" si="93"/>
        <v>0</v>
      </c>
      <c r="BI74" s="77">
        <f t="shared" si="93"/>
        <v>0</v>
      </c>
      <c r="BJ74" s="77">
        <f t="shared" si="93"/>
        <v>0</v>
      </c>
      <c r="BK74" s="77">
        <f t="shared" si="93"/>
        <v>0</v>
      </c>
      <c r="BL74" s="77">
        <f t="shared" si="93"/>
        <v>0</v>
      </c>
      <c r="BM74" s="77">
        <f t="shared" si="93"/>
        <v>0</v>
      </c>
      <c r="BN74" s="77">
        <f t="shared" si="93"/>
        <v>0</v>
      </c>
      <c r="BO74" s="77">
        <f t="shared" si="93"/>
        <v>0</v>
      </c>
      <c r="BP74" s="77">
        <f t="shared" si="93"/>
        <v>0</v>
      </c>
      <c r="BQ74" s="77"/>
      <c r="BR74" s="71">
        <f>SUBTOTAL(9,BR72:BR73)</f>
        <v>0</v>
      </c>
    </row>
    <row r="75" spans="1:97" x14ac:dyDescent="0.25">
      <c r="A75" s="1">
        <f>+A72+1</f>
        <v>43853</v>
      </c>
      <c r="B75" s="33" t="s">
        <v>74</v>
      </c>
      <c r="C75" s="62">
        <v>26093.77</v>
      </c>
      <c r="D75" s="56">
        <v>18718.32</v>
      </c>
      <c r="E75" s="56">
        <v>18720</v>
      </c>
      <c r="F75" s="63">
        <v>43853</v>
      </c>
      <c r="G75" s="62">
        <f>IF(E75-D75&lt;0,E75-D75,0)*-1</f>
        <v>0</v>
      </c>
      <c r="H75" s="62">
        <f>IF(E75-D75&gt;0,E75-D75,0)</f>
        <v>1.680000000000291</v>
      </c>
      <c r="I75" s="56"/>
      <c r="J75" s="56"/>
      <c r="K75" s="56">
        <v>5132.51</v>
      </c>
      <c r="L75" s="56"/>
      <c r="M75" s="62">
        <f>(+K75)*M$5</f>
        <v>110.34896499999999</v>
      </c>
      <c r="N75" s="62">
        <f>(+K75)*N$5</f>
        <v>25.662550000000003</v>
      </c>
      <c r="O75" s="62">
        <f>+K75-M75-N75+P75</f>
        <v>4996.4984850000001</v>
      </c>
      <c r="P75" s="62"/>
      <c r="Q75" s="64"/>
      <c r="R75" s="56"/>
      <c r="S75" s="56"/>
      <c r="T75" s="62"/>
      <c r="U75" s="62"/>
      <c r="V75" s="62"/>
      <c r="W75" s="62"/>
      <c r="X75" s="64"/>
      <c r="Y75" s="56"/>
      <c r="Z75" s="56">
        <v>67.5</v>
      </c>
      <c r="AA75" s="56"/>
      <c r="AB75" s="56"/>
      <c r="AC75" s="56">
        <v>500.44</v>
      </c>
      <c r="AD75" s="65" t="s">
        <v>77</v>
      </c>
      <c r="AE75" s="65">
        <v>1675</v>
      </c>
      <c r="AF75" s="56">
        <v>1938.04</v>
      </c>
      <c r="AG75" s="62">
        <f>(AF75*0.8)*0.85</f>
        <v>1317.8671999999999</v>
      </c>
      <c r="AH75" s="62">
        <f>(AF75*0.8)*0.15</f>
        <v>232.56479999999999</v>
      </c>
      <c r="AI75" s="62">
        <f>AF75*0.2</f>
        <v>387.608</v>
      </c>
      <c r="AJ75" s="56"/>
      <c r="AK75" s="62">
        <f>(C75-AF75-AJ75)/1.12</f>
        <v>21567.616071428569</v>
      </c>
      <c r="AL75" s="62">
        <f>AK75-SUM(Y75:AC75)</f>
        <v>20999.67607142857</v>
      </c>
      <c r="AM75" s="62">
        <f>+AL75*0.12</f>
        <v>2519.9611285714282</v>
      </c>
      <c r="AN75" s="62">
        <f t="shared" si="76"/>
        <v>23519.637199999997</v>
      </c>
      <c r="AO75" s="66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2">
        <f>SUM(AO75:AY75)</f>
        <v>0</v>
      </c>
      <c r="BA75" s="65"/>
      <c r="BB75" s="65"/>
      <c r="BC75" s="62">
        <f>SUM(BE75:BL75)*0.1+(BM75*0.5)</f>
        <v>0</v>
      </c>
      <c r="BD75" s="62">
        <f>SUM(BE75:BL75)+(BM75*0.5)</f>
        <v>0</v>
      </c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6"/>
      <c r="BP75" s="66"/>
      <c r="BQ75" s="66"/>
      <c r="BR75" s="68">
        <f>AZ75+BA75+BB75+BD75-BC75</f>
        <v>0</v>
      </c>
      <c r="BT75" s="82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83"/>
      <c r="CR75" s="83"/>
      <c r="CS75" s="83"/>
    </row>
    <row r="76" spans="1:97" x14ac:dyDescent="0.25">
      <c r="A76" s="1"/>
      <c r="B76" s="33" t="s">
        <v>76</v>
      </c>
      <c r="C76" s="62">
        <v>17323.28</v>
      </c>
      <c r="D76" s="56">
        <v>11464.16</v>
      </c>
      <c r="E76" s="56">
        <v>11465</v>
      </c>
      <c r="F76" s="63">
        <v>43854</v>
      </c>
      <c r="G76" s="62">
        <f>IF(E76-D76&lt;0,E76-D76,0)*-1</f>
        <v>0</v>
      </c>
      <c r="H76" s="62">
        <f>IF(E76-D76&gt;0,E76-D76,0)</f>
        <v>0.84000000000014552</v>
      </c>
      <c r="I76" s="56"/>
      <c r="J76" s="56"/>
      <c r="K76" s="56">
        <v>4465.99</v>
      </c>
      <c r="L76" s="56"/>
      <c r="M76" s="62">
        <f>(+K76)*M$5</f>
        <v>96.018784999999994</v>
      </c>
      <c r="N76" s="62">
        <f>(+K76)*N$5</f>
        <v>22.32995</v>
      </c>
      <c r="O76" s="62">
        <f>+K76-M76-N76+P76</f>
        <v>4347.6412649999993</v>
      </c>
      <c r="P76" s="62"/>
      <c r="Q76" s="64"/>
      <c r="R76" s="56"/>
      <c r="S76" s="56"/>
      <c r="T76" s="62"/>
      <c r="U76" s="62"/>
      <c r="V76" s="62"/>
      <c r="W76" s="62"/>
      <c r="X76" s="64"/>
      <c r="Y76" s="56"/>
      <c r="Z76" s="56">
        <v>65</v>
      </c>
      <c r="AA76" s="56"/>
      <c r="AB76" s="56"/>
      <c r="AC76" s="56">
        <v>53.13</v>
      </c>
      <c r="AD76" s="65" t="s">
        <v>77</v>
      </c>
      <c r="AE76" s="65">
        <v>1275</v>
      </c>
      <c r="AF76" s="56">
        <v>1170.1500000000001</v>
      </c>
      <c r="AG76" s="62">
        <f>(AF76*0.8)*0.85</f>
        <v>795.70200000000011</v>
      </c>
      <c r="AH76" s="62">
        <f>(AF76*0.8)*0.15</f>
        <v>140.41800000000001</v>
      </c>
      <c r="AI76" s="62">
        <f>AF76*0.2</f>
        <v>234.03000000000003</v>
      </c>
      <c r="AJ76" s="56"/>
      <c r="AK76" s="62">
        <f>(C76-AF76-AJ76)/1.12</f>
        <v>14422.437499999998</v>
      </c>
      <c r="AL76" s="62">
        <f>AK76-SUM(Y76:AC76)</f>
        <v>14304.307499999999</v>
      </c>
      <c r="AM76" s="62">
        <f>+AL76*0.12</f>
        <v>1716.5168999999999</v>
      </c>
      <c r="AN76" s="62">
        <f t="shared" si="76"/>
        <v>16020.8244</v>
      </c>
      <c r="AO76" s="66">
        <v>270</v>
      </c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2">
        <f>SUM(AO76:AY76)</f>
        <v>270</v>
      </c>
      <c r="BA76" s="65"/>
      <c r="BB76" s="65">
        <v>0</v>
      </c>
      <c r="BC76" s="62"/>
      <c r="BD76" s="62"/>
      <c r="BE76" s="66"/>
      <c r="BF76" s="66">
        <v>0</v>
      </c>
      <c r="BG76" s="66"/>
      <c r="BH76" s="66">
        <v>0</v>
      </c>
      <c r="BI76" s="66"/>
      <c r="BJ76" s="66"/>
      <c r="BK76" s="66"/>
      <c r="BL76" s="66"/>
      <c r="BM76" s="66"/>
      <c r="BN76" s="66"/>
      <c r="BO76" s="66"/>
      <c r="BP76" s="66"/>
      <c r="BQ76" s="66"/>
      <c r="BR76" s="68">
        <f>AZ76+BA76+BB76+BD76-BC76</f>
        <v>270</v>
      </c>
      <c r="BT76" s="82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83"/>
      <c r="CR76" s="83"/>
      <c r="CS76" s="83"/>
    </row>
    <row r="77" spans="1:97" x14ac:dyDescent="0.25">
      <c r="A77" s="87"/>
      <c r="B77" s="70"/>
      <c r="C77" s="71">
        <f>SUBTOTAL(9,C75:C76)</f>
        <v>43417.05</v>
      </c>
      <c r="D77" s="72">
        <f>SUBTOTAL(9,D75:D76)</f>
        <v>30182.48</v>
      </c>
      <c r="E77" s="72">
        <f>SUBTOTAL(9,E75:E76)</f>
        <v>30185</v>
      </c>
      <c r="F77" s="74"/>
      <c r="G77" s="72">
        <f t="shared" ref="G77:P77" si="94">SUBTOTAL(9,G75:G76)</f>
        <v>0</v>
      </c>
      <c r="H77" s="72">
        <f t="shared" si="94"/>
        <v>2.5200000000004366</v>
      </c>
      <c r="I77" s="72">
        <f t="shared" si="94"/>
        <v>0</v>
      </c>
      <c r="J77" s="72">
        <f t="shared" si="94"/>
        <v>0</v>
      </c>
      <c r="K77" s="73">
        <f t="shared" si="94"/>
        <v>9598.5</v>
      </c>
      <c r="L77" s="72">
        <f t="shared" si="94"/>
        <v>0</v>
      </c>
      <c r="M77" s="71">
        <f t="shared" si="94"/>
        <v>206.36775</v>
      </c>
      <c r="N77" s="71">
        <f t="shared" si="94"/>
        <v>47.992500000000007</v>
      </c>
      <c r="O77" s="71">
        <f t="shared" si="94"/>
        <v>9344.1397499999985</v>
      </c>
      <c r="P77" s="71">
        <f t="shared" si="94"/>
        <v>0</v>
      </c>
      <c r="Q77" s="91"/>
      <c r="R77" s="72">
        <f t="shared" ref="R77:W77" si="95">SUBTOTAL(9,R75:R76)</f>
        <v>0</v>
      </c>
      <c r="S77" s="72">
        <f t="shared" si="95"/>
        <v>0</v>
      </c>
      <c r="T77" s="71">
        <f t="shared" si="95"/>
        <v>0</v>
      </c>
      <c r="U77" s="71">
        <f t="shared" si="95"/>
        <v>0</v>
      </c>
      <c r="V77" s="71">
        <f t="shared" si="95"/>
        <v>0</v>
      </c>
      <c r="W77" s="71">
        <f t="shared" si="95"/>
        <v>0</v>
      </c>
      <c r="X77" s="74"/>
      <c r="Y77" s="72">
        <f>SUBTOTAL(9,Y75:Y76)</f>
        <v>0</v>
      </c>
      <c r="Z77" s="72"/>
      <c r="AA77" s="72"/>
      <c r="AB77" s="72"/>
      <c r="AC77" s="72"/>
      <c r="AD77" s="76"/>
      <c r="AE77" s="76"/>
      <c r="AF77" s="72"/>
      <c r="AG77" s="71">
        <f t="shared" ref="AG77:AM77" si="96">SUBTOTAL(9,AG75:AG76)</f>
        <v>2113.5691999999999</v>
      </c>
      <c r="AH77" s="71">
        <f t="shared" si="96"/>
        <v>372.9828</v>
      </c>
      <c r="AI77" s="71">
        <f t="shared" si="96"/>
        <v>621.63800000000003</v>
      </c>
      <c r="AJ77" s="72">
        <f t="shared" si="96"/>
        <v>0</v>
      </c>
      <c r="AK77" s="71">
        <f t="shared" si="96"/>
        <v>35990.053571428565</v>
      </c>
      <c r="AL77" s="71">
        <f t="shared" si="96"/>
        <v>35303.983571428573</v>
      </c>
      <c r="AM77" s="71">
        <f t="shared" si="96"/>
        <v>4236.4780285714278</v>
      </c>
      <c r="AN77" s="71">
        <f t="shared" si="76"/>
        <v>39540.461600000002</v>
      </c>
      <c r="AO77" s="77">
        <f t="shared" ref="AO77:BP77" si="97">SUBTOTAL(9,AO75:AO76)</f>
        <v>270</v>
      </c>
      <c r="AP77" s="77">
        <f t="shared" si="97"/>
        <v>0</v>
      </c>
      <c r="AQ77" s="77">
        <f t="shared" si="97"/>
        <v>0</v>
      </c>
      <c r="AR77" s="77">
        <f t="shared" si="97"/>
        <v>0</v>
      </c>
      <c r="AS77" s="77">
        <f t="shared" si="97"/>
        <v>0</v>
      </c>
      <c r="AT77" s="77">
        <f t="shared" si="97"/>
        <v>0</v>
      </c>
      <c r="AU77" s="77">
        <f t="shared" si="97"/>
        <v>0</v>
      </c>
      <c r="AV77" s="77">
        <f t="shared" si="97"/>
        <v>0</v>
      </c>
      <c r="AW77" s="77">
        <f t="shared" si="97"/>
        <v>0</v>
      </c>
      <c r="AX77" s="77">
        <f t="shared" si="97"/>
        <v>0</v>
      </c>
      <c r="AY77" s="77">
        <f t="shared" si="97"/>
        <v>0</v>
      </c>
      <c r="AZ77" s="71">
        <f t="shared" si="97"/>
        <v>270</v>
      </c>
      <c r="BA77" s="76">
        <f t="shared" si="97"/>
        <v>0</v>
      </c>
      <c r="BB77" s="76">
        <f t="shared" si="97"/>
        <v>0</v>
      </c>
      <c r="BC77" s="71">
        <f t="shared" si="97"/>
        <v>0</v>
      </c>
      <c r="BD77" s="71">
        <f t="shared" si="97"/>
        <v>0</v>
      </c>
      <c r="BE77" s="77">
        <f t="shared" si="97"/>
        <v>0</v>
      </c>
      <c r="BF77" s="77">
        <f t="shared" si="97"/>
        <v>0</v>
      </c>
      <c r="BG77" s="77">
        <f t="shared" si="97"/>
        <v>0</v>
      </c>
      <c r="BH77" s="77">
        <f t="shared" si="97"/>
        <v>0</v>
      </c>
      <c r="BI77" s="77">
        <f t="shared" si="97"/>
        <v>0</v>
      </c>
      <c r="BJ77" s="77">
        <f t="shared" si="97"/>
        <v>0</v>
      </c>
      <c r="BK77" s="77">
        <f t="shared" si="97"/>
        <v>0</v>
      </c>
      <c r="BL77" s="77">
        <f t="shared" si="97"/>
        <v>0</v>
      </c>
      <c r="BM77" s="77">
        <f t="shared" si="97"/>
        <v>0</v>
      </c>
      <c r="BN77" s="77">
        <f t="shared" si="97"/>
        <v>0</v>
      </c>
      <c r="BO77" s="77">
        <f t="shared" si="97"/>
        <v>0</v>
      </c>
      <c r="BP77" s="77">
        <f t="shared" si="97"/>
        <v>0</v>
      </c>
      <c r="BQ77" s="77"/>
      <c r="BR77" s="71">
        <f>SUBTOTAL(9,BR75:BR76)</f>
        <v>270</v>
      </c>
    </row>
    <row r="78" spans="1:97" x14ac:dyDescent="0.25">
      <c r="A78" s="1">
        <f>+A75+1</f>
        <v>43854</v>
      </c>
      <c r="B78" s="33" t="s">
        <v>74</v>
      </c>
      <c r="C78" s="62">
        <v>41415.69</v>
      </c>
      <c r="D78" s="56">
        <v>22911.279999999999</v>
      </c>
      <c r="E78" s="56">
        <v>22912</v>
      </c>
      <c r="F78" s="63">
        <v>43854</v>
      </c>
      <c r="G78" s="62">
        <f>IF(E78-D78&lt;0,E78-D78,0)*-1</f>
        <v>0</v>
      </c>
      <c r="H78" s="62">
        <f>IF(E78-D78&gt;0,E78-D78,0)</f>
        <v>0.72000000000116415</v>
      </c>
      <c r="I78" s="56"/>
      <c r="J78" s="56"/>
      <c r="K78" s="56">
        <v>17753.189999999999</v>
      </c>
      <c r="L78" s="56"/>
      <c r="M78" s="62">
        <f>(+K78)*M$5</f>
        <v>381.69358499999993</v>
      </c>
      <c r="N78" s="62">
        <f>(+K78)*N$5</f>
        <v>88.765949999999989</v>
      </c>
      <c r="O78" s="62">
        <f>+K78-M78-N78+P78</f>
        <v>17282.730464999997</v>
      </c>
      <c r="P78" s="62">
        <f>L78-(L78*(M$5+N$5))</f>
        <v>0</v>
      </c>
      <c r="Q78" s="64"/>
      <c r="R78" s="56"/>
      <c r="S78" s="56"/>
      <c r="T78" s="62">
        <f>+R78*T$5</f>
        <v>0</v>
      </c>
      <c r="U78" s="62">
        <f>+R78*U$5</f>
        <v>0</v>
      </c>
      <c r="V78" s="62">
        <f>+R78-T78-U78+W78</f>
        <v>0</v>
      </c>
      <c r="W78" s="62">
        <f>+S78-(S78*(T$5+U$5))</f>
        <v>0</v>
      </c>
      <c r="X78" s="64"/>
      <c r="Y78" s="56"/>
      <c r="Z78" s="56">
        <v>309.39999999999998</v>
      </c>
      <c r="AA78" s="56"/>
      <c r="AB78" s="56"/>
      <c r="AC78" s="56">
        <v>441.82</v>
      </c>
      <c r="AD78" s="65"/>
      <c r="AE78" s="65"/>
      <c r="AF78" s="56">
        <v>3252.78</v>
      </c>
      <c r="AG78" s="62">
        <f>(AF78*0.8)*0.85</f>
        <v>2211.8904000000002</v>
      </c>
      <c r="AH78" s="62">
        <f>(AF78*0.8)*0.15</f>
        <v>390.33359999999999</v>
      </c>
      <c r="AI78" s="62">
        <f>AF78*0.2</f>
        <v>650.55600000000004</v>
      </c>
      <c r="AJ78" s="56"/>
      <c r="AK78" s="62">
        <f>(C78-AF78-AJ78)/1.12</f>
        <v>34074.026785714283</v>
      </c>
      <c r="AL78" s="62">
        <f>AK78-SUM(Y78:AC78)</f>
        <v>33322.806785714281</v>
      </c>
      <c r="AM78" s="62">
        <f>+AL78*0.12</f>
        <v>3998.7368142857135</v>
      </c>
      <c r="AN78" s="62">
        <f t="shared" si="76"/>
        <v>37321.543599999997</v>
      </c>
      <c r="AO78" s="66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2">
        <f>SUM(AO78:AY78)</f>
        <v>0</v>
      </c>
      <c r="BA78" s="65"/>
      <c r="BB78" s="65"/>
      <c r="BC78" s="62">
        <f>SUM(BE78:BL78)*0.1+(BM78*0.5)</f>
        <v>0</v>
      </c>
      <c r="BD78" s="62">
        <f>SUM(BE78:BL78)+(BM78*0.5)</f>
        <v>0</v>
      </c>
      <c r="BE78" s="66"/>
      <c r="BF78" s="66"/>
      <c r="BG78" s="66"/>
      <c r="BH78" s="66"/>
      <c r="BI78" s="66"/>
      <c r="BJ78" s="66"/>
      <c r="BK78" s="66"/>
      <c r="BL78" s="66"/>
      <c r="BM78" s="66"/>
      <c r="BN78" s="66"/>
      <c r="BO78" s="66"/>
      <c r="BP78" s="66"/>
      <c r="BQ78" s="66"/>
      <c r="BR78" s="68">
        <f>AZ78+BA78+BB78+BD78-BC78</f>
        <v>0</v>
      </c>
      <c r="BT78" s="82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83"/>
      <c r="CR78" s="83"/>
      <c r="CS78" s="83"/>
    </row>
    <row r="79" spans="1:97" x14ac:dyDescent="0.25">
      <c r="A79" s="1"/>
      <c r="B79" s="33" t="s">
        <v>76</v>
      </c>
      <c r="C79" s="62">
        <v>21814.66</v>
      </c>
      <c r="D79" s="56">
        <v>9876.49</v>
      </c>
      <c r="E79" s="56">
        <v>9877</v>
      </c>
      <c r="F79" s="63">
        <v>43857</v>
      </c>
      <c r="G79" s="62">
        <f>IF(E79-D79&lt;0,E79-D79,0)*-1</f>
        <v>0</v>
      </c>
      <c r="H79" s="62">
        <f>IF(E79-D79&gt;0,E79-D79,0)</f>
        <v>0.51000000000021828</v>
      </c>
      <c r="I79" s="56">
        <v>300</v>
      </c>
      <c r="J79" s="56"/>
      <c r="K79" s="56">
        <v>11347.96</v>
      </c>
      <c r="L79" s="56"/>
      <c r="M79" s="62">
        <f>(+K79)*M$5</f>
        <v>243.98113999999995</v>
      </c>
      <c r="N79" s="62">
        <f>(+K79)*N$5</f>
        <v>56.739799999999995</v>
      </c>
      <c r="O79" s="62">
        <f>+K79-M79-N79+P79</f>
        <v>11047.23906</v>
      </c>
      <c r="P79" s="62">
        <f>L79-(L79*(M$5+N$5))</f>
        <v>0</v>
      </c>
      <c r="Q79" s="64"/>
      <c r="R79" s="56"/>
      <c r="S79" s="56"/>
      <c r="T79" s="62">
        <f>+R79*T$5</f>
        <v>0</v>
      </c>
      <c r="U79" s="62">
        <f>+R79*U$5</f>
        <v>0</v>
      </c>
      <c r="V79" s="62">
        <f>+R79-T79-U79+W79</f>
        <v>0</v>
      </c>
      <c r="W79" s="62">
        <f>+S79-(S79*(T$5+U$5))</f>
        <v>0</v>
      </c>
      <c r="X79" s="64"/>
      <c r="Y79" s="56"/>
      <c r="Z79" s="56">
        <v>73.25</v>
      </c>
      <c r="AA79" s="56"/>
      <c r="AB79" s="56"/>
      <c r="AC79" s="56">
        <v>216.96</v>
      </c>
      <c r="AD79" s="65"/>
      <c r="AE79" s="65"/>
      <c r="AF79" s="56">
        <v>1679.84</v>
      </c>
      <c r="AG79" s="62">
        <f>(AF79*0.8)*0.85</f>
        <v>1142.2912000000001</v>
      </c>
      <c r="AH79" s="62">
        <f>(AF79*0.8)*0.15</f>
        <v>201.58080000000001</v>
      </c>
      <c r="AI79" s="62">
        <f>AF79*0.2</f>
        <v>335.96800000000002</v>
      </c>
      <c r="AJ79" s="56"/>
      <c r="AK79" s="62">
        <f>(C79-AF79-AJ79)/1.12</f>
        <v>17977.517857142855</v>
      </c>
      <c r="AL79" s="62">
        <f>AK79-SUM(Y79:AC79)</f>
        <v>17687.307857142856</v>
      </c>
      <c r="AM79" s="62">
        <f>+AL79*0.12</f>
        <v>2122.4769428571426</v>
      </c>
      <c r="AN79" s="62">
        <f t="shared" si="76"/>
        <v>19809.784799999998</v>
      </c>
      <c r="AO79" s="66">
        <v>540</v>
      </c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2">
        <f>SUM(AO79:AY79)</f>
        <v>540</v>
      </c>
      <c r="BA79" s="65"/>
      <c r="BB79" s="65"/>
      <c r="BC79" s="62">
        <v>0</v>
      </c>
      <c r="BD79" s="62">
        <v>0</v>
      </c>
      <c r="BE79" s="66"/>
      <c r="BF79" s="66"/>
      <c r="BG79" s="66"/>
      <c r="BH79" s="66"/>
      <c r="BI79" s="66"/>
      <c r="BJ79" s="66"/>
      <c r="BK79" s="66"/>
      <c r="BL79" s="66">
        <v>130</v>
      </c>
      <c r="BM79" s="66"/>
      <c r="BN79" s="66"/>
      <c r="BO79" s="66"/>
      <c r="BP79" s="66"/>
      <c r="BQ79" s="66"/>
      <c r="BR79" s="68">
        <f>AZ79+BA79+BB79+BD79-BC79</f>
        <v>540</v>
      </c>
      <c r="BT79" s="82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83"/>
      <c r="CR79" s="83"/>
      <c r="CS79" s="83"/>
    </row>
    <row r="80" spans="1:97" x14ac:dyDescent="0.25">
      <c r="A80" s="87"/>
      <c r="B80" s="70"/>
      <c r="C80" s="71">
        <f>SUBTOTAL(9,C78:C79)</f>
        <v>63230.350000000006</v>
      </c>
      <c r="D80" s="72">
        <f>SUBTOTAL(9,D78:D79)</f>
        <v>32787.769999999997</v>
      </c>
      <c r="E80" s="72">
        <f>SUBTOTAL(9,E78:E79)</f>
        <v>32789</v>
      </c>
      <c r="F80" s="74"/>
      <c r="G80" s="72">
        <f>SUBTOTAL(9,G78:G79)</f>
        <v>0</v>
      </c>
      <c r="H80" s="72">
        <f>SUBTOTAL(9,H78:H79)</f>
        <v>1.2300000000013824</v>
      </c>
      <c r="I80" s="72"/>
      <c r="J80" s="72">
        <f t="shared" ref="J80:P80" si="98">SUBTOTAL(9,J78:J79)</f>
        <v>0</v>
      </c>
      <c r="K80" s="73">
        <f t="shared" si="98"/>
        <v>29101.149999999998</v>
      </c>
      <c r="L80" s="72">
        <f t="shared" si="98"/>
        <v>0</v>
      </c>
      <c r="M80" s="71">
        <f t="shared" si="98"/>
        <v>625.67472499999985</v>
      </c>
      <c r="N80" s="71">
        <f t="shared" si="98"/>
        <v>145.50574999999998</v>
      </c>
      <c r="O80" s="71">
        <f t="shared" si="98"/>
        <v>28329.969524999997</v>
      </c>
      <c r="P80" s="71">
        <f t="shared" si="98"/>
        <v>0</v>
      </c>
      <c r="Q80" s="74"/>
      <c r="R80" s="72">
        <f t="shared" ref="R80:W80" si="99">SUBTOTAL(9,R78:R79)</f>
        <v>0</v>
      </c>
      <c r="S80" s="72">
        <f t="shared" si="99"/>
        <v>0</v>
      </c>
      <c r="T80" s="71">
        <f t="shared" si="99"/>
        <v>0</v>
      </c>
      <c r="U80" s="71">
        <f t="shared" si="99"/>
        <v>0</v>
      </c>
      <c r="V80" s="71">
        <f t="shared" si="99"/>
        <v>0</v>
      </c>
      <c r="W80" s="71">
        <f t="shared" si="99"/>
        <v>0</v>
      </c>
      <c r="X80" s="74"/>
      <c r="Y80" s="72">
        <f>SUBTOTAL(9,Y78:Y79)</f>
        <v>0</v>
      </c>
      <c r="Z80" s="72"/>
      <c r="AA80" s="72"/>
      <c r="AB80" s="72"/>
      <c r="AC80" s="72"/>
      <c r="AD80" s="76"/>
      <c r="AE80" s="76"/>
      <c r="AF80" s="72"/>
      <c r="AG80" s="71">
        <f t="shared" ref="AG80:AM80" si="100">SUBTOTAL(9,AG78:AG79)</f>
        <v>3354.1816000000003</v>
      </c>
      <c r="AH80" s="71">
        <f t="shared" si="100"/>
        <v>591.9144</v>
      </c>
      <c r="AI80" s="71">
        <f t="shared" si="100"/>
        <v>986.52400000000011</v>
      </c>
      <c r="AJ80" s="72">
        <f t="shared" si="100"/>
        <v>0</v>
      </c>
      <c r="AK80" s="71">
        <f t="shared" si="100"/>
        <v>52051.544642857138</v>
      </c>
      <c r="AL80" s="71">
        <f t="shared" si="100"/>
        <v>51010.114642857137</v>
      </c>
      <c r="AM80" s="71">
        <f t="shared" si="100"/>
        <v>6121.2137571428557</v>
      </c>
      <c r="AN80" s="71">
        <f t="shared" si="76"/>
        <v>57131.328399999991</v>
      </c>
      <c r="AO80" s="77">
        <f t="shared" ref="AO80:BP80" si="101">SUBTOTAL(9,AO78:AO79)</f>
        <v>540</v>
      </c>
      <c r="AP80" s="77">
        <f t="shared" si="101"/>
        <v>0</v>
      </c>
      <c r="AQ80" s="77">
        <f t="shared" si="101"/>
        <v>0</v>
      </c>
      <c r="AR80" s="77">
        <f t="shared" si="101"/>
        <v>0</v>
      </c>
      <c r="AS80" s="77">
        <f t="shared" si="101"/>
        <v>0</v>
      </c>
      <c r="AT80" s="77">
        <f t="shared" si="101"/>
        <v>0</v>
      </c>
      <c r="AU80" s="77">
        <f t="shared" si="101"/>
        <v>0</v>
      </c>
      <c r="AV80" s="77">
        <f t="shared" si="101"/>
        <v>0</v>
      </c>
      <c r="AW80" s="77">
        <f t="shared" si="101"/>
        <v>0</v>
      </c>
      <c r="AX80" s="77">
        <f t="shared" si="101"/>
        <v>0</v>
      </c>
      <c r="AY80" s="77">
        <f t="shared" si="101"/>
        <v>0</v>
      </c>
      <c r="AZ80" s="71">
        <f t="shared" si="101"/>
        <v>540</v>
      </c>
      <c r="BA80" s="76">
        <f t="shared" si="101"/>
        <v>0</v>
      </c>
      <c r="BB80" s="76">
        <f t="shared" si="101"/>
        <v>0</v>
      </c>
      <c r="BC80" s="71">
        <f t="shared" si="101"/>
        <v>0</v>
      </c>
      <c r="BD80" s="71">
        <f t="shared" si="101"/>
        <v>0</v>
      </c>
      <c r="BE80" s="77">
        <f t="shared" si="101"/>
        <v>0</v>
      </c>
      <c r="BF80" s="77">
        <f t="shared" si="101"/>
        <v>0</v>
      </c>
      <c r="BG80" s="77">
        <f t="shared" si="101"/>
        <v>0</v>
      </c>
      <c r="BH80" s="77">
        <f t="shared" si="101"/>
        <v>0</v>
      </c>
      <c r="BI80" s="77">
        <f t="shared" si="101"/>
        <v>0</v>
      </c>
      <c r="BJ80" s="77">
        <f t="shared" si="101"/>
        <v>0</v>
      </c>
      <c r="BK80" s="77">
        <f t="shared" si="101"/>
        <v>0</v>
      </c>
      <c r="BL80" s="77">
        <f t="shared" si="101"/>
        <v>130</v>
      </c>
      <c r="BM80" s="77">
        <f t="shared" si="101"/>
        <v>0</v>
      </c>
      <c r="BN80" s="77">
        <f t="shared" si="101"/>
        <v>0</v>
      </c>
      <c r="BO80" s="77">
        <f t="shared" si="101"/>
        <v>0</v>
      </c>
      <c r="BP80" s="77">
        <f t="shared" si="101"/>
        <v>0</v>
      </c>
      <c r="BQ80" s="77"/>
      <c r="BR80" s="71">
        <f>SUBTOTAL(9,BR78:BR79)</f>
        <v>540</v>
      </c>
    </row>
    <row r="81" spans="1:97" x14ac:dyDescent="0.25">
      <c r="A81" s="1">
        <f>+A78+1</f>
        <v>43855</v>
      </c>
      <c r="B81" s="33" t="s">
        <v>74</v>
      </c>
      <c r="C81" s="62" t="s">
        <v>75</v>
      </c>
      <c r="D81" s="56"/>
      <c r="E81" s="56"/>
      <c r="F81" s="63"/>
      <c r="G81" s="62">
        <f>IF(E81-D81&lt;0,E81-D81,0)*-1</f>
        <v>0</v>
      </c>
      <c r="H81" s="62">
        <f>IF(E81-D81&gt;0,E81-D81,0)</f>
        <v>0</v>
      </c>
      <c r="I81" s="56"/>
      <c r="J81" s="56"/>
      <c r="K81" s="56"/>
      <c r="L81" s="56"/>
      <c r="M81" s="62">
        <f>(+K81)*M$5</f>
        <v>0</v>
      </c>
      <c r="N81" s="62">
        <f>(+K81)*N$5</f>
        <v>0</v>
      </c>
      <c r="O81" s="62">
        <f>+K81-M81-N81+P81</f>
        <v>0</v>
      </c>
      <c r="P81" s="62">
        <f>L81-(L81*(M$5+N$5))</f>
        <v>0</v>
      </c>
      <c r="Q81" s="92"/>
      <c r="R81" s="56"/>
      <c r="S81" s="56"/>
      <c r="T81" s="62"/>
      <c r="U81" s="62"/>
      <c r="V81" s="62"/>
      <c r="W81" s="62"/>
      <c r="X81" s="64"/>
      <c r="Y81" s="56"/>
      <c r="Z81" s="56"/>
      <c r="AA81" s="56"/>
      <c r="AB81" s="56"/>
      <c r="AC81" s="56"/>
      <c r="AD81" s="65"/>
      <c r="AE81" s="65"/>
      <c r="AF81" s="56"/>
      <c r="AG81" s="62">
        <f>(AF81*0.8)*0.85</f>
        <v>0</v>
      </c>
      <c r="AH81" s="62">
        <f>(AF81*0.8)*0.15</f>
        <v>0</v>
      </c>
      <c r="AI81" s="62">
        <f>AF81*0.2</f>
        <v>0</v>
      </c>
      <c r="AJ81" s="56"/>
      <c r="AK81" s="62">
        <v>0</v>
      </c>
      <c r="AL81" s="62">
        <f>AK81-SUM(Y81:AC81)</f>
        <v>0</v>
      </c>
      <c r="AM81" s="62">
        <f>+AL81*0.12</f>
        <v>0</v>
      </c>
      <c r="AN81" s="62">
        <f t="shared" si="76"/>
        <v>0</v>
      </c>
      <c r="AO81" s="66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2">
        <f>SUM(AO81:AY81)</f>
        <v>0</v>
      </c>
      <c r="BA81" s="65"/>
      <c r="BB81" s="65"/>
      <c r="BC81" s="62">
        <f>SUM(BE81:BL81)*0.1+(BM81*0.5)</f>
        <v>0</v>
      </c>
      <c r="BD81" s="62">
        <f>SUM(BE81:BL81)+(BM81*0.5)</f>
        <v>0</v>
      </c>
      <c r="BE81" s="66"/>
      <c r="BF81" s="66"/>
      <c r="BG81" s="66"/>
      <c r="BH81" s="66"/>
      <c r="BI81" s="66"/>
      <c r="BJ81" s="66"/>
      <c r="BK81" s="66"/>
      <c r="BL81" s="66"/>
      <c r="BM81" s="66"/>
      <c r="BN81" s="66"/>
      <c r="BO81" s="66"/>
      <c r="BP81" s="66"/>
      <c r="BQ81" s="66"/>
      <c r="BR81" s="68">
        <f>AZ81+BA81+BB81+BD81-BC81</f>
        <v>0</v>
      </c>
      <c r="BT81" s="82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83"/>
      <c r="CR81" s="83"/>
      <c r="CS81" s="83"/>
    </row>
    <row r="82" spans="1:97" x14ac:dyDescent="0.25">
      <c r="A82" s="1"/>
      <c r="B82" s="33" t="s">
        <v>76</v>
      </c>
      <c r="C82" s="62"/>
      <c r="D82" s="56"/>
      <c r="E82" s="56"/>
      <c r="F82" s="63"/>
      <c r="G82" s="62">
        <f>IF(E82-D82&lt;0,E82-D82,0)*-1</f>
        <v>0</v>
      </c>
      <c r="H82" s="62">
        <f>IF(E82-D82&gt;0,E82-D82,0)</f>
        <v>0</v>
      </c>
      <c r="I82" s="56"/>
      <c r="J82" s="56"/>
      <c r="K82" s="56"/>
      <c r="L82" s="56"/>
      <c r="M82" s="62">
        <f>(+K82)*M$5</f>
        <v>0</v>
      </c>
      <c r="N82" s="62">
        <f>(+K82)*N$5</f>
        <v>0</v>
      </c>
      <c r="O82" s="62">
        <f>+K82-M82-N82+P82</f>
        <v>0</v>
      </c>
      <c r="P82" s="62">
        <f>L82-(L82*(M$5+N$5))</f>
        <v>0</v>
      </c>
      <c r="Q82" s="64"/>
      <c r="R82" s="56"/>
      <c r="S82" s="56"/>
      <c r="T82" s="62"/>
      <c r="U82" s="62"/>
      <c r="V82" s="62"/>
      <c r="W82" s="62"/>
      <c r="X82" s="64"/>
      <c r="Y82" s="56"/>
      <c r="Z82" s="56"/>
      <c r="AA82" s="56"/>
      <c r="AB82" s="56"/>
      <c r="AC82" s="56"/>
      <c r="AD82" s="65"/>
      <c r="AE82" s="65"/>
      <c r="AF82" s="56"/>
      <c r="AG82" s="62">
        <f>(AF82*0.8)*0.85</f>
        <v>0</v>
      </c>
      <c r="AH82" s="62">
        <f>(AF82*0.8)*0.15</f>
        <v>0</v>
      </c>
      <c r="AI82" s="62">
        <f>AF82*0.2</f>
        <v>0</v>
      </c>
      <c r="AJ82" s="56"/>
      <c r="AK82" s="62">
        <f>(C82-AF82-AJ82)/1.12</f>
        <v>0</v>
      </c>
      <c r="AL82" s="62">
        <f>AK82-SUM(Y82:AC82)</f>
        <v>0</v>
      </c>
      <c r="AM82" s="62">
        <f>+AL82*0.12</f>
        <v>0</v>
      </c>
      <c r="AN82" s="62">
        <f t="shared" si="76"/>
        <v>0</v>
      </c>
      <c r="AO82" s="66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2">
        <f>SUM(AO82:AY82)</f>
        <v>0</v>
      </c>
      <c r="BA82" s="65"/>
      <c r="BB82" s="65"/>
      <c r="BC82" s="62">
        <v>0</v>
      </c>
      <c r="BD82" s="62">
        <v>0</v>
      </c>
      <c r="BE82" s="66"/>
      <c r="BF82" s="66"/>
      <c r="BG82" s="66"/>
      <c r="BH82" s="66"/>
      <c r="BI82" s="66"/>
      <c r="BJ82" s="66"/>
      <c r="BK82" s="66"/>
      <c r="BL82" s="66"/>
      <c r="BM82" s="66"/>
      <c r="BN82" s="66"/>
      <c r="BO82" s="66"/>
      <c r="BP82" s="66"/>
      <c r="BQ82" s="66"/>
      <c r="BR82" s="68">
        <f>AZ82+BA82+BB82+BD82-BC82</f>
        <v>0</v>
      </c>
      <c r="BT82" s="82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83"/>
      <c r="CR82" s="83"/>
      <c r="CS82" s="83"/>
    </row>
    <row r="83" spans="1:97" x14ac:dyDescent="0.25">
      <c r="A83" s="87"/>
      <c r="B83" s="70"/>
      <c r="C83" s="71">
        <f>SUBTOTAL(9,C81:C82)</f>
        <v>0</v>
      </c>
      <c r="D83" s="72">
        <f>SUBTOTAL(9,D81:D82)</f>
        <v>0</v>
      </c>
      <c r="E83" s="72">
        <f>SUBTOTAL(9,E81:E82)</f>
        <v>0</v>
      </c>
      <c r="F83" s="74"/>
      <c r="G83" s="72">
        <f t="shared" ref="G83:P83" si="102">SUBTOTAL(9,G81:G82)</f>
        <v>0</v>
      </c>
      <c r="H83" s="72">
        <f t="shared" si="102"/>
        <v>0</v>
      </c>
      <c r="I83" s="72">
        <f t="shared" si="102"/>
        <v>0</v>
      </c>
      <c r="J83" s="72">
        <f t="shared" si="102"/>
        <v>0</v>
      </c>
      <c r="K83" s="73">
        <f t="shared" si="102"/>
        <v>0</v>
      </c>
      <c r="L83" s="72">
        <f t="shared" si="102"/>
        <v>0</v>
      </c>
      <c r="M83" s="71">
        <f t="shared" si="102"/>
        <v>0</v>
      </c>
      <c r="N83" s="71">
        <f t="shared" si="102"/>
        <v>0</v>
      </c>
      <c r="O83" s="71">
        <f t="shared" si="102"/>
        <v>0</v>
      </c>
      <c r="P83" s="71">
        <f t="shared" si="102"/>
        <v>0</v>
      </c>
      <c r="Q83" s="74"/>
      <c r="R83" s="72">
        <f t="shared" ref="R83:W83" si="103">SUBTOTAL(9,R81:R82)</f>
        <v>0</v>
      </c>
      <c r="S83" s="72">
        <f t="shared" si="103"/>
        <v>0</v>
      </c>
      <c r="T83" s="71">
        <f t="shared" si="103"/>
        <v>0</v>
      </c>
      <c r="U83" s="71">
        <f t="shared" si="103"/>
        <v>0</v>
      </c>
      <c r="V83" s="71">
        <f t="shared" si="103"/>
        <v>0</v>
      </c>
      <c r="W83" s="71">
        <f t="shared" si="103"/>
        <v>0</v>
      </c>
      <c r="X83" s="74"/>
      <c r="Y83" s="72">
        <f>SUBTOTAL(9,Y81:Y82)</f>
        <v>0</v>
      </c>
      <c r="Z83" s="72"/>
      <c r="AA83" s="72"/>
      <c r="AB83" s="72"/>
      <c r="AC83" s="72"/>
      <c r="AD83" s="76"/>
      <c r="AE83" s="76"/>
      <c r="AF83" s="72"/>
      <c r="AG83" s="71">
        <f t="shared" ref="AG83:AM83" si="104">SUBTOTAL(9,AG81:AG82)</f>
        <v>0</v>
      </c>
      <c r="AH83" s="71">
        <f t="shared" si="104"/>
        <v>0</v>
      </c>
      <c r="AI83" s="71">
        <f t="shared" si="104"/>
        <v>0</v>
      </c>
      <c r="AJ83" s="72">
        <f t="shared" si="104"/>
        <v>0</v>
      </c>
      <c r="AK83" s="71">
        <f t="shared" si="104"/>
        <v>0</v>
      </c>
      <c r="AL83" s="71">
        <f t="shared" si="104"/>
        <v>0</v>
      </c>
      <c r="AM83" s="71">
        <f t="shared" si="104"/>
        <v>0</v>
      </c>
      <c r="AN83" s="71">
        <f t="shared" si="76"/>
        <v>0</v>
      </c>
      <c r="AO83" s="77">
        <f t="shared" ref="AO83:AZ83" si="105">SUBTOTAL(9,AO81:AO82)</f>
        <v>0</v>
      </c>
      <c r="AP83" s="77">
        <f t="shared" si="105"/>
        <v>0</v>
      </c>
      <c r="AQ83" s="77">
        <f t="shared" si="105"/>
        <v>0</v>
      </c>
      <c r="AR83" s="77">
        <f t="shared" si="105"/>
        <v>0</v>
      </c>
      <c r="AS83" s="77">
        <f t="shared" si="105"/>
        <v>0</v>
      </c>
      <c r="AT83" s="77">
        <f t="shared" si="105"/>
        <v>0</v>
      </c>
      <c r="AU83" s="77">
        <f t="shared" si="105"/>
        <v>0</v>
      </c>
      <c r="AV83" s="77">
        <f t="shared" si="105"/>
        <v>0</v>
      </c>
      <c r="AW83" s="77">
        <f t="shared" si="105"/>
        <v>0</v>
      </c>
      <c r="AX83" s="77">
        <f t="shared" si="105"/>
        <v>0</v>
      </c>
      <c r="AY83" s="77">
        <f t="shared" si="105"/>
        <v>0</v>
      </c>
      <c r="AZ83" s="71">
        <f t="shared" si="105"/>
        <v>0</v>
      </c>
      <c r="BA83" s="76" t="s">
        <v>79</v>
      </c>
      <c r="BB83" s="76">
        <f>SUBTOTAL(9,BB81:BB82)</f>
        <v>0</v>
      </c>
      <c r="BC83" s="71">
        <f>SUBTOTAL(9,BC81:BC82)</f>
        <v>0</v>
      </c>
      <c r="BD83" s="71">
        <f>SUBTOTAL(9,BD81:BD82)</f>
        <v>0</v>
      </c>
      <c r="BE83" s="77">
        <f>SUBTOTAL(9,BE81:BE82)</f>
        <v>0</v>
      </c>
      <c r="BF83" s="77"/>
      <c r="BG83" s="77">
        <f t="shared" ref="BG83:BP83" si="106">SUBTOTAL(9,BG81:BG82)</f>
        <v>0</v>
      </c>
      <c r="BH83" s="77">
        <f t="shared" si="106"/>
        <v>0</v>
      </c>
      <c r="BI83" s="77">
        <f t="shared" si="106"/>
        <v>0</v>
      </c>
      <c r="BJ83" s="77">
        <f t="shared" si="106"/>
        <v>0</v>
      </c>
      <c r="BK83" s="77">
        <f t="shared" si="106"/>
        <v>0</v>
      </c>
      <c r="BL83" s="77">
        <f t="shared" si="106"/>
        <v>0</v>
      </c>
      <c r="BM83" s="77">
        <f t="shared" si="106"/>
        <v>0</v>
      </c>
      <c r="BN83" s="77">
        <f t="shared" si="106"/>
        <v>0</v>
      </c>
      <c r="BO83" s="77">
        <f t="shared" si="106"/>
        <v>0</v>
      </c>
      <c r="BP83" s="77">
        <f t="shared" si="106"/>
        <v>0</v>
      </c>
      <c r="BQ83" s="77"/>
      <c r="BR83" s="71">
        <f>SUBTOTAL(9,BR81:BR82)</f>
        <v>0</v>
      </c>
    </row>
    <row r="84" spans="1:97" x14ac:dyDescent="0.25">
      <c r="A84" s="1">
        <f>+A81+1</f>
        <v>43856</v>
      </c>
      <c r="B84" s="61" t="s">
        <v>74</v>
      </c>
      <c r="C84" s="62" t="s">
        <v>78</v>
      </c>
      <c r="D84" s="56"/>
      <c r="E84" s="56"/>
      <c r="F84" s="63"/>
      <c r="G84" s="62">
        <f>IF(E84-D84&lt;0,E84-D84,0)*-1</f>
        <v>0</v>
      </c>
      <c r="H84" s="62">
        <f>IF(E84-D84&gt;0,E84-D84,0)</f>
        <v>0</v>
      </c>
      <c r="I84" s="56"/>
      <c r="J84" s="56"/>
      <c r="K84" s="56"/>
      <c r="L84" s="56"/>
      <c r="M84" s="62">
        <f>(+K84)*M$5</f>
        <v>0</v>
      </c>
      <c r="N84" s="62">
        <f>(+K84)*N$5</f>
        <v>0</v>
      </c>
      <c r="O84" s="62">
        <f>+K84-M84-N84+P84</f>
        <v>0</v>
      </c>
      <c r="P84" s="62"/>
      <c r="Q84" s="64"/>
      <c r="R84" s="56"/>
      <c r="S84" s="56"/>
      <c r="T84" s="62"/>
      <c r="U84" s="62"/>
      <c r="V84" s="62"/>
      <c r="W84" s="62"/>
      <c r="X84" s="64"/>
      <c r="Y84" s="56"/>
      <c r="Z84" s="56"/>
      <c r="AA84" s="56"/>
      <c r="AB84" s="56"/>
      <c r="AC84" s="56"/>
      <c r="AD84" s="65"/>
      <c r="AE84" s="65"/>
      <c r="AF84" s="56"/>
      <c r="AG84" s="62">
        <f>(AF84*0.8)*0.85</f>
        <v>0</v>
      </c>
      <c r="AH84" s="62">
        <f>(AF84*0.8)*0.15</f>
        <v>0</v>
      </c>
      <c r="AI84" s="62">
        <f>AF84*0.2</f>
        <v>0</v>
      </c>
      <c r="AJ84" s="56"/>
      <c r="AK84" s="62"/>
      <c r="AL84" s="62"/>
      <c r="AM84" s="62"/>
      <c r="AN84" s="62"/>
      <c r="AO84" s="66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2">
        <f>SUM(AO84:AY84)</f>
        <v>0</v>
      </c>
      <c r="BA84" s="65"/>
      <c r="BB84" s="65"/>
      <c r="BC84" s="62">
        <f>SUM(BE84:BL84)*0.1+(BM84*0.5)</f>
        <v>0</v>
      </c>
      <c r="BD84" s="62">
        <f>SUM(BE84:BL84)+(BM84*0.5)</f>
        <v>0</v>
      </c>
      <c r="BE84" s="66">
        <v>0</v>
      </c>
      <c r="BF84" s="66"/>
      <c r="BG84" s="66"/>
      <c r="BH84" s="66"/>
      <c r="BI84" s="66"/>
      <c r="BJ84" s="66"/>
      <c r="BK84" s="66"/>
      <c r="BL84" s="66"/>
      <c r="BM84" s="66"/>
      <c r="BN84" s="66"/>
      <c r="BO84" s="66"/>
      <c r="BP84" s="66"/>
      <c r="BQ84" s="66"/>
      <c r="BR84" s="68">
        <f>AZ84+BA84+BB84+BD84-BC84</f>
        <v>0</v>
      </c>
      <c r="BT84" s="82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83"/>
      <c r="CR84" s="83"/>
      <c r="CS84" s="83"/>
    </row>
    <row r="85" spans="1:97" x14ac:dyDescent="0.25">
      <c r="A85" s="1"/>
      <c r="B85" s="32" t="s">
        <v>76</v>
      </c>
      <c r="C85" s="62"/>
      <c r="D85" s="56"/>
      <c r="E85" s="56"/>
      <c r="F85" s="63"/>
      <c r="G85" s="62">
        <f>IF(E85-D85&lt;0,E85-D85,0)*-1</f>
        <v>0</v>
      </c>
      <c r="H85" s="62">
        <f>IF(E85-D85&gt;0,E85-D85,0)</f>
        <v>0</v>
      </c>
      <c r="I85" s="56"/>
      <c r="J85" s="56"/>
      <c r="K85" s="56"/>
      <c r="L85" s="56"/>
      <c r="M85" s="62">
        <f>(+K85)*M$5</f>
        <v>0</v>
      </c>
      <c r="N85" s="62">
        <f>(+K85)*N$5</f>
        <v>0</v>
      </c>
      <c r="O85" s="62">
        <f>+K85-M85-N85+P85</f>
        <v>0</v>
      </c>
      <c r="P85" s="62"/>
      <c r="Q85" s="64"/>
      <c r="R85" s="56"/>
      <c r="S85" s="56"/>
      <c r="T85" s="62"/>
      <c r="U85" s="62"/>
      <c r="V85" s="62"/>
      <c r="W85" s="62"/>
      <c r="X85" s="64"/>
      <c r="Y85" s="56"/>
      <c r="Z85" s="56"/>
      <c r="AA85" s="56"/>
      <c r="AB85" s="56"/>
      <c r="AC85" s="56"/>
      <c r="AD85" s="65"/>
      <c r="AE85" s="65"/>
      <c r="AF85" s="56"/>
      <c r="AG85" s="62">
        <f>(AF85*0.8)*0.85</f>
        <v>0</v>
      </c>
      <c r="AH85" s="62">
        <f>(AF85*0.8)*0.15</f>
        <v>0</v>
      </c>
      <c r="AI85" s="62">
        <f>AF85*0.2</f>
        <v>0</v>
      </c>
      <c r="AJ85" s="56"/>
      <c r="AK85" s="62">
        <f>(C85-AF85-AJ85)/1.12</f>
        <v>0</v>
      </c>
      <c r="AL85" s="62">
        <f>AK85-SUM(Y85:AC85)</f>
        <v>0</v>
      </c>
      <c r="AM85" s="62">
        <f>+AL85*0.12</f>
        <v>0</v>
      </c>
      <c r="AN85" s="62">
        <f t="shared" ref="AN85:AN101" si="107">+AM85+AL85+AJ85</f>
        <v>0</v>
      </c>
      <c r="AO85" s="66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2">
        <f>SUM(AO85:AY85)</f>
        <v>0</v>
      </c>
      <c r="BA85" s="65"/>
      <c r="BB85" s="65"/>
      <c r="BC85" s="62"/>
      <c r="BD85" s="62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8">
        <f>AZ85+BA85+BB85+BD85-BC85</f>
        <v>0</v>
      </c>
      <c r="BT85" s="82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83"/>
      <c r="CR85" s="83"/>
      <c r="CS85" s="83"/>
    </row>
    <row r="86" spans="1:97" x14ac:dyDescent="0.25">
      <c r="A86" s="87"/>
      <c r="B86" s="70"/>
      <c r="C86" s="71">
        <f>SUBTOTAL(9,C84:C85)</f>
        <v>0</v>
      </c>
      <c r="D86" s="72">
        <f>SUBTOTAL(9,D84:D85)</f>
        <v>0</v>
      </c>
      <c r="E86" s="72">
        <f>SUBTOTAL(9,E84:E85)</f>
        <v>0</v>
      </c>
      <c r="F86" s="74"/>
      <c r="G86" s="72">
        <f t="shared" ref="G86:P86" si="108">SUBTOTAL(9,G84:G85)</f>
        <v>0</v>
      </c>
      <c r="H86" s="72">
        <f t="shared" si="108"/>
        <v>0</v>
      </c>
      <c r="I86" s="72">
        <f t="shared" si="108"/>
        <v>0</v>
      </c>
      <c r="J86" s="72">
        <f t="shared" si="108"/>
        <v>0</v>
      </c>
      <c r="K86" s="73">
        <f t="shared" si="108"/>
        <v>0</v>
      </c>
      <c r="L86" s="72">
        <f t="shared" si="108"/>
        <v>0</v>
      </c>
      <c r="M86" s="71">
        <f t="shared" si="108"/>
        <v>0</v>
      </c>
      <c r="N86" s="71">
        <f t="shared" si="108"/>
        <v>0</v>
      </c>
      <c r="O86" s="71">
        <f t="shared" si="108"/>
        <v>0</v>
      </c>
      <c r="P86" s="71">
        <f t="shared" si="108"/>
        <v>0</v>
      </c>
      <c r="Q86" s="74"/>
      <c r="R86" s="72">
        <f t="shared" ref="R86:W86" si="109">SUBTOTAL(9,R84:R85)</f>
        <v>0</v>
      </c>
      <c r="S86" s="72">
        <f t="shared" si="109"/>
        <v>0</v>
      </c>
      <c r="T86" s="71">
        <f t="shared" si="109"/>
        <v>0</v>
      </c>
      <c r="U86" s="71">
        <f t="shared" si="109"/>
        <v>0</v>
      </c>
      <c r="V86" s="71">
        <f t="shared" si="109"/>
        <v>0</v>
      </c>
      <c r="W86" s="71">
        <f t="shared" si="109"/>
        <v>0</v>
      </c>
      <c r="X86" s="74"/>
      <c r="Y86" s="72">
        <f>SUBTOTAL(9,Y84:Y85)</f>
        <v>0</v>
      </c>
      <c r="Z86" s="72"/>
      <c r="AA86" s="72"/>
      <c r="AB86" s="72"/>
      <c r="AC86" s="72"/>
      <c r="AD86" s="76"/>
      <c r="AE86" s="76"/>
      <c r="AF86" s="72"/>
      <c r="AG86" s="71">
        <f t="shared" ref="AG86:AM86" si="110">SUBTOTAL(9,AG84:AG85)</f>
        <v>0</v>
      </c>
      <c r="AH86" s="71">
        <f t="shared" si="110"/>
        <v>0</v>
      </c>
      <c r="AI86" s="71">
        <f t="shared" si="110"/>
        <v>0</v>
      </c>
      <c r="AJ86" s="72">
        <f t="shared" si="110"/>
        <v>0</v>
      </c>
      <c r="AK86" s="71">
        <f t="shared" si="110"/>
        <v>0</v>
      </c>
      <c r="AL86" s="71">
        <f t="shared" si="110"/>
        <v>0</v>
      </c>
      <c r="AM86" s="71">
        <f t="shared" si="110"/>
        <v>0</v>
      </c>
      <c r="AN86" s="71">
        <f t="shared" si="107"/>
        <v>0</v>
      </c>
      <c r="AO86" s="77">
        <f t="shared" ref="AO86:BP86" si="111">SUBTOTAL(9,AO84:AO85)</f>
        <v>0</v>
      </c>
      <c r="AP86" s="77">
        <f t="shared" si="111"/>
        <v>0</v>
      </c>
      <c r="AQ86" s="77">
        <f t="shared" si="111"/>
        <v>0</v>
      </c>
      <c r="AR86" s="77">
        <f t="shared" si="111"/>
        <v>0</v>
      </c>
      <c r="AS86" s="77">
        <f t="shared" si="111"/>
        <v>0</v>
      </c>
      <c r="AT86" s="77">
        <f t="shared" si="111"/>
        <v>0</v>
      </c>
      <c r="AU86" s="77">
        <f t="shared" si="111"/>
        <v>0</v>
      </c>
      <c r="AV86" s="77">
        <f t="shared" si="111"/>
        <v>0</v>
      </c>
      <c r="AW86" s="77">
        <f t="shared" si="111"/>
        <v>0</v>
      </c>
      <c r="AX86" s="77">
        <f t="shared" si="111"/>
        <v>0</v>
      </c>
      <c r="AY86" s="77">
        <f t="shared" si="111"/>
        <v>0</v>
      </c>
      <c r="AZ86" s="71">
        <f t="shared" si="111"/>
        <v>0</v>
      </c>
      <c r="BA86" s="76">
        <f t="shared" si="111"/>
        <v>0</v>
      </c>
      <c r="BB86" s="76">
        <f t="shared" si="111"/>
        <v>0</v>
      </c>
      <c r="BC86" s="71">
        <f t="shared" si="111"/>
        <v>0</v>
      </c>
      <c r="BD86" s="71">
        <f t="shared" si="111"/>
        <v>0</v>
      </c>
      <c r="BE86" s="77">
        <f t="shared" si="111"/>
        <v>0</v>
      </c>
      <c r="BF86" s="77">
        <f t="shared" si="111"/>
        <v>0</v>
      </c>
      <c r="BG86" s="77">
        <f t="shared" si="111"/>
        <v>0</v>
      </c>
      <c r="BH86" s="77">
        <f t="shared" si="111"/>
        <v>0</v>
      </c>
      <c r="BI86" s="77">
        <f t="shared" si="111"/>
        <v>0</v>
      </c>
      <c r="BJ86" s="77">
        <f t="shared" si="111"/>
        <v>0</v>
      </c>
      <c r="BK86" s="77">
        <f t="shared" si="111"/>
        <v>0</v>
      </c>
      <c r="BL86" s="77">
        <f t="shared" si="111"/>
        <v>0</v>
      </c>
      <c r="BM86" s="77">
        <f t="shared" si="111"/>
        <v>0</v>
      </c>
      <c r="BN86" s="77">
        <f t="shared" si="111"/>
        <v>0</v>
      </c>
      <c r="BO86" s="77">
        <f t="shared" si="111"/>
        <v>0</v>
      </c>
      <c r="BP86" s="77">
        <f t="shared" si="111"/>
        <v>0</v>
      </c>
      <c r="BQ86" s="77"/>
      <c r="BR86" s="71">
        <f>SUBTOTAL(9,BR84:BR85)</f>
        <v>0</v>
      </c>
    </row>
    <row r="87" spans="1:97" x14ac:dyDescent="0.25">
      <c r="A87" s="1">
        <f>+A84+1</f>
        <v>43857</v>
      </c>
      <c r="B87" s="32" t="s">
        <v>74</v>
      </c>
      <c r="C87" s="62">
        <v>26679.98</v>
      </c>
      <c r="D87" s="56">
        <v>18048.990000000002</v>
      </c>
      <c r="E87" s="56">
        <v>18050</v>
      </c>
      <c r="F87" s="63">
        <v>43857</v>
      </c>
      <c r="G87" s="62">
        <f>IF(E87-D87&lt;0,E87-D87,0)*-1</f>
        <v>0</v>
      </c>
      <c r="H87" s="62">
        <f>IF(E87-D87&gt;0,E87-D87,0)</f>
        <v>1.0099999999983993</v>
      </c>
      <c r="I87" s="56"/>
      <c r="J87" s="56"/>
      <c r="K87" s="56">
        <v>8188.66</v>
      </c>
      <c r="L87" s="56"/>
      <c r="M87" s="62">
        <f>(+K87)*M$5</f>
        <v>176.05618999999999</v>
      </c>
      <c r="N87" s="62">
        <f>(+K87)*N$5</f>
        <v>40.943300000000001</v>
      </c>
      <c r="O87" s="62">
        <f>+K87-M87-N87+P87</f>
        <v>7971.6605099999997</v>
      </c>
      <c r="P87" s="62"/>
      <c r="Q87" s="64"/>
      <c r="R87" s="56"/>
      <c r="S87" s="56"/>
      <c r="T87" s="62"/>
      <c r="U87" s="62"/>
      <c r="V87" s="62"/>
      <c r="W87" s="62"/>
      <c r="X87" s="64"/>
      <c r="Y87" s="56"/>
      <c r="Z87" s="56"/>
      <c r="AA87" s="56"/>
      <c r="AB87" s="56"/>
      <c r="AC87" s="56">
        <v>272.33</v>
      </c>
      <c r="AD87" s="65" t="s">
        <v>77</v>
      </c>
      <c r="AE87" s="65">
        <v>170</v>
      </c>
      <c r="AF87" s="56">
        <v>2120.37</v>
      </c>
      <c r="AG87" s="62">
        <f>(AF87*0.8)*0.85</f>
        <v>1441.8516</v>
      </c>
      <c r="AH87" s="62">
        <f>(AF87*0.8)*0.15</f>
        <v>254.4444</v>
      </c>
      <c r="AI87" s="62">
        <f>AF87*0.2</f>
        <v>424.07400000000001</v>
      </c>
      <c r="AJ87" s="56"/>
      <c r="AK87" s="62">
        <f>(C87-AF87-AJ87)/1.12</f>
        <v>21928.223214285714</v>
      </c>
      <c r="AL87" s="62">
        <f>AK87-SUM(Y87:AC87)</f>
        <v>21655.893214285712</v>
      </c>
      <c r="AM87" s="62">
        <f>+AL87*0.12</f>
        <v>2598.7071857142855</v>
      </c>
      <c r="AN87" s="62">
        <f t="shared" si="107"/>
        <v>24254.600399999996</v>
      </c>
      <c r="AO87" s="66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2">
        <f>SUM(AO87:AY87)</f>
        <v>0</v>
      </c>
      <c r="BA87" s="65"/>
      <c r="BB87" s="65"/>
      <c r="BC87" s="62">
        <f>SUM(BE87:BL87)*0.1+(BM87*0.5)</f>
        <v>0</v>
      </c>
      <c r="BD87" s="62">
        <f>SUM(BE87:BL87)+(BM87*0.5)</f>
        <v>0</v>
      </c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8">
        <f>AZ87+BA87+BB87+BD87-BC87</f>
        <v>0</v>
      </c>
      <c r="BT87" s="82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83"/>
      <c r="CR87" s="83"/>
      <c r="CS87" s="83"/>
    </row>
    <row r="88" spans="1:97" x14ac:dyDescent="0.25">
      <c r="A88" s="1"/>
      <c r="B88" s="32" t="s">
        <v>76</v>
      </c>
      <c r="C88" s="62">
        <v>12639.91</v>
      </c>
      <c r="D88" s="56">
        <v>7564.28</v>
      </c>
      <c r="E88" s="56">
        <v>7570</v>
      </c>
      <c r="F88" s="63">
        <v>43858</v>
      </c>
      <c r="G88" s="62">
        <f>IF(E88-D88&lt;0,E88-D88,0)*-1</f>
        <v>0</v>
      </c>
      <c r="H88" s="62">
        <f>IF(E88-D88&gt;0,E88-D88,0)</f>
        <v>5.7200000000002547</v>
      </c>
      <c r="I88" s="56">
        <v>300</v>
      </c>
      <c r="J88" s="56"/>
      <c r="K88" s="56">
        <v>4077.78</v>
      </c>
      <c r="L88" s="56"/>
      <c r="M88" s="62">
        <f>(+K88)*M$5</f>
        <v>87.672269999999997</v>
      </c>
      <c r="N88" s="62">
        <f>(+K88)*N$5</f>
        <v>20.388900000000003</v>
      </c>
      <c r="O88" s="62">
        <f>+K88-M88-N88+P88</f>
        <v>3969.7188300000003</v>
      </c>
      <c r="P88" s="62"/>
      <c r="Q88" s="64"/>
      <c r="R88" s="56"/>
      <c r="S88" s="56"/>
      <c r="T88" s="62"/>
      <c r="U88" s="62"/>
      <c r="V88" s="62"/>
      <c r="W88" s="62"/>
      <c r="X88" s="64"/>
      <c r="Y88" s="56"/>
      <c r="Z88" s="56"/>
      <c r="AA88" s="56"/>
      <c r="AB88" s="56"/>
      <c r="AC88" s="56">
        <v>92.82</v>
      </c>
      <c r="AD88" s="65" t="s">
        <v>77</v>
      </c>
      <c r="AE88" s="65">
        <v>610</v>
      </c>
      <c r="AF88" s="56">
        <v>865.63</v>
      </c>
      <c r="AG88" s="62">
        <f>(AF88*0.8)*0.85</f>
        <v>588.62840000000006</v>
      </c>
      <c r="AH88" s="62">
        <f>(AF88*0.8)*0.15</f>
        <v>103.87560000000001</v>
      </c>
      <c r="AI88" s="62">
        <f>AF88*0.2</f>
        <v>173.126</v>
      </c>
      <c r="AJ88" s="56"/>
      <c r="AK88" s="62">
        <f>(C88-AF88-AJ88)/1.12</f>
        <v>10512.75</v>
      </c>
      <c r="AL88" s="62">
        <f>AK88-SUM(Y88:AC88)</f>
        <v>10419.93</v>
      </c>
      <c r="AM88" s="62">
        <f>+AL88*0.12</f>
        <v>1250.3915999999999</v>
      </c>
      <c r="AN88" s="62">
        <f t="shared" si="107"/>
        <v>11670.321599999999</v>
      </c>
      <c r="AO88" s="66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2">
        <f>SUM(AO88:AY88)</f>
        <v>0</v>
      </c>
      <c r="BA88" s="65"/>
      <c r="BB88" s="65"/>
      <c r="BC88" s="62"/>
      <c r="BD88" s="62"/>
      <c r="BE88" s="66"/>
      <c r="BF88" s="66"/>
      <c r="BG88" s="66"/>
      <c r="BH88" s="66">
        <v>0</v>
      </c>
      <c r="BI88" s="66"/>
      <c r="BJ88" s="66"/>
      <c r="BK88" s="66"/>
      <c r="BL88" s="66"/>
      <c r="BM88" s="66"/>
      <c r="BN88" s="66"/>
      <c r="BO88" s="66"/>
      <c r="BP88" s="66"/>
      <c r="BQ88" s="66">
        <v>175</v>
      </c>
      <c r="BR88" s="68">
        <f>AZ88+BA88+BB88+BD88-BC88</f>
        <v>0</v>
      </c>
      <c r="BT88" s="82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83"/>
      <c r="CR88" s="83"/>
      <c r="CS88" s="83"/>
    </row>
    <row r="89" spans="1:97" x14ac:dyDescent="0.25">
      <c r="A89" s="87"/>
      <c r="B89" s="70"/>
      <c r="C89" s="71">
        <f>SUBTOTAL(9,C87:C88)</f>
        <v>39319.89</v>
      </c>
      <c r="D89" s="72">
        <f>SUBTOTAL(9,D87:D88)</f>
        <v>25613.27</v>
      </c>
      <c r="E89" s="72">
        <f>SUBTOTAL(9,E87:E88)</f>
        <v>25620</v>
      </c>
      <c r="F89" s="74"/>
      <c r="G89" s="72">
        <f t="shared" ref="G89:P89" si="112">SUBTOTAL(9,G87:G88)</f>
        <v>0</v>
      </c>
      <c r="H89" s="72">
        <f t="shared" si="112"/>
        <v>6.7299999999986539</v>
      </c>
      <c r="I89" s="72">
        <f t="shared" si="112"/>
        <v>300</v>
      </c>
      <c r="J89" s="72">
        <f t="shared" si="112"/>
        <v>0</v>
      </c>
      <c r="K89" s="73">
        <f t="shared" si="112"/>
        <v>12266.44</v>
      </c>
      <c r="L89" s="72">
        <f t="shared" si="112"/>
        <v>0</v>
      </c>
      <c r="M89" s="71">
        <f t="shared" si="112"/>
        <v>263.72845999999998</v>
      </c>
      <c r="N89" s="71">
        <f t="shared" si="112"/>
        <v>61.3322</v>
      </c>
      <c r="O89" s="71">
        <f t="shared" si="112"/>
        <v>11941.37934</v>
      </c>
      <c r="P89" s="71">
        <f t="shared" si="112"/>
        <v>0</v>
      </c>
      <c r="Q89" s="74"/>
      <c r="R89" s="72">
        <f t="shared" ref="R89:W89" si="113">SUBTOTAL(9,R87:R88)</f>
        <v>0</v>
      </c>
      <c r="S89" s="72">
        <f t="shared" si="113"/>
        <v>0</v>
      </c>
      <c r="T89" s="71">
        <f t="shared" si="113"/>
        <v>0</v>
      </c>
      <c r="U89" s="71">
        <f t="shared" si="113"/>
        <v>0</v>
      </c>
      <c r="V89" s="71">
        <f t="shared" si="113"/>
        <v>0</v>
      </c>
      <c r="W89" s="71">
        <f t="shared" si="113"/>
        <v>0</v>
      </c>
      <c r="X89" s="74"/>
      <c r="Y89" s="72">
        <f>SUBTOTAL(9,Y87:Y88)</f>
        <v>0</v>
      </c>
      <c r="Z89" s="72"/>
      <c r="AA89" s="72"/>
      <c r="AB89" s="72"/>
      <c r="AC89" s="72"/>
      <c r="AD89" s="76"/>
      <c r="AE89" s="76"/>
      <c r="AF89" s="72"/>
      <c r="AG89" s="71">
        <f t="shared" ref="AG89:AM89" si="114">SUBTOTAL(9,AG87:AG88)</f>
        <v>2030.48</v>
      </c>
      <c r="AH89" s="71">
        <f t="shared" si="114"/>
        <v>358.32</v>
      </c>
      <c r="AI89" s="71">
        <f t="shared" si="114"/>
        <v>597.20000000000005</v>
      </c>
      <c r="AJ89" s="72">
        <f t="shared" si="114"/>
        <v>0</v>
      </c>
      <c r="AK89" s="71">
        <f t="shared" si="114"/>
        <v>32440.973214285714</v>
      </c>
      <c r="AL89" s="71">
        <f t="shared" si="114"/>
        <v>32075.823214285712</v>
      </c>
      <c r="AM89" s="71">
        <f t="shared" si="114"/>
        <v>3849.0987857142854</v>
      </c>
      <c r="AN89" s="71">
        <f t="shared" si="107"/>
        <v>35924.921999999999</v>
      </c>
      <c r="AO89" s="77">
        <f t="shared" ref="AO89:BP89" si="115">SUBTOTAL(9,AO87:AO88)</f>
        <v>0</v>
      </c>
      <c r="AP89" s="77">
        <f t="shared" si="115"/>
        <v>0</v>
      </c>
      <c r="AQ89" s="77">
        <f t="shared" si="115"/>
        <v>0</v>
      </c>
      <c r="AR89" s="77">
        <f t="shared" si="115"/>
        <v>0</v>
      </c>
      <c r="AS89" s="77">
        <f t="shared" si="115"/>
        <v>0</v>
      </c>
      <c r="AT89" s="77">
        <f t="shared" si="115"/>
        <v>0</v>
      </c>
      <c r="AU89" s="77">
        <f t="shared" si="115"/>
        <v>0</v>
      </c>
      <c r="AV89" s="77">
        <f t="shared" si="115"/>
        <v>0</v>
      </c>
      <c r="AW89" s="77">
        <f t="shared" si="115"/>
        <v>0</v>
      </c>
      <c r="AX89" s="77">
        <f t="shared" si="115"/>
        <v>0</v>
      </c>
      <c r="AY89" s="77">
        <f t="shared" si="115"/>
        <v>0</v>
      </c>
      <c r="AZ89" s="71">
        <f t="shared" si="115"/>
        <v>0</v>
      </c>
      <c r="BA89" s="76">
        <f t="shared" si="115"/>
        <v>0</v>
      </c>
      <c r="BB89" s="76">
        <f t="shared" si="115"/>
        <v>0</v>
      </c>
      <c r="BC89" s="71">
        <f t="shared" si="115"/>
        <v>0</v>
      </c>
      <c r="BD89" s="71">
        <f t="shared" si="115"/>
        <v>0</v>
      </c>
      <c r="BE89" s="77">
        <f t="shared" si="115"/>
        <v>0</v>
      </c>
      <c r="BF89" s="77">
        <f t="shared" si="115"/>
        <v>0</v>
      </c>
      <c r="BG89" s="77">
        <f t="shared" si="115"/>
        <v>0</v>
      </c>
      <c r="BH89" s="77">
        <f t="shared" si="115"/>
        <v>0</v>
      </c>
      <c r="BI89" s="77">
        <f t="shared" si="115"/>
        <v>0</v>
      </c>
      <c r="BJ89" s="77">
        <f t="shared" si="115"/>
        <v>0</v>
      </c>
      <c r="BK89" s="77">
        <f t="shared" si="115"/>
        <v>0</v>
      </c>
      <c r="BL89" s="77">
        <f t="shared" si="115"/>
        <v>0</v>
      </c>
      <c r="BM89" s="77">
        <f t="shared" si="115"/>
        <v>0</v>
      </c>
      <c r="BN89" s="77">
        <f t="shared" si="115"/>
        <v>0</v>
      </c>
      <c r="BO89" s="77">
        <f t="shared" si="115"/>
        <v>0</v>
      </c>
      <c r="BP89" s="77">
        <f t="shared" si="115"/>
        <v>0</v>
      </c>
      <c r="BQ89" s="77"/>
      <c r="BR89" s="71">
        <f>SUBTOTAL(9,BR87:BR88)</f>
        <v>0</v>
      </c>
    </row>
    <row r="90" spans="1:97" x14ac:dyDescent="0.25">
      <c r="A90" s="1">
        <f>+A87+1</f>
        <v>43858</v>
      </c>
      <c r="B90" s="33" t="s">
        <v>74</v>
      </c>
      <c r="C90" s="62">
        <v>26296.46</v>
      </c>
      <c r="D90" s="56">
        <v>14704.43</v>
      </c>
      <c r="E90" s="56">
        <v>14705</v>
      </c>
      <c r="F90" s="63">
        <v>43858</v>
      </c>
      <c r="G90" s="62">
        <f>IF(E90-D90&lt;0,E90-D90,0)*-1</f>
        <v>0</v>
      </c>
      <c r="H90" s="62">
        <f>IF(E90-D90&gt;0,E90-D90,0)</f>
        <v>0.56999999999970896</v>
      </c>
      <c r="I90" s="56"/>
      <c r="J90" s="56"/>
      <c r="K90" s="56">
        <v>10465.59</v>
      </c>
      <c r="L90" s="56"/>
      <c r="M90" s="62">
        <f>(+K90)*M$5</f>
        <v>225.01018499999998</v>
      </c>
      <c r="N90" s="62">
        <f>(+K90)*N$5</f>
        <v>52.327950000000001</v>
      </c>
      <c r="O90" s="62">
        <f>+K90-M90-N90+P90</f>
        <v>10188.251865</v>
      </c>
      <c r="P90" s="62"/>
      <c r="Q90" s="64"/>
      <c r="R90" s="56"/>
      <c r="S90" s="56"/>
      <c r="T90" s="62"/>
      <c r="U90" s="62"/>
      <c r="V90" s="62"/>
      <c r="W90" s="62"/>
      <c r="X90" s="64"/>
      <c r="Y90" s="56"/>
      <c r="Z90" s="56">
        <v>857.25</v>
      </c>
      <c r="AA90" s="56"/>
      <c r="AB90" s="56"/>
      <c r="AC90" s="56">
        <v>269.19</v>
      </c>
      <c r="AD90" s="65"/>
      <c r="AE90" s="65"/>
      <c r="AF90" s="56">
        <v>1968.98</v>
      </c>
      <c r="AG90" s="62">
        <f>(AF90*0.8)*0.85</f>
        <v>1338.9064000000001</v>
      </c>
      <c r="AH90" s="62">
        <f>(AF90*0.8)*0.15</f>
        <v>236.27760000000001</v>
      </c>
      <c r="AI90" s="62">
        <f>AF90*0.2</f>
        <v>393.79600000000005</v>
      </c>
      <c r="AJ90" s="56"/>
      <c r="AK90" s="62">
        <f>(C90-AF90-AJ90)/1.12</f>
        <v>21720.964285714283</v>
      </c>
      <c r="AL90" s="62">
        <f>AK90-SUM(Y90:AC90)</f>
        <v>20594.524285714284</v>
      </c>
      <c r="AM90" s="62">
        <f>+AL90*0.12</f>
        <v>2471.342914285714</v>
      </c>
      <c r="AN90" s="62">
        <f t="shared" si="107"/>
        <v>23065.867199999997</v>
      </c>
      <c r="AO90" s="66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2">
        <f>SUM(AO90:AY90)</f>
        <v>0</v>
      </c>
      <c r="BA90" s="65"/>
      <c r="BB90" s="65"/>
      <c r="BC90" s="62">
        <f>SUM(BE90:BL90)*0.1+(BM90*0.5)</f>
        <v>0</v>
      </c>
      <c r="BD90" s="62">
        <f>SUM(BE90:BL90)+(BM90*0.5)</f>
        <v>0</v>
      </c>
      <c r="BE90" s="66"/>
      <c r="BF90" s="66"/>
      <c r="BG90" s="66"/>
      <c r="BH90" s="66"/>
      <c r="BI90" s="66"/>
      <c r="BJ90" s="66"/>
      <c r="BK90" s="66"/>
      <c r="BL90" s="66"/>
      <c r="BM90" s="66"/>
      <c r="BN90" s="66"/>
      <c r="BO90" s="66"/>
      <c r="BP90" s="66"/>
      <c r="BQ90" s="66"/>
      <c r="BR90" s="68">
        <f>AZ90+BA90+BB90+BD90-BC90</f>
        <v>0</v>
      </c>
      <c r="BT90" s="82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83"/>
      <c r="CR90" s="83"/>
      <c r="CS90" s="83"/>
    </row>
    <row r="91" spans="1:97" x14ac:dyDescent="0.25">
      <c r="A91" s="1"/>
      <c r="B91" s="33" t="s">
        <v>76</v>
      </c>
      <c r="C91" s="62">
        <v>25932.29</v>
      </c>
      <c r="D91" s="56">
        <v>15759.08</v>
      </c>
      <c r="E91" s="56">
        <v>15760</v>
      </c>
      <c r="F91" s="63">
        <v>43859</v>
      </c>
      <c r="G91" s="62">
        <f>IF(E91-D91&lt;0,E91-D91,0)*-1</f>
        <v>0</v>
      </c>
      <c r="H91" s="62">
        <f>IF(E91-D91&gt;0,E91-D91,0)</f>
        <v>0.92000000000007276</v>
      </c>
      <c r="I91" s="56">
        <v>600</v>
      </c>
      <c r="J91" s="56"/>
      <c r="K91" s="56">
        <v>7973.32</v>
      </c>
      <c r="L91" s="56"/>
      <c r="M91" s="62">
        <f>(+K91)*M$5</f>
        <v>171.42637999999997</v>
      </c>
      <c r="N91" s="62">
        <f>(+K91)*N$5</f>
        <v>39.866599999999998</v>
      </c>
      <c r="O91" s="62">
        <f>+K91-M91-N91+P91</f>
        <v>7762.0270199999995</v>
      </c>
      <c r="P91" s="62"/>
      <c r="Q91" s="64"/>
      <c r="R91" s="56"/>
      <c r="S91" s="56"/>
      <c r="T91" s="62"/>
      <c r="U91" s="62"/>
      <c r="V91" s="62"/>
      <c r="W91" s="62"/>
      <c r="X91" s="64"/>
      <c r="Y91" s="56"/>
      <c r="Z91" s="56">
        <v>930.75</v>
      </c>
      <c r="AA91" s="56"/>
      <c r="AB91" s="56">
        <v>127</v>
      </c>
      <c r="AC91" s="56">
        <v>157.13999999999999</v>
      </c>
      <c r="AD91" s="65"/>
      <c r="AE91" s="65"/>
      <c r="AF91" s="56">
        <v>1646.57</v>
      </c>
      <c r="AG91" s="62">
        <f>(AF91*0.8)*0.85</f>
        <v>1119.6676</v>
      </c>
      <c r="AH91" s="62">
        <f>(AF91*0.8)*0.15</f>
        <v>197.58840000000001</v>
      </c>
      <c r="AI91" s="62">
        <f>AF91*0.2</f>
        <v>329.31400000000002</v>
      </c>
      <c r="AJ91" s="56"/>
      <c r="AK91" s="62">
        <f>(C91-AF91-AJ91)/1.12</f>
        <v>21683.678571428569</v>
      </c>
      <c r="AL91" s="62">
        <f>AK91-SUM(Y91:AC91)</f>
        <v>20468.788571428569</v>
      </c>
      <c r="AM91" s="62">
        <f>+AL91*0.12</f>
        <v>2456.2546285714284</v>
      </c>
      <c r="AN91" s="62">
        <f t="shared" si="107"/>
        <v>22925.043199999996</v>
      </c>
      <c r="AO91" s="66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2">
        <f>SUM(AO91:AY91)</f>
        <v>0</v>
      </c>
      <c r="BA91" s="65"/>
      <c r="BB91" s="65"/>
      <c r="BC91" s="62">
        <v>0</v>
      </c>
      <c r="BD91" s="62">
        <v>0</v>
      </c>
      <c r="BE91" s="66"/>
      <c r="BF91" s="66"/>
      <c r="BG91" s="66"/>
      <c r="BH91" s="66"/>
      <c r="BI91" s="66"/>
      <c r="BJ91" s="66"/>
      <c r="BK91" s="66"/>
      <c r="BL91" s="66"/>
      <c r="BM91" s="66"/>
      <c r="BN91" s="66"/>
      <c r="BO91" s="66"/>
      <c r="BP91" s="66"/>
      <c r="BQ91" s="66"/>
      <c r="BR91" s="68">
        <f>AZ91+BA91+BB91+BD91-BC91</f>
        <v>0</v>
      </c>
      <c r="BT91" s="82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83"/>
      <c r="CR91" s="83"/>
      <c r="CS91" s="83"/>
    </row>
    <row r="92" spans="1:97" x14ac:dyDescent="0.25">
      <c r="A92" s="87"/>
      <c r="B92" s="70"/>
      <c r="C92" s="71">
        <f>SUBTOTAL(9,C90:C91)</f>
        <v>52228.75</v>
      </c>
      <c r="D92" s="72">
        <f>SUBTOTAL(9,D90:D91)</f>
        <v>30463.510000000002</v>
      </c>
      <c r="E92" s="72">
        <f>SUBTOTAL(9,E90:E91)</f>
        <v>30465</v>
      </c>
      <c r="F92" s="74"/>
      <c r="G92" s="72">
        <f t="shared" ref="G92:P92" si="116">SUBTOTAL(9,G90:G91)</f>
        <v>0</v>
      </c>
      <c r="H92" s="72">
        <f t="shared" si="116"/>
        <v>1.4899999999997817</v>
      </c>
      <c r="I92" s="72">
        <f t="shared" si="116"/>
        <v>600</v>
      </c>
      <c r="J92" s="72">
        <f t="shared" si="116"/>
        <v>0</v>
      </c>
      <c r="K92" s="73">
        <f t="shared" si="116"/>
        <v>18438.91</v>
      </c>
      <c r="L92" s="72">
        <f t="shared" si="116"/>
        <v>0</v>
      </c>
      <c r="M92" s="71">
        <f t="shared" si="116"/>
        <v>396.43656499999997</v>
      </c>
      <c r="N92" s="71">
        <f t="shared" si="116"/>
        <v>92.194549999999992</v>
      </c>
      <c r="O92" s="71">
        <f t="shared" si="116"/>
        <v>17950.278885</v>
      </c>
      <c r="P92" s="71">
        <f t="shared" si="116"/>
        <v>0</v>
      </c>
      <c r="Q92" s="74"/>
      <c r="R92" s="72">
        <f t="shared" ref="R92:W92" si="117">SUBTOTAL(9,R90:R91)</f>
        <v>0</v>
      </c>
      <c r="S92" s="72">
        <f t="shared" si="117"/>
        <v>0</v>
      </c>
      <c r="T92" s="71">
        <f t="shared" si="117"/>
        <v>0</v>
      </c>
      <c r="U92" s="71">
        <f t="shared" si="117"/>
        <v>0</v>
      </c>
      <c r="V92" s="71">
        <f t="shared" si="117"/>
        <v>0</v>
      </c>
      <c r="W92" s="71">
        <f t="shared" si="117"/>
        <v>0</v>
      </c>
      <c r="X92" s="74"/>
      <c r="Y92" s="72">
        <f>SUBTOTAL(9,Y90:Y91)</f>
        <v>0</v>
      </c>
      <c r="Z92" s="72"/>
      <c r="AA92" s="72"/>
      <c r="AB92" s="72"/>
      <c r="AC92" s="72"/>
      <c r="AD92" s="76"/>
      <c r="AE92" s="76"/>
      <c r="AF92" s="72"/>
      <c r="AG92" s="71">
        <f t="shared" ref="AG92:AM92" si="118">SUBTOTAL(9,AG90:AG91)</f>
        <v>2458.5740000000001</v>
      </c>
      <c r="AH92" s="71">
        <f t="shared" si="118"/>
        <v>433.86599999999999</v>
      </c>
      <c r="AI92" s="71">
        <f t="shared" si="118"/>
        <v>723.11000000000013</v>
      </c>
      <c r="AJ92" s="72">
        <f t="shared" si="118"/>
        <v>0</v>
      </c>
      <c r="AK92" s="71">
        <f t="shared" si="118"/>
        <v>43404.642857142855</v>
      </c>
      <c r="AL92" s="71">
        <f t="shared" si="118"/>
        <v>41063.312857142853</v>
      </c>
      <c r="AM92" s="71">
        <f t="shared" si="118"/>
        <v>4927.5975428571419</v>
      </c>
      <c r="AN92" s="71">
        <f t="shared" si="107"/>
        <v>45990.910399999993</v>
      </c>
      <c r="AO92" s="77">
        <f t="shared" ref="AO92:BP92" si="119">SUBTOTAL(9,AO90:AO91)</f>
        <v>0</v>
      </c>
      <c r="AP92" s="77">
        <f t="shared" si="119"/>
        <v>0</v>
      </c>
      <c r="AQ92" s="77">
        <f t="shared" si="119"/>
        <v>0</v>
      </c>
      <c r="AR92" s="77">
        <f t="shared" si="119"/>
        <v>0</v>
      </c>
      <c r="AS92" s="77">
        <f t="shared" si="119"/>
        <v>0</v>
      </c>
      <c r="AT92" s="77">
        <f t="shared" si="119"/>
        <v>0</v>
      </c>
      <c r="AU92" s="77">
        <f t="shared" si="119"/>
        <v>0</v>
      </c>
      <c r="AV92" s="77">
        <f t="shared" si="119"/>
        <v>0</v>
      </c>
      <c r="AW92" s="77">
        <f t="shared" si="119"/>
        <v>0</v>
      </c>
      <c r="AX92" s="77">
        <f t="shared" si="119"/>
        <v>0</v>
      </c>
      <c r="AY92" s="77">
        <f t="shared" si="119"/>
        <v>0</v>
      </c>
      <c r="AZ92" s="71">
        <f t="shared" si="119"/>
        <v>0</v>
      </c>
      <c r="BA92" s="76">
        <f t="shared" si="119"/>
        <v>0</v>
      </c>
      <c r="BB92" s="76">
        <f t="shared" si="119"/>
        <v>0</v>
      </c>
      <c r="BC92" s="71">
        <f t="shared" si="119"/>
        <v>0</v>
      </c>
      <c r="BD92" s="71">
        <f t="shared" si="119"/>
        <v>0</v>
      </c>
      <c r="BE92" s="77">
        <f t="shared" si="119"/>
        <v>0</v>
      </c>
      <c r="BF92" s="77">
        <f t="shared" si="119"/>
        <v>0</v>
      </c>
      <c r="BG92" s="77">
        <f t="shared" si="119"/>
        <v>0</v>
      </c>
      <c r="BH92" s="77">
        <f t="shared" si="119"/>
        <v>0</v>
      </c>
      <c r="BI92" s="77">
        <f t="shared" si="119"/>
        <v>0</v>
      </c>
      <c r="BJ92" s="77">
        <f t="shared" si="119"/>
        <v>0</v>
      </c>
      <c r="BK92" s="77">
        <f t="shared" si="119"/>
        <v>0</v>
      </c>
      <c r="BL92" s="77">
        <f t="shared" si="119"/>
        <v>0</v>
      </c>
      <c r="BM92" s="77">
        <f t="shared" si="119"/>
        <v>0</v>
      </c>
      <c r="BN92" s="77">
        <f t="shared" si="119"/>
        <v>0</v>
      </c>
      <c r="BO92" s="77">
        <f t="shared" si="119"/>
        <v>0</v>
      </c>
      <c r="BP92" s="77">
        <f t="shared" si="119"/>
        <v>0</v>
      </c>
      <c r="BQ92" s="77"/>
      <c r="BR92" s="71">
        <f>SUBTOTAL(9,BR90:BR91)</f>
        <v>0</v>
      </c>
    </row>
    <row r="93" spans="1:97" x14ac:dyDescent="0.25">
      <c r="A93" s="1">
        <f>+A90+1</f>
        <v>43859</v>
      </c>
      <c r="B93" s="33" t="s">
        <v>74</v>
      </c>
      <c r="C93" s="62">
        <v>38036.43</v>
      </c>
      <c r="D93" s="56">
        <v>15516.46</v>
      </c>
      <c r="E93" s="56">
        <v>15520</v>
      </c>
      <c r="F93" s="63">
        <v>43859</v>
      </c>
      <c r="G93" s="62">
        <f>IF(E93-D93&lt;0,E93-D93,0)*-1</f>
        <v>0</v>
      </c>
      <c r="H93" s="62">
        <f>IF(E93-D93&gt;0,E93-D93,0)</f>
        <v>3.5400000000008731</v>
      </c>
      <c r="I93" s="56"/>
      <c r="J93" s="56"/>
      <c r="K93" s="56">
        <v>19859.54</v>
      </c>
      <c r="L93" s="56"/>
      <c r="M93" s="62">
        <f>(+K93)*M$5</f>
        <v>426.98010999999997</v>
      </c>
      <c r="N93" s="62">
        <f>(+K93)*N$5</f>
        <v>99.297700000000006</v>
      </c>
      <c r="O93" s="62">
        <f>+K93-M93-N93+P93</f>
        <v>19333.262190000001</v>
      </c>
      <c r="P93" s="62"/>
      <c r="Q93" s="64"/>
      <c r="R93" s="56"/>
      <c r="S93" s="56"/>
      <c r="T93" s="62"/>
      <c r="U93" s="62"/>
      <c r="V93" s="62"/>
      <c r="W93" s="62"/>
      <c r="X93" s="64"/>
      <c r="Y93" s="56"/>
      <c r="Z93" s="56">
        <f>47.75+1308</f>
        <v>1355.75</v>
      </c>
      <c r="AA93" s="56"/>
      <c r="AB93" s="56"/>
      <c r="AC93" s="56">
        <v>569.67999999999995</v>
      </c>
      <c r="AD93" s="65" t="s">
        <v>77</v>
      </c>
      <c r="AE93" s="65">
        <v>735</v>
      </c>
      <c r="AF93" s="56">
        <v>2778.24</v>
      </c>
      <c r="AG93" s="62">
        <f>(AF93*0.8)*0.85</f>
        <v>1889.2031999999999</v>
      </c>
      <c r="AH93" s="62">
        <f>(AF93*0.8)*0.15</f>
        <v>333.3888</v>
      </c>
      <c r="AI93" s="62">
        <f>AF93*0.2</f>
        <v>555.64800000000002</v>
      </c>
      <c r="AJ93" s="56"/>
      <c r="AK93" s="62">
        <f>(C93-AF93-AJ93)/1.12</f>
        <v>31480.526785714286</v>
      </c>
      <c r="AL93" s="62">
        <f>AK93-SUM(Y93:AC93)</f>
        <v>29555.096785714286</v>
      </c>
      <c r="AM93" s="62">
        <f>+AL93*0.12</f>
        <v>3546.611614285714</v>
      </c>
      <c r="AN93" s="62">
        <f t="shared" si="107"/>
        <v>33101.708400000003</v>
      </c>
      <c r="AO93" s="66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2">
        <f>SUM(AO93:AY93)</f>
        <v>0</v>
      </c>
      <c r="BA93" s="65"/>
      <c r="BB93" s="65"/>
      <c r="BC93" s="62">
        <f>SUM(BE93:BL93)*0.1+(BM93*0.5)</f>
        <v>0</v>
      </c>
      <c r="BD93" s="62">
        <f>SUM(BE93:BL93)+(BM93*0.5)</f>
        <v>0</v>
      </c>
      <c r="BE93" s="66"/>
      <c r="BF93" s="66"/>
      <c r="BG93" s="66"/>
      <c r="BH93" s="66"/>
      <c r="BI93" s="66"/>
      <c r="BJ93" s="66"/>
      <c r="BK93" s="66"/>
      <c r="BL93" s="66"/>
      <c r="BM93" s="66"/>
      <c r="BN93" s="66"/>
      <c r="BO93" s="66"/>
      <c r="BP93" s="66"/>
      <c r="BQ93" s="66"/>
      <c r="BR93" s="68">
        <f>AZ93+BA93+BB93+BD93-BC93</f>
        <v>0</v>
      </c>
      <c r="BT93" s="82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83"/>
      <c r="CR93" s="83"/>
      <c r="CS93" s="83"/>
    </row>
    <row r="94" spans="1:97" x14ac:dyDescent="0.25">
      <c r="A94" s="1"/>
      <c r="B94" s="33" t="s">
        <v>76</v>
      </c>
      <c r="C94" s="62">
        <v>26608.62</v>
      </c>
      <c r="D94" s="56">
        <v>12745.52</v>
      </c>
      <c r="E94" s="56">
        <v>12746</v>
      </c>
      <c r="F94" s="63">
        <v>43860</v>
      </c>
      <c r="G94" s="62">
        <f>IF(E94-D94&lt;0,E94-D94,0)*-1</f>
        <v>0</v>
      </c>
      <c r="H94" s="62">
        <f>IF(E94-D94&gt;0,E94-D94,0)</f>
        <v>0.47999999999956344</v>
      </c>
      <c r="I94" s="56"/>
      <c r="J94" s="56"/>
      <c r="K94" s="56">
        <v>11244.25</v>
      </c>
      <c r="L94" s="56"/>
      <c r="M94" s="62">
        <f>(+K94)*M$5</f>
        <v>241.75137499999997</v>
      </c>
      <c r="N94" s="62">
        <f>(+K94)*N$5</f>
        <v>56.221249999999998</v>
      </c>
      <c r="O94" s="62">
        <f>+K94-M94-N94+P94</f>
        <v>10946.277375</v>
      </c>
      <c r="P94" s="62"/>
      <c r="Q94" s="64"/>
      <c r="R94" s="56"/>
      <c r="S94" s="56"/>
      <c r="T94" s="62"/>
      <c r="U94" s="62"/>
      <c r="V94" s="62"/>
      <c r="W94" s="62"/>
      <c r="X94" s="64"/>
      <c r="Y94" s="56"/>
      <c r="Z94" s="56">
        <f>273.5+1061.25</f>
        <v>1334.75</v>
      </c>
      <c r="AA94" s="56"/>
      <c r="AB94" s="56"/>
      <c r="AC94" s="56">
        <v>299.10000000000002</v>
      </c>
      <c r="AD94" s="65" t="s">
        <v>77</v>
      </c>
      <c r="AE94" s="65">
        <v>985</v>
      </c>
      <c r="AF94" s="56">
        <v>1733.08</v>
      </c>
      <c r="AG94" s="62">
        <f>(AF94*0.8)*0.85</f>
        <v>1178.4943999999998</v>
      </c>
      <c r="AH94" s="62">
        <f>(AF94*0.8)*0.15</f>
        <v>207.96959999999999</v>
      </c>
      <c r="AI94" s="62">
        <f>AF94*0.2</f>
        <v>346.61599999999999</v>
      </c>
      <c r="AJ94" s="56"/>
      <c r="AK94" s="62">
        <f>(C94-AF94-AJ94)/1.12</f>
        <v>22210.303571428569</v>
      </c>
      <c r="AL94" s="62">
        <f>AK94-SUM(Y94:AC94)</f>
        <v>20576.45357142857</v>
      </c>
      <c r="AM94" s="62">
        <f>+AL94*0.12</f>
        <v>2469.1744285714285</v>
      </c>
      <c r="AN94" s="62">
        <f t="shared" si="107"/>
        <v>23045.627999999997</v>
      </c>
      <c r="AO94" s="66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2">
        <f>SUM(AO94:AY94)</f>
        <v>0</v>
      </c>
      <c r="BA94" s="65"/>
      <c r="BB94" s="65"/>
      <c r="BC94" s="62"/>
      <c r="BD94" s="62"/>
      <c r="BE94" s="66"/>
      <c r="BF94" s="66"/>
      <c r="BG94" s="66"/>
      <c r="BH94" s="66"/>
      <c r="BI94" s="66"/>
      <c r="BJ94" s="66"/>
      <c r="BK94" s="66"/>
      <c r="BL94" s="66"/>
      <c r="BM94" s="66"/>
      <c r="BN94" s="66"/>
      <c r="BO94" s="66"/>
      <c r="BP94" s="66"/>
      <c r="BQ94" s="66"/>
      <c r="BR94" s="68">
        <f>AZ94+BA94+BB94+BD94-BC94</f>
        <v>0</v>
      </c>
      <c r="BT94" s="82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83"/>
      <c r="CR94" s="83"/>
      <c r="CS94" s="83"/>
    </row>
    <row r="95" spans="1:97" x14ac:dyDescent="0.25">
      <c r="A95" s="87"/>
      <c r="B95" s="70"/>
      <c r="C95" s="71">
        <f>SUBTOTAL(9,C93:C94)</f>
        <v>64645.05</v>
      </c>
      <c r="D95" s="73">
        <f>SUBTOTAL(9,D93:D94)</f>
        <v>28261.98</v>
      </c>
      <c r="E95" s="72">
        <f>SUBTOTAL(9,E93:E94)</f>
        <v>28266</v>
      </c>
      <c r="F95" s="74"/>
      <c r="G95" s="72">
        <f t="shared" ref="G95:P95" si="120">SUBTOTAL(9,G93:G94)</f>
        <v>0</v>
      </c>
      <c r="H95" s="72">
        <f t="shared" si="120"/>
        <v>4.0200000000004366</v>
      </c>
      <c r="I95" s="72">
        <f t="shared" si="120"/>
        <v>0</v>
      </c>
      <c r="J95" s="72">
        <f t="shared" si="120"/>
        <v>0</v>
      </c>
      <c r="K95" s="73">
        <f t="shared" si="120"/>
        <v>31103.79</v>
      </c>
      <c r="L95" s="72">
        <f t="shared" si="120"/>
        <v>0</v>
      </c>
      <c r="M95" s="71">
        <f t="shared" si="120"/>
        <v>668.73148499999991</v>
      </c>
      <c r="N95" s="71">
        <f t="shared" si="120"/>
        <v>155.51895000000002</v>
      </c>
      <c r="O95" s="71">
        <f t="shared" si="120"/>
        <v>30279.539564999999</v>
      </c>
      <c r="P95" s="71">
        <f t="shared" si="120"/>
        <v>0</v>
      </c>
      <c r="Q95" s="74"/>
      <c r="R95" s="72">
        <f t="shared" ref="R95:W95" si="121">SUBTOTAL(9,R93:R94)</f>
        <v>0</v>
      </c>
      <c r="S95" s="72">
        <f t="shared" si="121"/>
        <v>0</v>
      </c>
      <c r="T95" s="71">
        <f t="shared" si="121"/>
        <v>0</v>
      </c>
      <c r="U95" s="71">
        <f t="shared" si="121"/>
        <v>0</v>
      </c>
      <c r="V95" s="71">
        <f t="shared" si="121"/>
        <v>0</v>
      </c>
      <c r="W95" s="71">
        <f t="shared" si="121"/>
        <v>0</v>
      </c>
      <c r="X95" s="74"/>
      <c r="Y95" s="72">
        <f>SUBTOTAL(9,Y93:Y94)</f>
        <v>0</v>
      </c>
      <c r="Z95" s="72"/>
      <c r="AA95" s="72"/>
      <c r="AB95" s="72"/>
      <c r="AC95" s="72"/>
      <c r="AD95" s="76"/>
      <c r="AE95" s="76"/>
      <c r="AF95" s="72"/>
      <c r="AG95" s="71">
        <f t="shared" ref="AG95:AM95" si="122">SUBTOTAL(9,AG93:AG94)</f>
        <v>3067.6975999999995</v>
      </c>
      <c r="AH95" s="71">
        <f t="shared" si="122"/>
        <v>541.35839999999996</v>
      </c>
      <c r="AI95" s="71">
        <f t="shared" si="122"/>
        <v>902.26400000000001</v>
      </c>
      <c r="AJ95" s="72">
        <f t="shared" si="122"/>
        <v>0</v>
      </c>
      <c r="AK95" s="71">
        <f t="shared" si="122"/>
        <v>53690.830357142855</v>
      </c>
      <c r="AL95" s="71">
        <f t="shared" si="122"/>
        <v>50131.550357142856</v>
      </c>
      <c r="AM95" s="71">
        <f t="shared" si="122"/>
        <v>6015.7860428571421</v>
      </c>
      <c r="AN95" s="71">
        <f t="shared" si="107"/>
        <v>56147.3364</v>
      </c>
      <c r="AO95" s="77">
        <f t="shared" ref="AO95:BP95" si="123">SUBTOTAL(9,AO93:AO94)</f>
        <v>0</v>
      </c>
      <c r="AP95" s="77">
        <f t="shared" si="123"/>
        <v>0</v>
      </c>
      <c r="AQ95" s="77">
        <f t="shared" si="123"/>
        <v>0</v>
      </c>
      <c r="AR95" s="77">
        <f t="shared" si="123"/>
        <v>0</v>
      </c>
      <c r="AS95" s="77">
        <f t="shared" si="123"/>
        <v>0</v>
      </c>
      <c r="AT95" s="77">
        <f t="shared" si="123"/>
        <v>0</v>
      </c>
      <c r="AU95" s="77">
        <f t="shared" si="123"/>
        <v>0</v>
      </c>
      <c r="AV95" s="77">
        <f t="shared" si="123"/>
        <v>0</v>
      </c>
      <c r="AW95" s="77">
        <f t="shared" si="123"/>
        <v>0</v>
      </c>
      <c r="AX95" s="77">
        <f t="shared" si="123"/>
        <v>0</v>
      </c>
      <c r="AY95" s="77">
        <f t="shared" si="123"/>
        <v>0</v>
      </c>
      <c r="AZ95" s="71">
        <f t="shared" si="123"/>
        <v>0</v>
      </c>
      <c r="BA95" s="76">
        <f t="shared" si="123"/>
        <v>0</v>
      </c>
      <c r="BB95" s="76">
        <f t="shared" si="123"/>
        <v>0</v>
      </c>
      <c r="BC95" s="71">
        <f t="shared" si="123"/>
        <v>0</v>
      </c>
      <c r="BD95" s="71">
        <f t="shared" si="123"/>
        <v>0</v>
      </c>
      <c r="BE95" s="77">
        <f t="shared" si="123"/>
        <v>0</v>
      </c>
      <c r="BF95" s="77">
        <f t="shared" si="123"/>
        <v>0</v>
      </c>
      <c r="BG95" s="77">
        <f t="shared" si="123"/>
        <v>0</v>
      </c>
      <c r="BH95" s="77">
        <f t="shared" si="123"/>
        <v>0</v>
      </c>
      <c r="BI95" s="77">
        <f t="shared" si="123"/>
        <v>0</v>
      </c>
      <c r="BJ95" s="77">
        <f t="shared" si="123"/>
        <v>0</v>
      </c>
      <c r="BK95" s="77">
        <f t="shared" si="123"/>
        <v>0</v>
      </c>
      <c r="BL95" s="77">
        <f t="shared" si="123"/>
        <v>0</v>
      </c>
      <c r="BM95" s="77">
        <f t="shared" si="123"/>
        <v>0</v>
      </c>
      <c r="BN95" s="77">
        <f t="shared" si="123"/>
        <v>0</v>
      </c>
      <c r="BO95" s="77">
        <f t="shared" si="123"/>
        <v>0</v>
      </c>
      <c r="BP95" s="77">
        <f t="shared" si="123"/>
        <v>0</v>
      </c>
      <c r="BQ95" s="77"/>
      <c r="BR95" s="71">
        <f>SUBTOTAL(9,BR93:BR94)</f>
        <v>0</v>
      </c>
    </row>
    <row r="96" spans="1:97" x14ac:dyDescent="0.25">
      <c r="A96" s="15">
        <f>+A93+1</f>
        <v>43860</v>
      </c>
      <c r="B96" s="33" t="s">
        <v>74</v>
      </c>
      <c r="C96" s="62">
        <v>40087.519999999997</v>
      </c>
      <c r="D96" s="56">
        <v>19434.55</v>
      </c>
      <c r="E96" s="56">
        <v>19435</v>
      </c>
      <c r="F96" s="63">
        <v>43860</v>
      </c>
      <c r="G96" s="62">
        <f>IF(E96-D96&lt;0,E96-D96,0)*-1</f>
        <v>0</v>
      </c>
      <c r="H96" s="62">
        <f>IF(E96-D96&gt;0,E96-D96,0)</f>
        <v>0.4500000000007276</v>
      </c>
      <c r="I96" s="56"/>
      <c r="J96" s="56"/>
      <c r="K96" s="56">
        <v>18624.73</v>
      </c>
      <c r="L96" s="56"/>
      <c r="M96" s="62">
        <f>(+K96)*M$5</f>
        <v>400.43169499999993</v>
      </c>
      <c r="N96" s="62">
        <f>(+K96)*N$5</f>
        <v>93.123649999999998</v>
      </c>
      <c r="O96" s="62">
        <f>+K96-M96-N96+P96</f>
        <v>18131.174654999999</v>
      </c>
      <c r="P96" s="62"/>
      <c r="Q96" s="64"/>
      <c r="R96" s="56"/>
      <c r="S96" s="56"/>
      <c r="T96" s="62"/>
      <c r="U96" s="62"/>
      <c r="V96" s="62"/>
      <c r="W96" s="62"/>
      <c r="X96" s="64"/>
      <c r="Y96" s="56"/>
      <c r="Z96" s="56">
        <f>356.5+842.25</f>
        <v>1198.75</v>
      </c>
      <c r="AA96" s="56"/>
      <c r="AB96" s="56"/>
      <c r="AC96" s="56">
        <v>829.49</v>
      </c>
      <c r="AD96" s="65"/>
      <c r="AE96" s="65"/>
      <c r="AF96" s="56">
        <v>3025.21</v>
      </c>
      <c r="AG96" s="62">
        <f>(AF96*0.8)*0.85</f>
        <v>2057.1428000000001</v>
      </c>
      <c r="AH96" s="62">
        <f>(AF96*0.8)*0.15</f>
        <v>363.02519999999998</v>
      </c>
      <c r="AI96" s="62">
        <f>AF96*0.2</f>
        <v>605.04200000000003</v>
      </c>
      <c r="AJ96" s="56"/>
      <c r="AK96" s="62">
        <f>(C96-AF96-AJ96)/1.12</f>
        <v>33091.34821428571</v>
      </c>
      <c r="AL96" s="62">
        <f>AK96-SUM(Y96:AC96)</f>
        <v>31063.108214285709</v>
      </c>
      <c r="AM96" s="62">
        <f>+AL96*0.12</f>
        <v>3727.5729857142851</v>
      </c>
      <c r="AN96" s="62">
        <f t="shared" si="107"/>
        <v>34790.681199999992</v>
      </c>
      <c r="AO96" s="66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2">
        <f>SUM(AO96:AY96)</f>
        <v>0</v>
      </c>
      <c r="BA96" s="65"/>
      <c r="BB96" s="65"/>
      <c r="BC96" s="62">
        <f>SUM(BE96:BL96)*0.1+(BM96*0.5)</f>
        <v>0</v>
      </c>
      <c r="BD96" s="62">
        <f>SUM(BE96:BL96)+(BM96*0.5)</f>
        <v>0</v>
      </c>
      <c r="BE96" s="66"/>
      <c r="BF96" s="66"/>
      <c r="BG96" s="66"/>
      <c r="BH96" s="66"/>
      <c r="BI96" s="66"/>
      <c r="BJ96" s="66"/>
      <c r="BK96" s="66"/>
      <c r="BL96" s="66"/>
      <c r="BM96" s="66"/>
      <c r="BN96" s="66"/>
      <c r="BO96" s="66"/>
      <c r="BP96" s="66"/>
      <c r="BQ96" s="66"/>
      <c r="BR96" s="68">
        <f>AZ96+BA96+BB96+BD96-BC96</f>
        <v>0</v>
      </c>
      <c r="BT96" s="82"/>
      <c r="BU96" s="83"/>
      <c r="BV96" s="83"/>
      <c r="BW96" s="83"/>
      <c r="BX96" s="83"/>
      <c r="BY96" s="83"/>
      <c r="BZ96" s="83"/>
      <c r="CA96" s="83"/>
      <c r="CB96" s="83"/>
      <c r="CC96" s="83"/>
      <c r="CD96" s="83"/>
      <c r="CE96" s="83"/>
      <c r="CF96" s="83"/>
      <c r="CG96" s="83"/>
      <c r="CH96" s="83"/>
      <c r="CI96" s="83"/>
      <c r="CJ96" s="83"/>
      <c r="CK96" s="83"/>
      <c r="CL96" s="83"/>
      <c r="CM96" s="83"/>
      <c r="CN96" s="83"/>
      <c r="CO96" s="83"/>
      <c r="CP96" s="83"/>
      <c r="CQ96" s="83"/>
      <c r="CR96" s="83"/>
      <c r="CS96" s="83"/>
    </row>
    <row r="97" spans="1:97" x14ac:dyDescent="0.25">
      <c r="A97" s="15"/>
      <c r="B97" s="33" t="s">
        <v>76</v>
      </c>
      <c r="C97" s="62">
        <v>22072.27</v>
      </c>
      <c r="D97" s="56">
        <v>14354.74</v>
      </c>
      <c r="E97" s="56">
        <v>14355</v>
      </c>
      <c r="F97" s="63">
        <v>43861</v>
      </c>
      <c r="G97" s="62">
        <f>IF(E97-D97&lt;0,E97-D97,0)*-1</f>
        <v>0</v>
      </c>
      <c r="H97" s="62">
        <f>IF(E97-D97&gt;0,E97-D97,0)</f>
        <v>0.26000000000021828</v>
      </c>
      <c r="I97" s="56"/>
      <c r="J97" s="56"/>
      <c r="K97" s="56">
        <v>5490.42</v>
      </c>
      <c r="L97" s="56"/>
      <c r="M97" s="62">
        <f>(+K97)*M$5</f>
        <v>118.04402999999999</v>
      </c>
      <c r="N97" s="62">
        <f>(+K97)*N$5</f>
        <v>27.452100000000002</v>
      </c>
      <c r="O97" s="62">
        <f>+K97-M97-N97+P97</f>
        <v>5344.9238699999996</v>
      </c>
      <c r="P97" s="62"/>
      <c r="Q97" s="64"/>
      <c r="R97" s="56"/>
      <c r="S97" s="56"/>
      <c r="T97" s="62"/>
      <c r="U97" s="62"/>
      <c r="V97" s="62"/>
      <c r="W97" s="62"/>
      <c r="X97" s="64"/>
      <c r="Y97" s="56"/>
      <c r="Z97" s="56">
        <f>97.75+192</f>
        <v>289.75</v>
      </c>
      <c r="AA97" s="56"/>
      <c r="AB97" s="56">
        <v>26.5</v>
      </c>
      <c r="AC97" s="56">
        <v>285.86</v>
      </c>
      <c r="AD97" s="65" t="s">
        <v>77</v>
      </c>
      <c r="AE97" s="65">
        <v>1625</v>
      </c>
      <c r="AF97" s="56">
        <v>1543.78</v>
      </c>
      <c r="AG97" s="62">
        <f>(AF97*0.8)*0.85</f>
        <v>1049.7704000000001</v>
      </c>
      <c r="AH97" s="62">
        <f>(AF97*0.8)*0.15</f>
        <v>185.25360000000001</v>
      </c>
      <c r="AI97" s="62">
        <f>AF97*0.2</f>
        <v>308.75600000000003</v>
      </c>
      <c r="AJ97" s="56"/>
      <c r="AK97" s="62">
        <f>(C97-AF97-AJ97)/1.12</f>
        <v>18329.008928571428</v>
      </c>
      <c r="AL97" s="62">
        <f>AK97-SUM(Y97:AC97)</f>
        <v>17726.898928571427</v>
      </c>
      <c r="AM97" s="62">
        <f>+AL97*0.12</f>
        <v>2127.2278714285712</v>
      </c>
      <c r="AN97" s="62">
        <f t="shared" si="107"/>
        <v>19854.126799999998</v>
      </c>
      <c r="AO97" s="66"/>
      <c r="AP97" s="67"/>
      <c r="AQ97" s="67"/>
      <c r="AR97" s="67">
        <v>315</v>
      </c>
      <c r="AS97" s="67"/>
      <c r="AT97" s="67"/>
      <c r="AU97" s="67"/>
      <c r="AV97" s="67"/>
      <c r="AW97" s="67"/>
      <c r="AX97" s="67"/>
      <c r="AY97" s="67"/>
      <c r="AZ97" s="62">
        <f>SUM(AO97:AY97)</f>
        <v>315</v>
      </c>
      <c r="BA97" s="65">
        <f>385+320+140</f>
        <v>845</v>
      </c>
      <c r="BB97" s="65"/>
      <c r="BC97" s="62"/>
      <c r="BD97" s="62"/>
      <c r="BE97" s="66"/>
      <c r="BF97" s="66"/>
      <c r="BG97" s="66"/>
      <c r="BH97" s="66"/>
      <c r="BI97" s="66"/>
      <c r="BJ97" s="66"/>
      <c r="BK97" s="66"/>
      <c r="BL97" s="66"/>
      <c r="BM97" s="66"/>
      <c r="BN97" s="66"/>
      <c r="BO97" s="66"/>
      <c r="BP97" s="66"/>
      <c r="BQ97" s="66"/>
      <c r="BR97" s="68">
        <f>AZ97+BA97+BB97+BD97-BC97</f>
        <v>1160</v>
      </c>
      <c r="BT97" s="82"/>
      <c r="BU97" s="83"/>
      <c r="BV97" s="83"/>
      <c r="BW97" s="83"/>
      <c r="BX97" s="83"/>
      <c r="BY97" s="83"/>
      <c r="BZ97" s="83"/>
      <c r="CA97" s="83"/>
      <c r="CB97" s="83"/>
      <c r="CC97" s="83"/>
      <c r="CD97" s="83"/>
      <c r="CE97" s="83"/>
      <c r="CF97" s="83"/>
      <c r="CG97" s="83"/>
      <c r="CH97" s="83"/>
      <c r="CI97" s="83"/>
      <c r="CJ97" s="83"/>
      <c r="CK97" s="83"/>
      <c r="CL97" s="83"/>
      <c r="CM97" s="83"/>
      <c r="CN97" s="83"/>
      <c r="CO97" s="83"/>
      <c r="CP97" s="83"/>
      <c r="CQ97" s="83"/>
      <c r="CR97" s="83"/>
      <c r="CS97" s="83"/>
    </row>
    <row r="98" spans="1:97" x14ac:dyDescent="0.25">
      <c r="A98" s="69"/>
      <c r="B98" s="70"/>
      <c r="C98" s="71"/>
      <c r="D98" s="72">
        <f>SUBTOTAL(9,D96:D97)</f>
        <v>33789.29</v>
      </c>
      <c r="E98" s="72">
        <f>SUBTOTAL(9,E96:E97)</f>
        <v>33790</v>
      </c>
      <c r="F98" s="74"/>
      <c r="G98" s="72">
        <f t="shared" ref="G98:P98" si="124">SUBTOTAL(9,G96:G97)</f>
        <v>0</v>
      </c>
      <c r="H98" s="72">
        <f t="shared" si="124"/>
        <v>0.71000000000094587</v>
      </c>
      <c r="I98" s="72">
        <f t="shared" si="124"/>
        <v>0</v>
      </c>
      <c r="J98" s="72">
        <f t="shared" si="124"/>
        <v>0</v>
      </c>
      <c r="K98" s="73">
        <f t="shared" si="124"/>
        <v>24115.15</v>
      </c>
      <c r="L98" s="72">
        <f t="shared" si="124"/>
        <v>0</v>
      </c>
      <c r="M98" s="71">
        <f t="shared" si="124"/>
        <v>518.4757249999999</v>
      </c>
      <c r="N98" s="71">
        <f t="shared" si="124"/>
        <v>120.57575</v>
      </c>
      <c r="O98" s="71">
        <f t="shared" si="124"/>
        <v>23476.098524999998</v>
      </c>
      <c r="P98" s="71">
        <f t="shared" si="124"/>
        <v>0</v>
      </c>
      <c r="Q98" s="74"/>
      <c r="R98" s="72">
        <f t="shared" ref="R98:W98" si="125">SUBTOTAL(9,R96:R97)</f>
        <v>0</v>
      </c>
      <c r="S98" s="72">
        <f t="shared" si="125"/>
        <v>0</v>
      </c>
      <c r="T98" s="71">
        <f t="shared" si="125"/>
        <v>0</v>
      </c>
      <c r="U98" s="71">
        <f t="shared" si="125"/>
        <v>0</v>
      </c>
      <c r="V98" s="71">
        <f t="shared" si="125"/>
        <v>0</v>
      </c>
      <c r="W98" s="71">
        <f t="shared" si="125"/>
        <v>0</v>
      </c>
      <c r="X98" s="74"/>
      <c r="Y98" s="72">
        <f>SUBTOTAL(9,Y96:Y97)</f>
        <v>0</v>
      </c>
      <c r="Z98" s="72"/>
      <c r="AA98" s="72"/>
      <c r="AB98" s="72"/>
      <c r="AC98" s="72"/>
      <c r="AD98" s="76"/>
      <c r="AE98" s="76"/>
      <c r="AF98" s="72"/>
      <c r="AG98" s="71">
        <f t="shared" ref="AG98:AM98" si="126">SUBTOTAL(9,AG96:AG97)</f>
        <v>3106.9132</v>
      </c>
      <c r="AH98" s="71">
        <f t="shared" si="126"/>
        <v>548.27880000000005</v>
      </c>
      <c r="AI98" s="71">
        <f t="shared" si="126"/>
        <v>913.798</v>
      </c>
      <c r="AJ98" s="72">
        <f t="shared" si="126"/>
        <v>0</v>
      </c>
      <c r="AK98" s="71">
        <f t="shared" si="126"/>
        <v>51420.357142857138</v>
      </c>
      <c r="AL98" s="71">
        <f t="shared" si="126"/>
        <v>48790.007142857139</v>
      </c>
      <c r="AM98" s="71">
        <f t="shared" si="126"/>
        <v>5854.8008571428563</v>
      </c>
      <c r="AN98" s="71">
        <f t="shared" si="107"/>
        <v>54644.807999999997</v>
      </c>
      <c r="AO98" s="77">
        <f t="shared" ref="AO98:BP98" si="127">SUBTOTAL(9,AO96:AO97)</f>
        <v>0</v>
      </c>
      <c r="AP98" s="77">
        <f t="shared" si="127"/>
        <v>0</v>
      </c>
      <c r="AQ98" s="77">
        <f t="shared" si="127"/>
        <v>0</v>
      </c>
      <c r="AR98" s="77">
        <f t="shared" si="127"/>
        <v>315</v>
      </c>
      <c r="AS98" s="77">
        <f t="shared" si="127"/>
        <v>0</v>
      </c>
      <c r="AT98" s="77">
        <f t="shared" si="127"/>
        <v>0</v>
      </c>
      <c r="AU98" s="77">
        <f t="shared" si="127"/>
        <v>0</v>
      </c>
      <c r="AV98" s="77">
        <f t="shared" si="127"/>
        <v>0</v>
      </c>
      <c r="AW98" s="77">
        <f t="shared" si="127"/>
        <v>0</v>
      </c>
      <c r="AX98" s="77">
        <f t="shared" si="127"/>
        <v>0</v>
      </c>
      <c r="AY98" s="77">
        <f t="shared" si="127"/>
        <v>0</v>
      </c>
      <c r="AZ98" s="71">
        <f t="shared" si="127"/>
        <v>315</v>
      </c>
      <c r="BA98" s="76">
        <f t="shared" si="127"/>
        <v>845</v>
      </c>
      <c r="BB98" s="76">
        <f t="shared" si="127"/>
        <v>0</v>
      </c>
      <c r="BC98" s="71">
        <f t="shared" si="127"/>
        <v>0</v>
      </c>
      <c r="BD98" s="71">
        <f t="shared" si="127"/>
        <v>0</v>
      </c>
      <c r="BE98" s="77">
        <f t="shared" si="127"/>
        <v>0</v>
      </c>
      <c r="BF98" s="77">
        <f t="shared" si="127"/>
        <v>0</v>
      </c>
      <c r="BG98" s="77">
        <f t="shared" si="127"/>
        <v>0</v>
      </c>
      <c r="BH98" s="77">
        <f t="shared" si="127"/>
        <v>0</v>
      </c>
      <c r="BI98" s="77">
        <f t="shared" si="127"/>
        <v>0</v>
      </c>
      <c r="BJ98" s="77">
        <f t="shared" si="127"/>
        <v>0</v>
      </c>
      <c r="BK98" s="77">
        <f t="shared" si="127"/>
        <v>0</v>
      </c>
      <c r="BL98" s="77">
        <f t="shared" si="127"/>
        <v>0</v>
      </c>
      <c r="BM98" s="77">
        <f t="shared" si="127"/>
        <v>0</v>
      </c>
      <c r="BN98" s="77">
        <f t="shared" si="127"/>
        <v>0</v>
      </c>
      <c r="BO98" s="77">
        <f t="shared" si="127"/>
        <v>0</v>
      </c>
      <c r="BP98" s="77">
        <f t="shared" si="127"/>
        <v>0</v>
      </c>
      <c r="BQ98" s="77"/>
      <c r="BR98" s="94">
        <f>SUBTOTAL(9,BR96:BR97)</f>
        <v>1160</v>
      </c>
    </row>
    <row r="99" spans="1:97" x14ac:dyDescent="0.25">
      <c r="A99" s="1">
        <f>A96+1</f>
        <v>43861</v>
      </c>
      <c r="B99" s="33" t="s">
        <v>74</v>
      </c>
      <c r="C99" s="62">
        <v>40173.72</v>
      </c>
      <c r="D99" s="56">
        <v>21048.1</v>
      </c>
      <c r="E99" s="56">
        <v>21050</v>
      </c>
      <c r="F99" s="63">
        <v>43861</v>
      </c>
      <c r="G99" s="62">
        <f>IF(E99-D99&lt;0,E99-D99,0)*-1</f>
        <v>0</v>
      </c>
      <c r="H99" s="62">
        <f>IF(E99-D99&gt;0,E99-D99,0)</f>
        <v>1.9000000000014552</v>
      </c>
      <c r="I99" s="56"/>
      <c r="J99" s="56"/>
      <c r="K99" s="56">
        <v>16524.46</v>
      </c>
      <c r="L99" s="56"/>
      <c r="M99" s="62">
        <f>(+K99)*M$5</f>
        <v>355.27588999999995</v>
      </c>
      <c r="N99" s="62">
        <f>(+K99)*N$5</f>
        <v>82.622299999999996</v>
      </c>
      <c r="O99" s="62">
        <f>+K99-M99-N99+P99</f>
        <v>16086.561809999999</v>
      </c>
      <c r="P99" s="62">
        <f>L99-(L99*(M$5+N$5))</f>
        <v>0</v>
      </c>
      <c r="Q99" s="64"/>
      <c r="R99" s="56"/>
      <c r="S99" s="56"/>
      <c r="T99" s="62">
        <f>+R99*T$5</f>
        <v>0</v>
      </c>
      <c r="U99" s="62">
        <f>+R99*U$5</f>
        <v>0</v>
      </c>
      <c r="V99" s="62">
        <f>+R99-T99-U99+W99</f>
        <v>0</v>
      </c>
      <c r="W99" s="62">
        <f>+S99-(S99*(T$5+U$5))</f>
        <v>0</v>
      </c>
      <c r="X99" s="64"/>
      <c r="Y99" s="56"/>
      <c r="Z99" s="56">
        <v>1830</v>
      </c>
      <c r="AA99" s="56"/>
      <c r="AB99" s="56"/>
      <c r="AC99" s="56">
        <v>236.16</v>
      </c>
      <c r="AD99" s="65" t="s">
        <v>77</v>
      </c>
      <c r="AE99" s="65">
        <v>535</v>
      </c>
      <c r="AF99" s="56">
        <v>2955.41</v>
      </c>
      <c r="AG99" s="62">
        <f>(AF99*0.8)*0.85</f>
        <v>2009.6787999999999</v>
      </c>
      <c r="AH99" s="62">
        <f>(AF99*0.8)*0.15</f>
        <v>354.64920000000001</v>
      </c>
      <c r="AI99" s="62">
        <f>AF99*0.2</f>
        <v>591.08199999999999</v>
      </c>
      <c r="AJ99" s="56"/>
      <c r="AK99" s="62">
        <f>(C99-AF99-AJ99)/1.12</f>
        <v>33230.63392857142</v>
      </c>
      <c r="AL99" s="62">
        <f>AK99-SUM(Y99:AC99)</f>
        <v>31164.47392857142</v>
      </c>
      <c r="AM99" s="62">
        <f>+AL99*0.12</f>
        <v>3739.7368714285703</v>
      </c>
      <c r="AN99" s="62">
        <f t="shared" si="107"/>
        <v>34904.210799999993</v>
      </c>
      <c r="AO99" s="66"/>
      <c r="AP99" s="67"/>
      <c r="AQ99" s="95">
        <v>0</v>
      </c>
      <c r="AR99" s="67"/>
      <c r="AS99" s="67"/>
      <c r="AT99" s="67"/>
      <c r="AU99" s="67"/>
      <c r="AV99" s="67"/>
      <c r="AW99" s="67"/>
      <c r="AX99" s="67"/>
      <c r="AY99" s="67"/>
      <c r="AZ99" s="62">
        <f>SUM(AO99:AY99)</f>
        <v>0</v>
      </c>
      <c r="BA99" s="65"/>
      <c r="BB99" s="65"/>
      <c r="BC99" s="62">
        <f>SUM(BE99:BL99)*0.1+(BM99*0.5)</f>
        <v>0</v>
      </c>
      <c r="BD99" s="62">
        <f>SUM(BE99:BL99)+(BM99*0.5)</f>
        <v>0</v>
      </c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6"/>
      <c r="BP99" s="66"/>
      <c r="BQ99" s="66"/>
      <c r="BR99" s="68">
        <f>AZ99+BA99+BB99+BD99-BC99</f>
        <v>0</v>
      </c>
      <c r="BT99" s="82"/>
      <c r="BU99" s="83"/>
      <c r="BV99" s="83"/>
      <c r="BW99" s="83"/>
      <c r="BX99" s="83"/>
      <c r="BY99" s="83"/>
      <c r="BZ99" s="83"/>
      <c r="CA99" s="83"/>
      <c r="CB99" s="83"/>
      <c r="CC99" s="83"/>
      <c r="CD99" s="83"/>
      <c r="CE99" s="83"/>
      <c r="CF99" s="83"/>
      <c r="CG99" s="83"/>
      <c r="CH99" s="83"/>
      <c r="CI99" s="83"/>
      <c r="CJ99" s="83"/>
      <c r="CK99" s="83"/>
      <c r="CL99" s="83"/>
      <c r="CM99" s="83"/>
      <c r="CN99" s="83"/>
      <c r="CO99" s="83"/>
      <c r="CP99" s="83"/>
      <c r="CQ99" s="83"/>
      <c r="CR99" s="83"/>
      <c r="CS99" s="83"/>
    </row>
    <row r="100" spans="1:97" x14ac:dyDescent="0.25">
      <c r="A100" s="1"/>
      <c r="B100" s="33" t="s">
        <v>76</v>
      </c>
      <c r="C100" s="62">
        <v>38603.89</v>
      </c>
      <c r="D100" s="56">
        <v>16976.810000000001</v>
      </c>
      <c r="E100" s="56">
        <v>16978</v>
      </c>
      <c r="F100" s="63">
        <v>43864</v>
      </c>
      <c r="G100" s="62">
        <f>IF(E100-D100&lt;0,E100-D100,0)*-1</f>
        <v>0</v>
      </c>
      <c r="H100" s="62">
        <f>IF(E100-D100&gt;0,E100-D100,0)</f>
        <v>1.1899999999986903</v>
      </c>
      <c r="I100" s="56">
        <v>600</v>
      </c>
      <c r="J100" s="56"/>
      <c r="K100" s="56">
        <v>16932.05</v>
      </c>
      <c r="L100" s="56"/>
      <c r="M100" s="62">
        <f>(+K100)*M$5</f>
        <v>364.03907499999997</v>
      </c>
      <c r="N100" s="62">
        <f>(+K100)*N$5</f>
        <v>84.660250000000005</v>
      </c>
      <c r="O100" s="62">
        <f>+K100-M100-N100+P100</f>
        <v>16483.350674999998</v>
      </c>
      <c r="P100" s="62">
        <f>L100-(L100*(M$5+N$5))</f>
        <v>0</v>
      </c>
      <c r="Q100" s="64"/>
      <c r="R100" s="56"/>
      <c r="S100" s="56"/>
      <c r="T100" s="62">
        <f>+R100*T$5</f>
        <v>0</v>
      </c>
      <c r="U100" s="62">
        <f>+R100*U$5</f>
        <v>0</v>
      </c>
      <c r="V100" s="62">
        <f>+R100-T100-U100+W100</f>
        <v>0</v>
      </c>
      <c r="W100" s="62">
        <f>+S100-(S100*(T$5+U$5))</f>
        <v>0</v>
      </c>
      <c r="X100" s="64"/>
      <c r="Y100" s="56"/>
      <c r="Z100" s="56">
        <f>104+915</f>
        <v>1019</v>
      </c>
      <c r="AA100" s="56"/>
      <c r="AB100" s="56"/>
      <c r="AC100" s="56">
        <v>456.03</v>
      </c>
      <c r="AD100" s="65" t="s">
        <v>77</v>
      </c>
      <c r="AE100" s="65">
        <v>2635</v>
      </c>
      <c r="AF100" s="56">
        <v>2637.51</v>
      </c>
      <c r="AG100" s="62">
        <f>(AF100*0.8)*0.85</f>
        <v>1793.5068000000001</v>
      </c>
      <c r="AH100" s="62">
        <f>(AF100*0.8)*0.15</f>
        <v>316.50120000000004</v>
      </c>
      <c r="AI100" s="62">
        <f>AF100*0.2</f>
        <v>527.50200000000007</v>
      </c>
      <c r="AJ100" s="56"/>
      <c r="AK100" s="62">
        <f>(C100-AF100-AJ100)/1.12</f>
        <v>32112.839285714279</v>
      </c>
      <c r="AL100" s="62">
        <f>AK100-SUM(Y100:AC100)</f>
        <v>30637.80928571428</v>
      </c>
      <c r="AM100" s="62">
        <f>+AL100*0.12</f>
        <v>3676.5371142857134</v>
      </c>
      <c r="AN100" s="62">
        <f t="shared" si="107"/>
        <v>34314.346399999995</v>
      </c>
      <c r="AO100" s="66"/>
      <c r="AP100" s="67"/>
      <c r="AQ100" s="96"/>
      <c r="AR100" s="67"/>
      <c r="AS100" s="67"/>
      <c r="AT100" s="67"/>
      <c r="AU100" s="67"/>
      <c r="AV100" s="67"/>
      <c r="AW100" s="67"/>
      <c r="AX100" s="67"/>
      <c r="AY100" s="67"/>
      <c r="AZ100" s="62">
        <f>SUM(AO100:AY100)</f>
        <v>0</v>
      </c>
      <c r="BA100" s="65"/>
      <c r="BB100" s="65"/>
      <c r="BC100" s="62"/>
      <c r="BD100" s="62"/>
      <c r="BE100" s="66"/>
      <c r="BF100" s="66"/>
      <c r="BG100" s="66"/>
      <c r="BH100" s="66"/>
      <c r="BI100" s="66"/>
      <c r="BJ100" s="66"/>
      <c r="BK100" s="66"/>
      <c r="BL100" s="66"/>
      <c r="BM100" s="66"/>
      <c r="BN100" s="66"/>
      <c r="BO100" s="66"/>
      <c r="BP100" s="66"/>
      <c r="BQ100" s="66"/>
      <c r="BR100" s="68">
        <f>AZ100+BA100+BB100+BD100-BC100</f>
        <v>0</v>
      </c>
      <c r="BT100" s="82"/>
      <c r="BU100" s="83"/>
      <c r="BV100" s="83"/>
      <c r="BW100" s="83"/>
      <c r="BX100" s="83"/>
      <c r="BY100" s="83"/>
      <c r="BZ100" s="83"/>
      <c r="CA100" s="83"/>
      <c r="CB100" s="83"/>
      <c r="CC100" s="83"/>
      <c r="CD100" s="83"/>
      <c r="CE100" s="83"/>
      <c r="CF100" s="83"/>
      <c r="CG100" s="83"/>
      <c r="CH100" s="83"/>
      <c r="CI100" s="83"/>
      <c r="CJ100" s="83"/>
      <c r="CK100" s="83"/>
      <c r="CL100" s="83"/>
      <c r="CM100" s="83"/>
      <c r="CN100" s="83"/>
      <c r="CO100" s="83"/>
      <c r="CP100" s="83"/>
      <c r="CQ100" s="83"/>
      <c r="CR100" s="83"/>
      <c r="CS100" s="83"/>
    </row>
    <row r="101" spans="1:97" x14ac:dyDescent="0.25">
      <c r="A101" s="87"/>
      <c r="B101" s="70"/>
      <c r="C101" s="71">
        <f>SUBTOTAL(9,C99:C100)</f>
        <v>78777.61</v>
      </c>
      <c r="D101" s="72">
        <f>SUBTOTAL(9,D99:D100)</f>
        <v>38024.910000000003</v>
      </c>
      <c r="E101" s="72">
        <f>SUBTOTAL(9,E99:E100)</f>
        <v>38028</v>
      </c>
      <c r="F101" s="74"/>
      <c r="G101" s="72">
        <f t="shared" ref="G101:P101" si="128">SUBTOTAL(9,G99:G100)</f>
        <v>0</v>
      </c>
      <c r="H101" s="72">
        <f t="shared" si="128"/>
        <v>3.0900000000001455</v>
      </c>
      <c r="I101" s="72">
        <f t="shared" si="128"/>
        <v>600</v>
      </c>
      <c r="J101" s="72">
        <f t="shared" si="128"/>
        <v>0</v>
      </c>
      <c r="K101" s="73">
        <f t="shared" si="128"/>
        <v>33456.509999999995</v>
      </c>
      <c r="L101" s="72">
        <f t="shared" si="128"/>
        <v>0</v>
      </c>
      <c r="M101" s="71">
        <f t="shared" si="128"/>
        <v>719.31496499999992</v>
      </c>
      <c r="N101" s="71">
        <f t="shared" si="128"/>
        <v>167.28255000000001</v>
      </c>
      <c r="O101" s="71">
        <f t="shared" si="128"/>
        <v>32569.912484999997</v>
      </c>
      <c r="P101" s="71">
        <f t="shared" si="128"/>
        <v>0</v>
      </c>
      <c r="Q101" s="74"/>
      <c r="R101" s="72">
        <f t="shared" ref="R101:W101" si="129">SUBTOTAL(9,R99:R100)</f>
        <v>0</v>
      </c>
      <c r="S101" s="72">
        <f t="shared" si="129"/>
        <v>0</v>
      </c>
      <c r="T101" s="71">
        <f t="shared" si="129"/>
        <v>0</v>
      </c>
      <c r="U101" s="71">
        <f t="shared" si="129"/>
        <v>0</v>
      </c>
      <c r="V101" s="71">
        <f t="shared" si="129"/>
        <v>0</v>
      </c>
      <c r="W101" s="71">
        <f t="shared" si="129"/>
        <v>0</v>
      </c>
      <c r="X101" s="74"/>
      <c r="Y101" s="72">
        <f>SUBTOTAL(9,Y99:Y100)</f>
        <v>0</v>
      </c>
      <c r="Z101" s="72">
        <v>0</v>
      </c>
      <c r="AA101" s="72"/>
      <c r="AB101" s="72"/>
      <c r="AC101" s="72"/>
      <c r="AD101" s="76"/>
      <c r="AE101" s="76"/>
      <c r="AF101" s="72"/>
      <c r="AG101" s="71">
        <f t="shared" ref="AG101:AM101" si="130">SUBTOTAL(9,AG99:AG100)</f>
        <v>3803.1855999999998</v>
      </c>
      <c r="AH101" s="71">
        <f t="shared" si="130"/>
        <v>671.15039999999999</v>
      </c>
      <c r="AI101" s="71">
        <f t="shared" si="130"/>
        <v>1118.5840000000001</v>
      </c>
      <c r="AJ101" s="72">
        <f t="shared" si="130"/>
        <v>0</v>
      </c>
      <c r="AK101" s="71">
        <f t="shared" si="130"/>
        <v>65343.473214285696</v>
      </c>
      <c r="AL101" s="71">
        <f t="shared" si="130"/>
        <v>61802.283214285701</v>
      </c>
      <c r="AM101" s="71">
        <f t="shared" si="130"/>
        <v>7416.2739857142842</v>
      </c>
      <c r="AN101" s="71">
        <f t="shared" si="107"/>
        <v>69218.557199999981</v>
      </c>
      <c r="AO101" s="77">
        <f t="shared" ref="AO101:AZ101" si="131">SUBTOTAL(9,AO99:AO100)</f>
        <v>0</v>
      </c>
      <c r="AP101" s="77">
        <f t="shared" si="131"/>
        <v>0</v>
      </c>
      <c r="AQ101" s="97">
        <f t="shared" si="131"/>
        <v>0</v>
      </c>
      <c r="AR101" s="77">
        <f t="shared" si="131"/>
        <v>0</v>
      </c>
      <c r="AS101" s="77">
        <f t="shared" si="131"/>
        <v>0</v>
      </c>
      <c r="AT101" s="77">
        <f t="shared" si="131"/>
        <v>0</v>
      </c>
      <c r="AU101" s="77">
        <f t="shared" si="131"/>
        <v>0</v>
      </c>
      <c r="AV101" s="77">
        <f t="shared" si="131"/>
        <v>0</v>
      </c>
      <c r="AW101" s="77">
        <f t="shared" si="131"/>
        <v>0</v>
      </c>
      <c r="AX101" s="77">
        <f t="shared" si="131"/>
        <v>0</v>
      </c>
      <c r="AY101" s="77">
        <f t="shared" si="131"/>
        <v>0</v>
      </c>
      <c r="AZ101" s="71">
        <f t="shared" si="131"/>
        <v>0</v>
      </c>
      <c r="BA101" s="76"/>
      <c r="BB101" s="76">
        <f t="shared" ref="BB101:BP101" si="132">SUBTOTAL(9,BB99:BB100)</f>
        <v>0</v>
      </c>
      <c r="BC101" s="71">
        <f t="shared" si="132"/>
        <v>0</v>
      </c>
      <c r="BD101" s="71">
        <f t="shared" si="132"/>
        <v>0</v>
      </c>
      <c r="BE101" s="77">
        <f t="shared" si="132"/>
        <v>0</v>
      </c>
      <c r="BF101" s="77">
        <f t="shared" si="132"/>
        <v>0</v>
      </c>
      <c r="BG101" s="77">
        <f t="shared" si="132"/>
        <v>0</v>
      </c>
      <c r="BH101" s="77">
        <f t="shared" si="132"/>
        <v>0</v>
      </c>
      <c r="BI101" s="77">
        <f t="shared" si="132"/>
        <v>0</v>
      </c>
      <c r="BJ101" s="77">
        <f t="shared" si="132"/>
        <v>0</v>
      </c>
      <c r="BK101" s="77">
        <f t="shared" si="132"/>
        <v>0</v>
      </c>
      <c r="BL101" s="77">
        <f t="shared" si="132"/>
        <v>0</v>
      </c>
      <c r="BM101" s="77">
        <f t="shared" si="132"/>
        <v>0</v>
      </c>
      <c r="BN101" s="77">
        <f t="shared" si="132"/>
        <v>0</v>
      </c>
      <c r="BO101" s="77">
        <f t="shared" si="132"/>
        <v>0</v>
      </c>
      <c r="BP101" s="77">
        <f t="shared" si="132"/>
        <v>0</v>
      </c>
      <c r="BQ101" s="77"/>
      <c r="BR101" s="71">
        <f>SUBTOTAL(9,BR99:BR100)</f>
        <v>0</v>
      </c>
    </row>
    <row r="102" spans="1:97" x14ac:dyDescent="0.25">
      <c r="A102" s="98"/>
      <c r="B102" s="17"/>
      <c r="C102" s="62"/>
      <c r="D102" s="56"/>
      <c r="E102" s="56"/>
      <c r="F102" s="64"/>
      <c r="G102" s="62"/>
      <c r="H102" s="62"/>
      <c r="I102" s="56"/>
      <c r="J102" s="56"/>
      <c r="K102" s="56"/>
      <c r="L102" s="56"/>
      <c r="M102" s="62"/>
      <c r="N102" s="62"/>
      <c r="O102" s="62"/>
      <c r="P102" s="62"/>
      <c r="Q102" s="64"/>
      <c r="R102" s="56"/>
      <c r="S102" s="56"/>
      <c r="T102" s="62"/>
      <c r="U102" s="62"/>
      <c r="V102" s="62"/>
      <c r="W102" s="62"/>
      <c r="X102" s="64"/>
      <c r="Y102" s="56"/>
      <c r="Z102" s="56"/>
      <c r="AA102" s="56"/>
      <c r="AB102" s="56"/>
      <c r="AC102" s="56"/>
      <c r="AD102" s="65"/>
      <c r="AE102" s="65"/>
      <c r="AF102" s="56"/>
      <c r="AG102" s="62"/>
      <c r="AH102" s="62"/>
      <c r="AI102" s="62"/>
      <c r="AJ102" s="56"/>
      <c r="AK102" s="62"/>
      <c r="AL102" s="62"/>
      <c r="AM102" s="62"/>
      <c r="AN102" s="62"/>
      <c r="AO102" s="99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2"/>
      <c r="BA102" s="65"/>
      <c r="BB102" s="65"/>
      <c r="BC102" s="62"/>
      <c r="BD102" s="62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2"/>
    </row>
    <row r="103" spans="1:97" x14ac:dyDescent="0.25">
      <c r="A103" s="100" t="s">
        <v>82</v>
      </c>
      <c r="B103" s="100"/>
      <c r="C103" s="101">
        <f>SUBTOTAL(9,C8:C102)</f>
        <v>1135816.0199999998</v>
      </c>
      <c r="D103" s="101">
        <f>SUBTOTAL(9,D8:D102)</f>
        <v>678483</v>
      </c>
      <c r="E103" s="101">
        <f>SUBTOTAL(9,E8:E102)</f>
        <v>678552</v>
      </c>
      <c r="F103" s="101"/>
      <c r="G103" s="101">
        <f t="shared" ref="G103:O103" si="133">SUBTOTAL(9,G8:G102)</f>
        <v>0.62999999999738066</v>
      </c>
      <c r="H103" s="101">
        <f t="shared" si="133"/>
        <v>69.860000000005812</v>
      </c>
      <c r="I103" s="101">
        <f t="shared" si="133"/>
        <v>5100</v>
      </c>
      <c r="J103" s="101">
        <f t="shared" si="133"/>
        <v>0</v>
      </c>
      <c r="K103" s="101">
        <f t="shared" si="133"/>
        <v>403463.88</v>
      </c>
      <c r="L103" s="101">
        <f t="shared" si="133"/>
        <v>0</v>
      </c>
      <c r="M103" s="101">
        <f t="shared" si="133"/>
        <v>9137.462590000001</v>
      </c>
      <c r="N103" s="101">
        <f t="shared" si="133"/>
        <v>2124.9913000000006</v>
      </c>
      <c r="O103" s="101">
        <f t="shared" si="133"/>
        <v>413735.80610999989</v>
      </c>
      <c r="P103" s="101"/>
      <c r="Q103" s="101"/>
      <c r="R103" s="101">
        <f t="shared" ref="R103:W103" si="134">SUBTOTAL(9,R8:R102)</f>
        <v>0</v>
      </c>
      <c r="S103" s="101">
        <f t="shared" si="134"/>
        <v>0</v>
      </c>
      <c r="T103" s="101">
        <f t="shared" si="134"/>
        <v>0</v>
      </c>
      <c r="U103" s="101">
        <f t="shared" si="134"/>
        <v>0</v>
      </c>
      <c r="V103" s="101">
        <f t="shared" si="134"/>
        <v>0</v>
      </c>
      <c r="W103" s="101">
        <f t="shared" si="134"/>
        <v>0</v>
      </c>
      <c r="X103" s="101"/>
      <c r="Y103" s="101">
        <f>SUBTOTAL(9,Y8:Y102)</f>
        <v>0</v>
      </c>
      <c r="Z103" s="101">
        <f>SUBTOTAL(9,Z8:Z102)</f>
        <v>11473.35</v>
      </c>
      <c r="AA103" s="101">
        <f>SUBTOTAL(9,AA8:AA102)</f>
        <v>82</v>
      </c>
      <c r="AB103" s="101">
        <f>SUBTOTAL(9,AB8:AB102)</f>
        <v>153.5</v>
      </c>
      <c r="AC103" s="101">
        <f>SUBTOTAL(9,AC8:AC102)</f>
        <v>13627.509999999998</v>
      </c>
      <c r="AD103" s="101"/>
      <c r="AE103" s="101">
        <f t="shared" ref="AE103:AM103" si="135">SUBTOTAL(9,AE8:AE102)</f>
        <v>22623.03</v>
      </c>
      <c r="AF103" s="101">
        <f t="shared" si="135"/>
        <v>84237.510000000009</v>
      </c>
      <c r="AG103" s="101">
        <f t="shared" si="135"/>
        <v>57281.50680000001</v>
      </c>
      <c r="AH103" s="101">
        <f t="shared" si="135"/>
        <v>10108.501200000002</v>
      </c>
      <c r="AI103" s="101">
        <f t="shared" si="135"/>
        <v>16847.502000000004</v>
      </c>
      <c r="AJ103" s="101">
        <f t="shared" si="135"/>
        <v>0</v>
      </c>
      <c r="AK103" s="101">
        <f t="shared" si="135"/>
        <v>938909.38392857136</v>
      </c>
      <c r="AL103" s="101">
        <f t="shared" si="135"/>
        <v>913573.02392857149</v>
      </c>
      <c r="AM103" s="101">
        <f t="shared" si="135"/>
        <v>109628.76287142858</v>
      </c>
      <c r="AN103" s="101">
        <f>+AN11+AN14+AN17+AN20+AN23+AN26+AN29+AN32+AN35+AN38+AN41+AN44+AN47+AN50+AN53+AN56+AN59+AN62+AN65+AN68+AN71+AN74+AN77+AN80+AN83+AN86+AN89+AN92+AN95+AN98+AN100</f>
        <v>988297.57599999988</v>
      </c>
      <c r="AO103" s="102">
        <f t="shared" ref="AO103:BP103" si="136">SUBTOTAL(9,AO8:AO102)</f>
        <v>3745</v>
      </c>
      <c r="AP103" s="102">
        <f t="shared" si="136"/>
        <v>2075</v>
      </c>
      <c r="AQ103" s="102">
        <f t="shared" si="136"/>
        <v>2100</v>
      </c>
      <c r="AR103" s="102">
        <f t="shared" si="136"/>
        <v>2375</v>
      </c>
      <c r="AS103" s="102">
        <f t="shared" si="136"/>
        <v>0</v>
      </c>
      <c r="AT103" s="102">
        <f t="shared" si="136"/>
        <v>0</v>
      </c>
      <c r="AU103" s="102">
        <f t="shared" si="136"/>
        <v>0</v>
      </c>
      <c r="AV103" s="102">
        <f t="shared" si="136"/>
        <v>0</v>
      </c>
      <c r="AW103" s="102">
        <f t="shared" si="136"/>
        <v>0</v>
      </c>
      <c r="AX103" s="102">
        <f t="shared" si="136"/>
        <v>0</v>
      </c>
      <c r="AY103" s="101">
        <f t="shared" si="136"/>
        <v>0</v>
      </c>
      <c r="AZ103" s="101">
        <f t="shared" si="136"/>
        <v>8785</v>
      </c>
      <c r="BA103" s="102">
        <f t="shared" si="136"/>
        <v>6095</v>
      </c>
      <c r="BB103" s="101">
        <f t="shared" si="136"/>
        <v>0</v>
      </c>
      <c r="BC103" s="101">
        <f t="shared" si="136"/>
        <v>0</v>
      </c>
      <c r="BD103" s="101">
        <f t="shared" si="136"/>
        <v>0</v>
      </c>
      <c r="BE103" s="101">
        <f t="shared" si="136"/>
        <v>0</v>
      </c>
      <c r="BF103" s="101">
        <f t="shared" si="136"/>
        <v>105</v>
      </c>
      <c r="BG103" s="101">
        <f t="shared" si="136"/>
        <v>0</v>
      </c>
      <c r="BH103" s="101">
        <f t="shared" si="136"/>
        <v>0</v>
      </c>
      <c r="BI103" s="101">
        <f t="shared" si="136"/>
        <v>0</v>
      </c>
      <c r="BJ103" s="101">
        <f t="shared" si="136"/>
        <v>0</v>
      </c>
      <c r="BK103" s="101">
        <f t="shared" si="136"/>
        <v>0</v>
      </c>
      <c r="BL103" s="101">
        <f t="shared" si="136"/>
        <v>130</v>
      </c>
      <c r="BM103" s="101">
        <f t="shared" si="136"/>
        <v>0</v>
      </c>
      <c r="BN103" s="101">
        <f t="shared" si="136"/>
        <v>0</v>
      </c>
      <c r="BO103" s="101">
        <f t="shared" si="136"/>
        <v>0</v>
      </c>
      <c r="BP103" s="101">
        <f t="shared" si="136"/>
        <v>0</v>
      </c>
      <c r="BQ103" s="101"/>
      <c r="BR103" s="101">
        <f>SUBTOTAL(9,BR8:BR102)</f>
        <v>14880</v>
      </c>
    </row>
    <row r="104" spans="1:97" x14ac:dyDescent="0.25">
      <c r="A104" s="17" t="s">
        <v>83</v>
      </c>
      <c r="B104" s="17"/>
      <c r="C104" s="30">
        <f>AZ103</f>
        <v>8785</v>
      </c>
      <c r="D104" s="103"/>
      <c r="G104" s="103"/>
      <c r="AK104" s="104" t="s">
        <v>84</v>
      </c>
      <c r="AL104"/>
      <c r="AM104" s="105"/>
      <c r="AN104" s="106"/>
      <c r="AO104" s="107">
        <v>3800</v>
      </c>
      <c r="AP104" s="107">
        <v>2100</v>
      </c>
      <c r="AQ104" s="107">
        <v>2100</v>
      </c>
      <c r="AR104" s="107">
        <v>2100</v>
      </c>
      <c r="AS104" s="107">
        <v>1000</v>
      </c>
      <c r="AT104" s="107">
        <v>1500</v>
      </c>
      <c r="AW104" s="107">
        <v>1500</v>
      </c>
      <c r="AX104" s="107">
        <v>1500</v>
      </c>
      <c r="BD104" s="108" t="s">
        <v>85</v>
      </c>
      <c r="BE104" s="109">
        <f t="shared" ref="BE104:BJ104" si="137">+BE11+BE14+BE17+BE20+BE23+BE26+BE29+BE32+BE35+BE38+BE41+BE44+BE47+BE50+BE53</f>
        <v>0</v>
      </c>
      <c r="BF104" s="109">
        <f t="shared" si="137"/>
        <v>105</v>
      </c>
      <c r="BG104" s="109">
        <f t="shared" si="137"/>
        <v>0</v>
      </c>
      <c r="BH104" s="109">
        <f t="shared" si="137"/>
        <v>0</v>
      </c>
      <c r="BI104" s="109">
        <f t="shared" si="137"/>
        <v>0</v>
      </c>
      <c r="BJ104" s="109">
        <f t="shared" si="137"/>
        <v>0</v>
      </c>
      <c r="BK104" s="108"/>
      <c r="BL104" s="108"/>
      <c r="BM104" s="108"/>
      <c r="BN104" s="108"/>
      <c r="BO104" s="108"/>
      <c r="BP104" s="108"/>
      <c r="BQ104" s="108"/>
      <c r="BR104" s="103">
        <f>SUM(BE104:BP104)</f>
        <v>105</v>
      </c>
    </row>
    <row r="105" spans="1:97" x14ac:dyDescent="0.25">
      <c r="A105" s="17" t="s">
        <v>86</v>
      </c>
      <c r="B105" s="17"/>
      <c r="C105" s="30">
        <f>+BD103</f>
        <v>0</v>
      </c>
      <c r="D105" s="103"/>
      <c r="E105" s="103"/>
      <c r="AK105" s="104" t="s">
        <v>87</v>
      </c>
      <c r="AL105" s="104">
        <f>+AL103</f>
        <v>913573.02392857149</v>
      </c>
      <c r="AM105" s="103"/>
      <c r="AN105" s="106"/>
      <c r="AO105" s="107">
        <f t="shared" ref="AO105:AX105" si="138">+AO104-AO103</f>
        <v>55</v>
      </c>
      <c r="AP105" s="107">
        <f t="shared" si="138"/>
        <v>25</v>
      </c>
      <c r="AQ105" s="107">
        <f t="shared" si="138"/>
        <v>0</v>
      </c>
      <c r="AR105" s="107">
        <f t="shared" si="138"/>
        <v>-275</v>
      </c>
      <c r="AS105" s="107">
        <f t="shared" si="138"/>
        <v>1000</v>
      </c>
      <c r="AT105" s="107">
        <f t="shared" si="138"/>
        <v>1500</v>
      </c>
      <c r="AU105" s="107">
        <f t="shared" si="138"/>
        <v>0</v>
      </c>
      <c r="AV105" s="107">
        <f t="shared" si="138"/>
        <v>0</v>
      </c>
      <c r="AW105" s="107">
        <f t="shared" si="138"/>
        <v>1500</v>
      </c>
      <c r="AX105" s="107">
        <f t="shared" si="138"/>
        <v>1500</v>
      </c>
      <c r="BD105" s="108" t="s">
        <v>88</v>
      </c>
      <c r="BE105" s="109">
        <f t="shared" ref="BE105:BP105" si="139">BE104*0.9</f>
        <v>0</v>
      </c>
      <c r="BF105" s="109">
        <f t="shared" si="139"/>
        <v>94.5</v>
      </c>
      <c r="BG105" s="109">
        <f t="shared" si="139"/>
        <v>0</v>
      </c>
      <c r="BH105" s="109">
        <f t="shared" si="139"/>
        <v>0</v>
      </c>
      <c r="BI105" s="109">
        <f t="shared" si="139"/>
        <v>0</v>
      </c>
      <c r="BJ105" s="109">
        <f t="shared" si="139"/>
        <v>0</v>
      </c>
      <c r="BK105" s="109">
        <f t="shared" si="139"/>
        <v>0</v>
      </c>
      <c r="BL105" s="109">
        <f t="shared" si="139"/>
        <v>0</v>
      </c>
      <c r="BM105" s="109">
        <f t="shared" si="139"/>
        <v>0</v>
      </c>
      <c r="BN105" s="109">
        <f t="shared" si="139"/>
        <v>0</v>
      </c>
      <c r="BO105" s="109">
        <f t="shared" si="139"/>
        <v>0</v>
      </c>
      <c r="BP105" s="109">
        <f t="shared" si="139"/>
        <v>0</v>
      </c>
      <c r="BQ105" s="109"/>
      <c r="BR105" s="103">
        <f>SUM(BE105:BP105)</f>
        <v>94.5</v>
      </c>
    </row>
    <row r="106" spans="1:97" x14ac:dyDescent="0.25">
      <c r="A106" s="17" t="s">
        <v>89</v>
      </c>
      <c r="B106" s="17"/>
      <c r="C106" s="30">
        <f>+BC103</f>
        <v>0</v>
      </c>
      <c r="D106" s="103"/>
      <c r="AD106" s="110" t="s">
        <v>90</v>
      </c>
      <c r="AE106" s="111">
        <f>AE103-AE72</f>
        <v>19800</v>
      </c>
      <c r="AK106" s="104" t="s">
        <v>91</v>
      </c>
      <c r="AL106" s="104">
        <f>+AJ103</f>
        <v>0</v>
      </c>
      <c r="AM106" s="105"/>
      <c r="AN106" s="106"/>
      <c r="AO106" s="107">
        <f t="shared" ref="AO106:AX106" si="140">+AO105*0.9</f>
        <v>49.5</v>
      </c>
      <c r="AP106" s="107">
        <f t="shared" si="140"/>
        <v>22.5</v>
      </c>
      <c r="AQ106" s="107">
        <f t="shared" si="140"/>
        <v>0</v>
      </c>
      <c r="AR106" s="107">
        <f t="shared" si="140"/>
        <v>-247.5</v>
      </c>
      <c r="AS106" s="107">
        <f t="shared" si="140"/>
        <v>900</v>
      </c>
      <c r="AT106" s="107">
        <f t="shared" si="140"/>
        <v>1350</v>
      </c>
      <c r="AU106" s="107">
        <f t="shared" si="140"/>
        <v>0</v>
      </c>
      <c r="AV106" s="107">
        <f t="shared" si="140"/>
        <v>0</v>
      </c>
      <c r="AW106" s="107">
        <f t="shared" si="140"/>
        <v>1350</v>
      </c>
      <c r="AX106" s="107">
        <f t="shared" si="140"/>
        <v>1350</v>
      </c>
      <c r="BD106" s="17"/>
      <c r="BE106" s="30"/>
      <c r="BF106" s="30"/>
      <c r="BG106" s="30"/>
      <c r="BH106" s="30"/>
      <c r="BI106" s="30"/>
      <c r="BJ106" s="17"/>
      <c r="BK106" s="17"/>
      <c r="BL106" s="17"/>
      <c r="BM106" s="17"/>
      <c r="BN106" s="17"/>
      <c r="BO106" s="17"/>
      <c r="BP106" s="17"/>
      <c r="BQ106" s="17"/>
    </row>
    <row r="107" spans="1:97" x14ac:dyDescent="0.25">
      <c r="A107" s="17" t="s">
        <v>4</v>
      </c>
      <c r="B107" s="17"/>
      <c r="C107" s="112">
        <f>+BA103</f>
        <v>6095</v>
      </c>
      <c r="D107" s="103"/>
      <c r="E107" s="103"/>
      <c r="AK107" s="104" t="s">
        <v>92</v>
      </c>
      <c r="AL107" s="104">
        <f>+AL105+AL106</f>
        <v>913573.02392857149</v>
      </c>
      <c r="AM107" s="105"/>
      <c r="AN107" s="106"/>
      <c r="BD107" s="113" t="s">
        <v>93</v>
      </c>
      <c r="BE107" s="114">
        <f t="shared" ref="BE107:BP107" si="141">BE56+BE59+BE62+BE65+BE68+BE71+BE74+BE77+BE80+BE83+BE86+BE89+BE92+BE95+BE98+BE100</f>
        <v>0</v>
      </c>
      <c r="BF107" s="114">
        <f t="shared" si="141"/>
        <v>0</v>
      </c>
      <c r="BG107" s="114" t="e">
        <f t="shared" si="141"/>
        <v>#VALUE!</v>
      </c>
      <c r="BH107" s="114">
        <f t="shared" si="141"/>
        <v>0</v>
      </c>
      <c r="BI107" s="114">
        <f t="shared" si="141"/>
        <v>0</v>
      </c>
      <c r="BJ107" s="114">
        <f t="shared" si="141"/>
        <v>0</v>
      </c>
      <c r="BK107" s="114">
        <f t="shared" si="141"/>
        <v>0</v>
      </c>
      <c r="BL107" s="114">
        <f t="shared" si="141"/>
        <v>130</v>
      </c>
      <c r="BM107" s="114">
        <f t="shared" si="141"/>
        <v>0</v>
      </c>
      <c r="BN107" s="114">
        <f t="shared" si="141"/>
        <v>0</v>
      </c>
      <c r="BO107" s="114">
        <f t="shared" si="141"/>
        <v>0</v>
      </c>
      <c r="BP107" s="114">
        <f t="shared" si="141"/>
        <v>0</v>
      </c>
      <c r="BQ107" s="114"/>
      <c r="BR107" s="103" t="e">
        <f>SUM(BE107:BP107)</f>
        <v>#VALUE!</v>
      </c>
    </row>
    <row r="108" spans="1:97" x14ac:dyDescent="0.25">
      <c r="C108" s="20">
        <f>+C107+C106+C105+C104+C103</f>
        <v>1150696.0199999998</v>
      </c>
      <c r="D108" s="103"/>
      <c r="AM108" s="105"/>
      <c r="AN108" s="106"/>
      <c r="BD108" s="115" t="s">
        <v>88</v>
      </c>
      <c r="BE108" s="114">
        <f t="shared" ref="BE108:BP108" si="142">+BE107*0.9</f>
        <v>0</v>
      </c>
      <c r="BF108" s="114">
        <f t="shared" si="142"/>
        <v>0</v>
      </c>
      <c r="BG108" s="114" t="e">
        <f t="shared" si="142"/>
        <v>#VALUE!</v>
      </c>
      <c r="BH108" s="114">
        <f t="shared" si="142"/>
        <v>0</v>
      </c>
      <c r="BI108" s="114">
        <f t="shared" si="142"/>
        <v>0</v>
      </c>
      <c r="BJ108" s="114">
        <f t="shared" si="142"/>
        <v>0</v>
      </c>
      <c r="BK108" s="114">
        <f t="shared" si="142"/>
        <v>0</v>
      </c>
      <c r="BL108" s="114">
        <f t="shared" si="142"/>
        <v>117</v>
      </c>
      <c r="BM108" s="114">
        <f t="shared" si="142"/>
        <v>0</v>
      </c>
      <c r="BN108" s="114">
        <f t="shared" si="142"/>
        <v>0</v>
      </c>
      <c r="BO108" s="114">
        <f t="shared" si="142"/>
        <v>0</v>
      </c>
      <c r="BP108" s="114">
        <f t="shared" si="142"/>
        <v>0</v>
      </c>
      <c r="BQ108" s="114"/>
      <c r="BR108" s="103" t="e">
        <f>SUM(BE108:BP108)</f>
        <v>#VALUE!</v>
      </c>
    </row>
    <row r="109" spans="1:97" x14ac:dyDescent="0.25">
      <c r="D109" s="103"/>
      <c r="AL109" s="116">
        <f>SUM(AL9:AL101)/2</f>
        <v>913573.02392857138</v>
      </c>
      <c r="AM109" s="116">
        <f>SUM(AM9:AM101)/2</f>
        <v>109628.76287142851</v>
      </c>
      <c r="AN109" s="116">
        <f>SUM(AN9:AN103)/3</f>
        <v>1011567.0498666666</v>
      </c>
      <c r="AR109" s="16" t="s">
        <v>94</v>
      </c>
      <c r="BE109" s="103"/>
      <c r="BF109" s="103"/>
      <c r="BG109" s="103"/>
      <c r="BH109" s="103"/>
      <c r="BI109" s="103"/>
    </row>
    <row r="110" spans="1:97" x14ac:dyDescent="0.25">
      <c r="A110" s="18" t="s">
        <v>95</v>
      </c>
      <c r="C110" s="103"/>
      <c r="D110" s="103"/>
      <c r="AM110" s="105"/>
      <c r="AN110" s="106"/>
      <c r="BE110" s="103"/>
      <c r="BF110" s="103"/>
      <c r="BG110" s="103"/>
      <c r="BH110" s="103"/>
      <c r="BI110" s="103"/>
    </row>
    <row r="111" spans="1:97" x14ac:dyDescent="0.25">
      <c r="D111" s="177" t="s">
        <v>96</v>
      </c>
      <c r="E111" s="177"/>
      <c r="F111" s="177"/>
      <c r="K111" s="17"/>
      <c r="X111" s="17"/>
      <c r="Y111" s="17"/>
      <c r="Z111" s="17"/>
      <c r="AA111" s="17"/>
      <c r="AB111" s="17"/>
      <c r="AC111" s="17"/>
      <c r="AD111" s="17"/>
      <c r="AE111" s="17"/>
      <c r="AF111" s="17"/>
      <c r="AJ111" s="17"/>
      <c r="AM111" s="103"/>
      <c r="AN111" s="103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62"/>
      <c r="BF111" s="62"/>
      <c r="BG111" s="62"/>
      <c r="BH111" s="62"/>
      <c r="BI111" s="62"/>
      <c r="BJ111" s="17"/>
      <c r="BK111" s="17"/>
      <c r="BL111" s="17"/>
      <c r="BM111" s="17"/>
      <c r="BN111" s="17"/>
      <c r="BO111" s="17"/>
      <c r="BP111" s="17"/>
      <c r="BQ111" s="17"/>
    </row>
    <row r="112" spans="1:97" x14ac:dyDescent="0.25">
      <c r="A112" s="16" t="s">
        <v>64</v>
      </c>
      <c r="C112" s="107"/>
      <c r="D112" s="103" t="s">
        <v>97</v>
      </c>
      <c r="E112" s="16" t="s">
        <v>98</v>
      </c>
      <c r="F112" s="16" t="s">
        <v>10</v>
      </c>
      <c r="AI112" s="103"/>
      <c r="BE112" s="107"/>
      <c r="BF112" s="107"/>
      <c r="BG112" s="107"/>
    </row>
    <row r="113" spans="1:59" x14ac:dyDescent="0.25">
      <c r="A113" s="16" t="s">
        <v>99</v>
      </c>
      <c r="C113" s="107"/>
      <c r="D113" s="103"/>
      <c r="E113" s="103"/>
      <c r="AM113" s="103"/>
      <c r="AN113" s="103"/>
      <c r="BE113" s="107"/>
      <c r="BF113" s="107"/>
      <c r="BG113" s="107"/>
    </row>
  </sheetData>
  <mergeCells count="91">
    <mergeCell ref="D111:F111"/>
    <mergeCell ref="A87:A88"/>
    <mergeCell ref="A90:A91"/>
    <mergeCell ref="A93:A94"/>
    <mergeCell ref="A96:A97"/>
    <mergeCell ref="A99:A100"/>
    <mergeCell ref="A72:A73"/>
    <mergeCell ref="A75:A76"/>
    <mergeCell ref="A78:A79"/>
    <mergeCell ref="A81:A82"/>
    <mergeCell ref="A84:A85"/>
    <mergeCell ref="A57:A58"/>
    <mergeCell ref="A60:A61"/>
    <mergeCell ref="A63:A64"/>
    <mergeCell ref="A66:A67"/>
    <mergeCell ref="A69:A70"/>
    <mergeCell ref="A42:A43"/>
    <mergeCell ref="A45:A46"/>
    <mergeCell ref="A48:A49"/>
    <mergeCell ref="A51:A52"/>
    <mergeCell ref="A54:A55"/>
    <mergeCell ref="A27:A28"/>
    <mergeCell ref="A30:A31"/>
    <mergeCell ref="A33:A34"/>
    <mergeCell ref="A36:A37"/>
    <mergeCell ref="A39:A40"/>
    <mergeCell ref="A12:A13"/>
    <mergeCell ref="A15:A16"/>
    <mergeCell ref="A18:A19"/>
    <mergeCell ref="A21:A22"/>
    <mergeCell ref="A24:A25"/>
    <mergeCell ref="BL6:BL7"/>
    <mergeCell ref="BM6:BM7"/>
    <mergeCell ref="BQ6:BQ7"/>
    <mergeCell ref="BR6:BR7"/>
    <mergeCell ref="A9:A10"/>
    <mergeCell ref="BG6:BG7"/>
    <mergeCell ref="BH6:BH7"/>
    <mergeCell ref="BI6:BI7"/>
    <mergeCell ref="BJ6:BJ7"/>
    <mergeCell ref="BK6:BK7"/>
    <mergeCell ref="BA6:BA7"/>
    <mergeCell ref="BC6:BC7"/>
    <mergeCell ref="BD6:BD7"/>
    <mergeCell ref="BE6:BE7"/>
    <mergeCell ref="BF6:BF7"/>
    <mergeCell ref="AT6:AT7"/>
    <mergeCell ref="AU6:AU7"/>
    <mergeCell ref="AV6:AV7"/>
    <mergeCell ref="AW6:AW7"/>
    <mergeCell ref="AX6:AX7"/>
    <mergeCell ref="AN6:AN7"/>
    <mergeCell ref="AP6:AP7"/>
    <mergeCell ref="AQ6:AQ7"/>
    <mergeCell ref="AR6:AR7"/>
    <mergeCell ref="AS6:AS7"/>
    <mergeCell ref="AG6:AH6"/>
    <mergeCell ref="AI6:AI7"/>
    <mergeCell ref="AK6:AK7"/>
    <mergeCell ref="AL6:AL7"/>
    <mergeCell ref="AM6:AM7"/>
    <mergeCell ref="AA6:AA7"/>
    <mergeCell ref="AB6:AB7"/>
    <mergeCell ref="AC6:AC7"/>
    <mergeCell ref="AD6:AE6"/>
    <mergeCell ref="AF6:AF7"/>
    <mergeCell ref="U6:U7"/>
    <mergeCell ref="V6:V7"/>
    <mergeCell ref="W6:W7"/>
    <mergeCell ref="X6:X7"/>
    <mergeCell ref="Z6:Z7"/>
    <mergeCell ref="P6:P7"/>
    <mergeCell ref="Q6:Q7"/>
    <mergeCell ref="R6:R7"/>
    <mergeCell ref="S6:S7"/>
    <mergeCell ref="T6:T7"/>
    <mergeCell ref="K6:K7"/>
    <mergeCell ref="L6:L7"/>
    <mergeCell ref="M6:M7"/>
    <mergeCell ref="N6:N7"/>
    <mergeCell ref="O6:O7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689F-3516-473B-BEE5-EC2AE8A2F5CD}">
  <dimension ref="A1:ALT68"/>
  <sheetViews>
    <sheetView zoomScale="120" zoomScaleNormal="120" workbookViewId="0">
      <pane xSplit="2" ySplit="7" topLeftCell="Z41" activePane="bottomRight" state="frozen"/>
      <selection pane="topRight" activeCell="AF1" sqref="AF1"/>
      <selection pane="bottomLeft" activeCell="A93" sqref="A93"/>
      <selection pane="bottomRight" activeCell="AZ9" sqref="AZ9:AZ56"/>
    </sheetView>
  </sheetViews>
  <sheetFormatPr defaultRowHeight="15" x14ac:dyDescent="0.25"/>
  <cols>
    <col min="1" max="1" width="13" style="16" customWidth="1"/>
    <col min="2" max="2" width="5.28515625" style="16" customWidth="1"/>
    <col min="3" max="13" width="10.7109375" style="16" customWidth="1"/>
    <col min="14" max="14" width="12.140625" style="16" customWidth="1"/>
    <col min="15" max="15" width="19.28515625" style="16" customWidth="1"/>
    <col min="16" max="20" width="10.7109375" style="16" customWidth="1"/>
    <col min="21" max="21" width="13.42578125" style="16" bestFit="1" customWidth="1"/>
    <col min="22" max="22" width="15.28515625" style="16" hidden="1" customWidth="1"/>
    <col min="23" max="23" width="15.28515625" style="16" customWidth="1"/>
    <col min="24" max="24" width="10.7109375" style="16" customWidth="1"/>
    <col min="25" max="25" width="12" style="16" customWidth="1"/>
    <col min="26" max="27" width="10.7109375" style="16" customWidth="1"/>
    <col min="28" max="34" width="10.7109375" style="16" hidden="1" customWidth="1"/>
    <col min="35" max="39" width="10.7109375" style="16" customWidth="1"/>
    <col min="40" max="40" width="10.7109375" style="16" hidden="1" customWidth="1"/>
    <col min="41" max="41" width="10.7109375" style="16" customWidth="1"/>
    <col min="42" max="42" width="13" style="16" hidden="1" customWidth="1"/>
    <col min="43" max="43" width="10.7109375" style="16" customWidth="1"/>
    <col min="44" max="45" width="10.7109375" style="16" hidden="1" customWidth="1"/>
    <col min="46" max="47" width="10.7109375" style="16" customWidth="1"/>
    <col min="48" max="51" width="10.7109375" style="16" hidden="1" customWidth="1"/>
    <col min="52" max="53" width="10.7109375" style="16" customWidth="1"/>
    <col min="54" max="55" width="9.140625" style="16" customWidth="1"/>
    <col min="56" max="108" width="12.7109375" style="27" customWidth="1"/>
    <col min="109" max="1008" width="9.140625" style="16" customWidth="1"/>
  </cols>
  <sheetData>
    <row r="1" spans="1:108" ht="15.75" hidden="1" thickBot="1" x14ac:dyDescent="0.3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3"/>
      <c r="T1" s="23"/>
      <c r="U1" s="24"/>
      <c r="V1" s="24"/>
      <c r="W1" s="24"/>
      <c r="X1" s="24"/>
      <c r="Y1" s="24"/>
      <c r="Z1" s="27"/>
      <c r="AA1" s="24"/>
      <c r="AB1" s="22"/>
      <c r="AC1" s="22"/>
      <c r="AD1" s="22"/>
      <c r="AE1" s="22"/>
      <c r="AF1" s="22"/>
      <c r="AG1" s="22"/>
      <c r="AH1" s="22"/>
      <c r="AI1" s="22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</row>
    <row r="2" spans="1:108" ht="15.75" hidden="1" thickBot="1" x14ac:dyDescent="0.3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3"/>
      <c r="T2" s="23"/>
      <c r="U2" s="24"/>
      <c r="V2" s="24"/>
      <c r="W2" s="24"/>
      <c r="X2" s="24"/>
      <c r="Y2" s="24"/>
      <c r="Z2" s="27"/>
      <c r="AA2" s="24"/>
      <c r="AB2" s="22"/>
      <c r="AC2" s="22"/>
      <c r="AD2" s="22"/>
      <c r="AE2" s="22"/>
      <c r="AF2" s="22"/>
      <c r="AG2" s="22"/>
      <c r="AH2" s="22"/>
      <c r="AI2" s="22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108" ht="15.75" hidden="1" thickBot="1" x14ac:dyDescent="0.3">
      <c r="A3" s="24" t="s">
        <v>2</v>
      </c>
      <c r="B3" s="24"/>
      <c r="C3" s="23"/>
      <c r="D3" s="23"/>
      <c r="E3" s="23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7"/>
      <c r="AA3" s="24"/>
      <c r="AB3" s="22"/>
      <c r="AC3" s="22"/>
      <c r="AD3" s="22"/>
      <c r="AE3" s="22"/>
      <c r="AF3" s="22"/>
      <c r="AG3" s="22"/>
      <c r="AH3" s="22"/>
      <c r="AI3" s="22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108" ht="24" hidden="1" thickBot="1" x14ac:dyDescent="0.3">
      <c r="A4" s="25" t="s">
        <v>3</v>
      </c>
      <c r="B4" s="24"/>
      <c r="C4" s="23"/>
      <c r="D4" s="23"/>
      <c r="E4" s="23"/>
      <c r="F4" s="23"/>
      <c r="G4" s="24"/>
      <c r="H4" s="24"/>
      <c r="I4" s="24"/>
      <c r="J4" s="23"/>
      <c r="K4" s="24"/>
      <c r="L4" s="23"/>
      <c r="M4" s="24"/>
      <c r="N4" s="24"/>
      <c r="O4" s="24"/>
      <c r="P4" s="24"/>
      <c r="Q4" s="24"/>
      <c r="R4" s="24"/>
      <c r="S4" s="24"/>
      <c r="T4" s="23"/>
      <c r="U4" s="27"/>
      <c r="V4" s="27"/>
      <c r="W4" s="27"/>
      <c r="X4" s="24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 t="s">
        <v>4</v>
      </c>
      <c r="CO4" s="26"/>
      <c r="CP4" s="26" t="s">
        <v>5</v>
      </c>
      <c r="CQ4" s="26" t="s">
        <v>6</v>
      </c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 t="s">
        <v>7</v>
      </c>
    </row>
    <row r="5" spans="1:108" ht="24" hidden="1" thickBot="1" x14ac:dyDescent="0.3">
      <c r="A5" s="27"/>
      <c r="B5" s="27"/>
      <c r="C5" s="27"/>
      <c r="D5" s="27"/>
      <c r="E5" s="27"/>
      <c r="F5" s="27"/>
      <c r="G5" s="28">
        <v>2.1499999999999998E-2</v>
      </c>
      <c r="H5" s="29">
        <v>5.0000000000000001E-3</v>
      </c>
      <c r="I5" s="30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33"/>
      <c r="AC5" s="33"/>
      <c r="AD5" s="33"/>
      <c r="AE5" s="33"/>
      <c r="AF5" s="33"/>
      <c r="AG5" s="33"/>
      <c r="AH5" s="33"/>
      <c r="AI5" s="33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34">
        <v>0.5</v>
      </c>
      <c r="AW5" s="27"/>
      <c r="AX5" s="27"/>
      <c r="AY5" s="27"/>
      <c r="AZ5" s="27"/>
      <c r="BA5" s="27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 t="s">
        <v>8</v>
      </c>
      <c r="CN5" s="26"/>
      <c r="CO5" s="26" t="s">
        <v>9</v>
      </c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</row>
    <row r="6" spans="1:108" ht="34.5" customHeight="1" thickTop="1" thickBot="1" x14ac:dyDescent="0.3">
      <c r="A6" s="14" t="s">
        <v>10</v>
      </c>
      <c r="B6" s="13" t="s">
        <v>11</v>
      </c>
      <c r="C6" s="12" t="s">
        <v>14</v>
      </c>
      <c r="D6" s="13" t="s">
        <v>16</v>
      </c>
      <c r="E6" s="13" t="s">
        <v>17</v>
      </c>
      <c r="F6" s="12" t="s">
        <v>18</v>
      </c>
      <c r="G6" s="13" t="s">
        <v>22</v>
      </c>
      <c r="H6" s="13" t="s">
        <v>23</v>
      </c>
      <c r="I6" s="13" t="s">
        <v>24</v>
      </c>
      <c r="J6" s="12" t="s">
        <v>33</v>
      </c>
      <c r="K6" s="11" t="s">
        <v>34</v>
      </c>
      <c r="L6" s="12" t="s">
        <v>5</v>
      </c>
      <c r="M6" s="12" t="s">
        <v>35</v>
      </c>
      <c r="N6" s="183" t="s">
        <v>36</v>
      </c>
      <c r="O6" s="184"/>
      <c r="P6" s="8" t="s">
        <v>38</v>
      </c>
      <c r="Q6" s="8"/>
      <c r="R6" s="13" t="s">
        <v>39</v>
      </c>
      <c r="S6" s="13" t="s">
        <v>40</v>
      </c>
      <c r="T6" s="13" t="s">
        <v>41</v>
      </c>
      <c r="U6" s="7" t="s">
        <v>42</v>
      </c>
      <c r="V6" s="6" t="s">
        <v>43</v>
      </c>
      <c r="W6" s="186"/>
      <c r="X6" s="38"/>
      <c r="Y6" s="5" t="s">
        <v>44</v>
      </c>
      <c r="Z6" s="5" t="s">
        <v>45</v>
      </c>
      <c r="AA6" s="5" t="s">
        <v>46</v>
      </c>
      <c r="AB6" s="5" t="s">
        <v>47</v>
      </c>
      <c r="AC6" s="5" t="s">
        <v>48</v>
      </c>
      <c r="AD6" s="5" t="s">
        <v>49</v>
      </c>
      <c r="AE6" s="5" t="s">
        <v>50</v>
      </c>
      <c r="AF6" s="5" t="s">
        <v>51</v>
      </c>
      <c r="AG6" s="5" t="s">
        <v>52</v>
      </c>
      <c r="AH6" s="39"/>
      <c r="AI6" s="37"/>
      <c r="AJ6" s="4" t="s">
        <v>4</v>
      </c>
      <c r="AK6" s="40"/>
      <c r="AL6" s="13" t="s">
        <v>5</v>
      </c>
      <c r="AM6" s="13" t="s">
        <v>6</v>
      </c>
      <c r="AN6" s="5" t="s">
        <v>53</v>
      </c>
      <c r="AO6" s="5" t="s">
        <v>54</v>
      </c>
      <c r="AP6" s="5" t="s">
        <v>55</v>
      </c>
      <c r="AQ6" s="5" t="s">
        <v>56</v>
      </c>
      <c r="AR6" s="5" t="s">
        <v>57</v>
      </c>
      <c r="AS6" s="5" t="s">
        <v>58</v>
      </c>
      <c r="AT6" s="5" t="s">
        <v>59</v>
      </c>
      <c r="AU6" s="5" t="s">
        <v>60</v>
      </c>
      <c r="AV6" s="5" t="s">
        <v>61</v>
      </c>
      <c r="AW6" s="41"/>
      <c r="AX6" s="41"/>
      <c r="AY6" s="41"/>
      <c r="AZ6" s="5" t="s">
        <v>62</v>
      </c>
      <c r="BA6" s="3" t="s">
        <v>7</v>
      </c>
    </row>
    <row r="7" spans="1:108" ht="35.25" thickTop="1" thickBot="1" x14ac:dyDescent="0.3">
      <c r="A7" s="14"/>
      <c r="B7" s="13"/>
      <c r="C7" s="12"/>
      <c r="D7" s="13"/>
      <c r="E7" s="13"/>
      <c r="F7" s="12"/>
      <c r="G7" s="13"/>
      <c r="H7" s="13"/>
      <c r="I7" s="13"/>
      <c r="J7" s="12"/>
      <c r="K7" s="11"/>
      <c r="L7" s="12"/>
      <c r="M7" s="12"/>
      <c r="N7" s="43" t="s">
        <v>64</v>
      </c>
      <c r="O7" s="44" t="s">
        <v>65</v>
      </c>
      <c r="P7" s="35" t="s">
        <v>66</v>
      </c>
      <c r="Q7" s="35" t="s">
        <v>67</v>
      </c>
      <c r="R7" s="13"/>
      <c r="S7" s="13"/>
      <c r="T7" s="13"/>
      <c r="U7" s="7"/>
      <c r="V7" s="6"/>
      <c r="W7" s="187"/>
      <c r="X7" s="46" t="s">
        <v>69</v>
      </c>
      <c r="Y7" s="5"/>
      <c r="Z7" s="5"/>
      <c r="AA7" s="5"/>
      <c r="AB7" s="5"/>
      <c r="AC7" s="5"/>
      <c r="AD7" s="5"/>
      <c r="AE7" s="5"/>
      <c r="AF7" s="5"/>
      <c r="AG7" s="5"/>
      <c r="AH7" s="47"/>
      <c r="AI7" s="48" t="s">
        <v>8</v>
      </c>
      <c r="AJ7" s="4"/>
      <c r="AK7" s="49" t="s">
        <v>9</v>
      </c>
      <c r="AL7" s="13"/>
      <c r="AM7" s="13"/>
      <c r="AN7" s="5"/>
      <c r="AO7" s="5"/>
      <c r="AP7" s="5"/>
      <c r="AQ7" s="5"/>
      <c r="AR7" s="5"/>
      <c r="AS7" s="5"/>
      <c r="AT7" s="5"/>
      <c r="AU7" s="5"/>
      <c r="AV7" s="5"/>
      <c r="AW7" s="50"/>
      <c r="AX7" s="50"/>
      <c r="AY7" s="50"/>
      <c r="AZ7" s="5"/>
      <c r="BA7" s="3"/>
      <c r="BD7" s="27" t="s">
        <v>70</v>
      </c>
      <c r="BE7" s="27" t="s">
        <v>71</v>
      </c>
      <c r="BF7" s="27" t="s">
        <v>72</v>
      </c>
      <c r="BG7" s="27" t="s">
        <v>73</v>
      </c>
      <c r="BH7" s="27" t="s">
        <v>7</v>
      </c>
    </row>
    <row r="8" spans="1:108" ht="15.75" thickTop="1" x14ac:dyDescent="0.25">
      <c r="A8" s="51"/>
      <c r="B8" s="53"/>
      <c r="C8" s="54"/>
      <c r="D8" s="53"/>
      <c r="E8" s="53"/>
      <c r="F8" s="54"/>
      <c r="G8" s="53"/>
      <c r="H8" s="53"/>
      <c r="I8" s="53"/>
      <c r="J8" s="54"/>
      <c r="K8" s="54"/>
      <c r="L8" s="54"/>
      <c r="M8" s="56"/>
      <c r="N8" s="57"/>
      <c r="O8" s="57"/>
      <c r="P8" s="53"/>
      <c r="Q8" s="53"/>
      <c r="R8" s="53"/>
      <c r="S8" s="53"/>
      <c r="T8" s="53"/>
      <c r="U8" s="53"/>
      <c r="V8" s="53"/>
      <c r="W8" s="53"/>
      <c r="X8" s="58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3"/>
      <c r="AJ8" s="57"/>
      <c r="AK8" s="57"/>
      <c r="AL8" s="53"/>
      <c r="AM8" s="53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60"/>
    </row>
    <row r="9" spans="1:108" s="16" customFormat="1" x14ac:dyDescent="0.25">
      <c r="A9" s="81">
        <v>43832</v>
      </c>
      <c r="B9" s="61" t="s">
        <v>74</v>
      </c>
      <c r="C9" s="56">
        <v>9275</v>
      </c>
      <c r="D9" s="68">
        <v>0</v>
      </c>
      <c r="E9" s="68">
        <v>0.26000000000021828</v>
      </c>
      <c r="F9" s="56"/>
      <c r="G9" s="68">
        <v>80.852469999999997</v>
      </c>
      <c r="H9" s="68">
        <v>18.802900000000001</v>
      </c>
      <c r="I9" s="68">
        <v>3660.92463</v>
      </c>
      <c r="J9" s="56">
        <v>60.75</v>
      </c>
      <c r="K9" s="56"/>
      <c r="L9" s="56"/>
      <c r="M9" s="56">
        <v>241.37</v>
      </c>
      <c r="N9" s="65"/>
      <c r="O9" s="65"/>
      <c r="P9" s="68">
        <v>712.13679999999999</v>
      </c>
      <c r="Q9" s="68">
        <v>125.6712</v>
      </c>
      <c r="R9" s="68">
        <v>209.452</v>
      </c>
      <c r="S9" s="68">
        <v>10973.375</v>
      </c>
      <c r="T9" s="68">
        <v>10671.254999999999</v>
      </c>
      <c r="U9" s="68">
        <v>1280.5505999999998</v>
      </c>
      <c r="V9" s="68">
        <v>11951.8056</v>
      </c>
      <c r="W9" s="68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8">
        <v>0</v>
      </c>
      <c r="AJ9" s="65"/>
      <c r="AK9" s="65"/>
      <c r="AL9" s="68">
        <v>0</v>
      </c>
      <c r="AM9" s="68">
        <v>0</v>
      </c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8">
        <v>0</v>
      </c>
      <c r="BC9" s="82"/>
      <c r="BD9" s="83"/>
      <c r="BE9" s="83"/>
      <c r="BF9" s="83"/>
      <c r="BG9" s="83"/>
      <c r="BH9" s="83"/>
      <c r="BI9" s="83"/>
      <c r="BJ9" s="83"/>
      <c r="BK9" s="83"/>
      <c r="BL9" s="83"/>
      <c r="BM9" s="83"/>
      <c r="BN9" s="83"/>
      <c r="BO9" s="83"/>
      <c r="BP9" s="83"/>
      <c r="BQ9" s="83"/>
      <c r="BR9" s="83"/>
      <c r="BS9" s="83"/>
      <c r="BT9" s="83"/>
      <c r="BU9" s="83"/>
      <c r="BV9" s="83"/>
      <c r="BW9" s="83"/>
      <c r="BX9" s="83"/>
      <c r="BY9" s="83"/>
      <c r="BZ9" s="83"/>
      <c r="CA9" s="83"/>
      <c r="CB9" s="83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  <c r="DB9" s="27"/>
      <c r="DC9" s="27"/>
      <c r="DD9" s="27"/>
    </row>
    <row r="10" spans="1:108" s="16" customFormat="1" x14ac:dyDescent="0.25">
      <c r="A10" s="81"/>
      <c r="B10" s="33" t="s">
        <v>76</v>
      </c>
      <c r="C10" s="56">
        <v>3221</v>
      </c>
      <c r="D10" s="68">
        <v>0</v>
      </c>
      <c r="E10" s="68">
        <v>3.1399999999998727</v>
      </c>
      <c r="F10" s="56"/>
      <c r="G10" s="68">
        <v>72.869519999999994</v>
      </c>
      <c r="H10" s="68">
        <v>16.946400000000001</v>
      </c>
      <c r="I10" s="68">
        <v>3299.4640800000002</v>
      </c>
      <c r="J10" s="56"/>
      <c r="K10" s="56"/>
      <c r="L10" s="56"/>
      <c r="M10" s="56">
        <v>287.5</v>
      </c>
      <c r="N10" s="65"/>
      <c r="O10" s="65"/>
      <c r="P10" s="68">
        <v>341.4008</v>
      </c>
      <c r="Q10" s="68">
        <v>60.247199999999999</v>
      </c>
      <c r="R10" s="68">
        <v>100.41200000000001</v>
      </c>
      <c r="S10" s="68">
        <v>6122.7678571428569</v>
      </c>
      <c r="T10" s="68">
        <v>5835.2678571428569</v>
      </c>
      <c r="U10" s="68">
        <v>700.23214285714278</v>
      </c>
      <c r="V10" s="68">
        <v>6535.5</v>
      </c>
      <c r="W10" s="68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8">
        <v>0</v>
      </c>
      <c r="AJ10" s="65"/>
      <c r="AK10" s="65">
        <v>0</v>
      </c>
      <c r="AL10" s="68">
        <v>0</v>
      </c>
      <c r="AM10" s="68">
        <v>0</v>
      </c>
      <c r="AN10" s="67"/>
      <c r="AO10" s="67"/>
      <c r="AP10" s="67">
        <v>0</v>
      </c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8">
        <v>0</v>
      </c>
      <c r="BC10" s="82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</row>
    <row r="11" spans="1:108" s="16" customFormat="1" x14ac:dyDescent="0.25">
      <c r="A11" s="81">
        <v>43833</v>
      </c>
      <c r="B11" s="61" t="s">
        <v>74</v>
      </c>
      <c r="C11" s="56">
        <v>19940</v>
      </c>
      <c r="D11" s="68">
        <v>0</v>
      </c>
      <c r="E11" s="68">
        <v>1.2400000000016007</v>
      </c>
      <c r="F11" s="56"/>
      <c r="G11" s="68">
        <v>131.89733999999999</v>
      </c>
      <c r="H11" s="68">
        <v>30.6738</v>
      </c>
      <c r="I11" s="68">
        <v>5972.1888600000011</v>
      </c>
      <c r="J11" s="56">
        <v>30</v>
      </c>
      <c r="K11" s="56"/>
      <c r="L11" s="56"/>
      <c r="M11" s="56">
        <v>415.15</v>
      </c>
      <c r="N11" s="65" t="s">
        <v>77</v>
      </c>
      <c r="O11" s="65">
        <v>1110</v>
      </c>
      <c r="P11" s="68">
        <v>1409.47</v>
      </c>
      <c r="Q11" s="68">
        <v>248.73</v>
      </c>
      <c r="R11" s="68">
        <v>414.55</v>
      </c>
      <c r="S11" s="68">
        <v>22817.78571428571</v>
      </c>
      <c r="T11" s="68">
        <v>22372.635714285709</v>
      </c>
      <c r="U11" s="68">
        <v>2684.7162857142848</v>
      </c>
      <c r="V11" s="68">
        <v>25057.351999999992</v>
      </c>
      <c r="W11" s="68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8">
        <v>0</v>
      </c>
      <c r="AJ11" s="65"/>
      <c r="AK11" s="65"/>
      <c r="AL11" s="68">
        <v>0</v>
      </c>
      <c r="AM11" s="68">
        <v>0</v>
      </c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8">
        <v>0</v>
      </c>
      <c r="BC11" s="82"/>
      <c r="BD11" s="83"/>
      <c r="BE11" s="83"/>
      <c r="BF11" s="83"/>
      <c r="BG11" s="83"/>
      <c r="BH11" s="83"/>
      <c r="BI11" s="83"/>
      <c r="BJ11" s="83"/>
      <c r="BK11" s="83"/>
      <c r="BL11" s="83"/>
      <c r="BM11" s="83"/>
      <c r="BN11" s="83"/>
      <c r="BO11" s="83"/>
      <c r="BP11" s="83"/>
      <c r="BQ11" s="83"/>
      <c r="BR11" s="83"/>
      <c r="BS11" s="83"/>
      <c r="BT11" s="83"/>
      <c r="BU11" s="83"/>
      <c r="BV11" s="83"/>
      <c r="BW11" s="83"/>
      <c r="BX11" s="83"/>
      <c r="BY11" s="83"/>
      <c r="BZ11" s="83"/>
      <c r="CA11" s="83"/>
      <c r="CB11" s="83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</row>
    <row r="12" spans="1:108" s="16" customFormat="1" x14ac:dyDescent="0.25">
      <c r="A12" s="81"/>
      <c r="B12" s="33" t="s">
        <v>76</v>
      </c>
      <c r="C12" s="56">
        <v>7765</v>
      </c>
      <c r="D12" s="68">
        <v>0</v>
      </c>
      <c r="E12" s="68">
        <v>2.1899999999995998</v>
      </c>
      <c r="F12" s="56"/>
      <c r="G12" s="68">
        <v>129.04213999999999</v>
      </c>
      <c r="H12" s="68">
        <v>30.009800000000002</v>
      </c>
      <c r="I12" s="68">
        <v>5842.9080600000007</v>
      </c>
      <c r="J12" s="56">
        <v>72.75</v>
      </c>
      <c r="K12" s="56"/>
      <c r="L12" s="56"/>
      <c r="M12" s="56">
        <v>160.72</v>
      </c>
      <c r="N12" s="65"/>
      <c r="O12" s="65"/>
      <c r="P12" s="68">
        <v>730.77560000000005</v>
      </c>
      <c r="Q12" s="68">
        <v>128.96040000000002</v>
      </c>
      <c r="R12" s="68">
        <v>214.93400000000003</v>
      </c>
      <c r="S12" s="68">
        <v>11538.901785714284</v>
      </c>
      <c r="T12" s="68">
        <v>11305.431785714285</v>
      </c>
      <c r="U12" s="68">
        <v>1356.6518142857142</v>
      </c>
      <c r="V12" s="68">
        <v>12662.0836</v>
      </c>
      <c r="W12" s="68"/>
      <c r="X12" s="67">
        <v>245</v>
      </c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8">
        <v>245</v>
      </c>
      <c r="AJ12" s="65"/>
      <c r="AK12" s="65"/>
      <c r="AL12" s="68">
        <v>0</v>
      </c>
      <c r="AM12" s="68">
        <v>0</v>
      </c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8">
        <v>245</v>
      </c>
      <c r="BC12" s="82"/>
      <c r="BD12" s="83"/>
      <c r="BE12" s="83"/>
      <c r="BF12" s="83"/>
      <c r="BG12" s="83"/>
      <c r="BH12" s="83"/>
      <c r="BI12" s="83"/>
      <c r="BJ12" s="83"/>
      <c r="BK12" s="83"/>
      <c r="BL12" s="83"/>
      <c r="BM12" s="83"/>
      <c r="BN12" s="83"/>
      <c r="BO12" s="83"/>
      <c r="BP12" s="83"/>
      <c r="BQ12" s="83"/>
      <c r="BR12" s="83"/>
      <c r="BS12" s="83"/>
      <c r="BT12" s="83"/>
      <c r="BU12" s="83"/>
      <c r="BV12" s="83"/>
      <c r="BW12" s="83"/>
      <c r="BX12" s="83"/>
      <c r="BY12" s="83"/>
      <c r="BZ12" s="83"/>
      <c r="CA12" s="83"/>
      <c r="CB12" s="83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</row>
    <row r="13" spans="1:108" s="16" customFormat="1" x14ac:dyDescent="0.25">
      <c r="A13" s="81">
        <v>43834</v>
      </c>
      <c r="B13" s="61" t="s">
        <v>74</v>
      </c>
      <c r="C13" s="56"/>
      <c r="D13" s="68">
        <v>0</v>
      </c>
      <c r="E13" s="68">
        <v>0</v>
      </c>
      <c r="F13" s="56"/>
      <c r="G13" s="68">
        <v>0</v>
      </c>
      <c r="H13" s="68">
        <v>0</v>
      </c>
      <c r="I13" s="68">
        <v>0</v>
      </c>
      <c r="J13" s="56"/>
      <c r="K13" s="56"/>
      <c r="L13" s="56"/>
      <c r="M13" s="56"/>
      <c r="N13" s="65"/>
      <c r="O13" s="65"/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8">
        <v>0</v>
      </c>
      <c r="AJ13" s="65"/>
      <c r="AK13" s="65"/>
      <c r="AL13" s="68">
        <v>0</v>
      </c>
      <c r="AM13" s="68">
        <v>0</v>
      </c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8">
        <v>0</v>
      </c>
      <c r="BC13" s="82"/>
      <c r="BD13" s="83"/>
      <c r="BE13" s="83"/>
      <c r="BF13" s="83"/>
      <c r="BG13" s="83"/>
      <c r="BH13" s="83"/>
      <c r="BI13" s="83"/>
      <c r="BJ13" s="83"/>
      <c r="BK13" s="83"/>
      <c r="BL13" s="83"/>
      <c r="BM13" s="83"/>
      <c r="BN13" s="83"/>
      <c r="BO13" s="83"/>
      <c r="BP13" s="83"/>
      <c r="BQ13" s="83"/>
      <c r="BR13" s="83"/>
      <c r="BS13" s="83"/>
      <c r="BT13" s="83"/>
      <c r="BU13" s="83"/>
      <c r="BV13" s="83"/>
      <c r="BW13" s="83"/>
      <c r="BX13" s="83"/>
      <c r="BY13" s="83"/>
      <c r="BZ13" s="83"/>
      <c r="CA13" s="83"/>
      <c r="CB13" s="83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  <c r="DB13" s="27"/>
      <c r="DC13" s="27"/>
      <c r="DD13" s="27"/>
    </row>
    <row r="14" spans="1:108" s="16" customFormat="1" x14ac:dyDescent="0.25">
      <c r="A14" s="81"/>
      <c r="B14" s="33" t="s">
        <v>76</v>
      </c>
      <c r="C14" s="56">
        <v>5760</v>
      </c>
      <c r="D14" s="68">
        <v>0</v>
      </c>
      <c r="E14" s="68">
        <v>9.0000000000145519E-2</v>
      </c>
      <c r="F14" s="56">
        <v>300</v>
      </c>
      <c r="G14" s="68">
        <v>48.3277</v>
      </c>
      <c r="H14" s="68">
        <v>11.239000000000001</v>
      </c>
      <c r="I14" s="68">
        <v>2188.2333000000003</v>
      </c>
      <c r="J14" s="56"/>
      <c r="K14" s="56"/>
      <c r="L14" s="56"/>
      <c r="M14" s="56">
        <v>138.69</v>
      </c>
      <c r="N14" s="65" t="s">
        <v>77</v>
      </c>
      <c r="O14" s="65">
        <v>195</v>
      </c>
      <c r="P14" s="68">
        <v>421.33480000000003</v>
      </c>
      <c r="Q14" s="68">
        <v>74.353200000000001</v>
      </c>
      <c r="R14" s="68">
        <v>123.92200000000001</v>
      </c>
      <c r="S14" s="68">
        <v>7162.3124999999991</v>
      </c>
      <c r="T14" s="68">
        <v>7023.6224999999995</v>
      </c>
      <c r="U14" s="68">
        <v>842.83469999999988</v>
      </c>
      <c r="V14" s="68">
        <v>7866.4571999999989</v>
      </c>
      <c r="W14" s="68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8">
        <v>0</v>
      </c>
      <c r="AJ14" s="65"/>
      <c r="AK14" s="65"/>
      <c r="AL14" s="68">
        <v>0</v>
      </c>
      <c r="AM14" s="68">
        <v>0</v>
      </c>
      <c r="AN14" s="67"/>
      <c r="AO14" s="67">
        <v>105</v>
      </c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8">
        <v>0</v>
      </c>
      <c r="BC14" s="82"/>
      <c r="BD14" s="83"/>
      <c r="BE14" s="83"/>
      <c r="BF14" s="83"/>
      <c r="BG14" s="83"/>
      <c r="BH14" s="83"/>
      <c r="BI14" s="83"/>
      <c r="BJ14" s="83"/>
      <c r="BK14" s="83"/>
      <c r="BL14" s="83"/>
      <c r="BM14" s="83"/>
      <c r="BN14" s="83"/>
      <c r="BO14" s="83"/>
      <c r="BP14" s="83"/>
      <c r="BQ14" s="83"/>
      <c r="BR14" s="83"/>
      <c r="BS14" s="83"/>
      <c r="BT14" s="83"/>
      <c r="BU14" s="83"/>
      <c r="BV14" s="83"/>
      <c r="BW14" s="83"/>
      <c r="BX14" s="83"/>
      <c r="BY14" s="83"/>
      <c r="BZ14" s="83"/>
      <c r="CA14" s="83"/>
      <c r="CB14" s="83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</row>
    <row r="15" spans="1:108" s="16" customFormat="1" x14ac:dyDescent="0.25">
      <c r="A15" s="81">
        <v>43836</v>
      </c>
      <c r="B15" s="61" t="s">
        <v>74</v>
      </c>
      <c r="C15" s="56">
        <v>14170</v>
      </c>
      <c r="D15" s="68">
        <v>0</v>
      </c>
      <c r="E15" s="68">
        <v>0.44000000000050932</v>
      </c>
      <c r="F15" s="56"/>
      <c r="G15" s="68">
        <v>340.03303499999998</v>
      </c>
      <c r="H15" s="68">
        <v>79.077449999999999</v>
      </c>
      <c r="I15" s="68">
        <v>15396.379514999999</v>
      </c>
      <c r="J15" s="56">
        <v>171</v>
      </c>
      <c r="K15" s="56"/>
      <c r="L15" s="56"/>
      <c r="M15" s="56">
        <v>204.9</v>
      </c>
      <c r="N15" s="65"/>
      <c r="O15" s="65"/>
      <c r="P15" s="68">
        <v>1621.0520000000001</v>
      </c>
      <c r="Q15" s="68">
        <v>286.06799999999998</v>
      </c>
      <c r="R15" s="68">
        <v>476.78000000000003</v>
      </c>
      <c r="S15" s="68">
        <v>24979.508928571424</v>
      </c>
      <c r="T15" s="68">
        <v>24603.608928571422</v>
      </c>
      <c r="U15" s="68">
        <v>2952.4330714285707</v>
      </c>
      <c r="V15" s="68">
        <v>27556.041999999994</v>
      </c>
      <c r="W15" s="68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8">
        <v>0</v>
      </c>
      <c r="AJ15" s="65"/>
      <c r="AK15" s="65"/>
      <c r="AL15" s="68">
        <v>0</v>
      </c>
      <c r="AM15" s="68">
        <v>0</v>
      </c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8">
        <v>0</v>
      </c>
      <c r="BC15" s="82"/>
      <c r="BD15" s="83"/>
      <c r="BE15" s="83"/>
      <c r="BF15" s="83"/>
      <c r="BG15" s="83"/>
      <c r="BH15" s="83"/>
      <c r="BI15" s="83"/>
      <c r="BJ15" s="83"/>
      <c r="BK15" s="83"/>
      <c r="BL15" s="83"/>
      <c r="BM15" s="83"/>
      <c r="BN15" s="83"/>
      <c r="BO15" s="83"/>
      <c r="BP15" s="83"/>
      <c r="BQ15" s="83"/>
      <c r="BR15" s="83"/>
      <c r="BS15" s="83"/>
      <c r="BT15" s="83"/>
      <c r="BU15" s="83"/>
      <c r="BV15" s="83"/>
      <c r="BW15" s="83"/>
      <c r="BX15" s="83"/>
      <c r="BY15" s="83"/>
      <c r="BZ15" s="83"/>
      <c r="CA15" s="83"/>
      <c r="CB15" s="83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</row>
    <row r="16" spans="1:108" s="16" customFormat="1" x14ac:dyDescent="0.25">
      <c r="A16" s="81"/>
      <c r="B16" s="33" t="s">
        <v>76</v>
      </c>
      <c r="C16" s="56">
        <v>8330</v>
      </c>
      <c r="D16" s="68">
        <v>0</v>
      </c>
      <c r="E16" s="68">
        <v>1.7999999999992724</v>
      </c>
      <c r="F16" s="56"/>
      <c r="G16" s="68">
        <v>124.17023999999998</v>
      </c>
      <c r="H16" s="68">
        <v>28.876799999999999</v>
      </c>
      <c r="I16" s="68">
        <v>5622.3129599999993</v>
      </c>
      <c r="J16" s="56"/>
      <c r="K16" s="56"/>
      <c r="L16" s="56"/>
      <c r="M16" s="56">
        <v>70.540000000000006</v>
      </c>
      <c r="N16" s="65"/>
      <c r="O16" s="65"/>
      <c r="P16" s="68">
        <v>748.96559999999999</v>
      </c>
      <c r="Q16" s="68">
        <v>132.1704</v>
      </c>
      <c r="R16" s="68">
        <v>220.28400000000002</v>
      </c>
      <c r="S16" s="68">
        <v>11672.035714285714</v>
      </c>
      <c r="T16" s="68">
        <v>11601.495714285713</v>
      </c>
      <c r="U16" s="68">
        <v>1392.1794857142854</v>
      </c>
      <c r="V16" s="68">
        <v>12993.675199999998</v>
      </c>
      <c r="W16" s="68"/>
      <c r="X16" s="67">
        <v>505</v>
      </c>
      <c r="Y16" s="67"/>
      <c r="Z16" s="67">
        <v>760</v>
      </c>
      <c r="AA16" s="67">
        <v>245</v>
      </c>
      <c r="AB16" s="67"/>
      <c r="AC16" s="67"/>
      <c r="AD16" s="67"/>
      <c r="AE16" s="67"/>
      <c r="AF16" s="67"/>
      <c r="AG16" s="67"/>
      <c r="AH16" s="67"/>
      <c r="AI16" s="68"/>
      <c r="AJ16" s="65"/>
      <c r="AK16" s="65"/>
      <c r="AL16" s="68">
        <v>0</v>
      </c>
      <c r="AM16" s="68">
        <v>0</v>
      </c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8">
        <v>0</v>
      </c>
      <c r="BC16" s="82"/>
      <c r="BD16" s="83"/>
      <c r="BE16" s="83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3"/>
      <c r="BR16" s="83"/>
      <c r="BS16" s="83"/>
      <c r="BT16" s="83"/>
      <c r="BU16" s="83"/>
      <c r="BV16" s="83"/>
      <c r="BW16" s="83"/>
      <c r="BX16" s="83"/>
      <c r="BY16" s="83"/>
      <c r="BZ16" s="83"/>
      <c r="CA16" s="83"/>
      <c r="CB16" s="83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  <c r="DB16" s="27"/>
      <c r="DC16" s="27"/>
      <c r="DD16" s="27"/>
    </row>
    <row r="17" spans="1:1008" s="16" customFormat="1" x14ac:dyDescent="0.25">
      <c r="A17" s="81">
        <v>43837</v>
      </c>
      <c r="B17" s="61" t="s">
        <v>74</v>
      </c>
      <c r="C17" s="56">
        <v>12061</v>
      </c>
      <c r="D17" s="68"/>
      <c r="E17" s="68">
        <v>0.78000000000065484</v>
      </c>
      <c r="F17" s="56"/>
      <c r="G17" s="68">
        <v>210.61700999999996</v>
      </c>
      <c r="H17" s="68">
        <v>48.980699999999999</v>
      </c>
      <c r="I17" s="68">
        <v>9536.5422899999994</v>
      </c>
      <c r="J17" s="56">
        <v>21.25</v>
      </c>
      <c r="K17" s="56"/>
      <c r="L17" s="56"/>
      <c r="M17" s="56">
        <v>433.34</v>
      </c>
      <c r="N17" s="65"/>
      <c r="O17" s="65"/>
      <c r="P17" s="68">
        <v>1204.2392000000002</v>
      </c>
      <c r="Q17" s="68">
        <v>212.51280000000003</v>
      </c>
      <c r="R17" s="68">
        <v>354.18800000000005</v>
      </c>
      <c r="S17" s="68">
        <v>18339.294642857141</v>
      </c>
      <c r="T17" s="68">
        <v>17884.704642857141</v>
      </c>
      <c r="U17" s="68">
        <v>2146.1645571428567</v>
      </c>
      <c r="V17" s="68">
        <v>20030.869199999997</v>
      </c>
      <c r="W17" s="68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8">
        <v>0</v>
      </c>
      <c r="AJ17" s="65"/>
      <c r="AK17" s="65"/>
      <c r="AL17" s="68">
        <v>0</v>
      </c>
      <c r="AM17" s="68">
        <v>0</v>
      </c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8">
        <v>0</v>
      </c>
      <c r="BC17" s="82"/>
      <c r="BD17" s="83"/>
      <c r="BE17" s="83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3"/>
      <c r="BR17" s="83"/>
      <c r="BS17" s="83"/>
      <c r="BT17" s="83"/>
      <c r="BU17" s="83"/>
      <c r="BV17" s="83"/>
      <c r="BW17" s="83"/>
      <c r="BX17" s="83"/>
      <c r="BY17" s="83"/>
      <c r="BZ17" s="83"/>
      <c r="CA17" s="83"/>
      <c r="CB17" s="83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  <c r="DB17" s="27"/>
      <c r="DC17" s="27"/>
      <c r="DD17" s="27"/>
    </row>
    <row r="18" spans="1:1008" s="16" customFormat="1" x14ac:dyDescent="0.25">
      <c r="A18" s="81"/>
      <c r="B18" s="33" t="s">
        <v>76</v>
      </c>
      <c r="C18" s="56">
        <v>9701</v>
      </c>
      <c r="D18" s="68"/>
      <c r="E18" s="68">
        <v>0.25</v>
      </c>
      <c r="F18" s="56"/>
      <c r="G18" s="68">
        <v>91.970119999999994</v>
      </c>
      <c r="H18" s="68">
        <v>21.388400000000001</v>
      </c>
      <c r="I18" s="68">
        <v>4164.3214800000005</v>
      </c>
      <c r="J18" s="56">
        <v>28.75</v>
      </c>
      <c r="K18" s="56"/>
      <c r="L18" s="56"/>
      <c r="M18" s="56"/>
      <c r="N18" s="65"/>
      <c r="O18" s="65"/>
      <c r="P18" s="68">
        <v>705.28240000000005</v>
      </c>
      <c r="Q18" s="68">
        <v>124.46160000000002</v>
      </c>
      <c r="R18" s="68">
        <v>207.43600000000004</v>
      </c>
      <c r="S18" s="68">
        <v>11580.357142857141</v>
      </c>
      <c r="T18" s="68">
        <v>11551.607142857141</v>
      </c>
      <c r="U18" s="68">
        <v>1386.1928571428568</v>
      </c>
      <c r="V18" s="68">
        <v>12937.799999999997</v>
      </c>
      <c r="W18" s="68"/>
      <c r="X18" s="67">
        <v>175</v>
      </c>
      <c r="Y18" s="67">
        <v>1505</v>
      </c>
      <c r="Z18" s="67"/>
      <c r="AA18" s="67"/>
      <c r="AB18" s="67"/>
      <c r="AC18" s="67"/>
      <c r="AD18" s="67"/>
      <c r="AE18" s="67"/>
      <c r="AF18" s="67"/>
      <c r="AG18" s="67"/>
      <c r="AH18" s="67"/>
      <c r="AI18" s="68">
        <v>1680</v>
      </c>
      <c r="AJ18" s="65">
        <v>1995</v>
      </c>
      <c r="AK18" s="65"/>
      <c r="AL18" s="68">
        <v>0</v>
      </c>
      <c r="AM18" s="68">
        <v>0</v>
      </c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8">
        <v>3675</v>
      </c>
      <c r="BC18" s="82"/>
      <c r="BD18" s="83"/>
      <c r="BE18" s="83"/>
      <c r="BF18" s="83"/>
      <c r="BG18" s="83"/>
      <c r="BH18" s="83"/>
      <c r="BI18" s="83"/>
      <c r="BJ18" s="83"/>
      <c r="BK18" s="83"/>
      <c r="BL18" s="83"/>
      <c r="BM18" s="83"/>
      <c r="BN18" s="83"/>
      <c r="BO18" s="83"/>
      <c r="BP18" s="83"/>
      <c r="BQ18" s="83"/>
      <c r="BR18" s="83"/>
      <c r="BS18" s="83"/>
      <c r="BT18" s="83"/>
      <c r="BU18" s="83"/>
      <c r="BV18" s="83"/>
      <c r="BW18" s="83"/>
      <c r="BX18" s="83"/>
      <c r="BY18" s="83"/>
      <c r="BZ18" s="83"/>
      <c r="CA18" s="83"/>
      <c r="CB18" s="83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  <c r="DB18" s="27"/>
      <c r="DC18" s="27"/>
      <c r="DD18" s="27"/>
    </row>
    <row r="19" spans="1:1008" s="16" customFormat="1" x14ac:dyDescent="0.25">
      <c r="A19" s="81">
        <v>43838</v>
      </c>
      <c r="B19" s="61" t="s">
        <v>74</v>
      </c>
      <c r="C19" s="56">
        <v>16190</v>
      </c>
      <c r="D19" s="68">
        <v>0</v>
      </c>
      <c r="E19" s="68">
        <v>2.7399999999997817</v>
      </c>
      <c r="F19" s="56"/>
      <c r="G19" s="68">
        <v>119.58815999999999</v>
      </c>
      <c r="H19" s="68">
        <v>27.811199999999999</v>
      </c>
      <c r="I19" s="68">
        <v>5414.8406399999994</v>
      </c>
      <c r="J19" s="56">
        <v>52.5</v>
      </c>
      <c r="K19" s="56"/>
      <c r="L19" s="56"/>
      <c r="M19" s="56">
        <v>547.14</v>
      </c>
      <c r="N19" s="65" t="s">
        <v>77</v>
      </c>
      <c r="O19" s="65">
        <v>595</v>
      </c>
      <c r="P19" s="68">
        <v>1111.4124000000002</v>
      </c>
      <c r="Q19" s="68">
        <v>196.13160000000002</v>
      </c>
      <c r="R19" s="68">
        <v>326.88600000000002</v>
      </c>
      <c r="S19" s="68">
        <v>19026.526785714283</v>
      </c>
      <c r="T19" s="68">
        <v>18426.886785714283</v>
      </c>
      <c r="U19" s="68">
        <v>2211.2264142857139</v>
      </c>
      <c r="V19" s="68">
        <v>20638.113199999996</v>
      </c>
      <c r="W19" s="68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8">
        <v>0</v>
      </c>
      <c r="AJ19" s="65"/>
      <c r="AK19" s="65"/>
      <c r="AL19" s="68">
        <v>0</v>
      </c>
      <c r="AM19" s="68">
        <v>0</v>
      </c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8">
        <v>0</v>
      </c>
      <c r="BC19" s="82"/>
      <c r="BD19" s="83"/>
      <c r="BE19" s="83"/>
      <c r="BF19" s="83"/>
      <c r="BG19" s="83"/>
      <c r="BH19" s="83"/>
      <c r="BI19" s="83"/>
      <c r="BJ19" s="83"/>
      <c r="BK19" s="83"/>
      <c r="BL19" s="83"/>
      <c r="BM19" s="83"/>
      <c r="BN19" s="83"/>
      <c r="BO19" s="83"/>
      <c r="BP19" s="83"/>
      <c r="BQ19" s="83"/>
      <c r="BR19" s="83"/>
      <c r="BS19" s="83"/>
      <c r="BT19" s="83"/>
      <c r="BU19" s="83"/>
      <c r="BV19" s="83"/>
      <c r="BW19" s="83"/>
      <c r="BX19" s="83"/>
      <c r="BY19" s="83"/>
      <c r="BZ19" s="83"/>
      <c r="CA19" s="83"/>
      <c r="CB19" s="83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</row>
    <row r="20" spans="1:1008" s="16" customFormat="1" x14ac:dyDescent="0.25">
      <c r="A20" s="81"/>
      <c r="B20" s="33" t="s">
        <v>76</v>
      </c>
      <c r="C20" s="56">
        <v>13251</v>
      </c>
      <c r="D20" s="68">
        <v>0</v>
      </c>
      <c r="E20" s="68">
        <v>0.65999999999985448</v>
      </c>
      <c r="F20" s="56">
        <v>600</v>
      </c>
      <c r="G20" s="68">
        <v>194.32731999999999</v>
      </c>
      <c r="H20" s="68">
        <v>45.192399999999999</v>
      </c>
      <c r="I20" s="68">
        <v>8798.9602799999993</v>
      </c>
      <c r="J20" s="56">
        <v>224.25</v>
      </c>
      <c r="K20" s="56"/>
      <c r="L20" s="56"/>
      <c r="M20" s="56">
        <v>126.34</v>
      </c>
      <c r="N20" s="65" t="s">
        <v>77</v>
      </c>
      <c r="O20" s="65">
        <v>505</v>
      </c>
      <c r="P20" s="68">
        <v>1213.9428</v>
      </c>
      <c r="Q20" s="68">
        <v>214.2252</v>
      </c>
      <c r="R20" s="68">
        <v>357.04200000000003</v>
      </c>
      <c r="S20" s="68">
        <v>19606.428571428569</v>
      </c>
      <c r="T20" s="68">
        <v>19255.838571428569</v>
      </c>
      <c r="U20" s="68">
        <v>2310.7006285714283</v>
      </c>
      <c r="V20" s="68">
        <v>21566.539199999996</v>
      </c>
      <c r="W20" s="68"/>
      <c r="X20" s="67">
        <v>185</v>
      </c>
      <c r="Y20" s="67"/>
      <c r="Z20" s="67"/>
      <c r="AA20" s="67">
        <v>430</v>
      </c>
      <c r="AB20" s="67"/>
      <c r="AC20" s="67"/>
      <c r="AD20" s="67"/>
      <c r="AE20" s="67"/>
      <c r="AF20" s="67"/>
      <c r="AG20" s="67"/>
      <c r="AH20" s="67"/>
      <c r="AI20" s="68">
        <v>615</v>
      </c>
      <c r="AJ20" s="65"/>
      <c r="AK20" s="65">
        <v>0</v>
      </c>
      <c r="AL20" s="68">
        <v>0</v>
      </c>
      <c r="AM20" s="68">
        <v>0</v>
      </c>
      <c r="AN20" s="67">
        <v>0</v>
      </c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8">
        <v>615</v>
      </c>
      <c r="BC20" s="82"/>
      <c r="BD20" s="83"/>
      <c r="BE20" s="83"/>
      <c r="BF20" s="83"/>
      <c r="BG20" s="83"/>
      <c r="BH20" s="83"/>
      <c r="BI20" s="83"/>
      <c r="BJ20" s="83"/>
      <c r="BK20" s="83"/>
      <c r="BL20" s="83"/>
      <c r="BM20" s="83"/>
      <c r="BN20" s="83"/>
      <c r="BO20" s="83"/>
      <c r="BP20" s="83"/>
      <c r="BQ20" s="83"/>
      <c r="BR20" s="83"/>
      <c r="BS20" s="83"/>
      <c r="BT20" s="83"/>
      <c r="BU20" s="83"/>
      <c r="BV20" s="83"/>
      <c r="BW20" s="83"/>
      <c r="BX20" s="83"/>
      <c r="BY20" s="83"/>
      <c r="BZ20" s="83"/>
      <c r="CA20" s="83"/>
      <c r="CB20" s="83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</row>
    <row r="21" spans="1:1008" s="27" customFormat="1" x14ac:dyDescent="0.25">
      <c r="A21" s="81">
        <v>43839</v>
      </c>
      <c r="B21" s="61" t="s">
        <v>74</v>
      </c>
      <c r="C21" s="56">
        <v>15552</v>
      </c>
      <c r="D21" s="68">
        <v>0</v>
      </c>
      <c r="E21" s="68">
        <v>0.21999999999934516</v>
      </c>
      <c r="F21" s="56"/>
      <c r="G21" s="68">
        <v>172.51879499999998</v>
      </c>
      <c r="H21" s="68">
        <v>40.120650000000005</v>
      </c>
      <c r="I21" s="68">
        <v>7811.4905550000003</v>
      </c>
      <c r="J21" s="56">
        <v>84</v>
      </c>
      <c r="K21" s="56"/>
      <c r="L21" s="56"/>
      <c r="M21" s="56">
        <v>272.08999999999997</v>
      </c>
      <c r="N21" s="65" t="s">
        <v>77</v>
      </c>
      <c r="O21" s="65">
        <v>1170</v>
      </c>
      <c r="P21" s="68">
        <v>1179.9768000000001</v>
      </c>
      <c r="Q21" s="68">
        <v>208.2312</v>
      </c>
      <c r="R21" s="68">
        <v>347.05200000000002</v>
      </c>
      <c r="S21" s="68">
        <v>20863.160714285714</v>
      </c>
      <c r="T21" s="68">
        <v>20507.070714285714</v>
      </c>
      <c r="U21" s="68">
        <v>2460.8484857142857</v>
      </c>
      <c r="V21" s="68">
        <v>22967.9192</v>
      </c>
      <c r="W21" s="68"/>
      <c r="X21" s="67"/>
      <c r="Y21" s="67">
        <v>0</v>
      </c>
      <c r="Z21" s="67"/>
      <c r="AA21" s="67"/>
      <c r="AB21" s="67"/>
      <c r="AC21" s="67"/>
      <c r="AD21" s="67"/>
      <c r="AE21" s="67"/>
      <c r="AF21" s="67"/>
      <c r="AG21" s="67"/>
      <c r="AH21" s="67"/>
      <c r="AI21" s="68">
        <v>0</v>
      </c>
      <c r="AJ21" s="65"/>
      <c r="AK21" s="65"/>
      <c r="AL21" s="68">
        <v>0</v>
      </c>
      <c r="AM21" s="68">
        <v>0</v>
      </c>
      <c r="AN21" s="67"/>
      <c r="AO21" s="67"/>
      <c r="AP21" s="67"/>
      <c r="AQ21" s="67"/>
      <c r="AR21" s="67"/>
      <c r="AS21" s="67"/>
      <c r="AT21" s="67"/>
      <c r="AU21" s="67">
        <v>0</v>
      </c>
      <c r="AV21" s="67"/>
      <c r="AW21" s="67"/>
      <c r="AX21" s="67"/>
      <c r="AY21" s="67"/>
      <c r="AZ21" s="67"/>
      <c r="BA21" s="68">
        <v>0</v>
      </c>
      <c r="BB21" s="16"/>
      <c r="BC21" s="82"/>
      <c r="BD21" s="83"/>
      <c r="BE21" s="83"/>
      <c r="BF21" s="83"/>
      <c r="BG21" s="83"/>
      <c r="BH21" s="83"/>
      <c r="BI21" s="83"/>
      <c r="BJ21" s="83"/>
      <c r="BK21" s="83"/>
      <c r="BL21" s="83"/>
      <c r="BM21" s="83"/>
      <c r="BN21" s="83"/>
      <c r="BO21" s="83"/>
      <c r="BP21" s="83"/>
      <c r="BQ21" s="83"/>
      <c r="BR21" s="83"/>
      <c r="BS21" s="83"/>
      <c r="BT21" s="83"/>
      <c r="BU21" s="83"/>
      <c r="BV21" s="83"/>
      <c r="BW21" s="83"/>
      <c r="BX21" s="83"/>
      <c r="BY21" s="83"/>
      <c r="BZ21" s="83"/>
      <c r="CA21" s="83"/>
      <c r="CB21" s="83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</row>
    <row r="22" spans="1:1008" s="27" customFormat="1" x14ac:dyDescent="0.25">
      <c r="A22" s="81"/>
      <c r="B22" s="33" t="s">
        <v>76</v>
      </c>
      <c r="C22" s="56">
        <v>19490</v>
      </c>
      <c r="D22" s="68">
        <v>0</v>
      </c>
      <c r="E22" s="68">
        <v>4.0400000000008731</v>
      </c>
      <c r="F22" s="56"/>
      <c r="G22" s="68">
        <v>48.051424999999995</v>
      </c>
      <c r="H22" s="68">
        <v>11.17475</v>
      </c>
      <c r="I22" s="68">
        <v>2175.7238249999996</v>
      </c>
      <c r="J22" s="56">
        <v>80.2</v>
      </c>
      <c r="K22" s="56"/>
      <c r="L22" s="56"/>
      <c r="M22" s="56">
        <v>103.57</v>
      </c>
      <c r="N22" s="65" t="s">
        <v>77</v>
      </c>
      <c r="O22" s="65">
        <v>465</v>
      </c>
      <c r="P22" s="68">
        <v>1143.5016000000001</v>
      </c>
      <c r="Q22" s="68">
        <v>201.7944</v>
      </c>
      <c r="R22" s="68">
        <v>336.32400000000001</v>
      </c>
      <c r="S22" s="68">
        <v>18471.303571428569</v>
      </c>
      <c r="T22" s="68">
        <v>18287.533571428568</v>
      </c>
      <c r="U22" s="68">
        <v>2194.5040285714281</v>
      </c>
      <c r="V22" s="68">
        <v>20482.037599999996</v>
      </c>
      <c r="W22" s="68"/>
      <c r="X22" s="67">
        <v>230</v>
      </c>
      <c r="Y22" s="67"/>
      <c r="Z22" s="67" t="s">
        <v>79</v>
      </c>
      <c r="AA22" s="67">
        <v>335</v>
      </c>
      <c r="AB22" s="67"/>
      <c r="AC22" s="67"/>
      <c r="AD22" s="67"/>
      <c r="AE22" s="67"/>
      <c r="AF22" s="67"/>
      <c r="AG22" s="67"/>
      <c r="AH22" s="67"/>
      <c r="AI22" s="68">
        <v>565</v>
      </c>
      <c r="AJ22" s="65">
        <v>285</v>
      </c>
      <c r="AK22" s="65"/>
      <c r="AL22" s="68">
        <v>0</v>
      </c>
      <c r="AM22" s="68">
        <v>0</v>
      </c>
      <c r="AN22" s="67"/>
      <c r="AO22" s="67"/>
      <c r="AP22" s="67"/>
      <c r="AQ22" s="67"/>
      <c r="AR22" s="67"/>
      <c r="AS22" s="67"/>
      <c r="AT22" s="67"/>
      <c r="AU22" s="67">
        <v>0</v>
      </c>
      <c r="AV22" s="67"/>
      <c r="AW22" s="67"/>
      <c r="AX22" s="67"/>
      <c r="AY22" s="67"/>
      <c r="AZ22" s="67"/>
      <c r="BA22" s="68">
        <v>850</v>
      </c>
      <c r="BB22" s="16"/>
      <c r="BC22" s="82"/>
      <c r="BD22" s="83"/>
      <c r="BE22" s="83"/>
      <c r="BF22" s="83"/>
      <c r="BG22" s="83"/>
      <c r="BH22" s="83"/>
      <c r="BI22" s="83"/>
      <c r="BJ22" s="83"/>
      <c r="BK22" s="83"/>
      <c r="BL22" s="83"/>
      <c r="BM22" s="83"/>
      <c r="BN22" s="83"/>
      <c r="BO22" s="83"/>
      <c r="BP22" s="83"/>
      <c r="BQ22" s="83"/>
      <c r="BR22" s="83"/>
      <c r="BS22" s="83"/>
      <c r="BT22" s="83"/>
      <c r="BU22" s="83"/>
      <c r="BV22" s="83"/>
      <c r="BW22" s="83"/>
      <c r="BX22" s="83"/>
      <c r="BY22" s="83"/>
      <c r="BZ22" s="83"/>
      <c r="CA22" s="83"/>
      <c r="CB22" s="83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</row>
    <row r="23" spans="1:1008" s="27" customFormat="1" x14ac:dyDescent="0.25">
      <c r="A23" s="81">
        <v>43840</v>
      </c>
      <c r="B23" s="33" t="s">
        <v>74</v>
      </c>
      <c r="C23" s="56">
        <v>34418</v>
      </c>
      <c r="D23" s="68">
        <v>0.48999999999796273</v>
      </c>
      <c r="E23" s="68">
        <v>0</v>
      </c>
      <c r="F23" s="56"/>
      <c r="G23" s="68">
        <v>385.39609999999999</v>
      </c>
      <c r="H23" s="68">
        <v>89.62700000000001</v>
      </c>
      <c r="I23" s="68">
        <v>17450.376899999999</v>
      </c>
      <c r="J23" s="56"/>
      <c r="K23" s="56"/>
      <c r="L23" s="56"/>
      <c r="M23" s="56">
        <v>356.53</v>
      </c>
      <c r="N23" s="65"/>
      <c r="O23" s="65"/>
      <c r="P23" s="68">
        <v>2819.5111999999999</v>
      </c>
      <c r="Q23" s="68">
        <v>497.56079999999997</v>
      </c>
      <c r="R23" s="68">
        <v>829.26800000000003</v>
      </c>
      <c r="S23" s="68">
        <v>43351.857142857138</v>
      </c>
      <c r="T23" s="68">
        <v>42995.327142857139</v>
      </c>
      <c r="U23" s="68">
        <v>5159.4392571428561</v>
      </c>
      <c r="V23" s="68">
        <v>48154.766399999993</v>
      </c>
      <c r="W23" s="68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8">
        <v>0</v>
      </c>
      <c r="AJ23" s="65"/>
      <c r="AK23" s="65"/>
      <c r="AL23" s="68">
        <v>0</v>
      </c>
      <c r="AM23" s="68">
        <v>0</v>
      </c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8">
        <v>0</v>
      </c>
      <c r="BB23" s="16"/>
      <c r="BC23" s="82"/>
      <c r="BD23" s="83"/>
      <c r="BE23" s="83"/>
      <c r="BF23" s="83"/>
      <c r="BG23" s="83"/>
      <c r="BH23" s="83"/>
      <c r="BI23" s="83"/>
      <c r="BJ23" s="83"/>
      <c r="BK23" s="83"/>
      <c r="BL23" s="83"/>
      <c r="BM23" s="83"/>
      <c r="BN23" s="83"/>
      <c r="BO23" s="83"/>
      <c r="BP23" s="83"/>
      <c r="BQ23" s="83"/>
      <c r="BR23" s="83"/>
      <c r="BS23" s="83"/>
      <c r="BT23" s="83"/>
      <c r="BU23" s="83"/>
      <c r="BV23" s="83"/>
      <c r="BW23" s="83"/>
      <c r="BX23" s="83"/>
      <c r="BY23" s="83"/>
      <c r="BZ23" s="83"/>
      <c r="CA23" s="83"/>
      <c r="CB23" s="83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</row>
    <row r="24" spans="1:1008" s="27" customFormat="1" x14ac:dyDescent="0.25">
      <c r="A24" s="81"/>
      <c r="B24" s="33" t="s">
        <v>76</v>
      </c>
      <c r="C24" s="56">
        <v>16462</v>
      </c>
      <c r="D24" s="68">
        <v>0</v>
      </c>
      <c r="E24" s="68">
        <v>0.31999999999970896</v>
      </c>
      <c r="F24" s="56"/>
      <c r="G24" s="68">
        <v>216.51187999999996</v>
      </c>
      <c r="H24" s="68">
        <v>50.351599999999998</v>
      </c>
      <c r="I24" s="68">
        <v>9803.4565199999997</v>
      </c>
      <c r="J24" s="56">
        <v>60.5</v>
      </c>
      <c r="K24" s="56"/>
      <c r="L24" s="56"/>
      <c r="M24" s="56">
        <v>187.8</v>
      </c>
      <c r="N24" s="65" t="s">
        <v>77</v>
      </c>
      <c r="O24" s="65">
        <v>160</v>
      </c>
      <c r="P24" s="68">
        <v>1324.6196000000002</v>
      </c>
      <c r="Q24" s="68">
        <v>233.75640000000001</v>
      </c>
      <c r="R24" s="68">
        <v>389.59400000000005</v>
      </c>
      <c r="S24" s="68">
        <v>22314.580357142855</v>
      </c>
      <c r="T24" s="68">
        <v>22066.280357142856</v>
      </c>
      <c r="U24" s="68">
        <v>2647.9536428571428</v>
      </c>
      <c r="V24" s="68">
        <v>24714.233999999997</v>
      </c>
      <c r="W24" s="68"/>
      <c r="X24" s="67"/>
      <c r="Y24" s="67">
        <v>570</v>
      </c>
      <c r="Z24" s="67"/>
      <c r="AA24" s="67"/>
      <c r="AB24" s="67"/>
      <c r="AC24" s="67"/>
      <c r="AD24" s="67"/>
      <c r="AE24" s="67"/>
      <c r="AF24" s="67"/>
      <c r="AG24" s="67"/>
      <c r="AH24" s="67"/>
      <c r="AI24" s="68">
        <v>570</v>
      </c>
      <c r="AJ24" s="65">
        <v>515</v>
      </c>
      <c r="AK24" s="65">
        <v>0</v>
      </c>
      <c r="AL24" s="68">
        <v>0</v>
      </c>
      <c r="AM24" s="68">
        <v>0</v>
      </c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8">
        <v>1085</v>
      </c>
      <c r="BB24" s="16"/>
      <c r="BC24" s="82"/>
      <c r="BD24" s="83"/>
      <c r="BE24" s="83"/>
      <c r="BF24" s="83"/>
      <c r="BG24" s="83"/>
      <c r="BH24" s="83"/>
      <c r="BI24" s="83"/>
      <c r="BJ24" s="83"/>
      <c r="BK24" s="83"/>
      <c r="BL24" s="83"/>
      <c r="BM24" s="83"/>
      <c r="BN24" s="83"/>
      <c r="BO24" s="83"/>
      <c r="BP24" s="83"/>
      <c r="BQ24" s="83"/>
      <c r="BR24" s="83"/>
      <c r="BS24" s="83"/>
      <c r="BT24" s="83"/>
      <c r="BU24" s="83"/>
      <c r="BV24" s="83"/>
      <c r="BW24" s="83"/>
      <c r="BX24" s="83"/>
      <c r="BY24" s="83"/>
      <c r="BZ24" s="83"/>
      <c r="CA24" s="83"/>
      <c r="CB24" s="83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</row>
    <row r="25" spans="1:1008" s="27" customFormat="1" x14ac:dyDescent="0.25">
      <c r="A25" s="81">
        <v>43841</v>
      </c>
      <c r="B25" s="33" t="s">
        <v>74</v>
      </c>
      <c r="C25" s="56"/>
      <c r="D25" s="68">
        <v>0</v>
      </c>
      <c r="E25" s="68">
        <v>0</v>
      </c>
      <c r="F25" s="56"/>
      <c r="G25" s="68">
        <v>0</v>
      </c>
      <c r="H25" s="68">
        <v>0</v>
      </c>
      <c r="I25" s="68">
        <v>0</v>
      </c>
      <c r="J25" s="56"/>
      <c r="K25" s="56"/>
      <c r="L25" s="56"/>
      <c r="M25" s="56"/>
      <c r="N25" s="65"/>
      <c r="O25" s="65"/>
      <c r="P25" s="68">
        <v>0</v>
      </c>
      <c r="Q25" s="68">
        <v>0</v>
      </c>
      <c r="R25" s="68">
        <v>0</v>
      </c>
      <c r="S25" s="68"/>
      <c r="T25" s="68"/>
      <c r="U25" s="68"/>
      <c r="V25" s="68"/>
      <c r="W25" s="68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8">
        <v>0</v>
      </c>
      <c r="AJ25" s="65"/>
      <c r="AK25" s="65"/>
      <c r="AL25" s="68">
        <v>0</v>
      </c>
      <c r="AM25" s="68">
        <v>0</v>
      </c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8">
        <v>0</v>
      </c>
      <c r="BB25" s="16"/>
      <c r="BC25" s="82"/>
      <c r="BD25" s="83"/>
      <c r="BE25" s="83"/>
      <c r="BF25" s="83"/>
      <c r="BG25" s="83"/>
      <c r="BH25" s="83"/>
      <c r="BI25" s="83"/>
      <c r="BJ25" s="83"/>
      <c r="BK25" s="83"/>
      <c r="BL25" s="83"/>
      <c r="BM25" s="83"/>
      <c r="BN25" s="83"/>
      <c r="BO25" s="83"/>
      <c r="BP25" s="83"/>
      <c r="BQ25" s="83"/>
      <c r="BR25" s="83"/>
      <c r="BS25" s="83"/>
      <c r="BT25" s="83"/>
      <c r="BU25" s="83"/>
      <c r="BV25" s="83"/>
      <c r="BW25" s="83"/>
      <c r="BX25" s="83"/>
      <c r="BY25" s="83"/>
      <c r="BZ25" s="83"/>
      <c r="CA25" s="83"/>
      <c r="CB25" s="83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</row>
    <row r="26" spans="1:1008" s="27" customFormat="1" x14ac:dyDescent="0.25">
      <c r="A26" s="81"/>
      <c r="B26" s="33" t="s">
        <v>76</v>
      </c>
      <c r="C26" s="56">
        <v>1928</v>
      </c>
      <c r="D26" s="68">
        <v>0</v>
      </c>
      <c r="E26" s="68">
        <v>0.41000000000008185</v>
      </c>
      <c r="F26" s="56">
        <v>900</v>
      </c>
      <c r="G26" s="68">
        <v>27.255119999999998</v>
      </c>
      <c r="H26" s="68">
        <v>6.3384</v>
      </c>
      <c r="I26" s="68">
        <v>1234.0864799999999</v>
      </c>
      <c r="J26" s="56"/>
      <c r="K26" s="56"/>
      <c r="L26" s="56"/>
      <c r="M26" s="56">
        <v>132.13999999999999</v>
      </c>
      <c r="N26" s="65" t="s">
        <v>77</v>
      </c>
      <c r="O26" s="65">
        <v>945</v>
      </c>
      <c r="P26" s="68">
        <v>147.35599999999999</v>
      </c>
      <c r="Q26" s="68">
        <v>26.004000000000001</v>
      </c>
      <c r="R26" s="68">
        <v>43.34</v>
      </c>
      <c r="S26" s="68">
        <v>4424.7410714285706</v>
      </c>
      <c r="T26" s="68">
        <v>4292.6010714285703</v>
      </c>
      <c r="U26" s="68">
        <v>515.11212857142846</v>
      </c>
      <c r="V26" s="68">
        <v>4807.7131999999983</v>
      </c>
      <c r="W26" s="68"/>
      <c r="X26" s="67"/>
      <c r="Y26" s="67"/>
      <c r="Z26" s="67">
        <v>1060</v>
      </c>
      <c r="AA26" s="67"/>
      <c r="AB26" s="67"/>
      <c r="AC26" s="67"/>
      <c r="AD26" s="67"/>
      <c r="AE26" s="67"/>
      <c r="AF26" s="67"/>
      <c r="AG26" s="67"/>
      <c r="AH26" s="67"/>
      <c r="AI26" s="68">
        <v>1060</v>
      </c>
      <c r="AJ26" s="65"/>
      <c r="AK26" s="65"/>
      <c r="AL26" s="68"/>
      <c r="AM26" s="68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8">
        <v>1060</v>
      </c>
      <c r="BB26" s="16"/>
      <c r="BC26" s="82"/>
      <c r="BD26" s="83"/>
      <c r="BE26" s="83"/>
      <c r="BF26" s="83"/>
      <c r="BG26" s="83"/>
      <c r="BH26" s="83"/>
      <c r="BI26" s="83"/>
      <c r="BJ26" s="83"/>
      <c r="BK26" s="83"/>
      <c r="BL26" s="83"/>
      <c r="BM26" s="83"/>
      <c r="BN26" s="83"/>
      <c r="BO26" s="83"/>
      <c r="BP26" s="83"/>
      <c r="BQ26" s="83"/>
      <c r="BR26" s="83"/>
      <c r="BS26" s="83"/>
      <c r="BT26" s="83"/>
      <c r="BU26" s="83"/>
      <c r="BV26" s="83"/>
      <c r="BW26" s="83"/>
      <c r="BX26" s="83"/>
      <c r="BY26" s="83"/>
      <c r="BZ26" s="83"/>
      <c r="CA26" s="83"/>
      <c r="CB26" s="83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</row>
    <row r="27" spans="1:1008" s="27" customFormat="1" x14ac:dyDescent="0.25">
      <c r="A27" s="81">
        <v>43844</v>
      </c>
      <c r="B27" s="33" t="s">
        <v>74</v>
      </c>
      <c r="C27" s="56">
        <v>16680</v>
      </c>
      <c r="D27" s="68">
        <v>0</v>
      </c>
      <c r="E27" s="68">
        <v>1.9199999999982538</v>
      </c>
      <c r="F27" s="56"/>
      <c r="G27" s="68">
        <v>288.39175499999999</v>
      </c>
      <c r="H27" s="68">
        <v>67.067849999999993</v>
      </c>
      <c r="I27" s="68">
        <v>13058.110395</v>
      </c>
      <c r="J27" s="56"/>
      <c r="K27" s="56"/>
      <c r="L27" s="56"/>
      <c r="M27" s="56">
        <v>649.09</v>
      </c>
      <c r="N27" s="65" t="s">
        <v>77</v>
      </c>
      <c r="O27" s="65">
        <v>480</v>
      </c>
      <c r="P27" s="68">
        <v>1598.1359999999997</v>
      </c>
      <c r="Q27" s="68">
        <v>282.02399999999994</v>
      </c>
      <c r="R27" s="68">
        <v>470.03999999999996</v>
      </c>
      <c r="S27" s="68">
        <v>25777.267857142855</v>
      </c>
      <c r="T27" s="68">
        <v>25128.177857142855</v>
      </c>
      <c r="U27" s="68">
        <v>3015.3813428571425</v>
      </c>
      <c r="V27" s="68">
        <v>28143.559199999996</v>
      </c>
      <c r="W27" s="68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8">
        <v>0</v>
      </c>
      <c r="AJ27" s="65"/>
      <c r="AK27" s="65"/>
      <c r="AL27" s="68">
        <v>0</v>
      </c>
      <c r="AM27" s="68">
        <v>0</v>
      </c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8">
        <v>0</v>
      </c>
      <c r="BB27" s="16"/>
      <c r="BC27" s="82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</row>
    <row r="28" spans="1:1008" s="27" customFormat="1" x14ac:dyDescent="0.25">
      <c r="A28" s="81"/>
      <c r="B28" s="33" t="s">
        <v>76</v>
      </c>
      <c r="C28" s="56">
        <v>10135</v>
      </c>
      <c r="D28" s="68">
        <v>0</v>
      </c>
      <c r="E28" s="68">
        <v>8.2900000000008731</v>
      </c>
      <c r="F28" s="56">
        <v>300</v>
      </c>
      <c r="G28" s="68">
        <v>154.061905</v>
      </c>
      <c r="H28" s="68">
        <v>35.82835</v>
      </c>
      <c r="I28" s="68">
        <v>6975.7797450000007</v>
      </c>
      <c r="J28" s="56"/>
      <c r="K28" s="56">
        <v>82</v>
      </c>
      <c r="L28" s="56"/>
      <c r="M28" s="56">
        <v>167.86</v>
      </c>
      <c r="N28" s="65"/>
      <c r="O28" s="65"/>
      <c r="P28" s="68">
        <v>906.40600000000006</v>
      </c>
      <c r="Q28" s="68">
        <v>159.95400000000001</v>
      </c>
      <c r="R28" s="68">
        <v>266.59000000000003</v>
      </c>
      <c r="S28" s="68">
        <v>14722.580357142857</v>
      </c>
      <c r="T28" s="68">
        <v>14472.720357142856</v>
      </c>
      <c r="U28" s="68">
        <v>1736.7264428571427</v>
      </c>
      <c r="V28" s="68">
        <v>16209.4468</v>
      </c>
      <c r="W28" s="68"/>
      <c r="X28" s="67">
        <v>565</v>
      </c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8">
        <v>565</v>
      </c>
      <c r="AJ28" s="65"/>
      <c r="AK28" s="65"/>
      <c r="AL28" s="68">
        <v>0</v>
      </c>
      <c r="AM28" s="68">
        <v>0</v>
      </c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8">
        <v>565</v>
      </c>
      <c r="BB28" s="16"/>
      <c r="BC28" s="82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  <c r="BP28" s="83"/>
      <c r="BQ28" s="83"/>
      <c r="BR28" s="83"/>
      <c r="BS28" s="83"/>
      <c r="BT28" s="83"/>
      <c r="BU28" s="83"/>
      <c r="BV28" s="83"/>
      <c r="BW28" s="83"/>
      <c r="BX28" s="83"/>
      <c r="BY28" s="83"/>
      <c r="BZ28" s="83"/>
      <c r="CA28" s="83"/>
      <c r="CB28" s="83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</row>
    <row r="29" spans="1:1008" s="27" customFormat="1" x14ac:dyDescent="0.25">
      <c r="A29" s="81">
        <v>43845</v>
      </c>
      <c r="B29" s="33" t="s">
        <v>74</v>
      </c>
      <c r="C29" s="56">
        <v>18820</v>
      </c>
      <c r="D29" s="68">
        <v>0</v>
      </c>
      <c r="E29" s="68">
        <v>5.069999999999709</v>
      </c>
      <c r="F29" s="56"/>
      <c r="G29" s="68">
        <v>115.17420999999999</v>
      </c>
      <c r="H29" s="68">
        <v>26.784699999999997</v>
      </c>
      <c r="I29" s="68">
        <v>5214.9810899999993</v>
      </c>
      <c r="J29" s="56">
        <v>84.5</v>
      </c>
      <c r="K29" s="56"/>
      <c r="L29" s="56"/>
      <c r="M29" s="56">
        <v>328.41</v>
      </c>
      <c r="N29" s="65"/>
      <c r="O29" s="65"/>
      <c r="P29" s="68">
        <v>1266.0511999999999</v>
      </c>
      <c r="Q29" s="68">
        <v>223.42079999999999</v>
      </c>
      <c r="R29" s="68">
        <v>372.36799999999999</v>
      </c>
      <c r="S29" s="68">
        <v>20288.339285714283</v>
      </c>
      <c r="T29" s="68">
        <v>19875.429285714283</v>
      </c>
      <c r="U29" s="68">
        <v>2385.0515142857139</v>
      </c>
      <c r="V29" s="68">
        <v>22260.480799999998</v>
      </c>
      <c r="W29" s="68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8">
        <v>0</v>
      </c>
      <c r="AJ29" s="65"/>
      <c r="AK29" s="65"/>
      <c r="AL29" s="68">
        <v>0</v>
      </c>
      <c r="AM29" s="68">
        <v>0</v>
      </c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8">
        <v>0</v>
      </c>
      <c r="BB29" s="16"/>
      <c r="BC29" s="82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  <c r="BP29" s="83"/>
      <c r="BQ29" s="83"/>
      <c r="BR29" s="83"/>
      <c r="BS29" s="83"/>
      <c r="BT29" s="83"/>
      <c r="BU29" s="83"/>
      <c r="BV29" s="83"/>
      <c r="BW29" s="83"/>
      <c r="BX29" s="83"/>
      <c r="BY29" s="83"/>
      <c r="BZ29" s="83"/>
      <c r="CA29" s="83"/>
      <c r="CB29" s="83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</row>
    <row r="30" spans="1:1008" s="27" customFormat="1" x14ac:dyDescent="0.25">
      <c r="A30" s="81"/>
      <c r="B30" s="33" t="s">
        <v>76</v>
      </c>
      <c r="C30" s="56">
        <v>19380</v>
      </c>
      <c r="D30" s="68">
        <v>0</v>
      </c>
      <c r="E30" s="68">
        <v>0.18999999999869033</v>
      </c>
      <c r="F30" s="56"/>
      <c r="G30" s="68">
        <v>121.73493499999999</v>
      </c>
      <c r="H30" s="68">
        <v>28.310450000000003</v>
      </c>
      <c r="I30" s="68">
        <v>5512.0446149999998</v>
      </c>
      <c r="J30" s="56">
        <v>104</v>
      </c>
      <c r="K30" s="56"/>
      <c r="L30" s="56"/>
      <c r="M30" s="56">
        <v>299.11</v>
      </c>
      <c r="N30" s="65"/>
      <c r="O30" s="65"/>
      <c r="P30" s="68">
        <v>1312.0396000000001</v>
      </c>
      <c r="Q30" s="68">
        <v>231.53639999999999</v>
      </c>
      <c r="R30" s="68">
        <v>385.89400000000001</v>
      </c>
      <c r="S30" s="68">
        <v>20996.017857142851</v>
      </c>
      <c r="T30" s="68">
        <v>20592.907857142851</v>
      </c>
      <c r="U30" s="68">
        <v>2471.1489428571422</v>
      </c>
      <c r="V30" s="68">
        <v>23064.056799999991</v>
      </c>
      <c r="W30" s="68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8">
        <v>0</v>
      </c>
      <c r="AJ30" s="65">
        <v>2260</v>
      </c>
      <c r="AK30" s="65"/>
      <c r="AL30" s="68"/>
      <c r="AM30" s="68"/>
      <c r="AN30" s="67"/>
      <c r="AO30" s="67">
        <v>0</v>
      </c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8">
        <v>2260</v>
      </c>
      <c r="BB30" s="16"/>
      <c r="BC30" s="82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  <c r="BP30" s="83"/>
      <c r="BQ30" s="83"/>
      <c r="BR30" s="83"/>
      <c r="BS30" s="83"/>
      <c r="BT30" s="83"/>
      <c r="BU30" s="83"/>
      <c r="BV30" s="83"/>
      <c r="BW30" s="83"/>
      <c r="BX30" s="83"/>
      <c r="BY30" s="83"/>
      <c r="BZ30" s="83"/>
      <c r="CA30" s="83"/>
      <c r="CB30" s="83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</row>
    <row r="31" spans="1:1008" s="27" customFormat="1" x14ac:dyDescent="0.25">
      <c r="A31" s="81">
        <v>43846</v>
      </c>
      <c r="B31" s="33" t="s">
        <v>74</v>
      </c>
      <c r="C31" s="56">
        <v>27610</v>
      </c>
      <c r="D31" s="68">
        <v>0</v>
      </c>
      <c r="E31" s="68">
        <v>0.86000000000058208</v>
      </c>
      <c r="F31" s="56"/>
      <c r="G31" s="68">
        <v>157.04653499999998</v>
      </c>
      <c r="H31" s="68">
        <v>36.522449999999999</v>
      </c>
      <c r="I31" s="68">
        <v>7110.921014999999</v>
      </c>
      <c r="J31" s="56">
        <v>91</v>
      </c>
      <c r="K31" s="56"/>
      <c r="L31" s="56"/>
      <c r="M31" s="56">
        <v>444.26</v>
      </c>
      <c r="N31" s="65"/>
      <c r="O31" s="65"/>
      <c r="P31" s="68">
        <v>1861.4592000000002</v>
      </c>
      <c r="Q31" s="68">
        <v>328.49280000000005</v>
      </c>
      <c r="R31" s="68">
        <v>547.48800000000006</v>
      </c>
      <c r="S31" s="68">
        <v>29206.651785714283</v>
      </c>
      <c r="T31" s="68">
        <v>28671.391785714284</v>
      </c>
      <c r="U31" s="68">
        <v>3440.5670142857139</v>
      </c>
      <c r="V31" s="68">
        <v>32111.958799999997</v>
      </c>
      <c r="W31" s="68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8">
        <v>0</v>
      </c>
      <c r="AJ31" s="65"/>
      <c r="AK31" s="65"/>
      <c r="AL31" s="68">
        <v>0</v>
      </c>
      <c r="AM31" s="68">
        <v>0</v>
      </c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8">
        <v>0</v>
      </c>
      <c r="BB31" s="16"/>
      <c r="BC31" s="82"/>
      <c r="BD31" s="83"/>
      <c r="BE31" s="83"/>
      <c r="BF31" s="83"/>
      <c r="BG31" s="83"/>
      <c r="BH31" s="83"/>
      <c r="BI31" s="83"/>
      <c r="BJ31" s="83"/>
      <c r="BK31" s="83"/>
      <c r="BL31" s="83"/>
      <c r="BM31" s="83"/>
      <c r="BN31" s="83"/>
      <c r="BO31" s="83"/>
      <c r="BP31" s="83"/>
      <c r="BQ31" s="83"/>
      <c r="BR31" s="83"/>
      <c r="BS31" s="83"/>
      <c r="BT31" s="83"/>
      <c r="BU31" s="83"/>
      <c r="BV31" s="83"/>
      <c r="BW31" s="83"/>
      <c r="BX31" s="83"/>
      <c r="BY31" s="83"/>
      <c r="BZ31" s="83"/>
      <c r="CA31" s="83"/>
      <c r="CB31" s="83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</row>
    <row r="32" spans="1:1008" s="27" customFormat="1" x14ac:dyDescent="0.25">
      <c r="A32" s="81"/>
      <c r="B32" s="33" t="s">
        <v>76</v>
      </c>
      <c r="C32" s="56">
        <v>14282</v>
      </c>
      <c r="D32" s="68">
        <v>0</v>
      </c>
      <c r="E32" s="68">
        <v>0.95999999999912689</v>
      </c>
      <c r="F32" s="56"/>
      <c r="G32" s="68">
        <v>314.75419499999998</v>
      </c>
      <c r="H32" s="68">
        <v>73.198650000000001</v>
      </c>
      <c r="I32" s="68">
        <v>14251.777155</v>
      </c>
      <c r="J32" s="56">
        <v>85.25</v>
      </c>
      <c r="K32" s="56"/>
      <c r="L32" s="56"/>
      <c r="M32" s="56">
        <v>100.9</v>
      </c>
      <c r="N32" s="65"/>
      <c r="O32" s="65"/>
      <c r="P32" s="68">
        <v>1556.826</v>
      </c>
      <c r="Q32" s="68">
        <v>274.73399999999998</v>
      </c>
      <c r="R32" s="68">
        <v>457.89</v>
      </c>
      <c r="S32" s="68">
        <v>23944.169642857138</v>
      </c>
      <c r="T32" s="68">
        <v>23758.019642857136</v>
      </c>
      <c r="U32" s="68">
        <v>2850.962357142856</v>
      </c>
      <c r="V32" s="68">
        <v>26608.981999999993</v>
      </c>
      <c r="W32" s="68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8">
        <v>0</v>
      </c>
      <c r="AJ32" s="65"/>
      <c r="AK32" s="65"/>
      <c r="AL32" s="68">
        <v>0</v>
      </c>
      <c r="AM32" s="68">
        <v>0</v>
      </c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8">
        <v>0</v>
      </c>
      <c r="BB32" s="16"/>
      <c r="BC32" s="82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  <c r="BP32" s="83"/>
      <c r="BQ32" s="83"/>
      <c r="BR32" s="83"/>
      <c r="BS32" s="83"/>
      <c r="BT32" s="83"/>
      <c r="BU32" s="83"/>
      <c r="BV32" s="83"/>
      <c r="BW32" s="83"/>
      <c r="BX32" s="83"/>
      <c r="BY32" s="83"/>
      <c r="BZ32" s="83"/>
      <c r="CA32" s="83"/>
      <c r="CB32" s="83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</row>
    <row r="33" spans="1:1008" s="27" customFormat="1" x14ac:dyDescent="0.25">
      <c r="A33" s="81">
        <v>43847</v>
      </c>
      <c r="B33" s="33" t="s">
        <v>74</v>
      </c>
      <c r="C33" s="56">
        <v>28255</v>
      </c>
      <c r="D33" s="68"/>
      <c r="E33" s="68">
        <v>1.8300000000017462</v>
      </c>
      <c r="F33" s="56"/>
      <c r="G33" s="68">
        <v>328.92312499999997</v>
      </c>
      <c r="H33" s="68">
        <v>76.493750000000006</v>
      </c>
      <c r="I33" s="68">
        <v>14893.333125000001</v>
      </c>
      <c r="J33" s="56"/>
      <c r="K33" s="56"/>
      <c r="L33" s="56"/>
      <c r="M33" s="56">
        <v>542.08000000000004</v>
      </c>
      <c r="N33" s="65"/>
      <c r="O33" s="65"/>
      <c r="P33" s="68">
        <v>2325.7768000000005</v>
      </c>
      <c r="Q33" s="68">
        <v>410.43120000000005</v>
      </c>
      <c r="R33" s="68">
        <v>684.05200000000013</v>
      </c>
      <c r="S33" s="68">
        <v>36315.839285714283</v>
      </c>
      <c r="T33" s="68">
        <v>35773.759285714281</v>
      </c>
      <c r="U33" s="68">
        <v>4292.8511142857133</v>
      </c>
      <c r="V33" s="68">
        <v>40066.61039999999</v>
      </c>
      <c r="W33" s="68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>
        <v>0</v>
      </c>
      <c r="AJ33" s="65"/>
      <c r="AK33" s="65"/>
      <c r="AL33" s="68">
        <v>0</v>
      </c>
      <c r="AM33" s="68">
        <v>0</v>
      </c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8">
        <v>0</v>
      </c>
      <c r="BB33" s="16"/>
      <c r="BC33" s="82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  <c r="BP33" s="83"/>
      <c r="BQ33" s="83"/>
      <c r="BR33" s="83"/>
      <c r="BS33" s="83"/>
      <c r="BT33" s="83"/>
      <c r="BU33" s="83"/>
      <c r="BV33" s="83"/>
      <c r="BW33" s="83"/>
      <c r="BX33" s="83"/>
      <c r="BY33" s="83"/>
      <c r="BZ33" s="83"/>
      <c r="CA33" s="83"/>
      <c r="CB33" s="83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</row>
    <row r="34" spans="1:1008" s="27" customFormat="1" x14ac:dyDescent="0.25">
      <c r="A34" s="81"/>
      <c r="B34" s="33" t="s">
        <v>76</v>
      </c>
      <c r="C34" s="56">
        <v>23530</v>
      </c>
      <c r="D34" s="68"/>
      <c r="E34" s="68">
        <v>5.9000000000014552</v>
      </c>
      <c r="F34" s="56"/>
      <c r="G34" s="68">
        <v>212.66574499999999</v>
      </c>
      <c r="H34" s="68">
        <v>49.457150000000006</v>
      </c>
      <c r="I34" s="68">
        <v>9629.3071049999999</v>
      </c>
      <c r="J34" s="56">
        <v>180.75</v>
      </c>
      <c r="K34" s="56"/>
      <c r="L34" s="56"/>
      <c r="M34" s="56">
        <v>143.9</v>
      </c>
      <c r="N34" s="65" t="s">
        <v>77</v>
      </c>
      <c r="O34" s="65">
        <v>1080</v>
      </c>
      <c r="P34" s="68">
        <v>1840.4335999999998</v>
      </c>
      <c r="Q34" s="68">
        <v>324.7824</v>
      </c>
      <c r="R34" s="68">
        <v>541.30399999999997</v>
      </c>
      <c r="S34" s="68">
        <v>28672.91071428571</v>
      </c>
      <c r="T34" s="68">
        <v>28348.260714285709</v>
      </c>
      <c r="U34" s="68">
        <v>3401.7912857142851</v>
      </c>
      <c r="V34" s="68">
        <v>31750.051999999992</v>
      </c>
      <c r="W34" s="68"/>
      <c r="X34" s="67">
        <v>430</v>
      </c>
      <c r="Y34" s="67"/>
      <c r="Z34" s="67"/>
      <c r="AA34" s="67">
        <v>755</v>
      </c>
      <c r="AB34" s="67"/>
      <c r="AC34" s="67"/>
      <c r="AD34" s="67"/>
      <c r="AE34" s="67"/>
      <c r="AF34" s="67"/>
      <c r="AG34" s="67"/>
      <c r="AH34" s="67"/>
      <c r="AI34" s="68">
        <v>1185</v>
      </c>
      <c r="AJ34" s="65">
        <v>195</v>
      </c>
      <c r="AK34" s="65"/>
      <c r="AL34" s="68"/>
      <c r="AM34" s="68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8">
        <v>1380</v>
      </c>
      <c r="BB34" s="16"/>
      <c r="BC34" s="82"/>
      <c r="BD34" s="83"/>
      <c r="BE34" s="83"/>
      <c r="BF34" s="83"/>
      <c r="BG34" s="83"/>
      <c r="BH34" s="83"/>
      <c r="BI34" s="83"/>
      <c r="BJ34" s="83"/>
      <c r="BK34" s="83"/>
      <c r="BL34" s="83"/>
      <c r="BM34" s="83"/>
      <c r="BN34" s="83"/>
      <c r="BO34" s="83"/>
      <c r="BP34" s="83"/>
      <c r="BQ34" s="83"/>
      <c r="BR34" s="83"/>
      <c r="BS34" s="83"/>
      <c r="BT34" s="83"/>
      <c r="BU34" s="83"/>
      <c r="BV34" s="83"/>
      <c r="BW34" s="83"/>
      <c r="BX34" s="83"/>
      <c r="BY34" s="83"/>
      <c r="BZ34" s="83"/>
      <c r="CA34" s="83"/>
      <c r="CB34" s="83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</row>
    <row r="35" spans="1:1008" s="27" customFormat="1" x14ac:dyDescent="0.25">
      <c r="A35" s="81">
        <v>43848</v>
      </c>
      <c r="B35" s="33" t="s">
        <v>74</v>
      </c>
      <c r="C35" s="56"/>
      <c r="D35" s="68"/>
      <c r="E35" s="68">
        <v>0</v>
      </c>
      <c r="F35" s="56"/>
      <c r="G35" s="68">
        <v>0</v>
      </c>
      <c r="H35" s="68">
        <v>0</v>
      </c>
      <c r="I35" s="68">
        <v>0</v>
      </c>
      <c r="J35" s="56"/>
      <c r="K35" s="56"/>
      <c r="L35" s="56"/>
      <c r="M35" s="56"/>
      <c r="N35" s="65"/>
      <c r="O35" s="65"/>
      <c r="P35" s="68">
        <v>0</v>
      </c>
      <c r="Q35" s="68">
        <v>0</v>
      </c>
      <c r="R35" s="68">
        <v>0</v>
      </c>
      <c r="S35" s="68"/>
      <c r="T35" s="68"/>
      <c r="U35" s="68"/>
      <c r="V35" s="68"/>
      <c r="W35" s="68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>
        <v>0</v>
      </c>
      <c r="AJ35" s="65"/>
      <c r="AK35" s="65"/>
      <c r="AL35" s="68">
        <v>0</v>
      </c>
      <c r="AM35" s="68">
        <v>0</v>
      </c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8">
        <v>0</v>
      </c>
      <c r="BB35" s="16"/>
      <c r="BC35" s="82"/>
      <c r="BD35" s="83"/>
      <c r="BE35" s="83"/>
      <c r="BF35" s="83"/>
      <c r="BG35" s="83"/>
      <c r="BH35" s="83"/>
      <c r="BI35" s="83"/>
      <c r="BJ35" s="83"/>
      <c r="BK35" s="83"/>
      <c r="BL35" s="83"/>
      <c r="BM35" s="83"/>
      <c r="BN35" s="83"/>
      <c r="BO35" s="83"/>
      <c r="BP35" s="83"/>
      <c r="BQ35" s="83"/>
      <c r="BR35" s="83"/>
      <c r="BS35" s="83"/>
      <c r="BT35" s="83"/>
      <c r="BU35" s="83"/>
      <c r="BV35" s="83"/>
      <c r="BW35" s="83"/>
      <c r="BX35" s="83"/>
      <c r="BY35" s="83"/>
      <c r="BZ35" s="83"/>
      <c r="CA35" s="83"/>
      <c r="CB35" s="83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</row>
    <row r="36" spans="1:1008" s="27" customFormat="1" x14ac:dyDescent="0.25">
      <c r="A36" s="81"/>
      <c r="B36" s="33" t="s">
        <v>76</v>
      </c>
      <c r="C36" s="56">
        <v>5380</v>
      </c>
      <c r="D36" s="68"/>
      <c r="E36" s="68">
        <v>0</v>
      </c>
      <c r="F36" s="56">
        <v>300</v>
      </c>
      <c r="G36" s="68">
        <v>88.67846999999999</v>
      </c>
      <c r="H36" s="68">
        <v>20.622900000000001</v>
      </c>
      <c r="I36" s="68">
        <v>4015.2786300000002</v>
      </c>
      <c r="J36" s="56">
        <v>33.5</v>
      </c>
      <c r="K36" s="56"/>
      <c r="L36" s="56"/>
      <c r="M36" s="56">
        <v>65.63</v>
      </c>
      <c r="N36" s="65" t="s">
        <v>77</v>
      </c>
      <c r="O36" s="65">
        <v>510</v>
      </c>
      <c r="P36" s="68">
        <v>464.6508</v>
      </c>
      <c r="Q36" s="68">
        <v>81.997200000000007</v>
      </c>
      <c r="R36" s="68">
        <v>136.66200000000001</v>
      </c>
      <c r="S36" s="68">
        <v>8688.0625</v>
      </c>
      <c r="T36" s="68">
        <v>8588.9325000000008</v>
      </c>
      <c r="U36" s="68">
        <v>1030.6719000000001</v>
      </c>
      <c r="V36" s="68">
        <v>9619.6044000000002</v>
      </c>
      <c r="W36" s="68"/>
      <c r="X36" s="67">
        <v>270</v>
      </c>
      <c r="Y36" s="67">
        <v>0</v>
      </c>
      <c r="Z36" s="67"/>
      <c r="AA36" s="67"/>
      <c r="AB36" s="67"/>
      <c r="AC36" s="67"/>
      <c r="AD36" s="67"/>
      <c r="AE36" s="67"/>
      <c r="AF36" s="67"/>
      <c r="AG36" s="67"/>
      <c r="AH36" s="67"/>
      <c r="AI36" s="68">
        <v>270</v>
      </c>
      <c r="AJ36" s="65"/>
      <c r="AK36" s="65"/>
      <c r="AL36" s="68"/>
      <c r="AM36" s="68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8">
        <v>270</v>
      </c>
      <c r="BB36" s="16"/>
      <c r="BC36" s="82"/>
      <c r="BD36" s="83"/>
      <c r="BE36" s="83"/>
      <c r="BF36" s="83"/>
      <c r="BG36" s="83"/>
      <c r="BH36" s="83"/>
      <c r="BI36" s="83"/>
      <c r="BJ36" s="83"/>
      <c r="BK36" s="83"/>
      <c r="BL36" s="83"/>
      <c r="BM36" s="83"/>
      <c r="BN36" s="83"/>
      <c r="BO36" s="83"/>
      <c r="BP36" s="83"/>
      <c r="BQ36" s="83"/>
      <c r="BR36" s="83"/>
      <c r="BS36" s="83"/>
      <c r="BT36" s="83"/>
      <c r="BU36" s="83"/>
      <c r="BV36" s="83"/>
      <c r="BW36" s="83"/>
      <c r="BX36" s="83"/>
      <c r="BY36" s="83"/>
      <c r="BZ36" s="83"/>
      <c r="CA36" s="83"/>
      <c r="CB36" s="83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</row>
    <row r="37" spans="1:1008" s="27" customFormat="1" x14ac:dyDescent="0.25">
      <c r="A37" s="81">
        <v>43850</v>
      </c>
      <c r="B37" s="33" t="s">
        <v>74</v>
      </c>
      <c r="C37" s="56">
        <v>15475</v>
      </c>
      <c r="D37" s="68">
        <v>0</v>
      </c>
      <c r="E37" s="68">
        <v>2.2900000000008731</v>
      </c>
      <c r="F37" s="56"/>
      <c r="G37" s="68">
        <v>219.66012499999999</v>
      </c>
      <c r="H37" s="68">
        <v>51.083750000000002</v>
      </c>
      <c r="I37" s="68">
        <v>9946.0061249999999</v>
      </c>
      <c r="J37" s="56">
        <v>298.25</v>
      </c>
      <c r="K37" s="56"/>
      <c r="L37" s="56"/>
      <c r="M37" s="56">
        <v>179.02</v>
      </c>
      <c r="N37" s="65" t="s">
        <v>77</v>
      </c>
      <c r="O37" s="65">
        <v>355</v>
      </c>
      <c r="P37" s="68">
        <v>1400.2151999999999</v>
      </c>
      <c r="Q37" s="68">
        <v>247.09679999999997</v>
      </c>
      <c r="R37" s="68">
        <v>411.82799999999997</v>
      </c>
      <c r="S37" s="68">
        <v>21841.598214285714</v>
      </c>
      <c r="T37" s="68">
        <v>21364.328214285713</v>
      </c>
      <c r="U37" s="68">
        <v>2563.7193857142856</v>
      </c>
      <c r="V37" s="68">
        <v>23928.047599999998</v>
      </c>
      <c r="W37" s="68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>
        <v>0</v>
      </c>
      <c r="AJ37" s="65"/>
      <c r="AK37" s="65"/>
      <c r="AL37" s="68">
        <v>0</v>
      </c>
      <c r="AM37" s="68">
        <v>0</v>
      </c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8">
        <v>0</v>
      </c>
      <c r="BB37" s="16"/>
      <c r="BC37" s="82"/>
      <c r="BD37" s="83"/>
      <c r="BE37" s="83"/>
      <c r="BF37" s="83"/>
      <c r="BG37" s="83"/>
      <c r="BH37" s="83"/>
      <c r="BI37" s="83"/>
      <c r="BJ37" s="83"/>
      <c r="BK37" s="83"/>
      <c r="BL37" s="83"/>
      <c r="BM37" s="83"/>
      <c r="BN37" s="83"/>
      <c r="BO37" s="83"/>
      <c r="BP37" s="83"/>
      <c r="BQ37" s="83"/>
      <c r="BR37" s="83"/>
      <c r="BS37" s="83"/>
      <c r="BT37" s="83"/>
      <c r="BU37" s="83"/>
      <c r="BV37" s="83"/>
      <c r="BW37" s="83"/>
      <c r="BX37" s="83"/>
      <c r="BY37" s="83"/>
      <c r="BZ37" s="83"/>
      <c r="CA37" s="83"/>
      <c r="CB37" s="83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  <c r="JA37" s="16"/>
      <c r="JB37" s="16"/>
      <c r="JC37" s="16"/>
      <c r="JD37" s="16"/>
      <c r="JE37" s="16"/>
      <c r="JF37" s="16"/>
      <c r="JG37" s="16"/>
      <c r="JH37" s="16"/>
      <c r="JI37" s="16"/>
      <c r="JJ37" s="16"/>
      <c r="JK37" s="16"/>
      <c r="JL37" s="16"/>
      <c r="JM37" s="16"/>
      <c r="JN37" s="16"/>
      <c r="JO37" s="16"/>
      <c r="JP37" s="16"/>
      <c r="JQ37" s="16"/>
      <c r="JR37" s="16"/>
      <c r="JS37" s="16"/>
      <c r="JT37" s="16"/>
      <c r="JU37" s="16"/>
      <c r="JV37" s="16"/>
      <c r="JW37" s="16"/>
      <c r="JX37" s="16"/>
      <c r="JY37" s="16"/>
      <c r="JZ37" s="16"/>
      <c r="KA37" s="16"/>
      <c r="KB37" s="16"/>
      <c r="KC37" s="16"/>
      <c r="KD37" s="16"/>
      <c r="KE37" s="16"/>
      <c r="KF37" s="16"/>
      <c r="KG37" s="16"/>
      <c r="KH37" s="16"/>
      <c r="KI37" s="16"/>
      <c r="KJ37" s="16"/>
      <c r="KK37" s="16"/>
      <c r="KL37" s="16"/>
      <c r="KM37" s="16"/>
      <c r="KN37" s="16"/>
      <c r="KO37" s="16"/>
      <c r="KP37" s="16"/>
      <c r="KQ37" s="16"/>
      <c r="KR37" s="16"/>
      <c r="KS37" s="16"/>
      <c r="KT37" s="16"/>
      <c r="KU37" s="16"/>
      <c r="KV37" s="16"/>
      <c r="KW37" s="16"/>
      <c r="KX37" s="16"/>
      <c r="KY37" s="16"/>
      <c r="KZ37" s="16"/>
      <c r="LA37" s="16"/>
      <c r="LB37" s="16"/>
      <c r="LC37" s="16"/>
      <c r="LD37" s="16"/>
      <c r="LE37" s="16"/>
      <c r="LF37" s="16"/>
      <c r="LG37" s="16"/>
      <c r="LH37" s="16"/>
      <c r="LI37" s="16"/>
      <c r="LJ37" s="16"/>
      <c r="LK37" s="16"/>
      <c r="LL37" s="16"/>
      <c r="LM37" s="16"/>
      <c r="LN37" s="16"/>
      <c r="LO37" s="16"/>
      <c r="LP37" s="16"/>
      <c r="LQ37" s="16"/>
      <c r="LR37" s="16"/>
      <c r="LS37" s="16"/>
      <c r="LT37" s="16"/>
      <c r="LU37" s="16"/>
      <c r="LV37" s="16"/>
      <c r="LW37" s="16"/>
      <c r="LX37" s="16"/>
      <c r="LY37" s="16"/>
      <c r="LZ37" s="16"/>
      <c r="MA37" s="16"/>
      <c r="MB37" s="16"/>
      <c r="MC37" s="16"/>
      <c r="MD37" s="16"/>
      <c r="ME37" s="16"/>
      <c r="MF37" s="16"/>
      <c r="MG37" s="16"/>
      <c r="MH37" s="16"/>
      <c r="MI37" s="16"/>
      <c r="MJ37" s="16"/>
      <c r="MK37" s="16"/>
      <c r="ML37" s="16"/>
      <c r="MM37" s="16"/>
      <c r="MN37" s="16"/>
      <c r="MO37" s="16"/>
      <c r="MP37" s="16"/>
      <c r="MQ37" s="16"/>
      <c r="MR37" s="16"/>
      <c r="MS37" s="16"/>
      <c r="MT37" s="16"/>
      <c r="MU37" s="16"/>
      <c r="MV37" s="16"/>
      <c r="MW37" s="16"/>
      <c r="MX37" s="16"/>
      <c r="MY37" s="16"/>
      <c r="MZ37" s="16"/>
      <c r="NA37" s="16"/>
      <c r="NB37" s="16"/>
      <c r="NC37" s="16"/>
      <c r="ND37" s="16"/>
      <c r="NE37" s="16"/>
      <c r="NF37" s="16"/>
      <c r="NG37" s="16"/>
      <c r="NH37" s="16"/>
      <c r="NI37" s="16"/>
      <c r="NJ37" s="16"/>
      <c r="NK37" s="16"/>
      <c r="NL37" s="16"/>
      <c r="NM37" s="16"/>
      <c r="NN37" s="16"/>
      <c r="NO37" s="16"/>
      <c r="NP37" s="16"/>
      <c r="NQ37" s="16"/>
      <c r="NR37" s="16"/>
      <c r="NS37" s="16"/>
      <c r="NT37" s="16"/>
      <c r="NU37" s="16"/>
      <c r="NV37" s="16"/>
      <c r="NW37" s="16"/>
      <c r="NX37" s="16"/>
      <c r="NY37" s="16"/>
      <c r="NZ37" s="16"/>
      <c r="OA37" s="16"/>
      <c r="OB37" s="16"/>
      <c r="OC37" s="16"/>
      <c r="OD37" s="16"/>
      <c r="OE37" s="16"/>
      <c r="OF37" s="16"/>
      <c r="OG37" s="16"/>
      <c r="OH37" s="16"/>
      <c r="OI37" s="16"/>
      <c r="OJ37" s="16"/>
      <c r="OK37" s="16"/>
      <c r="OL37" s="16"/>
      <c r="OM37" s="16"/>
      <c r="ON37" s="16"/>
      <c r="OO37" s="16"/>
      <c r="OP37" s="16"/>
      <c r="OQ37" s="16"/>
      <c r="OR37" s="16"/>
      <c r="OS37" s="16"/>
      <c r="OT37" s="16"/>
      <c r="OU37" s="16"/>
      <c r="OV37" s="16"/>
      <c r="OW37" s="16"/>
      <c r="OX37" s="16"/>
      <c r="OY37" s="16"/>
      <c r="OZ37" s="16"/>
      <c r="PA37" s="16"/>
      <c r="PB37" s="16"/>
      <c r="PC37" s="16"/>
      <c r="PD37" s="16"/>
      <c r="PE37" s="16"/>
      <c r="PF37" s="16"/>
      <c r="PG37" s="16"/>
      <c r="PH37" s="16"/>
      <c r="PI37" s="16"/>
      <c r="PJ37" s="16"/>
      <c r="PK37" s="16"/>
      <c r="PL37" s="16"/>
      <c r="PM37" s="16"/>
      <c r="PN37" s="16"/>
      <c r="PO37" s="16"/>
      <c r="PP37" s="16"/>
      <c r="PQ37" s="16"/>
      <c r="PR37" s="16"/>
      <c r="PS37" s="16"/>
      <c r="PT37" s="16"/>
      <c r="PU37" s="16"/>
      <c r="PV37" s="16"/>
      <c r="PW37" s="16"/>
      <c r="PX37" s="16"/>
      <c r="PY37" s="16"/>
      <c r="PZ37" s="16"/>
      <c r="QA37" s="16"/>
      <c r="QB37" s="16"/>
      <c r="QC37" s="16"/>
      <c r="QD37" s="16"/>
      <c r="QE37" s="16"/>
      <c r="QF37" s="16"/>
      <c r="QG37" s="16"/>
      <c r="QH37" s="16"/>
      <c r="QI37" s="16"/>
      <c r="QJ37" s="16"/>
      <c r="QK37" s="16"/>
      <c r="QL37" s="16"/>
      <c r="QM37" s="16"/>
      <c r="QN37" s="16"/>
      <c r="QO37" s="16"/>
      <c r="QP37" s="16"/>
      <c r="QQ37" s="16"/>
      <c r="QR37" s="16"/>
      <c r="QS37" s="16"/>
      <c r="QT37" s="16"/>
      <c r="QU37" s="16"/>
      <c r="QV37" s="16"/>
      <c r="QW37" s="16"/>
      <c r="QX37" s="16"/>
      <c r="QY37" s="16"/>
      <c r="QZ37" s="16"/>
      <c r="RA37" s="16"/>
      <c r="RB37" s="16"/>
      <c r="RC37" s="16"/>
      <c r="RD37" s="16"/>
      <c r="RE37" s="16"/>
      <c r="RF37" s="16"/>
      <c r="RG37" s="16"/>
      <c r="RH37" s="16"/>
      <c r="RI37" s="16"/>
      <c r="RJ37" s="16"/>
      <c r="RK37" s="16"/>
      <c r="RL37" s="16"/>
      <c r="RM37" s="16"/>
      <c r="RN37" s="16"/>
      <c r="RO37" s="16"/>
      <c r="RP37" s="16"/>
      <c r="RQ37" s="16"/>
      <c r="RR37" s="16"/>
      <c r="RS37" s="16"/>
      <c r="RT37" s="16"/>
      <c r="RU37" s="16"/>
      <c r="RV37" s="16"/>
      <c r="RW37" s="16"/>
      <c r="RX37" s="16"/>
      <c r="RY37" s="16"/>
      <c r="RZ37" s="16"/>
      <c r="SA37" s="16"/>
      <c r="SB37" s="16"/>
      <c r="SC37" s="16"/>
      <c r="SD37" s="16"/>
      <c r="SE37" s="16"/>
      <c r="SF37" s="16"/>
      <c r="SG37" s="16"/>
      <c r="SH37" s="16"/>
      <c r="SI37" s="16"/>
      <c r="SJ37" s="16"/>
      <c r="SK37" s="16"/>
      <c r="SL37" s="16"/>
      <c r="SM37" s="16"/>
      <c r="SN37" s="16"/>
      <c r="SO37" s="16"/>
      <c r="SP37" s="16"/>
      <c r="SQ37" s="16"/>
      <c r="SR37" s="16"/>
      <c r="SS37" s="16"/>
      <c r="ST37" s="16"/>
      <c r="SU37" s="16"/>
      <c r="SV37" s="16"/>
      <c r="SW37" s="16"/>
      <c r="SX37" s="16"/>
      <c r="SY37" s="16"/>
      <c r="SZ37" s="16"/>
      <c r="TA37" s="16"/>
      <c r="TB37" s="16"/>
      <c r="TC37" s="16"/>
      <c r="TD37" s="16"/>
      <c r="TE37" s="16"/>
      <c r="TF37" s="16"/>
      <c r="TG37" s="16"/>
      <c r="TH37" s="16"/>
      <c r="TI37" s="16"/>
      <c r="TJ37" s="16"/>
      <c r="TK37" s="16"/>
      <c r="TL37" s="16"/>
      <c r="TM37" s="16"/>
      <c r="TN37" s="16"/>
      <c r="TO37" s="16"/>
      <c r="TP37" s="16"/>
      <c r="TQ37" s="16"/>
      <c r="TR37" s="16"/>
      <c r="TS37" s="16"/>
      <c r="TT37" s="16"/>
      <c r="TU37" s="16"/>
      <c r="TV37" s="16"/>
      <c r="TW37" s="16"/>
      <c r="TX37" s="16"/>
      <c r="TY37" s="16"/>
      <c r="TZ37" s="16"/>
      <c r="UA37" s="16"/>
      <c r="UB37" s="16"/>
      <c r="UC37" s="16"/>
      <c r="UD37" s="16"/>
      <c r="UE37" s="16"/>
      <c r="UF37" s="16"/>
      <c r="UG37" s="16"/>
      <c r="UH37" s="16"/>
      <c r="UI37" s="16"/>
      <c r="UJ37" s="16"/>
      <c r="UK37" s="16"/>
      <c r="UL37" s="16"/>
      <c r="UM37" s="16"/>
      <c r="UN37" s="16"/>
      <c r="UO37" s="16"/>
      <c r="UP37" s="16"/>
      <c r="UQ37" s="16"/>
      <c r="UR37" s="16"/>
      <c r="US37" s="16"/>
      <c r="UT37" s="16"/>
      <c r="UU37" s="16"/>
      <c r="UV37" s="16"/>
      <c r="UW37" s="16"/>
      <c r="UX37" s="16"/>
      <c r="UY37" s="16"/>
      <c r="UZ37" s="16"/>
      <c r="VA37" s="16"/>
      <c r="VB37" s="16"/>
      <c r="VC37" s="16"/>
      <c r="VD37" s="16"/>
      <c r="VE37" s="16"/>
      <c r="VF37" s="16"/>
      <c r="VG37" s="16"/>
      <c r="VH37" s="16"/>
      <c r="VI37" s="16"/>
      <c r="VJ37" s="16"/>
      <c r="VK37" s="16"/>
      <c r="VL37" s="16"/>
      <c r="VM37" s="16"/>
      <c r="VN37" s="16"/>
      <c r="VO37" s="16"/>
      <c r="VP37" s="16"/>
      <c r="VQ37" s="16"/>
      <c r="VR37" s="16"/>
      <c r="VS37" s="16"/>
      <c r="VT37" s="16"/>
      <c r="VU37" s="16"/>
      <c r="VV37" s="16"/>
      <c r="VW37" s="16"/>
      <c r="VX37" s="16"/>
      <c r="VY37" s="16"/>
      <c r="VZ37" s="16"/>
      <c r="WA37" s="16"/>
      <c r="WB37" s="16"/>
      <c r="WC37" s="16"/>
      <c r="WD37" s="16"/>
      <c r="WE37" s="16"/>
      <c r="WF37" s="16"/>
      <c r="WG37" s="16"/>
      <c r="WH37" s="16"/>
      <c r="WI37" s="16"/>
      <c r="WJ37" s="16"/>
      <c r="WK37" s="16"/>
      <c r="WL37" s="16"/>
      <c r="WM37" s="16"/>
      <c r="WN37" s="16"/>
      <c r="WO37" s="16"/>
      <c r="WP37" s="16"/>
      <c r="WQ37" s="16"/>
      <c r="WR37" s="16"/>
      <c r="WS37" s="16"/>
      <c r="WT37" s="16"/>
      <c r="WU37" s="16"/>
      <c r="WV37" s="16"/>
      <c r="WW37" s="16"/>
      <c r="WX37" s="16"/>
      <c r="WY37" s="16"/>
      <c r="WZ37" s="16"/>
      <c r="XA37" s="16"/>
      <c r="XB37" s="16"/>
      <c r="XC37" s="16"/>
      <c r="XD37" s="16"/>
      <c r="XE37" s="16"/>
      <c r="XF37" s="16"/>
      <c r="XG37" s="16"/>
      <c r="XH37" s="16"/>
      <c r="XI37" s="16"/>
      <c r="XJ37" s="16"/>
      <c r="XK37" s="16"/>
      <c r="XL37" s="16"/>
      <c r="XM37" s="16"/>
      <c r="XN37" s="16"/>
      <c r="XO37" s="16"/>
      <c r="XP37" s="16"/>
      <c r="XQ37" s="16"/>
      <c r="XR37" s="16"/>
      <c r="XS37" s="16"/>
      <c r="XT37" s="16"/>
      <c r="XU37" s="16"/>
      <c r="XV37" s="16"/>
      <c r="XW37" s="16"/>
      <c r="XX37" s="16"/>
      <c r="XY37" s="16"/>
      <c r="XZ37" s="16"/>
      <c r="YA37" s="16"/>
      <c r="YB37" s="16"/>
      <c r="YC37" s="16"/>
      <c r="YD37" s="16"/>
      <c r="YE37" s="16"/>
      <c r="YF37" s="16"/>
      <c r="YG37" s="16"/>
      <c r="YH37" s="16"/>
      <c r="YI37" s="16"/>
      <c r="YJ37" s="16"/>
      <c r="YK37" s="16"/>
      <c r="YL37" s="16"/>
      <c r="YM37" s="16"/>
      <c r="YN37" s="16"/>
      <c r="YO37" s="16"/>
      <c r="YP37" s="16"/>
      <c r="YQ37" s="16"/>
      <c r="YR37" s="16"/>
      <c r="YS37" s="16"/>
      <c r="YT37" s="16"/>
      <c r="YU37" s="16"/>
      <c r="YV37" s="16"/>
      <c r="YW37" s="16"/>
      <c r="YX37" s="16"/>
      <c r="YY37" s="16"/>
      <c r="YZ37" s="16"/>
      <c r="ZA37" s="16"/>
      <c r="ZB37" s="16"/>
      <c r="ZC37" s="16"/>
      <c r="ZD37" s="16"/>
      <c r="ZE37" s="16"/>
      <c r="ZF37" s="16"/>
      <c r="ZG37" s="16"/>
      <c r="ZH37" s="16"/>
      <c r="ZI37" s="16"/>
      <c r="ZJ37" s="16"/>
      <c r="ZK37" s="16"/>
      <c r="ZL37" s="16"/>
      <c r="ZM37" s="16"/>
      <c r="ZN37" s="16"/>
      <c r="ZO37" s="16"/>
      <c r="ZP37" s="16"/>
      <c r="ZQ37" s="16"/>
      <c r="ZR37" s="16"/>
      <c r="ZS37" s="16"/>
      <c r="ZT37" s="16"/>
      <c r="ZU37" s="16"/>
      <c r="ZV37" s="16"/>
      <c r="ZW37" s="16"/>
      <c r="ZX37" s="16"/>
      <c r="ZY37" s="16"/>
      <c r="ZZ37" s="16"/>
      <c r="AAA37" s="16"/>
      <c r="AAB37" s="16"/>
      <c r="AAC37" s="16"/>
      <c r="AAD37" s="16"/>
      <c r="AAE37" s="16"/>
      <c r="AAF37" s="16"/>
      <c r="AAG37" s="16"/>
      <c r="AAH37" s="16"/>
      <c r="AAI37" s="16"/>
      <c r="AAJ37" s="16"/>
      <c r="AAK37" s="16"/>
      <c r="AAL37" s="16"/>
      <c r="AAM37" s="16"/>
      <c r="AAN37" s="16"/>
      <c r="AAO37" s="16"/>
      <c r="AAP37" s="16"/>
      <c r="AAQ37" s="16"/>
      <c r="AAR37" s="16"/>
      <c r="AAS37" s="16"/>
      <c r="AAT37" s="16"/>
      <c r="AAU37" s="16"/>
      <c r="AAV37" s="16"/>
      <c r="AAW37" s="16"/>
      <c r="AAX37" s="16"/>
      <c r="AAY37" s="16"/>
      <c r="AAZ37" s="16"/>
      <c r="ABA37" s="16"/>
      <c r="ABB37" s="16"/>
      <c r="ABC37" s="16"/>
      <c r="ABD37" s="16"/>
      <c r="ABE37" s="16"/>
      <c r="ABF37" s="16"/>
      <c r="ABG37" s="16"/>
      <c r="ABH37" s="16"/>
      <c r="ABI37" s="16"/>
      <c r="ABJ37" s="16"/>
      <c r="ABK37" s="16"/>
      <c r="ABL37" s="16"/>
      <c r="ABM37" s="16"/>
      <c r="ABN37" s="16"/>
      <c r="ABO37" s="16"/>
      <c r="ABP37" s="16"/>
      <c r="ABQ37" s="16"/>
      <c r="ABR37" s="16"/>
      <c r="ABS37" s="16"/>
      <c r="ABT37" s="16"/>
      <c r="ABU37" s="16"/>
      <c r="ABV37" s="16"/>
      <c r="ABW37" s="16"/>
      <c r="ABX37" s="16"/>
      <c r="ABY37" s="16"/>
      <c r="ABZ37" s="16"/>
      <c r="ACA37" s="16"/>
      <c r="ACB37" s="16"/>
      <c r="ACC37" s="16"/>
      <c r="ACD37" s="16"/>
      <c r="ACE37" s="16"/>
      <c r="ACF37" s="16"/>
      <c r="ACG37" s="16"/>
      <c r="ACH37" s="16"/>
      <c r="ACI37" s="16"/>
      <c r="ACJ37" s="16"/>
      <c r="ACK37" s="16"/>
      <c r="ACL37" s="16"/>
      <c r="ACM37" s="16"/>
      <c r="ACN37" s="16"/>
      <c r="ACO37" s="16"/>
      <c r="ACP37" s="16"/>
      <c r="ACQ37" s="16"/>
      <c r="ACR37" s="16"/>
      <c r="ACS37" s="16"/>
      <c r="ACT37" s="16"/>
      <c r="ACU37" s="16"/>
      <c r="ACV37" s="16"/>
      <c r="ACW37" s="16"/>
      <c r="ACX37" s="16"/>
      <c r="ACY37" s="16"/>
      <c r="ACZ37" s="16"/>
      <c r="ADA37" s="16"/>
      <c r="ADB37" s="16"/>
      <c r="ADC37" s="16"/>
      <c r="ADD37" s="16"/>
      <c r="ADE37" s="16"/>
      <c r="ADF37" s="16"/>
      <c r="ADG37" s="16"/>
      <c r="ADH37" s="16"/>
      <c r="ADI37" s="16"/>
      <c r="ADJ37" s="16"/>
      <c r="ADK37" s="16"/>
      <c r="ADL37" s="16"/>
      <c r="ADM37" s="16"/>
      <c r="ADN37" s="16"/>
      <c r="ADO37" s="16"/>
      <c r="ADP37" s="16"/>
      <c r="ADQ37" s="16"/>
      <c r="ADR37" s="16"/>
      <c r="ADS37" s="16"/>
      <c r="ADT37" s="16"/>
      <c r="ADU37" s="16"/>
      <c r="ADV37" s="16"/>
      <c r="ADW37" s="16"/>
      <c r="ADX37" s="16"/>
      <c r="ADY37" s="16"/>
      <c r="ADZ37" s="16"/>
      <c r="AEA37" s="16"/>
      <c r="AEB37" s="16"/>
      <c r="AEC37" s="16"/>
      <c r="AED37" s="16"/>
      <c r="AEE37" s="16"/>
      <c r="AEF37" s="16"/>
      <c r="AEG37" s="16"/>
      <c r="AEH37" s="16"/>
      <c r="AEI37" s="16"/>
      <c r="AEJ37" s="16"/>
      <c r="AEK37" s="16"/>
      <c r="AEL37" s="16"/>
      <c r="AEM37" s="16"/>
      <c r="AEN37" s="16"/>
      <c r="AEO37" s="16"/>
      <c r="AEP37" s="16"/>
      <c r="AEQ37" s="16"/>
      <c r="AER37" s="16"/>
      <c r="AES37" s="16"/>
      <c r="AET37" s="16"/>
      <c r="AEU37" s="16"/>
      <c r="AEV37" s="16"/>
      <c r="AEW37" s="16"/>
      <c r="AEX37" s="16"/>
      <c r="AEY37" s="16"/>
      <c r="AEZ37" s="16"/>
      <c r="AFA37" s="16"/>
      <c r="AFB37" s="16"/>
      <c r="AFC37" s="16"/>
      <c r="AFD37" s="16"/>
      <c r="AFE37" s="16"/>
      <c r="AFF37" s="16"/>
      <c r="AFG37" s="16"/>
      <c r="AFH37" s="16"/>
      <c r="AFI37" s="16"/>
      <c r="AFJ37" s="16"/>
      <c r="AFK37" s="16"/>
      <c r="AFL37" s="16"/>
      <c r="AFM37" s="16"/>
      <c r="AFN37" s="16"/>
      <c r="AFO37" s="16"/>
      <c r="AFP37" s="16"/>
      <c r="AFQ37" s="16"/>
      <c r="AFR37" s="16"/>
      <c r="AFS37" s="16"/>
      <c r="AFT37" s="16"/>
      <c r="AFU37" s="16"/>
      <c r="AFV37" s="16"/>
      <c r="AFW37" s="16"/>
      <c r="AFX37" s="16"/>
      <c r="AFY37" s="16"/>
      <c r="AFZ37" s="16"/>
      <c r="AGA37" s="16"/>
      <c r="AGB37" s="16"/>
      <c r="AGC37" s="16"/>
      <c r="AGD37" s="16"/>
      <c r="AGE37" s="16"/>
      <c r="AGF37" s="16"/>
      <c r="AGG37" s="16"/>
      <c r="AGH37" s="16"/>
      <c r="AGI37" s="16"/>
      <c r="AGJ37" s="16"/>
      <c r="AGK37" s="16"/>
      <c r="AGL37" s="16"/>
      <c r="AGM37" s="16"/>
      <c r="AGN37" s="16"/>
      <c r="AGO37" s="16"/>
      <c r="AGP37" s="16"/>
      <c r="AGQ37" s="16"/>
      <c r="AGR37" s="16"/>
      <c r="AGS37" s="16"/>
      <c r="AGT37" s="16"/>
      <c r="AGU37" s="16"/>
      <c r="AGV37" s="16"/>
      <c r="AGW37" s="16"/>
      <c r="AGX37" s="16"/>
      <c r="AGY37" s="16"/>
      <c r="AGZ37" s="16"/>
      <c r="AHA37" s="16"/>
      <c r="AHB37" s="16"/>
      <c r="AHC37" s="16"/>
      <c r="AHD37" s="16"/>
      <c r="AHE37" s="16"/>
      <c r="AHF37" s="16"/>
      <c r="AHG37" s="16"/>
      <c r="AHH37" s="16"/>
      <c r="AHI37" s="16"/>
      <c r="AHJ37" s="16"/>
      <c r="AHK37" s="16"/>
      <c r="AHL37" s="16"/>
      <c r="AHM37" s="16"/>
      <c r="AHN37" s="16"/>
      <c r="AHO37" s="16"/>
      <c r="AHP37" s="16"/>
      <c r="AHQ37" s="16"/>
      <c r="AHR37" s="16"/>
      <c r="AHS37" s="16"/>
      <c r="AHT37" s="16"/>
      <c r="AHU37" s="16"/>
      <c r="AHV37" s="16"/>
      <c r="AHW37" s="16"/>
      <c r="AHX37" s="16"/>
      <c r="AHY37" s="16"/>
      <c r="AHZ37" s="16"/>
      <c r="AIA37" s="16"/>
      <c r="AIB37" s="16"/>
      <c r="AIC37" s="16"/>
      <c r="AID37" s="16"/>
      <c r="AIE37" s="16"/>
      <c r="AIF37" s="16"/>
      <c r="AIG37" s="16"/>
      <c r="AIH37" s="16"/>
      <c r="AII37" s="16"/>
      <c r="AIJ37" s="16"/>
      <c r="AIK37" s="16"/>
      <c r="AIL37" s="16"/>
      <c r="AIM37" s="16"/>
      <c r="AIN37" s="16"/>
      <c r="AIO37" s="16"/>
      <c r="AIP37" s="16"/>
      <c r="AIQ37" s="16"/>
      <c r="AIR37" s="16"/>
      <c r="AIS37" s="16"/>
      <c r="AIT37" s="16"/>
      <c r="AIU37" s="16"/>
      <c r="AIV37" s="16"/>
      <c r="AIW37" s="16"/>
      <c r="AIX37" s="16"/>
      <c r="AIY37" s="16"/>
      <c r="AIZ37" s="16"/>
      <c r="AJA37" s="16"/>
      <c r="AJB37" s="16"/>
      <c r="AJC37" s="16"/>
      <c r="AJD37" s="16"/>
      <c r="AJE37" s="16"/>
      <c r="AJF37" s="16"/>
      <c r="AJG37" s="16"/>
      <c r="AJH37" s="16"/>
      <c r="AJI37" s="16"/>
      <c r="AJJ37" s="16"/>
      <c r="AJK37" s="16"/>
      <c r="AJL37" s="16"/>
      <c r="AJM37" s="16"/>
      <c r="AJN37" s="16"/>
      <c r="AJO37" s="16"/>
      <c r="AJP37" s="16"/>
      <c r="AJQ37" s="16"/>
      <c r="AJR37" s="16"/>
      <c r="AJS37" s="16"/>
      <c r="AJT37" s="16"/>
      <c r="AJU37" s="16"/>
      <c r="AJV37" s="16"/>
      <c r="AJW37" s="16"/>
      <c r="AJX37" s="16"/>
      <c r="AJY37" s="16"/>
      <c r="AJZ37" s="16"/>
      <c r="AKA37" s="16"/>
      <c r="AKB37" s="16"/>
      <c r="AKC37" s="16"/>
      <c r="AKD37" s="16"/>
      <c r="AKE37" s="16"/>
      <c r="AKF37" s="16"/>
      <c r="AKG37" s="16"/>
      <c r="AKH37" s="16"/>
      <c r="AKI37" s="16"/>
      <c r="AKJ37" s="16"/>
      <c r="AKK37" s="16"/>
      <c r="AKL37" s="16"/>
      <c r="AKM37" s="16"/>
      <c r="AKN37" s="16"/>
      <c r="AKO37" s="16"/>
      <c r="AKP37" s="16"/>
      <c r="AKQ37" s="16"/>
      <c r="AKR37" s="16"/>
      <c r="AKS37" s="16"/>
      <c r="AKT37" s="16"/>
      <c r="AKU37" s="16"/>
      <c r="AKV37" s="16"/>
      <c r="AKW37" s="16"/>
      <c r="AKX37" s="16"/>
      <c r="AKY37" s="16"/>
      <c r="AKZ37" s="16"/>
      <c r="ALA37" s="16"/>
      <c r="ALB37" s="16"/>
      <c r="ALC37" s="16"/>
      <c r="ALD37" s="16"/>
      <c r="ALE37" s="16"/>
      <c r="ALF37" s="16"/>
      <c r="ALG37" s="16"/>
      <c r="ALH37" s="16"/>
      <c r="ALI37" s="16"/>
      <c r="ALJ37" s="16"/>
      <c r="ALK37" s="16"/>
      <c r="ALL37" s="16"/>
      <c r="ALM37" s="16"/>
      <c r="ALN37" s="16"/>
      <c r="ALO37" s="16"/>
      <c r="ALP37" s="16"/>
      <c r="ALQ37" s="16"/>
      <c r="ALR37" s="16"/>
      <c r="ALS37" s="16"/>
      <c r="ALT37" s="16"/>
    </row>
    <row r="38" spans="1:1008" s="27" customFormat="1" x14ac:dyDescent="0.25">
      <c r="A38" s="81"/>
      <c r="B38" s="33" t="s">
        <v>76</v>
      </c>
      <c r="C38" s="56">
        <v>5962</v>
      </c>
      <c r="D38" s="68">
        <v>0</v>
      </c>
      <c r="E38" s="68">
        <v>1.3900000000003274</v>
      </c>
      <c r="F38" s="56"/>
      <c r="G38" s="68">
        <v>96.295059999999992</v>
      </c>
      <c r="H38" s="68">
        <v>22.394200000000001</v>
      </c>
      <c r="I38" s="68">
        <v>4360.15074</v>
      </c>
      <c r="J38" s="56">
        <v>12.25</v>
      </c>
      <c r="K38" s="56"/>
      <c r="L38" s="56"/>
      <c r="M38" s="56">
        <v>43.75</v>
      </c>
      <c r="N38" s="65" t="s">
        <v>77</v>
      </c>
      <c r="O38" s="65">
        <v>1475</v>
      </c>
      <c r="P38" s="68">
        <v>449.95600000000002</v>
      </c>
      <c r="Q38" s="68">
        <v>79.403999999999996</v>
      </c>
      <c r="R38" s="68">
        <v>132.34</v>
      </c>
      <c r="S38" s="68">
        <v>10097.098214285714</v>
      </c>
      <c r="T38" s="68">
        <v>10041.098214285714</v>
      </c>
      <c r="U38" s="68">
        <v>1204.9317857142855</v>
      </c>
      <c r="V38" s="68">
        <v>11246.029999999999</v>
      </c>
      <c r="W38" s="68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8">
        <v>0</v>
      </c>
      <c r="AJ38" s="65"/>
      <c r="AK38" s="65"/>
      <c r="AL38" s="68">
        <v>0</v>
      </c>
      <c r="AM38" s="68">
        <v>0</v>
      </c>
      <c r="AN38" s="67"/>
      <c r="AO38" s="67"/>
      <c r="AP38" s="67"/>
      <c r="AQ38" s="67"/>
      <c r="AR38" s="67"/>
      <c r="AS38" s="67"/>
      <c r="AT38" s="67"/>
      <c r="AU38" s="67"/>
      <c r="AV38" s="90"/>
      <c r="AW38" s="67"/>
      <c r="AX38" s="67"/>
      <c r="AY38" s="67"/>
      <c r="AZ38" s="67"/>
      <c r="BA38" s="68">
        <v>0</v>
      </c>
      <c r="BB38" s="16"/>
      <c r="BC38" s="82"/>
      <c r="BD38" s="83"/>
      <c r="BE38" s="83"/>
      <c r="BF38" s="83"/>
      <c r="BG38" s="83"/>
      <c r="BH38" s="83"/>
      <c r="BI38" s="83"/>
      <c r="BJ38" s="83"/>
      <c r="BK38" s="83"/>
      <c r="BL38" s="83"/>
      <c r="BM38" s="83"/>
      <c r="BN38" s="83"/>
      <c r="BO38" s="83"/>
      <c r="BP38" s="83"/>
      <c r="BQ38" s="83"/>
      <c r="BR38" s="83"/>
      <c r="BS38" s="83"/>
      <c r="BT38" s="83"/>
      <c r="BU38" s="83"/>
      <c r="BV38" s="83"/>
      <c r="BW38" s="83"/>
      <c r="BX38" s="83"/>
      <c r="BY38" s="83"/>
      <c r="BZ38" s="83"/>
      <c r="CA38" s="83"/>
      <c r="CB38" s="83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  <c r="JA38" s="16"/>
      <c r="JB38" s="16"/>
      <c r="JC38" s="16"/>
      <c r="JD38" s="16"/>
      <c r="JE38" s="16"/>
      <c r="JF38" s="16"/>
      <c r="JG38" s="16"/>
      <c r="JH38" s="16"/>
      <c r="JI38" s="16"/>
      <c r="JJ38" s="16"/>
      <c r="JK38" s="16"/>
      <c r="JL38" s="16"/>
      <c r="JM38" s="16"/>
      <c r="JN38" s="16"/>
      <c r="JO38" s="16"/>
      <c r="JP38" s="16"/>
      <c r="JQ38" s="16"/>
      <c r="JR38" s="16"/>
      <c r="JS38" s="16"/>
      <c r="JT38" s="16"/>
      <c r="JU38" s="16"/>
      <c r="JV38" s="16"/>
      <c r="JW38" s="16"/>
      <c r="JX38" s="16"/>
      <c r="JY38" s="16"/>
      <c r="JZ38" s="16"/>
      <c r="KA38" s="16"/>
      <c r="KB38" s="16"/>
      <c r="KC38" s="16"/>
      <c r="KD38" s="16"/>
      <c r="KE38" s="16"/>
      <c r="KF38" s="16"/>
      <c r="KG38" s="16"/>
      <c r="KH38" s="16"/>
      <c r="KI38" s="16"/>
      <c r="KJ38" s="16"/>
      <c r="KK38" s="16"/>
      <c r="KL38" s="16"/>
      <c r="KM38" s="16"/>
      <c r="KN38" s="16"/>
      <c r="KO38" s="16"/>
      <c r="KP38" s="16"/>
      <c r="KQ38" s="16"/>
      <c r="KR38" s="16"/>
      <c r="KS38" s="16"/>
      <c r="KT38" s="16"/>
      <c r="KU38" s="16"/>
      <c r="KV38" s="16"/>
      <c r="KW38" s="16"/>
      <c r="KX38" s="16"/>
      <c r="KY38" s="16"/>
      <c r="KZ38" s="16"/>
      <c r="LA38" s="16"/>
      <c r="LB38" s="16"/>
      <c r="LC38" s="16"/>
      <c r="LD38" s="16"/>
      <c r="LE38" s="16"/>
      <c r="LF38" s="16"/>
      <c r="LG38" s="16"/>
      <c r="LH38" s="16"/>
      <c r="LI38" s="16"/>
      <c r="LJ38" s="16"/>
      <c r="LK38" s="16"/>
      <c r="LL38" s="16"/>
      <c r="LM38" s="16"/>
      <c r="LN38" s="16"/>
      <c r="LO38" s="16"/>
      <c r="LP38" s="16"/>
      <c r="LQ38" s="16"/>
      <c r="LR38" s="16"/>
      <c r="LS38" s="16"/>
      <c r="LT38" s="16"/>
      <c r="LU38" s="16"/>
      <c r="LV38" s="16"/>
      <c r="LW38" s="16"/>
      <c r="LX38" s="16"/>
      <c r="LY38" s="16"/>
      <c r="LZ38" s="16"/>
      <c r="MA38" s="16"/>
      <c r="MB38" s="16"/>
      <c r="MC38" s="16"/>
      <c r="MD38" s="16"/>
      <c r="ME38" s="16"/>
      <c r="MF38" s="16"/>
      <c r="MG38" s="16"/>
      <c r="MH38" s="16"/>
      <c r="MI38" s="16"/>
      <c r="MJ38" s="16"/>
      <c r="MK38" s="16"/>
      <c r="ML38" s="16"/>
      <c r="MM38" s="16"/>
      <c r="MN38" s="16"/>
      <c r="MO38" s="16"/>
      <c r="MP38" s="16"/>
      <c r="MQ38" s="16"/>
      <c r="MR38" s="16"/>
      <c r="MS38" s="16"/>
      <c r="MT38" s="16"/>
      <c r="MU38" s="16"/>
      <c r="MV38" s="16"/>
      <c r="MW38" s="16"/>
      <c r="MX38" s="16"/>
      <c r="MY38" s="16"/>
      <c r="MZ38" s="16"/>
      <c r="NA38" s="16"/>
      <c r="NB38" s="16"/>
      <c r="NC38" s="16"/>
      <c r="ND38" s="16"/>
      <c r="NE38" s="16"/>
      <c r="NF38" s="16"/>
      <c r="NG38" s="16"/>
      <c r="NH38" s="16"/>
      <c r="NI38" s="16"/>
      <c r="NJ38" s="16"/>
      <c r="NK38" s="16"/>
      <c r="NL38" s="16"/>
      <c r="NM38" s="16"/>
      <c r="NN38" s="16"/>
      <c r="NO38" s="16"/>
      <c r="NP38" s="16"/>
      <c r="NQ38" s="16"/>
      <c r="NR38" s="16"/>
      <c r="NS38" s="16"/>
      <c r="NT38" s="16"/>
      <c r="NU38" s="16"/>
      <c r="NV38" s="16"/>
      <c r="NW38" s="16"/>
      <c r="NX38" s="16"/>
      <c r="NY38" s="16"/>
      <c r="NZ38" s="16"/>
      <c r="OA38" s="16"/>
      <c r="OB38" s="16"/>
      <c r="OC38" s="16"/>
      <c r="OD38" s="16"/>
      <c r="OE38" s="16"/>
      <c r="OF38" s="16"/>
      <c r="OG38" s="16"/>
      <c r="OH38" s="16"/>
      <c r="OI38" s="16"/>
      <c r="OJ38" s="16"/>
      <c r="OK38" s="16"/>
      <c r="OL38" s="16"/>
      <c r="OM38" s="16"/>
      <c r="ON38" s="16"/>
      <c r="OO38" s="16"/>
      <c r="OP38" s="16"/>
      <c r="OQ38" s="16"/>
      <c r="OR38" s="16"/>
      <c r="OS38" s="16"/>
      <c r="OT38" s="16"/>
      <c r="OU38" s="16"/>
      <c r="OV38" s="16"/>
      <c r="OW38" s="16"/>
      <c r="OX38" s="16"/>
      <c r="OY38" s="16"/>
      <c r="OZ38" s="16"/>
      <c r="PA38" s="16"/>
      <c r="PB38" s="16"/>
      <c r="PC38" s="16"/>
      <c r="PD38" s="16"/>
      <c r="PE38" s="16"/>
      <c r="PF38" s="16"/>
      <c r="PG38" s="16"/>
      <c r="PH38" s="16"/>
      <c r="PI38" s="16"/>
      <c r="PJ38" s="16"/>
      <c r="PK38" s="16"/>
      <c r="PL38" s="16"/>
      <c r="PM38" s="16"/>
      <c r="PN38" s="16"/>
      <c r="PO38" s="16"/>
      <c r="PP38" s="16"/>
      <c r="PQ38" s="16"/>
      <c r="PR38" s="16"/>
      <c r="PS38" s="16"/>
      <c r="PT38" s="16"/>
      <c r="PU38" s="16"/>
      <c r="PV38" s="16"/>
      <c r="PW38" s="16"/>
      <c r="PX38" s="16"/>
      <c r="PY38" s="16"/>
      <c r="PZ38" s="16"/>
      <c r="QA38" s="16"/>
      <c r="QB38" s="16"/>
      <c r="QC38" s="16"/>
      <c r="QD38" s="16"/>
      <c r="QE38" s="16"/>
      <c r="QF38" s="16"/>
      <c r="QG38" s="16"/>
      <c r="QH38" s="16"/>
      <c r="QI38" s="16"/>
      <c r="QJ38" s="16"/>
      <c r="QK38" s="16"/>
      <c r="QL38" s="16"/>
      <c r="QM38" s="16"/>
      <c r="QN38" s="16"/>
      <c r="QO38" s="16"/>
      <c r="QP38" s="16"/>
      <c r="QQ38" s="16"/>
      <c r="QR38" s="16"/>
      <c r="QS38" s="16"/>
      <c r="QT38" s="16"/>
      <c r="QU38" s="16"/>
      <c r="QV38" s="16"/>
      <c r="QW38" s="16"/>
      <c r="QX38" s="16"/>
      <c r="QY38" s="16"/>
      <c r="QZ38" s="16"/>
      <c r="RA38" s="16"/>
      <c r="RB38" s="16"/>
      <c r="RC38" s="16"/>
      <c r="RD38" s="16"/>
      <c r="RE38" s="16"/>
      <c r="RF38" s="16"/>
      <c r="RG38" s="16"/>
      <c r="RH38" s="16"/>
      <c r="RI38" s="16"/>
      <c r="RJ38" s="16"/>
      <c r="RK38" s="16"/>
      <c r="RL38" s="16"/>
      <c r="RM38" s="16"/>
      <c r="RN38" s="16"/>
      <c r="RO38" s="16"/>
      <c r="RP38" s="16"/>
      <c r="RQ38" s="16"/>
      <c r="RR38" s="16"/>
      <c r="RS38" s="16"/>
      <c r="RT38" s="16"/>
      <c r="RU38" s="16"/>
      <c r="RV38" s="16"/>
      <c r="RW38" s="16"/>
      <c r="RX38" s="16"/>
      <c r="RY38" s="16"/>
      <c r="RZ38" s="16"/>
      <c r="SA38" s="16"/>
      <c r="SB38" s="16"/>
      <c r="SC38" s="16"/>
      <c r="SD38" s="16"/>
      <c r="SE38" s="16"/>
      <c r="SF38" s="16"/>
      <c r="SG38" s="16"/>
      <c r="SH38" s="16"/>
      <c r="SI38" s="16"/>
      <c r="SJ38" s="16"/>
      <c r="SK38" s="16"/>
      <c r="SL38" s="16"/>
      <c r="SM38" s="16"/>
      <c r="SN38" s="16"/>
      <c r="SO38" s="16"/>
      <c r="SP38" s="16"/>
      <c r="SQ38" s="16"/>
      <c r="SR38" s="16"/>
      <c r="SS38" s="16"/>
      <c r="ST38" s="16"/>
      <c r="SU38" s="16"/>
      <c r="SV38" s="16"/>
      <c r="SW38" s="16"/>
      <c r="SX38" s="16"/>
      <c r="SY38" s="16"/>
      <c r="SZ38" s="16"/>
      <c r="TA38" s="16"/>
      <c r="TB38" s="16"/>
      <c r="TC38" s="16"/>
      <c r="TD38" s="16"/>
      <c r="TE38" s="16"/>
      <c r="TF38" s="16"/>
      <c r="TG38" s="16"/>
      <c r="TH38" s="16"/>
      <c r="TI38" s="16"/>
      <c r="TJ38" s="16"/>
      <c r="TK38" s="16"/>
      <c r="TL38" s="16"/>
      <c r="TM38" s="16"/>
      <c r="TN38" s="16"/>
      <c r="TO38" s="16"/>
      <c r="TP38" s="16"/>
      <c r="TQ38" s="16"/>
      <c r="TR38" s="16"/>
      <c r="TS38" s="16"/>
      <c r="TT38" s="16"/>
      <c r="TU38" s="16"/>
      <c r="TV38" s="16"/>
      <c r="TW38" s="16"/>
      <c r="TX38" s="16"/>
      <c r="TY38" s="16"/>
      <c r="TZ38" s="16"/>
      <c r="UA38" s="16"/>
      <c r="UB38" s="16"/>
      <c r="UC38" s="16"/>
      <c r="UD38" s="16"/>
      <c r="UE38" s="16"/>
      <c r="UF38" s="16"/>
      <c r="UG38" s="16"/>
      <c r="UH38" s="16"/>
      <c r="UI38" s="16"/>
      <c r="UJ38" s="16"/>
      <c r="UK38" s="16"/>
      <c r="UL38" s="16"/>
      <c r="UM38" s="16"/>
      <c r="UN38" s="16"/>
      <c r="UO38" s="16"/>
      <c r="UP38" s="16"/>
      <c r="UQ38" s="16"/>
      <c r="UR38" s="16"/>
      <c r="US38" s="16"/>
      <c r="UT38" s="16"/>
      <c r="UU38" s="16"/>
      <c r="UV38" s="16"/>
      <c r="UW38" s="16"/>
      <c r="UX38" s="16"/>
      <c r="UY38" s="16"/>
      <c r="UZ38" s="16"/>
      <c r="VA38" s="16"/>
      <c r="VB38" s="16"/>
      <c r="VC38" s="16"/>
      <c r="VD38" s="16"/>
      <c r="VE38" s="16"/>
      <c r="VF38" s="16"/>
      <c r="VG38" s="16"/>
      <c r="VH38" s="16"/>
      <c r="VI38" s="16"/>
      <c r="VJ38" s="16"/>
      <c r="VK38" s="16"/>
      <c r="VL38" s="16"/>
      <c r="VM38" s="16"/>
      <c r="VN38" s="16"/>
      <c r="VO38" s="16"/>
      <c r="VP38" s="16"/>
      <c r="VQ38" s="16"/>
      <c r="VR38" s="16"/>
      <c r="VS38" s="16"/>
      <c r="VT38" s="16"/>
      <c r="VU38" s="16"/>
      <c r="VV38" s="16"/>
      <c r="VW38" s="16"/>
      <c r="VX38" s="16"/>
      <c r="VY38" s="16"/>
      <c r="VZ38" s="16"/>
      <c r="WA38" s="16"/>
      <c r="WB38" s="16"/>
      <c r="WC38" s="16"/>
      <c r="WD38" s="16"/>
      <c r="WE38" s="16"/>
      <c r="WF38" s="16"/>
      <c r="WG38" s="16"/>
      <c r="WH38" s="16"/>
      <c r="WI38" s="16"/>
      <c r="WJ38" s="16"/>
      <c r="WK38" s="16"/>
      <c r="WL38" s="16"/>
      <c r="WM38" s="16"/>
      <c r="WN38" s="16"/>
      <c r="WO38" s="16"/>
      <c r="WP38" s="16"/>
      <c r="WQ38" s="16"/>
      <c r="WR38" s="16"/>
      <c r="WS38" s="16"/>
      <c r="WT38" s="16"/>
      <c r="WU38" s="16"/>
      <c r="WV38" s="16"/>
      <c r="WW38" s="16"/>
      <c r="WX38" s="16"/>
      <c r="WY38" s="16"/>
      <c r="WZ38" s="16"/>
      <c r="XA38" s="16"/>
      <c r="XB38" s="16"/>
      <c r="XC38" s="16"/>
      <c r="XD38" s="16"/>
      <c r="XE38" s="16"/>
      <c r="XF38" s="16"/>
      <c r="XG38" s="16"/>
      <c r="XH38" s="16"/>
      <c r="XI38" s="16"/>
      <c r="XJ38" s="16"/>
      <c r="XK38" s="16"/>
      <c r="XL38" s="16"/>
      <c r="XM38" s="16"/>
      <c r="XN38" s="16"/>
      <c r="XO38" s="16"/>
      <c r="XP38" s="16"/>
      <c r="XQ38" s="16"/>
      <c r="XR38" s="16"/>
      <c r="XS38" s="16"/>
      <c r="XT38" s="16"/>
      <c r="XU38" s="16"/>
      <c r="XV38" s="16"/>
      <c r="XW38" s="16"/>
      <c r="XX38" s="16"/>
      <c r="XY38" s="16"/>
      <c r="XZ38" s="16"/>
      <c r="YA38" s="16"/>
      <c r="YB38" s="16"/>
      <c r="YC38" s="16"/>
      <c r="YD38" s="16"/>
      <c r="YE38" s="16"/>
      <c r="YF38" s="16"/>
      <c r="YG38" s="16"/>
      <c r="YH38" s="16"/>
      <c r="YI38" s="16"/>
      <c r="YJ38" s="16"/>
      <c r="YK38" s="16"/>
      <c r="YL38" s="16"/>
      <c r="YM38" s="16"/>
      <c r="YN38" s="16"/>
      <c r="YO38" s="16"/>
      <c r="YP38" s="16"/>
      <c r="YQ38" s="16"/>
      <c r="YR38" s="16"/>
      <c r="YS38" s="16"/>
      <c r="YT38" s="16"/>
      <c r="YU38" s="16"/>
      <c r="YV38" s="16"/>
      <c r="YW38" s="16"/>
      <c r="YX38" s="16"/>
      <c r="YY38" s="16"/>
      <c r="YZ38" s="16"/>
      <c r="ZA38" s="16"/>
      <c r="ZB38" s="16"/>
      <c r="ZC38" s="16"/>
      <c r="ZD38" s="16"/>
      <c r="ZE38" s="16"/>
      <c r="ZF38" s="16"/>
      <c r="ZG38" s="16"/>
      <c r="ZH38" s="16"/>
      <c r="ZI38" s="16"/>
      <c r="ZJ38" s="16"/>
      <c r="ZK38" s="16"/>
      <c r="ZL38" s="16"/>
      <c r="ZM38" s="16"/>
      <c r="ZN38" s="16"/>
      <c r="ZO38" s="16"/>
      <c r="ZP38" s="16"/>
      <c r="ZQ38" s="16"/>
      <c r="ZR38" s="16"/>
      <c r="ZS38" s="16"/>
      <c r="ZT38" s="16"/>
      <c r="ZU38" s="16"/>
      <c r="ZV38" s="16"/>
      <c r="ZW38" s="16"/>
      <c r="ZX38" s="16"/>
      <c r="ZY38" s="16"/>
      <c r="ZZ38" s="16"/>
      <c r="AAA38" s="16"/>
      <c r="AAB38" s="16"/>
      <c r="AAC38" s="16"/>
      <c r="AAD38" s="16"/>
      <c r="AAE38" s="16"/>
      <c r="AAF38" s="16"/>
      <c r="AAG38" s="16"/>
      <c r="AAH38" s="16"/>
      <c r="AAI38" s="16"/>
      <c r="AAJ38" s="16"/>
      <c r="AAK38" s="16"/>
      <c r="AAL38" s="16"/>
      <c r="AAM38" s="16"/>
      <c r="AAN38" s="16"/>
      <c r="AAO38" s="16"/>
      <c r="AAP38" s="16"/>
      <c r="AAQ38" s="16"/>
      <c r="AAR38" s="16"/>
      <c r="AAS38" s="16"/>
      <c r="AAT38" s="16"/>
      <c r="AAU38" s="16"/>
      <c r="AAV38" s="16"/>
      <c r="AAW38" s="16"/>
      <c r="AAX38" s="16"/>
      <c r="AAY38" s="16"/>
      <c r="AAZ38" s="16"/>
      <c r="ABA38" s="16"/>
      <c r="ABB38" s="16"/>
      <c r="ABC38" s="16"/>
      <c r="ABD38" s="16"/>
      <c r="ABE38" s="16"/>
      <c r="ABF38" s="16"/>
      <c r="ABG38" s="16"/>
      <c r="ABH38" s="16"/>
      <c r="ABI38" s="16"/>
      <c r="ABJ38" s="16"/>
      <c r="ABK38" s="16"/>
      <c r="ABL38" s="16"/>
      <c r="ABM38" s="16"/>
      <c r="ABN38" s="16"/>
      <c r="ABO38" s="16"/>
      <c r="ABP38" s="16"/>
      <c r="ABQ38" s="16"/>
      <c r="ABR38" s="16"/>
      <c r="ABS38" s="16"/>
      <c r="ABT38" s="16"/>
      <c r="ABU38" s="16"/>
      <c r="ABV38" s="16"/>
      <c r="ABW38" s="16"/>
      <c r="ABX38" s="16"/>
      <c r="ABY38" s="16"/>
      <c r="ABZ38" s="16"/>
      <c r="ACA38" s="16"/>
      <c r="ACB38" s="16"/>
      <c r="ACC38" s="16"/>
      <c r="ACD38" s="16"/>
      <c r="ACE38" s="16"/>
      <c r="ACF38" s="16"/>
      <c r="ACG38" s="16"/>
      <c r="ACH38" s="16"/>
      <c r="ACI38" s="16"/>
      <c r="ACJ38" s="16"/>
      <c r="ACK38" s="16"/>
      <c r="ACL38" s="16"/>
      <c r="ACM38" s="16"/>
      <c r="ACN38" s="16"/>
      <c r="ACO38" s="16"/>
      <c r="ACP38" s="16"/>
      <c r="ACQ38" s="16"/>
      <c r="ACR38" s="16"/>
      <c r="ACS38" s="16"/>
      <c r="ACT38" s="16"/>
      <c r="ACU38" s="16"/>
      <c r="ACV38" s="16"/>
      <c r="ACW38" s="16"/>
      <c r="ACX38" s="16"/>
      <c r="ACY38" s="16"/>
      <c r="ACZ38" s="16"/>
      <c r="ADA38" s="16"/>
      <c r="ADB38" s="16"/>
      <c r="ADC38" s="16"/>
      <c r="ADD38" s="16"/>
      <c r="ADE38" s="16"/>
      <c r="ADF38" s="16"/>
      <c r="ADG38" s="16"/>
      <c r="ADH38" s="16"/>
      <c r="ADI38" s="16"/>
      <c r="ADJ38" s="16"/>
      <c r="ADK38" s="16"/>
      <c r="ADL38" s="16"/>
      <c r="ADM38" s="16"/>
      <c r="ADN38" s="16"/>
      <c r="ADO38" s="16"/>
      <c r="ADP38" s="16"/>
      <c r="ADQ38" s="16"/>
      <c r="ADR38" s="16"/>
      <c r="ADS38" s="16"/>
      <c r="ADT38" s="16"/>
      <c r="ADU38" s="16"/>
      <c r="ADV38" s="16"/>
      <c r="ADW38" s="16"/>
      <c r="ADX38" s="16"/>
      <c r="ADY38" s="16"/>
      <c r="ADZ38" s="16"/>
      <c r="AEA38" s="16"/>
      <c r="AEB38" s="16"/>
      <c r="AEC38" s="16"/>
      <c r="AED38" s="16"/>
      <c r="AEE38" s="16"/>
      <c r="AEF38" s="16"/>
      <c r="AEG38" s="16"/>
      <c r="AEH38" s="16"/>
      <c r="AEI38" s="16"/>
      <c r="AEJ38" s="16"/>
      <c r="AEK38" s="16"/>
      <c r="AEL38" s="16"/>
      <c r="AEM38" s="16"/>
      <c r="AEN38" s="16"/>
      <c r="AEO38" s="16"/>
      <c r="AEP38" s="16"/>
      <c r="AEQ38" s="16"/>
      <c r="AER38" s="16"/>
      <c r="AES38" s="16"/>
      <c r="AET38" s="16"/>
      <c r="AEU38" s="16"/>
      <c r="AEV38" s="16"/>
      <c r="AEW38" s="16"/>
      <c r="AEX38" s="16"/>
      <c r="AEY38" s="16"/>
      <c r="AEZ38" s="16"/>
      <c r="AFA38" s="16"/>
      <c r="AFB38" s="16"/>
      <c r="AFC38" s="16"/>
      <c r="AFD38" s="16"/>
      <c r="AFE38" s="16"/>
      <c r="AFF38" s="16"/>
      <c r="AFG38" s="16"/>
      <c r="AFH38" s="16"/>
      <c r="AFI38" s="16"/>
      <c r="AFJ38" s="16"/>
      <c r="AFK38" s="16"/>
      <c r="AFL38" s="16"/>
      <c r="AFM38" s="16"/>
      <c r="AFN38" s="16"/>
      <c r="AFO38" s="16"/>
      <c r="AFP38" s="16"/>
      <c r="AFQ38" s="16"/>
      <c r="AFR38" s="16"/>
      <c r="AFS38" s="16"/>
      <c r="AFT38" s="16"/>
      <c r="AFU38" s="16"/>
      <c r="AFV38" s="16"/>
      <c r="AFW38" s="16"/>
      <c r="AFX38" s="16"/>
      <c r="AFY38" s="16"/>
      <c r="AFZ38" s="16"/>
      <c r="AGA38" s="16"/>
      <c r="AGB38" s="16"/>
      <c r="AGC38" s="16"/>
      <c r="AGD38" s="16"/>
      <c r="AGE38" s="16"/>
      <c r="AGF38" s="16"/>
      <c r="AGG38" s="16"/>
      <c r="AGH38" s="16"/>
      <c r="AGI38" s="16"/>
      <c r="AGJ38" s="16"/>
      <c r="AGK38" s="16"/>
      <c r="AGL38" s="16"/>
      <c r="AGM38" s="16"/>
      <c r="AGN38" s="16"/>
      <c r="AGO38" s="16"/>
      <c r="AGP38" s="16"/>
      <c r="AGQ38" s="16"/>
      <c r="AGR38" s="16"/>
      <c r="AGS38" s="16"/>
      <c r="AGT38" s="16"/>
      <c r="AGU38" s="16"/>
      <c r="AGV38" s="16"/>
      <c r="AGW38" s="16"/>
      <c r="AGX38" s="16"/>
      <c r="AGY38" s="16"/>
      <c r="AGZ38" s="16"/>
      <c r="AHA38" s="16"/>
      <c r="AHB38" s="16"/>
      <c r="AHC38" s="16"/>
      <c r="AHD38" s="16"/>
      <c r="AHE38" s="16"/>
      <c r="AHF38" s="16"/>
      <c r="AHG38" s="16"/>
      <c r="AHH38" s="16"/>
      <c r="AHI38" s="16"/>
      <c r="AHJ38" s="16"/>
      <c r="AHK38" s="16"/>
      <c r="AHL38" s="16"/>
      <c r="AHM38" s="16"/>
      <c r="AHN38" s="16"/>
      <c r="AHO38" s="16"/>
      <c r="AHP38" s="16"/>
      <c r="AHQ38" s="16"/>
      <c r="AHR38" s="16"/>
      <c r="AHS38" s="16"/>
      <c r="AHT38" s="16"/>
      <c r="AHU38" s="16"/>
      <c r="AHV38" s="16"/>
      <c r="AHW38" s="16"/>
      <c r="AHX38" s="16"/>
      <c r="AHY38" s="16"/>
      <c r="AHZ38" s="16"/>
      <c r="AIA38" s="16"/>
      <c r="AIB38" s="16"/>
      <c r="AIC38" s="16"/>
      <c r="AID38" s="16"/>
      <c r="AIE38" s="16"/>
      <c r="AIF38" s="16"/>
      <c r="AIG38" s="16"/>
      <c r="AIH38" s="16"/>
      <c r="AII38" s="16"/>
      <c r="AIJ38" s="16"/>
      <c r="AIK38" s="16"/>
      <c r="AIL38" s="16"/>
      <c r="AIM38" s="16"/>
      <c r="AIN38" s="16"/>
      <c r="AIO38" s="16"/>
      <c r="AIP38" s="16"/>
      <c r="AIQ38" s="16"/>
      <c r="AIR38" s="16"/>
      <c r="AIS38" s="16"/>
      <c r="AIT38" s="16"/>
      <c r="AIU38" s="16"/>
      <c r="AIV38" s="16"/>
      <c r="AIW38" s="16"/>
      <c r="AIX38" s="16"/>
      <c r="AIY38" s="16"/>
      <c r="AIZ38" s="16"/>
      <c r="AJA38" s="16"/>
      <c r="AJB38" s="16"/>
      <c r="AJC38" s="16"/>
      <c r="AJD38" s="16"/>
      <c r="AJE38" s="16"/>
      <c r="AJF38" s="16"/>
      <c r="AJG38" s="16"/>
      <c r="AJH38" s="16"/>
      <c r="AJI38" s="16"/>
      <c r="AJJ38" s="16"/>
      <c r="AJK38" s="16"/>
      <c r="AJL38" s="16"/>
      <c r="AJM38" s="16"/>
      <c r="AJN38" s="16"/>
      <c r="AJO38" s="16"/>
      <c r="AJP38" s="16"/>
      <c r="AJQ38" s="16"/>
      <c r="AJR38" s="16"/>
      <c r="AJS38" s="16"/>
      <c r="AJT38" s="16"/>
      <c r="AJU38" s="16"/>
      <c r="AJV38" s="16"/>
      <c r="AJW38" s="16"/>
      <c r="AJX38" s="16"/>
      <c r="AJY38" s="16"/>
      <c r="AJZ38" s="16"/>
      <c r="AKA38" s="16"/>
      <c r="AKB38" s="16"/>
      <c r="AKC38" s="16"/>
      <c r="AKD38" s="16"/>
      <c r="AKE38" s="16"/>
      <c r="AKF38" s="16"/>
      <c r="AKG38" s="16"/>
      <c r="AKH38" s="16"/>
      <c r="AKI38" s="16"/>
      <c r="AKJ38" s="16"/>
      <c r="AKK38" s="16"/>
      <c r="AKL38" s="16"/>
      <c r="AKM38" s="16"/>
      <c r="AKN38" s="16"/>
      <c r="AKO38" s="16"/>
      <c r="AKP38" s="16"/>
      <c r="AKQ38" s="16"/>
      <c r="AKR38" s="16"/>
      <c r="AKS38" s="16"/>
      <c r="AKT38" s="16"/>
      <c r="AKU38" s="16"/>
      <c r="AKV38" s="16"/>
      <c r="AKW38" s="16"/>
      <c r="AKX38" s="16"/>
      <c r="AKY38" s="16"/>
      <c r="AKZ38" s="16"/>
      <c r="ALA38" s="16"/>
      <c r="ALB38" s="16"/>
      <c r="ALC38" s="16"/>
      <c r="ALD38" s="16"/>
      <c r="ALE38" s="16"/>
      <c r="ALF38" s="16"/>
      <c r="ALG38" s="16"/>
      <c r="ALH38" s="16"/>
      <c r="ALI38" s="16"/>
      <c r="ALJ38" s="16"/>
      <c r="ALK38" s="16"/>
      <c r="ALL38" s="16"/>
      <c r="ALM38" s="16"/>
      <c r="ALN38" s="16"/>
      <c r="ALO38" s="16"/>
      <c r="ALP38" s="16"/>
      <c r="ALQ38" s="16"/>
      <c r="ALR38" s="16"/>
      <c r="ALS38" s="16"/>
      <c r="ALT38" s="16"/>
    </row>
    <row r="39" spans="1:1008" s="27" customFormat="1" x14ac:dyDescent="0.25">
      <c r="A39" s="81">
        <v>43851</v>
      </c>
      <c r="B39" s="33" t="s">
        <v>74</v>
      </c>
      <c r="C39" s="56">
        <v>15286</v>
      </c>
      <c r="D39" s="68">
        <v>0</v>
      </c>
      <c r="E39" s="68">
        <v>4.0000000000873115E-2</v>
      </c>
      <c r="F39" s="56"/>
      <c r="G39" s="68">
        <v>196.34917999999999</v>
      </c>
      <c r="H39" s="68">
        <v>45.662600000000005</v>
      </c>
      <c r="I39" s="68">
        <v>8890.5082200000015</v>
      </c>
      <c r="J39" s="56">
        <v>30.5</v>
      </c>
      <c r="K39" s="56"/>
      <c r="L39" s="56"/>
      <c r="M39" s="56">
        <v>549.11</v>
      </c>
      <c r="N39" s="65"/>
      <c r="O39" s="65"/>
      <c r="P39" s="68">
        <v>1195.1407999999999</v>
      </c>
      <c r="Q39" s="68">
        <v>210.90719999999999</v>
      </c>
      <c r="R39" s="68">
        <v>351.512</v>
      </c>
      <c r="S39" s="68">
        <v>20750.47321428571</v>
      </c>
      <c r="T39" s="68">
        <v>20170.86321428571</v>
      </c>
      <c r="U39" s="68">
        <v>2420.5035857142852</v>
      </c>
      <c r="V39" s="68">
        <v>22591.366799999996</v>
      </c>
      <c r="W39" s="68"/>
      <c r="X39" s="67">
        <v>0</v>
      </c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8">
        <v>0</v>
      </c>
      <c r="AJ39" s="65"/>
      <c r="AK39" s="65"/>
      <c r="AL39" s="68">
        <v>0</v>
      </c>
      <c r="AM39" s="68">
        <v>0</v>
      </c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8">
        <v>0</v>
      </c>
      <c r="BB39" s="16"/>
      <c r="BC39" s="82"/>
      <c r="BD39" s="83"/>
      <c r="BE39" s="83"/>
      <c r="BF39" s="83"/>
      <c r="BG39" s="83"/>
      <c r="BH39" s="83"/>
      <c r="BI39" s="83"/>
      <c r="BJ39" s="83"/>
      <c r="BK39" s="83"/>
      <c r="BL39" s="83"/>
      <c r="BM39" s="83"/>
      <c r="BN39" s="83"/>
      <c r="BO39" s="83"/>
      <c r="BP39" s="83"/>
      <c r="BQ39" s="83"/>
      <c r="BR39" s="83"/>
      <c r="BS39" s="83"/>
      <c r="BT39" s="83"/>
      <c r="BU39" s="83"/>
      <c r="BV39" s="83"/>
      <c r="BW39" s="83"/>
      <c r="BX39" s="83"/>
      <c r="BY39" s="83"/>
      <c r="BZ39" s="83"/>
      <c r="CA39" s="83"/>
      <c r="CB39" s="83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</row>
    <row r="40" spans="1:1008" s="27" customFormat="1" x14ac:dyDescent="0.25">
      <c r="A40" s="81"/>
      <c r="B40" s="33" t="s">
        <v>76</v>
      </c>
      <c r="C40" s="56">
        <v>25105</v>
      </c>
      <c r="D40" s="68">
        <v>0</v>
      </c>
      <c r="E40" s="68">
        <v>2.1399999999994179</v>
      </c>
      <c r="F40" s="56"/>
      <c r="G40" s="68">
        <v>85.287704999999988</v>
      </c>
      <c r="H40" s="68">
        <v>19.834350000000001</v>
      </c>
      <c r="I40" s="68">
        <v>3861.7479449999996</v>
      </c>
      <c r="J40" s="56">
        <v>270.25</v>
      </c>
      <c r="K40" s="56"/>
      <c r="L40" s="56"/>
      <c r="M40" s="56">
        <v>366.96</v>
      </c>
      <c r="N40" s="65"/>
      <c r="O40" s="65"/>
      <c r="P40" s="68">
        <v>1507.6415999999999</v>
      </c>
      <c r="Q40" s="68">
        <v>266.05439999999999</v>
      </c>
      <c r="R40" s="68">
        <v>443.42399999999998</v>
      </c>
      <c r="S40" s="68">
        <v>24544.482142857141</v>
      </c>
      <c r="T40" s="68">
        <v>23907.272142857142</v>
      </c>
      <c r="U40" s="68">
        <v>2868.872657142857</v>
      </c>
      <c r="V40" s="68">
        <v>26776.144799999998</v>
      </c>
      <c r="W40" s="68"/>
      <c r="X40" s="67">
        <v>330</v>
      </c>
      <c r="Y40" s="67"/>
      <c r="Z40" s="67">
        <v>280</v>
      </c>
      <c r="AA40" s="67">
        <v>295</v>
      </c>
      <c r="AB40" s="67"/>
      <c r="AC40" s="67"/>
      <c r="AD40" s="67"/>
      <c r="AE40" s="67"/>
      <c r="AF40" s="67"/>
      <c r="AG40" s="67"/>
      <c r="AH40" s="67"/>
      <c r="AI40" s="68">
        <v>905</v>
      </c>
      <c r="AJ40" s="65"/>
      <c r="AK40" s="65">
        <v>0</v>
      </c>
      <c r="AL40" s="68"/>
      <c r="AM40" s="68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8">
        <v>905</v>
      </c>
      <c r="BB40" s="16"/>
      <c r="BC40" s="82"/>
      <c r="BD40" s="83"/>
      <c r="BE40" s="83"/>
      <c r="BF40" s="83"/>
      <c r="BG40" s="83"/>
      <c r="BH40" s="83"/>
      <c r="BI40" s="83"/>
      <c r="BJ40" s="83"/>
      <c r="BK40" s="83"/>
      <c r="BL40" s="83"/>
      <c r="BM40" s="83"/>
      <c r="BN40" s="83"/>
      <c r="BO40" s="83"/>
      <c r="BP40" s="83"/>
      <c r="BQ40" s="83"/>
      <c r="BR40" s="83"/>
      <c r="BS40" s="83"/>
      <c r="BT40" s="83"/>
      <c r="BU40" s="83"/>
      <c r="BV40" s="83"/>
      <c r="BW40" s="83"/>
      <c r="BX40" s="83"/>
      <c r="BY40" s="83"/>
      <c r="BZ40" s="83"/>
      <c r="CA40" s="83"/>
      <c r="CB40" s="83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</row>
    <row r="41" spans="1:1008" s="27" customFormat="1" x14ac:dyDescent="0.25">
      <c r="A41" s="81">
        <v>43852</v>
      </c>
      <c r="B41" s="33" t="s">
        <v>74</v>
      </c>
      <c r="C41" s="56">
        <v>10948</v>
      </c>
      <c r="D41" s="68">
        <v>0</v>
      </c>
      <c r="E41" s="68">
        <v>0.61000000000058208</v>
      </c>
      <c r="F41" s="56"/>
      <c r="G41" s="68">
        <v>324.45864999999998</v>
      </c>
      <c r="H41" s="68">
        <v>75.455500000000001</v>
      </c>
      <c r="I41" s="68">
        <v>14691.18585</v>
      </c>
      <c r="J41" s="56">
        <v>66</v>
      </c>
      <c r="K41" s="56"/>
      <c r="L41" s="56"/>
      <c r="M41" s="56">
        <v>308.62</v>
      </c>
      <c r="N41" s="65" t="s">
        <v>81</v>
      </c>
      <c r="O41" s="65">
        <v>2823.03</v>
      </c>
      <c r="P41" s="68">
        <v>1421.3904</v>
      </c>
      <c r="Q41" s="68">
        <v>250.83360000000002</v>
      </c>
      <c r="R41" s="68">
        <v>418.05600000000004</v>
      </c>
      <c r="S41" s="68">
        <v>21716.8125</v>
      </c>
      <c r="T41" s="68">
        <v>21342.192500000001</v>
      </c>
      <c r="U41" s="68">
        <v>2561.0630999999998</v>
      </c>
      <c r="V41" s="68">
        <v>23903.2556</v>
      </c>
      <c r="W41" s="68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8">
        <v>0</v>
      </c>
      <c r="AJ41" s="65"/>
      <c r="AK41" s="65"/>
      <c r="AL41" s="68">
        <v>0</v>
      </c>
      <c r="AM41" s="68">
        <v>0</v>
      </c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8">
        <v>0</v>
      </c>
      <c r="BB41" s="16"/>
      <c r="BC41" s="82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3"/>
      <c r="CA41" s="83"/>
      <c r="CB41" s="83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</row>
    <row r="42" spans="1:1008" s="27" customFormat="1" x14ac:dyDescent="0.25">
      <c r="A42" s="81"/>
      <c r="B42" s="33" t="s">
        <v>76</v>
      </c>
      <c r="C42" s="56">
        <v>15047</v>
      </c>
      <c r="D42" s="68">
        <v>0.13999999999941792</v>
      </c>
      <c r="E42" s="68">
        <v>0</v>
      </c>
      <c r="F42" s="56">
        <v>900</v>
      </c>
      <c r="G42" s="68">
        <v>178.833775</v>
      </c>
      <c r="H42" s="68">
        <v>41.58925</v>
      </c>
      <c r="I42" s="68">
        <v>8097.4269750000003</v>
      </c>
      <c r="J42" s="56"/>
      <c r="K42" s="56"/>
      <c r="L42" s="56"/>
      <c r="M42" s="56">
        <v>1080.8399999999999</v>
      </c>
      <c r="N42" s="65" t="s">
        <v>77</v>
      </c>
      <c r="O42" s="65">
        <v>510</v>
      </c>
      <c r="P42" s="68">
        <v>1405.8048000000001</v>
      </c>
      <c r="Q42" s="68">
        <v>248.08320000000001</v>
      </c>
      <c r="R42" s="68">
        <v>413.47200000000004</v>
      </c>
      <c r="S42" s="68">
        <v>23760.267857142855</v>
      </c>
      <c r="T42" s="68">
        <v>22679.427857142855</v>
      </c>
      <c r="U42" s="68">
        <v>2721.5313428571426</v>
      </c>
      <c r="V42" s="68">
        <v>25400.959199999998</v>
      </c>
      <c r="W42" s="68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8">
        <v>0</v>
      </c>
      <c r="AJ42" s="65"/>
      <c r="AK42" s="65"/>
      <c r="AL42" s="68">
        <v>0</v>
      </c>
      <c r="AM42" s="68">
        <v>0</v>
      </c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8">
        <v>0</v>
      </c>
      <c r="BB42" s="16"/>
      <c r="BC42" s="82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  <c r="JA42" s="16"/>
      <c r="JB42" s="16"/>
      <c r="JC42" s="16"/>
      <c r="JD42" s="16"/>
      <c r="JE42" s="16"/>
      <c r="JF42" s="16"/>
      <c r="JG42" s="16"/>
      <c r="JH42" s="16"/>
      <c r="JI42" s="16"/>
      <c r="JJ42" s="16"/>
      <c r="JK42" s="16"/>
      <c r="JL42" s="16"/>
      <c r="JM42" s="16"/>
      <c r="JN42" s="16"/>
      <c r="JO42" s="16"/>
      <c r="JP42" s="16"/>
      <c r="JQ42" s="16"/>
      <c r="JR42" s="16"/>
      <c r="JS42" s="16"/>
      <c r="JT42" s="16"/>
      <c r="JU42" s="16"/>
      <c r="JV42" s="16"/>
      <c r="JW42" s="16"/>
      <c r="JX42" s="16"/>
      <c r="JY42" s="16"/>
      <c r="JZ42" s="16"/>
      <c r="KA42" s="16"/>
      <c r="KB42" s="16"/>
      <c r="KC42" s="16"/>
      <c r="KD42" s="16"/>
      <c r="KE42" s="16"/>
      <c r="KF42" s="16"/>
      <c r="KG42" s="16"/>
      <c r="KH42" s="16"/>
      <c r="KI42" s="16"/>
      <c r="KJ42" s="16"/>
      <c r="KK42" s="16"/>
      <c r="KL42" s="16"/>
      <c r="KM42" s="16"/>
      <c r="KN42" s="16"/>
      <c r="KO42" s="16"/>
      <c r="KP42" s="16"/>
      <c r="KQ42" s="16"/>
      <c r="KR42" s="16"/>
      <c r="KS42" s="16"/>
      <c r="KT42" s="16"/>
      <c r="KU42" s="16"/>
      <c r="KV42" s="16"/>
      <c r="KW42" s="16"/>
      <c r="KX42" s="16"/>
      <c r="KY42" s="16"/>
      <c r="KZ42" s="16"/>
      <c r="LA42" s="16"/>
      <c r="LB42" s="16"/>
      <c r="LC42" s="16"/>
      <c r="LD42" s="16"/>
      <c r="LE42" s="16"/>
      <c r="LF42" s="16"/>
      <c r="LG42" s="16"/>
      <c r="LH42" s="16"/>
      <c r="LI42" s="16"/>
      <c r="LJ42" s="16"/>
      <c r="LK42" s="16"/>
      <c r="LL42" s="16"/>
      <c r="LM42" s="16"/>
      <c r="LN42" s="16"/>
      <c r="LO42" s="16"/>
      <c r="LP42" s="16"/>
      <c r="LQ42" s="16"/>
      <c r="LR42" s="16"/>
      <c r="LS42" s="16"/>
      <c r="LT42" s="16"/>
      <c r="LU42" s="16"/>
      <c r="LV42" s="16"/>
      <c r="LW42" s="16"/>
      <c r="LX42" s="16"/>
      <c r="LY42" s="16"/>
      <c r="LZ42" s="16"/>
      <c r="MA42" s="16"/>
      <c r="MB42" s="16"/>
      <c r="MC42" s="16"/>
      <c r="MD42" s="16"/>
      <c r="ME42" s="16"/>
      <c r="MF42" s="16"/>
      <c r="MG42" s="16"/>
      <c r="MH42" s="16"/>
      <c r="MI42" s="16"/>
      <c r="MJ42" s="16"/>
      <c r="MK42" s="16"/>
      <c r="ML42" s="16"/>
      <c r="MM42" s="16"/>
      <c r="MN42" s="16"/>
      <c r="MO42" s="16"/>
      <c r="MP42" s="16"/>
      <c r="MQ42" s="16"/>
      <c r="MR42" s="16"/>
      <c r="MS42" s="16"/>
      <c r="MT42" s="16"/>
      <c r="MU42" s="16"/>
      <c r="MV42" s="16"/>
      <c r="MW42" s="16"/>
      <c r="MX42" s="16"/>
      <c r="MY42" s="16"/>
      <c r="MZ42" s="16"/>
      <c r="NA42" s="16"/>
      <c r="NB42" s="16"/>
      <c r="NC42" s="16"/>
      <c r="ND42" s="16"/>
      <c r="NE42" s="16"/>
      <c r="NF42" s="16"/>
      <c r="NG42" s="16"/>
      <c r="NH42" s="16"/>
      <c r="NI42" s="16"/>
      <c r="NJ42" s="16"/>
      <c r="NK42" s="16"/>
      <c r="NL42" s="16"/>
      <c r="NM42" s="16"/>
      <c r="NN42" s="16"/>
      <c r="NO42" s="16"/>
      <c r="NP42" s="16"/>
      <c r="NQ42" s="16"/>
      <c r="NR42" s="16"/>
      <c r="NS42" s="16"/>
      <c r="NT42" s="16"/>
      <c r="NU42" s="16"/>
      <c r="NV42" s="16"/>
      <c r="NW42" s="16"/>
      <c r="NX42" s="16"/>
      <c r="NY42" s="16"/>
      <c r="NZ42" s="16"/>
      <c r="OA42" s="16"/>
      <c r="OB42" s="16"/>
      <c r="OC42" s="16"/>
      <c r="OD42" s="16"/>
      <c r="OE42" s="16"/>
      <c r="OF42" s="16"/>
      <c r="OG42" s="16"/>
      <c r="OH42" s="16"/>
      <c r="OI42" s="16"/>
      <c r="OJ42" s="16"/>
      <c r="OK42" s="16"/>
      <c r="OL42" s="16"/>
      <c r="OM42" s="16"/>
      <c r="ON42" s="16"/>
      <c r="OO42" s="16"/>
      <c r="OP42" s="16"/>
      <c r="OQ42" s="16"/>
      <c r="OR42" s="16"/>
      <c r="OS42" s="16"/>
      <c r="OT42" s="16"/>
      <c r="OU42" s="16"/>
      <c r="OV42" s="16"/>
      <c r="OW42" s="16"/>
      <c r="OX42" s="16"/>
      <c r="OY42" s="16"/>
      <c r="OZ42" s="16"/>
      <c r="PA42" s="16"/>
      <c r="PB42" s="16"/>
      <c r="PC42" s="16"/>
      <c r="PD42" s="16"/>
      <c r="PE42" s="16"/>
      <c r="PF42" s="16"/>
      <c r="PG42" s="16"/>
      <c r="PH42" s="16"/>
      <c r="PI42" s="16"/>
      <c r="PJ42" s="16"/>
      <c r="PK42" s="16"/>
      <c r="PL42" s="16"/>
      <c r="PM42" s="16"/>
      <c r="PN42" s="16"/>
      <c r="PO42" s="16"/>
      <c r="PP42" s="16"/>
      <c r="PQ42" s="16"/>
      <c r="PR42" s="16"/>
      <c r="PS42" s="16"/>
      <c r="PT42" s="16"/>
      <c r="PU42" s="16"/>
      <c r="PV42" s="16"/>
      <c r="PW42" s="16"/>
      <c r="PX42" s="16"/>
      <c r="PY42" s="16"/>
      <c r="PZ42" s="16"/>
      <c r="QA42" s="16"/>
      <c r="QB42" s="16"/>
      <c r="QC42" s="16"/>
      <c r="QD42" s="16"/>
      <c r="QE42" s="16"/>
      <c r="QF42" s="16"/>
      <c r="QG42" s="16"/>
      <c r="QH42" s="16"/>
      <c r="QI42" s="16"/>
      <c r="QJ42" s="16"/>
      <c r="QK42" s="16"/>
      <c r="QL42" s="16"/>
      <c r="QM42" s="16"/>
      <c r="QN42" s="16"/>
      <c r="QO42" s="16"/>
      <c r="QP42" s="16"/>
      <c r="QQ42" s="16"/>
      <c r="QR42" s="16"/>
      <c r="QS42" s="16"/>
      <c r="QT42" s="16"/>
      <c r="QU42" s="16"/>
      <c r="QV42" s="16"/>
      <c r="QW42" s="16"/>
      <c r="QX42" s="16"/>
      <c r="QY42" s="16"/>
      <c r="QZ42" s="16"/>
      <c r="RA42" s="16"/>
      <c r="RB42" s="16"/>
      <c r="RC42" s="16"/>
      <c r="RD42" s="16"/>
      <c r="RE42" s="16"/>
      <c r="RF42" s="16"/>
      <c r="RG42" s="16"/>
      <c r="RH42" s="16"/>
      <c r="RI42" s="16"/>
      <c r="RJ42" s="16"/>
      <c r="RK42" s="16"/>
      <c r="RL42" s="16"/>
      <c r="RM42" s="16"/>
      <c r="RN42" s="16"/>
      <c r="RO42" s="16"/>
      <c r="RP42" s="16"/>
      <c r="RQ42" s="16"/>
      <c r="RR42" s="16"/>
      <c r="RS42" s="16"/>
      <c r="RT42" s="16"/>
      <c r="RU42" s="16"/>
      <c r="RV42" s="16"/>
      <c r="RW42" s="16"/>
      <c r="RX42" s="16"/>
      <c r="RY42" s="16"/>
      <c r="RZ42" s="16"/>
      <c r="SA42" s="16"/>
      <c r="SB42" s="16"/>
      <c r="SC42" s="16"/>
      <c r="SD42" s="16"/>
      <c r="SE42" s="16"/>
      <c r="SF42" s="16"/>
      <c r="SG42" s="16"/>
      <c r="SH42" s="16"/>
      <c r="SI42" s="16"/>
      <c r="SJ42" s="16"/>
      <c r="SK42" s="16"/>
      <c r="SL42" s="16"/>
      <c r="SM42" s="16"/>
      <c r="SN42" s="16"/>
      <c r="SO42" s="16"/>
      <c r="SP42" s="16"/>
      <c r="SQ42" s="16"/>
      <c r="SR42" s="16"/>
      <c r="SS42" s="16"/>
      <c r="ST42" s="16"/>
      <c r="SU42" s="16"/>
      <c r="SV42" s="16"/>
      <c r="SW42" s="16"/>
      <c r="SX42" s="16"/>
      <c r="SY42" s="16"/>
      <c r="SZ42" s="16"/>
      <c r="TA42" s="16"/>
      <c r="TB42" s="16"/>
      <c r="TC42" s="16"/>
      <c r="TD42" s="16"/>
      <c r="TE42" s="16"/>
      <c r="TF42" s="16"/>
      <c r="TG42" s="16"/>
      <c r="TH42" s="16"/>
      <c r="TI42" s="16"/>
      <c r="TJ42" s="16"/>
      <c r="TK42" s="16"/>
      <c r="TL42" s="16"/>
      <c r="TM42" s="16"/>
      <c r="TN42" s="16"/>
      <c r="TO42" s="16"/>
      <c r="TP42" s="16"/>
      <c r="TQ42" s="16"/>
      <c r="TR42" s="16"/>
      <c r="TS42" s="16"/>
      <c r="TT42" s="16"/>
      <c r="TU42" s="16"/>
      <c r="TV42" s="16"/>
      <c r="TW42" s="16"/>
      <c r="TX42" s="16"/>
      <c r="TY42" s="16"/>
      <c r="TZ42" s="16"/>
      <c r="UA42" s="16"/>
      <c r="UB42" s="16"/>
      <c r="UC42" s="16"/>
      <c r="UD42" s="16"/>
      <c r="UE42" s="16"/>
      <c r="UF42" s="16"/>
      <c r="UG42" s="16"/>
      <c r="UH42" s="16"/>
      <c r="UI42" s="16"/>
      <c r="UJ42" s="16"/>
      <c r="UK42" s="16"/>
      <c r="UL42" s="16"/>
      <c r="UM42" s="16"/>
      <c r="UN42" s="16"/>
      <c r="UO42" s="16"/>
      <c r="UP42" s="16"/>
      <c r="UQ42" s="16"/>
      <c r="UR42" s="16"/>
      <c r="US42" s="16"/>
      <c r="UT42" s="16"/>
      <c r="UU42" s="16"/>
      <c r="UV42" s="16"/>
      <c r="UW42" s="16"/>
      <c r="UX42" s="16"/>
      <c r="UY42" s="16"/>
      <c r="UZ42" s="16"/>
      <c r="VA42" s="16"/>
      <c r="VB42" s="16"/>
      <c r="VC42" s="16"/>
      <c r="VD42" s="16"/>
      <c r="VE42" s="16"/>
      <c r="VF42" s="16"/>
      <c r="VG42" s="16"/>
      <c r="VH42" s="16"/>
      <c r="VI42" s="16"/>
      <c r="VJ42" s="16"/>
      <c r="VK42" s="16"/>
      <c r="VL42" s="16"/>
      <c r="VM42" s="16"/>
      <c r="VN42" s="16"/>
      <c r="VO42" s="16"/>
      <c r="VP42" s="16"/>
      <c r="VQ42" s="16"/>
      <c r="VR42" s="16"/>
      <c r="VS42" s="16"/>
      <c r="VT42" s="16"/>
      <c r="VU42" s="16"/>
      <c r="VV42" s="16"/>
      <c r="VW42" s="16"/>
      <c r="VX42" s="16"/>
      <c r="VY42" s="16"/>
      <c r="VZ42" s="16"/>
      <c r="WA42" s="16"/>
      <c r="WB42" s="16"/>
      <c r="WC42" s="16"/>
      <c r="WD42" s="16"/>
      <c r="WE42" s="16"/>
      <c r="WF42" s="16"/>
      <c r="WG42" s="16"/>
      <c r="WH42" s="16"/>
      <c r="WI42" s="16"/>
      <c r="WJ42" s="16"/>
      <c r="WK42" s="16"/>
      <c r="WL42" s="16"/>
      <c r="WM42" s="16"/>
      <c r="WN42" s="16"/>
      <c r="WO42" s="16"/>
      <c r="WP42" s="16"/>
      <c r="WQ42" s="16"/>
      <c r="WR42" s="16"/>
      <c r="WS42" s="16"/>
      <c r="WT42" s="16"/>
      <c r="WU42" s="16"/>
      <c r="WV42" s="16"/>
      <c r="WW42" s="16"/>
      <c r="WX42" s="16"/>
      <c r="WY42" s="16"/>
      <c r="WZ42" s="16"/>
      <c r="XA42" s="16"/>
      <c r="XB42" s="16"/>
      <c r="XC42" s="16"/>
      <c r="XD42" s="16"/>
      <c r="XE42" s="16"/>
      <c r="XF42" s="16"/>
      <c r="XG42" s="16"/>
      <c r="XH42" s="16"/>
      <c r="XI42" s="16"/>
      <c r="XJ42" s="16"/>
      <c r="XK42" s="16"/>
      <c r="XL42" s="16"/>
      <c r="XM42" s="16"/>
      <c r="XN42" s="16"/>
      <c r="XO42" s="16"/>
      <c r="XP42" s="16"/>
      <c r="XQ42" s="16"/>
      <c r="XR42" s="16"/>
      <c r="XS42" s="16"/>
      <c r="XT42" s="16"/>
      <c r="XU42" s="16"/>
      <c r="XV42" s="16"/>
      <c r="XW42" s="16"/>
      <c r="XX42" s="16"/>
      <c r="XY42" s="16"/>
      <c r="XZ42" s="16"/>
      <c r="YA42" s="16"/>
      <c r="YB42" s="16"/>
      <c r="YC42" s="16"/>
      <c r="YD42" s="16"/>
      <c r="YE42" s="16"/>
      <c r="YF42" s="16"/>
      <c r="YG42" s="16"/>
      <c r="YH42" s="16"/>
      <c r="YI42" s="16"/>
      <c r="YJ42" s="16"/>
      <c r="YK42" s="16"/>
      <c r="YL42" s="16"/>
      <c r="YM42" s="16"/>
      <c r="YN42" s="16"/>
      <c r="YO42" s="16"/>
      <c r="YP42" s="16"/>
      <c r="YQ42" s="16"/>
      <c r="YR42" s="16"/>
      <c r="YS42" s="16"/>
      <c r="YT42" s="16"/>
      <c r="YU42" s="16"/>
      <c r="YV42" s="16"/>
      <c r="YW42" s="16"/>
      <c r="YX42" s="16"/>
      <c r="YY42" s="16"/>
      <c r="YZ42" s="16"/>
      <c r="ZA42" s="16"/>
      <c r="ZB42" s="16"/>
      <c r="ZC42" s="16"/>
      <c r="ZD42" s="16"/>
      <c r="ZE42" s="16"/>
      <c r="ZF42" s="16"/>
      <c r="ZG42" s="16"/>
      <c r="ZH42" s="16"/>
      <c r="ZI42" s="16"/>
      <c r="ZJ42" s="16"/>
      <c r="ZK42" s="16"/>
      <c r="ZL42" s="16"/>
      <c r="ZM42" s="16"/>
      <c r="ZN42" s="16"/>
      <c r="ZO42" s="16"/>
      <c r="ZP42" s="16"/>
      <c r="ZQ42" s="16"/>
      <c r="ZR42" s="16"/>
      <c r="ZS42" s="16"/>
      <c r="ZT42" s="16"/>
      <c r="ZU42" s="16"/>
      <c r="ZV42" s="16"/>
      <c r="ZW42" s="16"/>
      <c r="ZX42" s="16"/>
      <c r="ZY42" s="16"/>
      <c r="ZZ42" s="16"/>
      <c r="AAA42" s="16"/>
      <c r="AAB42" s="16"/>
      <c r="AAC42" s="16"/>
      <c r="AAD42" s="16"/>
      <c r="AAE42" s="16"/>
      <c r="AAF42" s="16"/>
      <c r="AAG42" s="16"/>
      <c r="AAH42" s="16"/>
      <c r="AAI42" s="16"/>
      <c r="AAJ42" s="16"/>
      <c r="AAK42" s="16"/>
      <c r="AAL42" s="16"/>
      <c r="AAM42" s="16"/>
      <c r="AAN42" s="16"/>
      <c r="AAO42" s="16"/>
      <c r="AAP42" s="16"/>
      <c r="AAQ42" s="16"/>
      <c r="AAR42" s="16"/>
      <c r="AAS42" s="16"/>
      <c r="AAT42" s="16"/>
      <c r="AAU42" s="16"/>
      <c r="AAV42" s="16"/>
      <c r="AAW42" s="16"/>
      <c r="AAX42" s="16"/>
      <c r="AAY42" s="16"/>
      <c r="AAZ42" s="16"/>
      <c r="ABA42" s="16"/>
      <c r="ABB42" s="16"/>
      <c r="ABC42" s="16"/>
      <c r="ABD42" s="16"/>
      <c r="ABE42" s="16"/>
      <c r="ABF42" s="16"/>
      <c r="ABG42" s="16"/>
      <c r="ABH42" s="16"/>
      <c r="ABI42" s="16"/>
      <c r="ABJ42" s="16"/>
      <c r="ABK42" s="16"/>
      <c r="ABL42" s="16"/>
      <c r="ABM42" s="16"/>
      <c r="ABN42" s="16"/>
      <c r="ABO42" s="16"/>
      <c r="ABP42" s="16"/>
      <c r="ABQ42" s="16"/>
      <c r="ABR42" s="16"/>
      <c r="ABS42" s="16"/>
      <c r="ABT42" s="16"/>
      <c r="ABU42" s="16"/>
      <c r="ABV42" s="16"/>
      <c r="ABW42" s="16"/>
      <c r="ABX42" s="16"/>
      <c r="ABY42" s="16"/>
      <c r="ABZ42" s="16"/>
      <c r="ACA42" s="16"/>
      <c r="ACB42" s="16"/>
      <c r="ACC42" s="16"/>
      <c r="ACD42" s="16"/>
      <c r="ACE42" s="16"/>
      <c r="ACF42" s="16"/>
      <c r="ACG42" s="16"/>
      <c r="ACH42" s="16"/>
      <c r="ACI42" s="16"/>
      <c r="ACJ42" s="16"/>
      <c r="ACK42" s="16"/>
      <c r="ACL42" s="16"/>
      <c r="ACM42" s="16"/>
      <c r="ACN42" s="16"/>
      <c r="ACO42" s="16"/>
      <c r="ACP42" s="16"/>
      <c r="ACQ42" s="16"/>
      <c r="ACR42" s="16"/>
      <c r="ACS42" s="16"/>
      <c r="ACT42" s="16"/>
      <c r="ACU42" s="16"/>
      <c r="ACV42" s="16"/>
      <c r="ACW42" s="16"/>
      <c r="ACX42" s="16"/>
      <c r="ACY42" s="16"/>
      <c r="ACZ42" s="16"/>
      <c r="ADA42" s="16"/>
      <c r="ADB42" s="16"/>
      <c r="ADC42" s="16"/>
      <c r="ADD42" s="16"/>
      <c r="ADE42" s="16"/>
      <c r="ADF42" s="16"/>
      <c r="ADG42" s="16"/>
      <c r="ADH42" s="16"/>
      <c r="ADI42" s="16"/>
      <c r="ADJ42" s="16"/>
      <c r="ADK42" s="16"/>
      <c r="ADL42" s="16"/>
      <c r="ADM42" s="16"/>
      <c r="ADN42" s="16"/>
      <c r="ADO42" s="16"/>
      <c r="ADP42" s="16"/>
      <c r="ADQ42" s="16"/>
      <c r="ADR42" s="16"/>
      <c r="ADS42" s="16"/>
      <c r="ADT42" s="16"/>
      <c r="ADU42" s="16"/>
      <c r="ADV42" s="16"/>
      <c r="ADW42" s="16"/>
      <c r="ADX42" s="16"/>
      <c r="ADY42" s="16"/>
      <c r="ADZ42" s="16"/>
      <c r="AEA42" s="16"/>
      <c r="AEB42" s="16"/>
      <c r="AEC42" s="16"/>
      <c r="AED42" s="16"/>
      <c r="AEE42" s="16"/>
      <c r="AEF42" s="16"/>
      <c r="AEG42" s="16"/>
      <c r="AEH42" s="16"/>
      <c r="AEI42" s="16"/>
      <c r="AEJ42" s="16"/>
      <c r="AEK42" s="16"/>
      <c r="AEL42" s="16"/>
      <c r="AEM42" s="16"/>
      <c r="AEN42" s="16"/>
      <c r="AEO42" s="16"/>
      <c r="AEP42" s="16"/>
      <c r="AEQ42" s="16"/>
      <c r="AER42" s="16"/>
      <c r="AES42" s="16"/>
      <c r="AET42" s="16"/>
      <c r="AEU42" s="16"/>
      <c r="AEV42" s="16"/>
      <c r="AEW42" s="16"/>
      <c r="AEX42" s="16"/>
      <c r="AEY42" s="16"/>
      <c r="AEZ42" s="16"/>
      <c r="AFA42" s="16"/>
      <c r="AFB42" s="16"/>
      <c r="AFC42" s="16"/>
      <c r="AFD42" s="16"/>
      <c r="AFE42" s="16"/>
      <c r="AFF42" s="16"/>
      <c r="AFG42" s="16"/>
      <c r="AFH42" s="16"/>
      <c r="AFI42" s="16"/>
      <c r="AFJ42" s="16"/>
      <c r="AFK42" s="16"/>
      <c r="AFL42" s="16"/>
      <c r="AFM42" s="16"/>
      <c r="AFN42" s="16"/>
      <c r="AFO42" s="16"/>
      <c r="AFP42" s="16"/>
      <c r="AFQ42" s="16"/>
      <c r="AFR42" s="16"/>
      <c r="AFS42" s="16"/>
      <c r="AFT42" s="16"/>
      <c r="AFU42" s="16"/>
      <c r="AFV42" s="16"/>
      <c r="AFW42" s="16"/>
      <c r="AFX42" s="16"/>
      <c r="AFY42" s="16"/>
      <c r="AFZ42" s="16"/>
      <c r="AGA42" s="16"/>
      <c r="AGB42" s="16"/>
      <c r="AGC42" s="16"/>
      <c r="AGD42" s="16"/>
      <c r="AGE42" s="16"/>
      <c r="AGF42" s="16"/>
      <c r="AGG42" s="16"/>
      <c r="AGH42" s="16"/>
      <c r="AGI42" s="16"/>
      <c r="AGJ42" s="16"/>
      <c r="AGK42" s="16"/>
      <c r="AGL42" s="16"/>
      <c r="AGM42" s="16"/>
      <c r="AGN42" s="16"/>
      <c r="AGO42" s="16"/>
      <c r="AGP42" s="16"/>
      <c r="AGQ42" s="16"/>
      <c r="AGR42" s="16"/>
      <c r="AGS42" s="16"/>
      <c r="AGT42" s="16"/>
      <c r="AGU42" s="16"/>
      <c r="AGV42" s="16"/>
      <c r="AGW42" s="16"/>
      <c r="AGX42" s="16"/>
      <c r="AGY42" s="16"/>
      <c r="AGZ42" s="16"/>
      <c r="AHA42" s="16"/>
      <c r="AHB42" s="16"/>
      <c r="AHC42" s="16"/>
      <c r="AHD42" s="16"/>
      <c r="AHE42" s="16"/>
      <c r="AHF42" s="16"/>
      <c r="AHG42" s="16"/>
      <c r="AHH42" s="16"/>
      <c r="AHI42" s="16"/>
      <c r="AHJ42" s="16"/>
      <c r="AHK42" s="16"/>
      <c r="AHL42" s="16"/>
      <c r="AHM42" s="16"/>
      <c r="AHN42" s="16"/>
      <c r="AHO42" s="16"/>
      <c r="AHP42" s="16"/>
      <c r="AHQ42" s="16"/>
      <c r="AHR42" s="16"/>
      <c r="AHS42" s="16"/>
      <c r="AHT42" s="16"/>
      <c r="AHU42" s="16"/>
      <c r="AHV42" s="16"/>
      <c r="AHW42" s="16"/>
      <c r="AHX42" s="16"/>
      <c r="AHY42" s="16"/>
      <c r="AHZ42" s="16"/>
      <c r="AIA42" s="16"/>
      <c r="AIB42" s="16"/>
      <c r="AIC42" s="16"/>
      <c r="AID42" s="16"/>
      <c r="AIE42" s="16"/>
      <c r="AIF42" s="16"/>
      <c r="AIG42" s="16"/>
      <c r="AIH42" s="16"/>
      <c r="AII42" s="16"/>
      <c r="AIJ42" s="16"/>
      <c r="AIK42" s="16"/>
      <c r="AIL42" s="16"/>
      <c r="AIM42" s="16"/>
      <c r="AIN42" s="16"/>
      <c r="AIO42" s="16"/>
      <c r="AIP42" s="16"/>
      <c r="AIQ42" s="16"/>
      <c r="AIR42" s="16"/>
      <c r="AIS42" s="16"/>
      <c r="AIT42" s="16"/>
      <c r="AIU42" s="16"/>
      <c r="AIV42" s="16"/>
      <c r="AIW42" s="16"/>
      <c r="AIX42" s="16"/>
      <c r="AIY42" s="16"/>
      <c r="AIZ42" s="16"/>
      <c r="AJA42" s="16"/>
      <c r="AJB42" s="16"/>
      <c r="AJC42" s="16"/>
      <c r="AJD42" s="16"/>
      <c r="AJE42" s="16"/>
      <c r="AJF42" s="16"/>
      <c r="AJG42" s="16"/>
      <c r="AJH42" s="16"/>
      <c r="AJI42" s="16"/>
      <c r="AJJ42" s="16"/>
      <c r="AJK42" s="16"/>
      <c r="AJL42" s="16"/>
      <c r="AJM42" s="16"/>
      <c r="AJN42" s="16"/>
      <c r="AJO42" s="16"/>
      <c r="AJP42" s="16"/>
      <c r="AJQ42" s="16"/>
      <c r="AJR42" s="16"/>
      <c r="AJS42" s="16"/>
      <c r="AJT42" s="16"/>
      <c r="AJU42" s="16"/>
      <c r="AJV42" s="16"/>
      <c r="AJW42" s="16"/>
      <c r="AJX42" s="16"/>
      <c r="AJY42" s="16"/>
      <c r="AJZ42" s="16"/>
      <c r="AKA42" s="16"/>
      <c r="AKB42" s="16"/>
      <c r="AKC42" s="16"/>
      <c r="AKD42" s="16"/>
      <c r="AKE42" s="16"/>
      <c r="AKF42" s="16"/>
      <c r="AKG42" s="16"/>
      <c r="AKH42" s="16"/>
      <c r="AKI42" s="16"/>
      <c r="AKJ42" s="16"/>
      <c r="AKK42" s="16"/>
      <c r="AKL42" s="16"/>
      <c r="AKM42" s="16"/>
      <c r="AKN42" s="16"/>
      <c r="AKO42" s="16"/>
      <c r="AKP42" s="16"/>
      <c r="AKQ42" s="16"/>
      <c r="AKR42" s="16"/>
      <c r="AKS42" s="16"/>
      <c r="AKT42" s="16"/>
      <c r="AKU42" s="16"/>
      <c r="AKV42" s="16"/>
      <c r="AKW42" s="16"/>
      <c r="AKX42" s="16"/>
      <c r="AKY42" s="16"/>
      <c r="AKZ42" s="16"/>
      <c r="ALA42" s="16"/>
      <c r="ALB42" s="16"/>
      <c r="ALC42" s="16"/>
      <c r="ALD42" s="16"/>
      <c r="ALE42" s="16"/>
      <c r="ALF42" s="16"/>
      <c r="ALG42" s="16"/>
      <c r="ALH42" s="16"/>
      <c r="ALI42" s="16"/>
      <c r="ALJ42" s="16"/>
      <c r="ALK42" s="16"/>
      <c r="ALL42" s="16"/>
      <c r="ALM42" s="16"/>
      <c r="ALN42" s="16"/>
      <c r="ALO42" s="16"/>
      <c r="ALP42" s="16"/>
      <c r="ALQ42" s="16"/>
      <c r="ALR42" s="16"/>
      <c r="ALS42" s="16"/>
      <c r="ALT42" s="16"/>
    </row>
    <row r="43" spans="1:1008" s="27" customFormat="1" x14ac:dyDescent="0.25">
      <c r="A43" s="81">
        <v>43853</v>
      </c>
      <c r="B43" s="33" t="s">
        <v>74</v>
      </c>
      <c r="C43" s="56">
        <v>18720</v>
      </c>
      <c r="D43" s="68">
        <v>0</v>
      </c>
      <c r="E43" s="68">
        <v>1.680000000000291</v>
      </c>
      <c r="F43" s="56"/>
      <c r="G43" s="68">
        <v>110.34896499999999</v>
      </c>
      <c r="H43" s="68">
        <v>25.662550000000003</v>
      </c>
      <c r="I43" s="68">
        <v>4996.4984850000001</v>
      </c>
      <c r="J43" s="56">
        <v>67.5</v>
      </c>
      <c r="K43" s="56"/>
      <c r="L43" s="56"/>
      <c r="M43" s="56">
        <v>500.44</v>
      </c>
      <c r="N43" s="65" t="s">
        <v>77</v>
      </c>
      <c r="O43" s="65">
        <v>1675</v>
      </c>
      <c r="P43" s="68">
        <v>1317.8671999999999</v>
      </c>
      <c r="Q43" s="68">
        <v>232.56479999999999</v>
      </c>
      <c r="R43" s="68">
        <v>387.608</v>
      </c>
      <c r="S43" s="68">
        <v>21567.616071428569</v>
      </c>
      <c r="T43" s="68">
        <v>20999.67607142857</v>
      </c>
      <c r="U43" s="68">
        <v>2519.9611285714282</v>
      </c>
      <c r="V43" s="68">
        <v>23519.637199999997</v>
      </c>
      <c r="W43" s="68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8">
        <v>0</v>
      </c>
      <c r="AJ43" s="65"/>
      <c r="AK43" s="65"/>
      <c r="AL43" s="68">
        <v>0</v>
      </c>
      <c r="AM43" s="68">
        <v>0</v>
      </c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8">
        <v>0</v>
      </c>
      <c r="BB43" s="16"/>
      <c r="BC43" s="82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  <c r="JA43" s="16"/>
      <c r="JB43" s="16"/>
      <c r="JC43" s="16"/>
      <c r="JD43" s="16"/>
      <c r="JE43" s="16"/>
      <c r="JF43" s="16"/>
      <c r="JG43" s="16"/>
      <c r="JH43" s="16"/>
      <c r="JI43" s="16"/>
      <c r="JJ43" s="16"/>
      <c r="JK43" s="16"/>
      <c r="JL43" s="16"/>
      <c r="JM43" s="16"/>
      <c r="JN43" s="16"/>
      <c r="JO43" s="16"/>
      <c r="JP43" s="16"/>
      <c r="JQ43" s="16"/>
      <c r="JR43" s="16"/>
      <c r="JS43" s="16"/>
      <c r="JT43" s="16"/>
      <c r="JU43" s="16"/>
      <c r="JV43" s="16"/>
      <c r="JW43" s="16"/>
      <c r="JX43" s="16"/>
      <c r="JY43" s="16"/>
      <c r="JZ43" s="16"/>
      <c r="KA43" s="16"/>
      <c r="KB43" s="16"/>
      <c r="KC43" s="16"/>
      <c r="KD43" s="16"/>
      <c r="KE43" s="16"/>
      <c r="KF43" s="16"/>
      <c r="KG43" s="16"/>
      <c r="KH43" s="16"/>
      <c r="KI43" s="16"/>
      <c r="KJ43" s="16"/>
      <c r="KK43" s="16"/>
      <c r="KL43" s="16"/>
      <c r="KM43" s="16"/>
      <c r="KN43" s="16"/>
      <c r="KO43" s="16"/>
      <c r="KP43" s="16"/>
      <c r="KQ43" s="16"/>
      <c r="KR43" s="16"/>
      <c r="KS43" s="16"/>
      <c r="KT43" s="16"/>
      <c r="KU43" s="16"/>
      <c r="KV43" s="16"/>
      <c r="KW43" s="16"/>
      <c r="KX43" s="16"/>
      <c r="KY43" s="16"/>
      <c r="KZ43" s="16"/>
      <c r="LA43" s="16"/>
      <c r="LB43" s="16"/>
      <c r="LC43" s="16"/>
      <c r="LD43" s="16"/>
      <c r="LE43" s="16"/>
      <c r="LF43" s="16"/>
      <c r="LG43" s="16"/>
      <c r="LH43" s="16"/>
      <c r="LI43" s="16"/>
      <c r="LJ43" s="16"/>
      <c r="LK43" s="16"/>
      <c r="LL43" s="16"/>
      <c r="LM43" s="16"/>
      <c r="LN43" s="16"/>
      <c r="LO43" s="16"/>
      <c r="LP43" s="16"/>
      <c r="LQ43" s="16"/>
      <c r="LR43" s="16"/>
      <c r="LS43" s="16"/>
      <c r="LT43" s="16"/>
      <c r="LU43" s="16"/>
      <c r="LV43" s="16"/>
      <c r="LW43" s="16"/>
      <c r="LX43" s="16"/>
      <c r="LY43" s="16"/>
      <c r="LZ43" s="16"/>
      <c r="MA43" s="16"/>
      <c r="MB43" s="16"/>
      <c r="MC43" s="16"/>
      <c r="MD43" s="16"/>
      <c r="ME43" s="16"/>
      <c r="MF43" s="16"/>
      <c r="MG43" s="16"/>
      <c r="MH43" s="16"/>
      <c r="MI43" s="16"/>
      <c r="MJ43" s="16"/>
      <c r="MK43" s="16"/>
      <c r="ML43" s="16"/>
      <c r="MM43" s="16"/>
      <c r="MN43" s="16"/>
      <c r="MO43" s="16"/>
      <c r="MP43" s="16"/>
      <c r="MQ43" s="16"/>
      <c r="MR43" s="16"/>
      <c r="MS43" s="16"/>
      <c r="MT43" s="16"/>
      <c r="MU43" s="16"/>
      <c r="MV43" s="16"/>
      <c r="MW43" s="16"/>
      <c r="MX43" s="16"/>
      <c r="MY43" s="16"/>
      <c r="MZ43" s="16"/>
      <c r="NA43" s="16"/>
      <c r="NB43" s="16"/>
      <c r="NC43" s="16"/>
      <c r="ND43" s="16"/>
      <c r="NE43" s="16"/>
      <c r="NF43" s="16"/>
      <c r="NG43" s="16"/>
      <c r="NH43" s="16"/>
      <c r="NI43" s="16"/>
      <c r="NJ43" s="16"/>
      <c r="NK43" s="16"/>
      <c r="NL43" s="16"/>
      <c r="NM43" s="16"/>
      <c r="NN43" s="16"/>
      <c r="NO43" s="16"/>
      <c r="NP43" s="16"/>
      <c r="NQ43" s="16"/>
      <c r="NR43" s="16"/>
      <c r="NS43" s="16"/>
      <c r="NT43" s="16"/>
      <c r="NU43" s="16"/>
      <c r="NV43" s="16"/>
      <c r="NW43" s="16"/>
      <c r="NX43" s="16"/>
      <c r="NY43" s="16"/>
      <c r="NZ43" s="16"/>
      <c r="OA43" s="16"/>
      <c r="OB43" s="16"/>
      <c r="OC43" s="16"/>
      <c r="OD43" s="16"/>
      <c r="OE43" s="16"/>
      <c r="OF43" s="16"/>
      <c r="OG43" s="16"/>
      <c r="OH43" s="16"/>
      <c r="OI43" s="16"/>
      <c r="OJ43" s="16"/>
      <c r="OK43" s="16"/>
      <c r="OL43" s="16"/>
      <c r="OM43" s="16"/>
      <c r="ON43" s="16"/>
      <c r="OO43" s="16"/>
      <c r="OP43" s="16"/>
      <c r="OQ43" s="16"/>
      <c r="OR43" s="16"/>
      <c r="OS43" s="16"/>
      <c r="OT43" s="16"/>
      <c r="OU43" s="16"/>
      <c r="OV43" s="16"/>
      <c r="OW43" s="16"/>
      <c r="OX43" s="16"/>
      <c r="OY43" s="16"/>
      <c r="OZ43" s="16"/>
      <c r="PA43" s="16"/>
      <c r="PB43" s="16"/>
      <c r="PC43" s="16"/>
      <c r="PD43" s="16"/>
      <c r="PE43" s="16"/>
      <c r="PF43" s="16"/>
      <c r="PG43" s="16"/>
      <c r="PH43" s="16"/>
      <c r="PI43" s="16"/>
      <c r="PJ43" s="16"/>
      <c r="PK43" s="16"/>
      <c r="PL43" s="16"/>
      <c r="PM43" s="16"/>
      <c r="PN43" s="16"/>
      <c r="PO43" s="16"/>
      <c r="PP43" s="16"/>
      <c r="PQ43" s="16"/>
      <c r="PR43" s="16"/>
      <c r="PS43" s="16"/>
      <c r="PT43" s="16"/>
      <c r="PU43" s="16"/>
      <c r="PV43" s="16"/>
      <c r="PW43" s="16"/>
      <c r="PX43" s="16"/>
      <c r="PY43" s="16"/>
      <c r="PZ43" s="16"/>
      <c r="QA43" s="16"/>
      <c r="QB43" s="16"/>
      <c r="QC43" s="16"/>
      <c r="QD43" s="16"/>
      <c r="QE43" s="16"/>
      <c r="QF43" s="16"/>
      <c r="QG43" s="16"/>
      <c r="QH43" s="16"/>
      <c r="QI43" s="16"/>
      <c r="QJ43" s="16"/>
      <c r="QK43" s="16"/>
      <c r="QL43" s="16"/>
      <c r="QM43" s="16"/>
      <c r="QN43" s="16"/>
      <c r="QO43" s="16"/>
      <c r="QP43" s="16"/>
      <c r="QQ43" s="16"/>
      <c r="QR43" s="16"/>
      <c r="QS43" s="16"/>
      <c r="QT43" s="16"/>
      <c r="QU43" s="16"/>
      <c r="QV43" s="16"/>
      <c r="QW43" s="16"/>
      <c r="QX43" s="16"/>
      <c r="QY43" s="16"/>
      <c r="QZ43" s="16"/>
      <c r="RA43" s="16"/>
      <c r="RB43" s="16"/>
      <c r="RC43" s="16"/>
      <c r="RD43" s="16"/>
      <c r="RE43" s="16"/>
      <c r="RF43" s="16"/>
      <c r="RG43" s="16"/>
      <c r="RH43" s="16"/>
      <c r="RI43" s="16"/>
      <c r="RJ43" s="16"/>
      <c r="RK43" s="16"/>
      <c r="RL43" s="16"/>
      <c r="RM43" s="16"/>
      <c r="RN43" s="16"/>
      <c r="RO43" s="16"/>
      <c r="RP43" s="16"/>
      <c r="RQ43" s="16"/>
      <c r="RR43" s="16"/>
      <c r="RS43" s="16"/>
      <c r="RT43" s="16"/>
      <c r="RU43" s="16"/>
      <c r="RV43" s="16"/>
      <c r="RW43" s="16"/>
      <c r="RX43" s="16"/>
      <c r="RY43" s="16"/>
      <c r="RZ43" s="16"/>
      <c r="SA43" s="16"/>
      <c r="SB43" s="16"/>
      <c r="SC43" s="16"/>
      <c r="SD43" s="16"/>
      <c r="SE43" s="16"/>
      <c r="SF43" s="16"/>
      <c r="SG43" s="16"/>
      <c r="SH43" s="16"/>
      <c r="SI43" s="16"/>
      <c r="SJ43" s="16"/>
      <c r="SK43" s="16"/>
      <c r="SL43" s="16"/>
      <c r="SM43" s="16"/>
      <c r="SN43" s="16"/>
      <c r="SO43" s="16"/>
      <c r="SP43" s="16"/>
      <c r="SQ43" s="16"/>
      <c r="SR43" s="16"/>
      <c r="SS43" s="16"/>
      <c r="ST43" s="16"/>
      <c r="SU43" s="16"/>
      <c r="SV43" s="16"/>
      <c r="SW43" s="16"/>
      <c r="SX43" s="16"/>
      <c r="SY43" s="16"/>
      <c r="SZ43" s="16"/>
      <c r="TA43" s="16"/>
      <c r="TB43" s="16"/>
      <c r="TC43" s="16"/>
      <c r="TD43" s="16"/>
      <c r="TE43" s="16"/>
      <c r="TF43" s="16"/>
      <c r="TG43" s="16"/>
      <c r="TH43" s="16"/>
      <c r="TI43" s="16"/>
      <c r="TJ43" s="16"/>
      <c r="TK43" s="16"/>
      <c r="TL43" s="16"/>
      <c r="TM43" s="16"/>
      <c r="TN43" s="16"/>
      <c r="TO43" s="16"/>
      <c r="TP43" s="16"/>
      <c r="TQ43" s="16"/>
      <c r="TR43" s="16"/>
      <c r="TS43" s="16"/>
      <c r="TT43" s="16"/>
      <c r="TU43" s="16"/>
      <c r="TV43" s="16"/>
      <c r="TW43" s="16"/>
      <c r="TX43" s="16"/>
      <c r="TY43" s="16"/>
      <c r="TZ43" s="16"/>
      <c r="UA43" s="16"/>
      <c r="UB43" s="16"/>
      <c r="UC43" s="16"/>
      <c r="UD43" s="16"/>
      <c r="UE43" s="16"/>
      <c r="UF43" s="16"/>
      <c r="UG43" s="16"/>
      <c r="UH43" s="16"/>
      <c r="UI43" s="16"/>
      <c r="UJ43" s="16"/>
      <c r="UK43" s="16"/>
      <c r="UL43" s="16"/>
      <c r="UM43" s="16"/>
      <c r="UN43" s="16"/>
      <c r="UO43" s="16"/>
      <c r="UP43" s="16"/>
      <c r="UQ43" s="16"/>
      <c r="UR43" s="16"/>
      <c r="US43" s="16"/>
      <c r="UT43" s="16"/>
      <c r="UU43" s="16"/>
      <c r="UV43" s="16"/>
      <c r="UW43" s="16"/>
      <c r="UX43" s="16"/>
      <c r="UY43" s="16"/>
      <c r="UZ43" s="16"/>
      <c r="VA43" s="16"/>
      <c r="VB43" s="16"/>
      <c r="VC43" s="16"/>
      <c r="VD43" s="16"/>
      <c r="VE43" s="16"/>
      <c r="VF43" s="16"/>
      <c r="VG43" s="16"/>
      <c r="VH43" s="16"/>
      <c r="VI43" s="16"/>
      <c r="VJ43" s="16"/>
      <c r="VK43" s="16"/>
      <c r="VL43" s="16"/>
      <c r="VM43" s="16"/>
      <c r="VN43" s="16"/>
      <c r="VO43" s="16"/>
      <c r="VP43" s="16"/>
      <c r="VQ43" s="16"/>
      <c r="VR43" s="16"/>
      <c r="VS43" s="16"/>
      <c r="VT43" s="16"/>
      <c r="VU43" s="16"/>
      <c r="VV43" s="16"/>
      <c r="VW43" s="16"/>
      <c r="VX43" s="16"/>
      <c r="VY43" s="16"/>
      <c r="VZ43" s="16"/>
      <c r="WA43" s="16"/>
      <c r="WB43" s="16"/>
      <c r="WC43" s="16"/>
      <c r="WD43" s="16"/>
      <c r="WE43" s="16"/>
      <c r="WF43" s="16"/>
      <c r="WG43" s="16"/>
      <c r="WH43" s="16"/>
      <c r="WI43" s="16"/>
      <c r="WJ43" s="16"/>
      <c r="WK43" s="16"/>
      <c r="WL43" s="16"/>
      <c r="WM43" s="16"/>
      <c r="WN43" s="16"/>
      <c r="WO43" s="16"/>
      <c r="WP43" s="16"/>
      <c r="WQ43" s="16"/>
      <c r="WR43" s="16"/>
      <c r="WS43" s="16"/>
      <c r="WT43" s="16"/>
      <c r="WU43" s="16"/>
      <c r="WV43" s="16"/>
      <c r="WW43" s="16"/>
      <c r="WX43" s="16"/>
      <c r="WY43" s="16"/>
      <c r="WZ43" s="16"/>
      <c r="XA43" s="16"/>
      <c r="XB43" s="16"/>
      <c r="XC43" s="16"/>
      <c r="XD43" s="16"/>
      <c r="XE43" s="16"/>
      <c r="XF43" s="16"/>
      <c r="XG43" s="16"/>
      <c r="XH43" s="16"/>
      <c r="XI43" s="16"/>
      <c r="XJ43" s="16"/>
      <c r="XK43" s="16"/>
      <c r="XL43" s="16"/>
      <c r="XM43" s="16"/>
      <c r="XN43" s="16"/>
      <c r="XO43" s="16"/>
      <c r="XP43" s="16"/>
      <c r="XQ43" s="16"/>
      <c r="XR43" s="16"/>
      <c r="XS43" s="16"/>
      <c r="XT43" s="16"/>
      <c r="XU43" s="16"/>
      <c r="XV43" s="16"/>
      <c r="XW43" s="16"/>
      <c r="XX43" s="16"/>
      <c r="XY43" s="16"/>
      <c r="XZ43" s="16"/>
      <c r="YA43" s="16"/>
      <c r="YB43" s="16"/>
      <c r="YC43" s="16"/>
      <c r="YD43" s="16"/>
      <c r="YE43" s="16"/>
      <c r="YF43" s="16"/>
      <c r="YG43" s="16"/>
      <c r="YH43" s="16"/>
      <c r="YI43" s="16"/>
      <c r="YJ43" s="16"/>
      <c r="YK43" s="16"/>
      <c r="YL43" s="16"/>
      <c r="YM43" s="16"/>
      <c r="YN43" s="16"/>
      <c r="YO43" s="16"/>
      <c r="YP43" s="16"/>
      <c r="YQ43" s="16"/>
      <c r="YR43" s="16"/>
      <c r="YS43" s="16"/>
      <c r="YT43" s="16"/>
      <c r="YU43" s="16"/>
      <c r="YV43" s="16"/>
      <c r="YW43" s="16"/>
      <c r="YX43" s="16"/>
      <c r="YY43" s="16"/>
      <c r="YZ43" s="16"/>
      <c r="ZA43" s="16"/>
      <c r="ZB43" s="16"/>
      <c r="ZC43" s="16"/>
      <c r="ZD43" s="16"/>
      <c r="ZE43" s="16"/>
      <c r="ZF43" s="16"/>
      <c r="ZG43" s="16"/>
      <c r="ZH43" s="16"/>
      <c r="ZI43" s="16"/>
      <c r="ZJ43" s="16"/>
      <c r="ZK43" s="16"/>
      <c r="ZL43" s="16"/>
      <c r="ZM43" s="16"/>
      <c r="ZN43" s="16"/>
      <c r="ZO43" s="16"/>
      <c r="ZP43" s="16"/>
      <c r="ZQ43" s="16"/>
      <c r="ZR43" s="16"/>
      <c r="ZS43" s="16"/>
      <c r="ZT43" s="16"/>
      <c r="ZU43" s="16"/>
      <c r="ZV43" s="16"/>
      <c r="ZW43" s="16"/>
      <c r="ZX43" s="16"/>
      <c r="ZY43" s="16"/>
      <c r="ZZ43" s="16"/>
      <c r="AAA43" s="16"/>
      <c r="AAB43" s="16"/>
      <c r="AAC43" s="16"/>
      <c r="AAD43" s="16"/>
      <c r="AAE43" s="16"/>
      <c r="AAF43" s="16"/>
      <c r="AAG43" s="16"/>
      <c r="AAH43" s="16"/>
      <c r="AAI43" s="16"/>
      <c r="AAJ43" s="16"/>
      <c r="AAK43" s="16"/>
      <c r="AAL43" s="16"/>
      <c r="AAM43" s="16"/>
      <c r="AAN43" s="16"/>
      <c r="AAO43" s="16"/>
      <c r="AAP43" s="16"/>
      <c r="AAQ43" s="16"/>
      <c r="AAR43" s="16"/>
      <c r="AAS43" s="16"/>
      <c r="AAT43" s="16"/>
      <c r="AAU43" s="16"/>
      <c r="AAV43" s="16"/>
      <c r="AAW43" s="16"/>
      <c r="AAX43" s="16"/>
      <c r="AAY43" s="16"/>
      <c r="AAZ43" s="16"/>
      <c r="ABA43" s="16"/>
      <c r="ABB43" s="16"/>
      <c r="ABC43" s="16"/>
      <c r="ABD43" s="16"/>
      <c r="ABE43" s="16"/>
      <c r="ABF43" s="16"/>
      <c r="ABG43" s="16"/>
      <c r="ABH43" s="16"/>
      <c r="ABI43" s="16"/>
      <c r="ABJ43" s="16"/>
      <c r="ABK43" s="16"/>
      <c r="ABL43" s="16"/>
      <c r="ABM43" s="16"/>
      <c r="ABN43" s="16"/>
      <c r="ABO43" s="16"/>
      <c r="ABP43" s="16"/>
      <c r="ABQ43" s="16"/>
      <c r="ABR43" s="16"/>
      <c r="ABS43" s="16"/>
      <c r="ABT43" s="16"/>
      <c r="ABU43" s="16"/>
      <c r="ABV43" s="16"/>
      <c r="ABW43" s="16"/>
      <c r="ABX43" s="16"/>
      <c r="ABY43" s="16"/>
      <c r="ABZ43" s="16"/>
      <c r="ACA43" s="16"/>
      <c r="ACB43" s="16"/>
      <c r="ACC43" s="16"/>
      <c r="ACD43" s="16"/>
      <c r="ACE43" s="16"/>
      <c r="ACF43" s="16"/>
      <c r="ACG43" s="16"/>
      <c r="ACH43" s="16"/>
      <c r="ACI43" s="16"/>
      <c r="ACJ43" s="16"/>
      <c r="ACK43" s="16"/>
      <c r="ACL43" s="16"/>
      <c r="ACM43" s="16"/>
      <c r="ACN43" s="16"/>
      <c r="ACO43" s="16"/>
      <c r="ACP43" s="16"/>
      <c r="ACQ43" s="16"/>
      <c r="ACR43" s="16"/>
      <c r="ACS43" s="16"/>
      <c r="ACT43" s="16"/>
      <c r="ACU43" s="16"/>
      <c r="ACV43" s="16"/>
      <c r="ACW43" s="16"/>
      <c r="ACX43" s="16"/>
      <c r="ACY43" s="16"/>
      <c r="ACZ43" s="16"/>
      <c r="ADA43" s="16"/>
      <c r="ADB43" s="16"/>
      <c r="ADC43" s="16"/>
      <c r="ADD43" s="16"/>
      <c r="ADE43" s="16"/>
      <c r="ADF43" s="16"/>
      <c r="ADG43" s="16"/>
      <c r="ADH43" s="16"/>
      <c r="ADI43" s="16"/>
      <c r="ADJ43" s="16"/>
      <c r="ADK43" s="16"/>
      <c r="ADL43" s="16"/>
      <c r="ADM43" s="16"/>
      <c r="ADN43" s="16"/>
      <c r="ADO43" s="16"/>
      <c r="ADP43" s="16"/>
      <c r="ADQ43" s="16"/>
      <c r="ADR43" s="16"/>
      <c r="ADS43" s="16"/>
      <c r="ADT43" s="16"/>
      <c r="ADU43" s="16"/>
      <c r="ADV43" s="16"/>
      <c r="ADW43" s="16"/>
      <c r="ADX43" s="16"/>
      <c r="ADY43" s="16"/>
      <c r="ADZ43" s="16"/>
      <c r="AEA43" s="16"/>
      <c r="AEB43" s="16"/>
      <c r="AEC43" s="16"/>
      <c r="AED43" s="16"/>
      <c r="AEE43" s="16"/>
      <c r="AEF43" s="16"/>
      <c r="AEG43" s="16"/>
      <c r="AEH43" s="16"/>
      <c r="AEI43" s="16"/>
      <c r="AEJ43" s="16"/>
      <c r="AEK43" s="16"/>
      <c r="AEL43" s="16"/>
      <c r="AEM43" s="16"/>
      <c r="AEN43" s="16"/>
      <c r="AEO43" s="16"/>
      <c r="AEP43" s="16"/>
      <c r="AEQ43" s="16"/>
      <c r="AER43" s="16"/>
      <c r="AES43" s="16"/>
      <c r="AET43" s="16"/>
      <c r="AEU43" s="16"/>
      <c r="AEV43" s="16"/>
      <c r="AEW43" s="16"/>
      <c r="AEX43" s="16"/>
      <c r="AEY43" s="16"/>
      <c r="AEZ43" s="16"/>
      <c r="AFA43" s="16"/>
      <c r="AFB43" s="16"/>
      <c r="AFC43" s="16"/>
      <c r="AFD43" s="16"/>
      <c r="AFE43" s="16"/>
      <c r="AFF43" s="16"/>
      <c r="AFG43" s="16"/>
      <c r="AFH43" s="16"/>
      <c r="AFI43" s="16"/>
      <c r="AFJ43" s="16"/>
      <c r="AFK43" s="16"/>
      <c r="AFL43" s="16"/>
      <c r="AFM43" s="16"/>
      <c r="AFN43" s="16"/>
      <c r="AFO43" s="16"/>
      <c r="AFP43" s="16"/>
      <c r="AFQ43" s="16"/>
      <c r="AFR43" s="16"/>
      <c r="AFS43" s="16"/>
      <c r="AFT43" s="16"/>
      <c r="AFU43" s="16"/>
      <c r="AFV43" s="16"/>
      <c r="AFW43" s="16"/>
      <c r="AFX43" s="16"/>
      <c r="AFY43" s="16"/>
      <c r="AFZ43" s="16"/>
      <c r="AGA43" s="16"/>
      <c r="AGB43" s="16"/>
      <c r="AGC43" s="16"/>
      <c r="AGD43" s="16"/>
      <c r="AGE43" s="16"/>
      <c r="AGF43" s="16"/>
      <c r="AGG43" s="16"/>
      <c r="AGH43" s="16"/>
      <c r="AGI43" s="16"/>
      <c r="AGJ43" s="16"/>
      <c r="AGK43" s="16"/>
      <c r="AGL43" s="16"/>
      <c r="AGM43" s="16"/>
      <c r="AGN43" s="16"/>
      <c r="AGO43" s="16"/>
      <c r="AGP43" s="16"/>
      <c r="AGQ43" s="16"/>
      <c r="AGR43" s="16"/>
      <c r="AGS43" s="16"/>
      <c r="AGT43" s="16"/>
      <c r="AGU43" s="16"/>
      <c r="AGV43" s="16"/>
      <c r="AGW43" s="16"/>
      <c r="AGX43" s="16"/>
      <c r="AGY43" s="16"/>
      <c r="AGZ43" s="16"/>
      <c r="AHA43" s="16"/>
      <c r="AHB43" s="16"/>
      <c r="AHC43" s="16"/>
      <c r="AHD43" s="16"/>
      <c r="AHE43" s="16"/>
      <c r="AHF43" s="16"/>
      <c r="AHG43" s="16"/>
      <c r="AHH43" s="16"/>
      <c r="AHI43" s="16"/>
      <c r="AHJ43" s="16"/>
      <c r="AHK43" s="16"/>
      <c r="AHL43" s="16"/>
      <c r="AHM43" s="16"/>
      <c r="AHN43" s="16"/>
      <c r="AHO43" s="16"/>
      <c r="AHP43" s="16"/>
      <c r="AHQ43" s="16"/>
      <c r="AHR43" s="16"/>
      <c r="AHS43" s="16"/>
      <c r="AHT43" s="16"/>
      <c r="AHU43" s="16"/>
      <c r="AHV43" s="16"/>
      <c r="AHW43" s="16"/>
      <c r="AHX43" s="16"/>
      <c r="AHY43" s="16"/>
      <c r="AHZ43" s="16"/>
      <c r="AIA43" s="16"/>
      <c r="AIB43" s="16"/>
      <c r="AIC43" s="16"/>
      <c r="AID43" s="16"/>
      <c r="AIE43" s="16"/>
      <c r="AIF43" s="16"/>
      <c r="AIG43" s="16"/>
      <c r="AIH43" s="16"/>
      <c r="AII43" s="16"/>
      <c r="AIJ43" s="16"/>
      <c r="AIK43" s="16"/>
      <c r="AIL43" s="16"/>
      <c r="AIM43" s="16"/>
      <c r="AIN43" s="16"/>
      <c r="AIO43" s="16"/>
      <c r="AIP43" s="16"/>
      <c r="AIQ43" s="16"/>
      <c r="AIR43" s="16"/>
      <c r="AIS43" s="16"/>
      <c r="AIT43" s="16"/>
      <c r="AIU43" s="16"/>
      <c r="AIV43" s="16"/>
      <c r="AIW43" s="16"/>
      <c r="AIX43" s="16"/>
      <c r="AIY43" s="16"/>
      <c r="AIZ43" s="16"/>
      <c r="AJA43" s="16"/>
      <c r="AJB43" s="16"/>
      <c r="AJC43" s="16"/>
      <c r="AJD43" s="16"/>
      <c r="AJE43" s="16"/>
      <c r="AJF43" s="16"/>
      <c r="AJG43" s="16"/>
      <c r="AJH43" s="16"/>
      <c r="AJI43" s="16"/>
      <c r="AJJ43" s="16"/>
      <c r="AJK43" s="16"/>
      <c r="AJL43" s="16"/>
      <c r="AJM43" s="16"/>
      <c r="AJN43" s="16"/>
      <c r="AJO43" s="16"/>
      <c r="AJP43" s="16"/>
      <c r="AJQ43" s="16"/>
      <c r="AJR43" s="16"/>
      <c r="AJS43" s="16"/>
      <c r="AJT43" s="16"/>
      <c r="AJU43" s="16"/>
      <c r="AJV43" s="16"/>
      <c r="AJW43" s="16"/>
      <c r="AJX43" s="16"/>
      <c r="AJY43" s="16"/>
      <c r="AJZ43" s="16"/>
      <c r="AKA43" s="16"/>
      <c r="AKB43" s="16"/>
      <c r="AKC43" s="16"/>
      <c r="AKD43" s="16"/>
      <c r="AKE43" s="16"/>
      <c r="AKF43" s="16"/>
      <c r="AKG43" s="16"/>
      <c r="AKH43" s="16"/>
      <c r="AKI43" s="16"/>
      <c r="AKJ43" s="16"/>
      <c r="AKK43" s="16"/>
      <c r="AKL43" s="16"/>
      <c r="AKM43" s="16"/>
      <c r="AKN43" s="16"/>
      <c r="AKO43" s="16"/>
      <c r="AKP43" s="16"/>
      <c r="AKQ43" s="16"/>
      <c r="AKR43" s="16"/>
      <c r="AKS43" s="16"/>
      <c r="AKT43" s="16"/>
      <c r="AKU43" s="16"/>
      <c r="AKV43" s="16"/>
      <c r="AKW43" s="16"/>
      <c r="AKX43" s="16"/>
      <c r="AKY43" s="16"/>
      <c r="AKZ43" s="16"/>
      <c r="ALA43" s="16"/>
      <c r="ALB43" s="16"/>
      <c r="ALC43" s="16"/>
      <c r="ALD43" s="16"/>
      <c r="ALE43" s="16"/>
      <c r="ALF43" s="16"/>
      <c r="ALG43" s="16"/>
      <c r="ALH43" s="16"/>
      <c r="ALI43" s="16"/>
      <c r="ALJ43" s="16"/>
      <c r="ALK43" s="16"/>
      <c r="ALL43" s="16"/>
      <c r="ALM43" s="16"/>
      <c r="ALN43" s="16"/>
      <c r="ALO43" s="16"/>
      <c r="ALP43" s="16"/>
      <c r="ALQ43" s="16"/>
      <c r="ALR43" s="16"/>
      <c r="ALS43" s="16"/>
      <c r="ALT43" s="16"/>
    </row>
    <row r="44" spans="1:1008" s="27" customFormat="1" x14ac:dyDescent="0.25">
      <c r="A44" s="81"/>
      <c r="B44" s="33" t="s">
        <v>76</v>
      </c>
      <c r="C44" s="56">
        <v>11465</v>
      </c>
      <c r="D44" s="68">
        <v>0</v>
      </c>
      <c r="E44" s="68">
        <v>0.84000000000014552</v>
      </c>
      <c r="F44" s="56"/>
      <c r="G44" s="68">
        <v>96.018784999999994</v>
      </c>
      <c r="H44" s="68">
        <v>22.32995</v>
      </c>
      <c r="I44" s="68">
        <v>4347.6412649999993</v>
      </c>
      <c r="J44" s="56">
        <v>65</v>
      </c>
      <c r="K44" s="56"/>
      <c r="L44" s="56"/>
      <c r="M44" s="56">
        <v>53.13</v>
      </c>
      <c r="N44" s="65" t="s">
        <v>77</v>
      </c>
      <c r="O44" s="65">
        <v>1275</v>
      </c>
      <c r="P44" s="68">
        <v>795.70200000000011</v>
      </c>
      <c r="Q44" s="68">
        <v>140.41800000000001</v>
      </c>
      <c r="R44" s="68">
        <v>234.03000000000003</v>
      </c>
      <c r="S44" s="68">
        <v>14422.437499999998</v>
      </c>
      <c r="T44" s="68">
        <v>14304.307499999999</v>
      </c>
      <c r="U44" s="68">
        <v>1716.5168999999999</v>
      </c>
      <c r="V44" s="68">
        <v>16020.8244</v>
      </c>
      <c r="W44" s="68"/>
      <c r="X44" s="67">
        <v>270</v>
      </c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8">
        <v>270</v>
      </c>
      <c r="AJ44" s="65"/>
      <c r="AK44" s="65">
        <v>0</v>
      </c>
      <c r="AL44" s="68"/>
      <c r="AM44" s="68"/>
      <c r="AN44" s="67"/>
      <c r="AO44" s="67">
        <v>0</v>
      </c>
      <c r="AP44" s="67"/>
      <c r="AQ44" s="67">
        <v>0</v>
      </c>
      <c r="AR44" s="67"/>
      <c r="AS44" s="67"/>
      <c r="AT44" s="67"/>
      <c r="AU44" s="67"/>
      <c r="AV44" s="67"/>
      <c r="AW44" s="67"/>
      <c r="AX44" s="67"/>
      <c r="AY44" s="67"/>
      <c r="AZ44" s="67"/>
      <c r="BA44" s="68">
        <v>270</v>
      </c>
      <c r="BB44" s="16"/>
      <c r="BC44" s="82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  <c r="JA44" s="16"/>
      <c r="JB44" s="16"/>
      <c r="JC44" s="16"/>
      <c r="JD44" s="16"/>
      <c r="JE44" s="16"/>
      <c r="JF44" s="16"/>
      <c r="JG44" s="16"/>
      <c r="JH44" s="16"/>
      <c r="JI44" s="16"/>
      <c r="JJ44" s="16"/>
      <c r="JK44" s="16"/>
      <c r="JL44" s="16"/>
      <c r="JM44" s="16"/>
      <c r="JN44" s="16"/>
      <c r="JO44" s="16"/>
      <c r="JP44" s="16"/>
      <c r="JQ44" s="16"/>
      <c r="JR44" s="16"/>
      <c r="JS44" s="16"/>
      <c r="JT44" s="16"/>
      <c r="JU44" s="16"/>
      <c r="JV44" s="16"/>
      <c r="JW44" s="16"/>
      <c r="JX44" s="16"/>
      <c r="JY44" s="16"/>
      <c r="JZ44" s="16"/>
      <c r="KA44" s="16"/>
      <c r="KB44" s="16"/>
      <c r="KC44" s="16"/>
      <c r="KD44" s="16"/>
      <c r="KE44" s="16"/>
      <c r="KF44" s="16"/>
      <c r="KG44" s="16"/>
      <c r="KH44" s="16"/>
      <c r="KI44" s="16"/>
      <c r="KJ44" s="16"/>
      <c r="KK44" s="16"/>
      <c r="KL44" s="16"/>
      <c r="KM44" s="16"/>
      <c r="KN44" s="16"/>
      <c r="KO44" s="16"/>
      <c r="KP44" s="16"/>
      <c r="KQ44" s="16"/>
      <c r="KR44" s="16"/>
      <c r="KS44" s="16"/>
      <c r="KT44" s="16"/>
      <c r="KU44" s="16"/>
      <c r="KV44" s="16"/>
      <c r="KW44" s="16"/>
      <c r="KX44" s="16"/>
      <c r="KY44" s="16"/>
      <c r="KZ44" s="16"/>
      <c r="LA44" s="16"/>
      <c r="LB44" s="16"/>
      <c r="LC44" s="16"/>
      <c r="LD44" s="16"/>
      <c r="LE44" s="16"/>
      <c r="LF44" s="16"/>
      <c r="LG44" s="16"/>
      <c r="LH44" s="16"/>
      <c r="LI44" s="16"/>
      <c r="LJ44" s="16"/>
      <c r="LK44" s="16"/>
      <c r="LL44" s="16"/>
      <c r="LM44" s="16"/>
      <c r="LN44" s="16"/>
      <c r="LO44" s="16"/>
      <c r="LP44" s="16"/>
      <c r="LQ44" s="16"/>
      <c r="LR44" s="16"/>
      <c r="LS44" s="16"/>
      <c r="LT44" s="16"/>
      <c r="LU44" s="16"/>
      <c r="LV44" s="16"/>
      <c r="LW44" s="16"/>
      <c r="LX44" s="16"/>
      <c r="LY44" s="16"/>
      <c r="LZ44" s="16"/>
      <c r="MA44" s="16"/>
      <c r="MB44" s="16"/>
      <c r="MC44" s="16"/>
      <c r="MD44" s="16"/>
      <c r="ME44" s="16"/>
      <c r="MF44" s="16"/>
      <c r="MG44" s="16"/>
      <c r="MH44" s="16"/>
      <c r="MI44" s="16"/>
      <c r="MJ44" s="16"/>
      <c r="MK44" s="16"/>
      <c r="ML44" s="16"/>
      <c r="MM44" s="16"/>
      <c r="MN44" s="16"/>
      <c r="MO44" s="16"/>
      <c r="MP44" s="16"/>
      <c r="MQ44" s="16"/>
      <c r="MR44" s="16"/>
      <c r="MS44" s="16"/>
      <c r="MT44" s="16"/>
      <c r="MU44" s="16"/>
      <c r="MV44" s="16"/>
      <c r="MW44" s="16"/>
      <c r="MX44" s="16"/>
      <c r="MY44" s="16"/>
      <c r="MZ44" s="16"/>
      <c r="NA44" s="16"/>
      <c r="NB44" s="16"/>
      <c r="NC44" s="16"/>
      <c r="ND44" s="16"/>
      <c r="NE44" s="16"/>
      <c r="NF44" s="16"/>
      <c r="NG44" s="16"/>
      <c r="NH44" s="16"/>
      <c r="NI44" s="16"/>
      <c r="NJ44" s="16"/>
      <c r="NK44" s="16"/>
      <c r="NL44" s="16"/>
      <c r="NM44" s="16"/>
      <c r="NN44" s="16"/>
      <c r="NO44" s="16"/>
      <c r="NP44" s="16"/>
      <c r="NQ44" s="16"/>
      <c r="NR44" s="16"/>
      <c r="NS44" s="16"/>
      <c r="NT44" s="16"/>
      <c r="NU44" s="16"/>
      <c r="NV44" s="16"/>
      <c r="NW44" s="16"/>
      <c r="NX44" s="16"/>
      <c r="NY44" s="16"/>
      <c r="NZ44" s="16"/>
      <c r="OA44" s="16"/>
      <c r="OB44" s="16"/>
      <c r="OC44" s="16"/>
      <c r="OD44" s="16"/>
      <c r="OE44" s="16"/>
      <c r="OF44" s="16"/>
      <c r="OG44" s="16"/>
      <c r="OH44" s="16"/>
      <c r="OI44" s="16"/>
      <c r="OJ44" s="16"/>
      <c r="OK44" s="16"/>
      <c r="OL44" s="16"/>
      <c r="OM44" s="16"/>
      <c r="ON44" s="16"/>
      <c r="OO44" s="16"/>
      <c r="OP44" s="16"/>
      <c r="OQ44" s="16"/>
      <c r="OR44" s="16"/>
      <c r="OS44" s="16"/>
      <c r="OT44" s="16"/>
      <c r="OU44" s="16"/>
      <c r="OV44" s="16"/>
      <c r="OW44" s="16"/>
      <c r="OX44" s="16"/>
      <c r="OY44" s="16"/>
      <c r="OZ44" s="16"/>
      <c r="PA44" s="16"/>
      <c r="PB44" s="16"/>
      <c r="PC44" s="16"/>
      <c r="PD44" s="16"/>
      <c r="PE44" s="16"/>
      <c r="PF44" s="16"/>
      <c r="PG44" s="16"/>
      <c r="PH44" s="16"/>
      <c r="PI44" s="16"/>
      <c r="PJ44" s="16"/>
      <c r="PK44" s="16"/>
      <c r="PL44" s="16"/>
      <c r="PM44" s="16"/>
      <c r="PN44" s="16"/>
      <c r="PO44" s="16"/>
      <c r="PP44" s="16"/>
      <c r="PQ44" s="16"/>
      <c r="PR44" s="16"/>
      <c r="PS44" s="16"/>
      <c r="PT44" s="16"/>
      <c r="PU44" s="16"/>
      <c r="PV44" s="16"/>
      <c r="PW44" s="16"/>
      <c r="PX44" s="16"/>
      <c r="PY44" s="16"/>
      <c r="PZ44" s="16"/>
      <c r="QA44" s="16"/>
      <c r="QB44" s="16"/>
      <c r="QC44" s="16"/>
      <c r="QD44" s="16"/>
      <c r="QE44" s="16"/>
      <c r="QF44" s="16"/>
      <c r="QG44" s="16"/>
      <c r="QH44" s="16"/>
      <c r="QI44" s="16"/>
      <c r="QJ44" s="16"/>
      <c r="QK44" s="16"/>
      <c r="QL44" s="16"/>
      <c r="QM44" s="16"/>
      <c r="QN44" s="16"/>
      <c r="QO44" s="16"/>
      <c r="QP44" s="16"/>
      <c r="QQ44" s="16"/>
      <c r="QR44" s="16"/>
      <c r="QS44" s="16"/>
      <c r="QT44" s="16"/>
      <c r="QU44" s="16"/>
      <c r="QV44" s="16"/>
      <c r="QW44" s="16"/>
      <c r="QX44" s="16"/>
      <c r="QY44" s="16"/>
      <c r="QZ44" s="16"/>
      <c r="RA44" s="16"/>
      <c r="RB44" s="16"/>
      <c r="RC44" s="16"/>
      <c r="RD44" s="16"/>
      <c r="RE44" s="16"/>
      <c r="RF44" s="16"/>
      <c r="RG44" s="16"/>
      <c r="RH44" s="16"/>
      <c r="RI44" s="16"/>
      <c r="RJ44" s="16"/>
      <c r="RK44" s="16"/>
      <c r="RL44" s="16"/>
      <c r="RM44" s="16"/>
      <c r="RN44" s="16"/>
      <c r="RO44" s="16"/>
      <c r="RP44" s="16"/>
      <c r="RQ44" s="16"/>
      <c r="RR44" s="16"/>
      <c r="RS44" s="16"/>
      <c r="RT44" s="16"/>
      <c r="RU44" s="16"/>
      <c r="RV44" s="16"/>
      <c r="RW44" s="16"/>
      <c r="RX44" s="16"/>
      <c r="RY44" s="16"/>
      <c r="RZ44" s="16"/>
      <c r="SA44" s="16"/>
      <c r="SB44" s="16"/>
      <c r="SC44" s="16"/>
      <c r="SD44" s="16"/>
      <c r="SE44" s="16"/>
      <c r="SF44" s="16"/>
      <c r="SG44" s="16"/>
      <c r="SH44" s="16"/>
      <c r="SI44" s="16"/>
      <c r="SJ44" s="16"/>
      <c r="SK44" s="16"/>
      <c r="SL44" s="16"/>
      <c r="SM44" s="16"/>
      <c r="SN44" s="16"/>
      <c r="SO44" s="16"/>
      <c r="SP44" s="16"/>
      <c r="SQ44" s="16"/>
      <c r="SR44" s="16"/>
      <c r="SS44" s="16"/>
      <c r="ST44" s="16"/>
      <c r="SU44" s="16"/>
      <c r="SV44" s="16"/>
      <c r="SW44" s="16"/>
      <c r="SX44" s="16"/>
      <c r="SY44" s="16"/>
      <c r="SZ44" s="16"/>
      <c r="TA44" s="16"/>
      <c r="TB44" s="16"/>
      <c r="TC44" s="16"/>
      <c r="TD44" s="16"/>
      <c r="TE44" s="16"/>
      <c r="TF44" s="16"/>
      <c r="TG44" s="16"/>
      <c r="TH44" s="16"/>
      <c r="TI44" s="16"/>
      <c r="TJ44" s="16"/>
      <c r="TK44" s="16"/>
      <c r="TL44" s="16"/>
      <c r="TM44" s="16"/>
      <c r="TN44" s="16"/>
      <c r="TO44" s="16"/>
      <c r="TP44" s="16"/>
      <c r="TQ44" s="16"/>
      <c r="TR44" s="16"/>
      <c r="TS44" s="16"/>
      <c r="TT44" s="16"/>
      <c r="TU44" s="16"/>
      <c r="TV44" s="16"/>
      <c r="TW44" s="16"/>
      <c r="TX44" s="16"/>
      <c r="TY44" s="16"/>
      <c r="TZ44" s="16"/>
      <c r="UA44" s="16"/>
      <c r="UB44" s="16"/>
      <c r="UC44" s="16"/>
      <c r="UD44" s="16"/>
      <c r="UE44" s="16"/>
      <c r="UF44" s="16"/>
      <c r="UG44" s="16"/>
      <c r="UH44" s="16"/>
      <c r="UI44" s="16"/>
      <c r="UJ44" s="16"/>
      <c r="UK44" s="16"/>
      <c r="UL44" s="16"/>
      <c r="UM44" s="16"/>
      <c r="UN44" s="16"/>
      <c r="UO44" s="16"/>
      <c r="UP44" s="16"/>
      <c r="UQ44" s="16"/>
      <c r="UR44" s="16"/>
      <c r="US44" s="16"/>
      <c r="UT44" s="16"/>
      <c r="UU44" s="16"/>
      <c r="UV44" s="16"/>
      <c r="UW44" s="16"/>
      <c r="UX44" s="16"/>
      <c r="UY44" s="16"/>
      <c r="UZ44" s="16"/>
      <c r="VA44" s="16"/>
      <c r="VB44" s="16"/>
      <c r="VC44" s="16"/>
      <c r="VD44" s="16"/>
      <c r="VE44" s="16"/>
      <c r="VF44" s="16"/>
      <c r="VG44" s="16"/>
      <c r="VH44" s="16"/>
      <c r="VI44" s="16"/>
      <c r="VJ44" s="16"/>
      <c r="VK44" s="16"/>
      <c r="VL44" s="16"/>
      <c r="VM44" s="16"/>
      <c r="VN44" s="16"/>
      <c r="VO44" s="16"/>
      <c r="VP44" s="16"/>
      <c r="VQ44" s="16"/>
      <c r="VR44" s="16"/>
      <c r="VS44" s="16"/>
      <c r="VT44" s="16"/>
      <c r="VU44" s="16"/>
      <c r="VV44" s="16"/>
      <c r="VW44" s="16"/>
      <c r="VX44" s="16"/>
      <c r="VY44" s="16"/>
      <c r="VZ44" s="16"/>
      <c r="WA44" s="16"/>
      <c r="WB44" s="16"/>
      <c r="WC44" s="16"/>
      <c r="WD44" s="16"/>
      <c r="WE44" s="16"/>
      <c r="WF44" s="16"/>
      <c r="WG44" s="16"/>
      <c r="WH44" s="16"/>
      <c r="WI44" s="16"/>
      <c r="WJ44" s="16"/>
      <c r="WK44" s="16"/>
      <c r="WL44" s="16"/>
      <c r="WM44" s="16"/>
      <c r="WN44" s="16"/>
      <c r="WO44" s="16"/>
      <c r="WP44" s="16"/>
      <c r="WQ44" s="16"/>
      <c r="WR44" s="16"/>
      <c r="WS44" s="16"/>
      <c r="WT44" s="16"/>
      <c r="WU44" s="16"/>
      <c r="WV44" s="16"/>
      <c r="WW44" s="16"/>
      <c r="WX44" s="16"/>
      <c r="WY44" s="16"/>
      <c r="WZ44" s="16"/>
      <c r="XA44" s="16"/>
      <c r="XB44" s="16"/>
      <c r="XC44" s="16"/>
      <c r="XD44" s="16"/>
      <c r="XE44" s="16"/>
      <c r="XF44" s="16"/>
      <c r="XG44" s="16"/>
      <c r="XH44" s="16"/>
      <c r="XI44" s="16"/>
      <c r="XJ44" s="16"/>
      <c r="XK44" s="16"/>
      <c r="XL44" s="16"/>
      <c r="XM44" s="16"/>
      <c r="XN44" s="16"/>
      <c r="XO44" s="16"/>
      <c r="XP44" s="16"/>
      <c r="XQ44" s="16"/>
      <c r="XR44" s="16"/>
      <c r="XS44" s="16"/>
      <c r="XT44" s="16"/>
      <c r="XU44" s="16"/>
      <c r="XV44" s="16"/>
      <c r="XW44" s="16"/>
      <c r="XX44" s="16"/>
      <c r="XY44" s="16"/>
      <c r="XZ44" s="16"/>
      <c r="YA44" s="16"/>
      <c r="YB44" s="16"/>
      <c r="YC44" s="16"/>
      <c r="YD44" s="16"/>
      <c r="YE44" s="16"/>
      <c r="YF44" s="16"/>
      <c r="YG44" s="16"/>
      <c r="YH44" s="16"/>
      <c r="YI44" s="16"/>
      <c r="YJ44" s="16"/>
      <c r="YK44" s="16"/>
      <c r="YL44" s="16"/>
      <c r="YM44" s="16"/>
      <c r="YN44" s="16"/>
      <c r="YO44" s="16"/>
      <c r="YP44" s="16"/>
      <c r="YQ44" s="16"/>
      <c r="YR44" s="16"/>
      <c r="YS44" s="16"/>
      <c r="YT44" s="16"/>
      <c r="YU44" s="16"/>
      <c r="YV44" s="16"/>
      <c r="YW44" s="16"/>
      <c r="YX44" s="16"/>
      <c r="YY44" s="16"/>
      <c r="YZ44" s="16"/>
      <c r="ZA44" s="16"/>
      <c r="ZB44" s="16"/>
      <c r="ZC44" s="16"/>
      <c r="ZD44" s="16"/>
      <c r="ZE44" s="16"/>
      <c r="ZF44" s="16"/>
      <c r="ZG44" s="16"/>
      <c r="ZH44" s="16"/>
      <c r="ZI44" s="16"/>
      <c r="ZJ44" s="16"/>
      <c r="ZK44" s="16"/>
      <c r="ZL44" s="16"/>
      <c r="ZM44" s="16"/>
      <c r="ZN44" s="16"/>
      <c r="ZO44" s="16"/>
      <c r="ZP44" s="16"/>
      <c r="ZQ44" s="16"/>
      <c r="ZR44" s="16"/>
      <c r="ZS44" s="16"/>
      <c r="ZT44" s="16"/>
      <c r="ZU44" s="16"/>
      <c r="ZV44" s="16"/>
      <c r="ZW44" s="16"/>
      <c r="ZX44" s="16"/>
      <c r="ZY44" s="16"/>
      <c r="ZZ44" s="16"/>
      <c r="AAA44" s="16"/>
      <c r="AAB44" s="16"/>
      <c r="AAC44" s="16"/>
      <c r="AAD44" s="16"/>
      <c r="AAE44" s="16"/>
      <c r="AAF44" s="16"/>
      <c r="AAG44" s="16"/>
      <c r="AAH44" s="16"/>
      <c r="AAI44" s="16"/>
      <c r="AAJ44" s="16"/>
      <c r="AAK44" s="16"/>
      <c r="AAL44" s="16"/>
      <c r="AAM44" s="16"/>
      <c r="AAN44" s="16"/>
      <c r="AAO44" s="16"/>
      <c r="AAP44" s="16"/>
      <c r="AAQ44" s="16"/>
      <c r="AAR44" s="16"/>
      <c r="AAS44" s="16"/>
      <c r="AAT44" s="16"/>
      <c r="AAU44" s="16"/>
      <c r="AAV44" s="16"/>
      <c r="AAW44" s="16"/>
      <c r="AAX44" s="16"/>
      <c r="AAY44" s="16"/>
      <c r="AAZ44" s="16"/>
      <c r="ABA44" s="16"/>
      <c r="ABB44" s="16"/>
      <c r="ABC44" s="16"/>
      <c r="ABD44" s="16"/>
      <c r="ABE44" s="16"/>
      <c r="ABF44" s="16"/>
      <c r="ABG44" s="16"/>
      <c r="ABH44" s="16"/>
      <c r="ABI44" s="16"/>
      <c r="ABJ44" s="16"/>
      <c r="ABK44" s="16"/>
      <c r="ABL44" s="16"/>
      <c r="ABM44" s="16"/>
      <c r="ABN44" s="16"/>
      <c r="ABO44" s="16"/>
      <c r="ABP44" s="16"/>
      <c r="ABQ44" s="16"/>
      <c r="ABR44" s="16"/>
      <c r="ABS44" s="16"/>
      <c r="ABT44" s="16"/>
      <c r="ABU44" s="16"/>
      <c r="ABV44" s="16"/>
      <c r="ABW44" s="16"/>
      <c r="ABX44" s="16"/>
      <c r="ABY44" s="16"/>
      <c r="ABZ44" s="16"/>
      <c r="ACA44" s="16"/>
      <c r="ACB44" s="16"/>
      <c r="ACC44" s="16"/>
      <c r="ACD44" s="16"/>
      <c r="ACE44" s="16"/>
      <c r="ACF44" s="16"/>
      <c r="ACG44" s="16"/>
      <c r="ACH44" s="16"/>
      <c r="ACI44" s="16"/>
      <c r="ACJ44" s="16"/>
      <c r="ACK44" s="16"/>
      <c r="ACL44" s="16"/>
      <c r="ACM44" s="16"/>
      <c r="ACN44" s="16"/>
      <c r="ACO44" s="16"/>
      <c r="ACP44" s="16"/>
      <c r="ACQ44" s="16"/>
      <c r="ACR44" s="16"/>
      <c r="ACS44" s="16"/>
      <c r="ACT44" s="16"/>
      <c r="ACU44" s="16"/>
      <c r="ACV44" s="16"/>
      <c r="ACW44" s="16"/>
      <c r="ACX44" s="16"/>
      <c r="ACY44" s="16"/>
      <c r="ACZ44" s="16"/>
      <c r="ADA44" s="16"/>
      <c r="ADB44" s="16"/>
      <c r="ADC44" s="16"/>
      <c r="ADD44" s="16"/>
      <c r="ADE44" s="16"/>
      <c r="ADF44" s="16"/>
      <c r="ADG44" s="16"/>
      <c r="ADH44" s="16"/>
      <c r="ADI44" s="16"/>
      <c r="ADJ44" s="16"/>
      <c r="ADK44" s="16"/>
      <c r="ADL44" s="16"/>
      <c r="ADM44" s="16"/>
      <c r="ADN44" s="16"/>
      <c r="ADO44" s="16"/>
      <c r="ADP44" s="16"/>
      <c r="ADQ44" s="16"/>
      <c r="ADR44" s="16"/>
      <c r="ADS44" s="16"/>
      <c r="ADT44" s="16"/>
      <c r="ADU44" s="16"/>
      <c r="ADV44" s="16"/>
      <c r="ADW44" s="16"/>
      <c r="ADX44" s="16"/>
      <c r="ADY44" s="16"/>
      <c r="ADZ44" s="16"/>
      <c r="AEA44" s="16"/>
      <c r="AEB44" s="16"/>
      <c r="AEC44" s="16"/>
      <c r="AED44" s="16"/>
      <c r="AEE44" s="16"/>
      <c r="AEF44" s="16"/>
      <c r="AEG44" s="16"/>
      <c r="AEH44" s="16"/>
      <c r="AEI44" s="16"/>
      <c r="AEJ44" s="16"/>
      <c r="AEK44" s="16"/>
      <c r="AEL44" s="16"/>
      <c r="AEM44" s="16"/>
      <c r="AEN44" s="16"/>
      <c r="AEO44" s="16"/>
      <c r="AEP44" s="16"/>
      <c r="AEQ44" s="16"/>
      <c r="AER44" s="16"/>
      <c r="AES44" s="16"/>
      <c r="AET44" s="16"/>
      <c r="AEU44" s="16"/>
      <c r="AEV44" s="16"/>
      <c r="AEW44" s="16"/>
      <c r="AEX44" s="16"/>
      <c r="AEY44" s="16"/>
      <c r="AEZ44" s="16"/>
      <c r="AFA44" s="16"/>
      <c r="AFB44" s="16"/>
      <c r="AFC44" s="16"/>
      <c r="AFD44" s="16"/>
      <c r="AFE44" s="16"/>
      <c r="AFF44" s="16"/>
      <c r="AFG44" s="16"/>
      <c r="AFH44" s="16"/>
      <c r="AFI44" s="16"/>
      <c r="AFJ44" s="16"/>
      <c r="AFK44" s="16"/>
      <c r="AFL44" s="16"/>
      <c r="AFM44" s="16"/>
      <c r="AFN44" s="16"/>
      <c r="AFO44" s="16"/>
      <c r="AFP44" s="16"/>
      <c r="AFQ44" s="16"/>
      <c r="AFR44" s="16"/>
      <c r="AFS44" s="16"/>
      <c r="AFT44" s="16"/>
      <c r="AFU44" s="16"/>
      <c r="AFV44" s="16"/>
      <c r="AFW44" s="16"/>
      <c r="AFX44" s="16"/>
      <c r="AFY44" s="16"/>
      <c r="AFZ44" s="16"/>
      <c r="AGA44" s="16"/>
      <c r="AGB44" s="16"/>
      <c r="AGC44" s="16"/>
      <c r="AGD44" s="16"/>
      <c r="AGE44" s="16"/>
      <c r="AGF44" s="16"/>
      <c r="AGG44" s="16"/>
      <c r="AGH44" s="16"/>
      <c r="AGI44" s="16"/>
      <c r="AGJ44" s="16"/>
      <c r="AGK44" s="16"/>
      <c r="AGL44" s="16"/>
      <c r="AGM44" s="16"/>
      <c r="AGN44" s="16"/>
      <c r="AGO44" s="16"/>
      <c r="AGP44" s="16"/>
      <c r="AGQ44" s="16"/>
      <c r="AGR44" s="16"/>
      <c r="AGS44" s="16"/>
      <c r="AGT44" s="16"/>
      <c r="AGU44" s="16"/>
      <c r="AGV44" s="16"/>
      <c r="AGW44" s="16"/>
      <c r="AGX44" s="16"/>
      <c r="AGY44" s="16"/>
      <c r="AGZ44" s="16"/>
      <c r="AHA44" s="16"/>
      <c r="AHB44" s="16"/>
      <c r="AHC44" s="16"/>
      <c r="AHD44" s="16"/>
      <c r="AHE44" s="16"/>
      <c r="AHF44" s="16"/>
      <c r="AHG44" s="16"/>
      <c r="AHH44" s="16"/>
      <c r="AHI44" s="16"/>
      <c r="AHJ44" s="16"/>
      <c r="AHK44" s="16"/>
      <c r="AHL44" s="16"/>
      <c r="AHM44" s="16"/>
      <c r="AHN44" s="16"/>
      <c r="AHO44" s="16"/>
      <c r="AHP44" s="16"/>
      <c r="AHQ44" s="16"/>
      <c r="AHR44" s="16"/>
      <c r="AHS44" s="16"/>
      <c r="AHT44" s="16"/>
      <c r="AHU44" s="16"/>
      <c r="AHV44" s="16"/>
      <c r="AHW44" s="16"/>
      <c r="AHX44" s="16"/>
      <c r="AHY44" s="16"/>
      <c r="AHZ44" s="16"/>
      <c r="AIA44" s="16"/>
      <c r="AIB44" s="16"/>
      <c r="AIC44" s="16"/>
      <c r="AID44" s="16"/>
      <c r="AIE44" s="16"/>
      <c r="AIF44" s="16"/>
      <c r="AIG44" s="16"/>
      <c r="AIH44" s="16"/>
      <c r="AII44" s="16"/>
      <c r="AIJ44" s="16"/>
      <c r="AIK44" s="16"/>
      <c r="AIL44" s="16"/>
      <c r="AIM44" s="16"/>
      <c r="AIN44" s="16"/>
      <c r="AIO44" s="16"/>
      <c r="AIP44" s="16"/>
      <c r="AIQ44" s="16"/>
      <c r="AIR44" s="16"/>
      <c r="AIS44" s="16"/>
      <c r="AIT44" s="16"/>
      <c r="AIU44" s="16"/>
      <c r="AIV44" s="16"/>
      <c r="AIW44" s="16"/>
      <c r="AIX44" s="16"/>
      <c r="AIY44" s="16"/>
      <c r="AIZ44" s="16"/>
      <c r="AJA44" s="16"/>
      <c r="AJB44" s="16"/>
      <c r="AJC44" s="16"/>
      <c r="AJD44" s="16"/>
      <c r="AJE44" s="16"/>
      <c r="AJF44" s="16"/>
      <c r="AJG44" s="16"/>
      <c r="AJH44" s="16"/>
      <c r="AJI44" s="16"/>
      <c r="AJJ44" s="16"/>
      <c r="AJK44" s="16"/>
      <c r="AJL44" s="16"/>
      <c r="AJM44" s="16"/>
      <c r="AJN44" s="16"/>
      <c r="AJO44" s="16"/>
      <c r="AJP44" s="16"/>
      <c r="AJQ44" s="16"/>
      <c r="AJR44" s="16"/>
      <c r="AJS44" s="16"/>
      <c r="AJT44" s="16"/>
      <c r="AJU44" s="16"/>
      <c r="AJV44" s="16"/>
      <c r="AJW44" s="16"/>
      <c r="AJX44" s="16"/>
      <c r="AJY44" s="16"/>
      <c r="AJZ44" s="16"/>
      <c r="AKA44" s="16"/>
      <c r="AKB44" s="16"/>
      <c r="AKC44" s="16"/>
      <c r="AKD44" s="16"/>
      <c r="AKE44" s="16"/>
      <c r="AKF44" s="16"/>
      <c r="AKG44" s="16"/>
      <c r="AKH44" s="16"/>
      <c r="AKI44" s="16"/>
      <c r="AKJ44" s="16"/>
      <c r="AKK44" s="16"/>
      <c r="AKL44" s="16"/>
      <c r="AKM44" s="16"/>
      <c r="AKN44" s="16"/>
      <c r="AKO44" s="16"/>
      <c r="AKP44" s="16"/>
      <c r="AKQ44" s="16"/>
      <c r="AKR44" s="16"/>
      <c r="AKS44" s="16"/>
      <c r="AKT44" s="16"/>
      <c r="AKU44" s="16"/>
      <c r="AKV44" s="16"/>
      <c r="AKW44" s="16"/>
      <c r="AKX44" s="16"/>
      <c r="AKY44" s="16"/>
      <c r="AKZ44" s="16"/>
      <c r="ALA44" s="16"/>
      <c r="ALB44" s="16"/>
      <c r="ALC44" s="16"/>
      <c r="ALD44" s="16"/>
      <c r="ALE44" s="16"/>
      <c r="ALF44" s="16"/>
      <c r="ALG44" s="16"/>
      <c r="ALH44" s="16"/>
      <c r="ALI44" s="16"/>
      <c r="ALJ44" s="16"/>
      <c r="ALK44" s="16"/>
      <c r="ALL44" s="16"/>
      <c r="ALM44" s="16"/>
      <c r="ALN44" s="16"/>
      <c r="ALO44" s="16"/>
      <c r="ALP44" s="16"/>
      <c r="ALQ44" s="16"/>
      <c r="ALR44" s="16"/>
      <c r="ALS44" s="16"/>
      <c r="ALT44" s="16"/>
    </row>
    <row r="45" spans="1:1008" s="27" customFormat="1" x14ac:dyDescent="0.25">
      <c r="A45" s="81">
        <v>43854</v>
      </c>
      <c r="B45" s="33" t="s">
        <v>74</v>
      </c>
      <c r="C45" s="56">
        <v>22912</v>
      </c>
      <c r="D45" s="68">
        <v>0</v>
      </c>
      <c r="E45" s="68">
        <v>0.72000000000116415</v>
      </c>
      <c r="F45" s="56"/>
      <c r="G45" s="68">
        <v>381.69358499999993</v>
      </c>
      <c r="H45" s="68">
        <v>88.765949999999989</v>
      </c>
      <c r="I45" s="68">
        <v>17282.730464999997</v>
      </c>
      <c r="J45" s="56">
        <v>309.39999999999998</v>
      </c>
      <c r="K45" s="56"/>
      <c r="L45" s="56"/>
      <c r="M45" s="56">
        <v>441.82</v>
      </c>
      <c r="N45" s="65"/>
      <c r="O45" s="65"/>
      <c r="P45" s="68">
        <v>2211.8904000000002</v>
      </c>
      <c r="Q45" s="68">
        <v>390.33359999999999</v>
      </c>
      <c r="R45" s="68">
        <v>650.55600000000004</v>
      </c>
      <c r="S45" s="68">
        <v>34074.026785714283</v>
      </c>
      <c r="T45" s="68">
        <v>33322.806785714281</v>
      </c>
      <c r="U45" s="68">
        <v>3998.7368142857135</v>
      </c>
      <c r="V45" s="68">
        <v>37321.543599999997</v>
      </c>
      <c r="W45" s="68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8">
        <v>0</v>
      </c>
      <c r="AJ45" s="65"/>
      <c r="AK45" s="65"/>
      <c r="AL45" s="68">
        <v>0</v>
      </c>
      <c r="AM45" s="68">
        <v>0</v>
      </c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8">
        <v>0</v>
      </c>
      <c r="BB45" s="16"/>
      <c r="BC45" s="82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</row>
    <row r="46" spans="1:1008" s="27" customFormat="1" x14ac:dyDescent="0.25">
      <c r="A46" s="81"/>
      <c r="B46" s="33" t="s">
        <v>76</v>
      </c>
      <c r="C46" s="56">
        <v>9877</v>
      </c>
      <c r="D46" s="68">
        <v>0</v>
      </c>
      <c r="E46" s="68">
        <v>0.51000000000021828</v>
      </c>
      <c r="F46" s="56">
        <v>300</v>
      </c>
      <c r="G46" s="68">
        <v>243.98113999999995</v>
      </c>
      <c r="H46" s="68">
        <v>56.739799999999995</v>
      </c>
      <c r="I46" s="68">
        <v>11047.23906</v>
      </c>
      <c r="J46" s="56">
        <v>73.25</v>
      </c>
      <c r="K46" s="56"/>
      <c r="L46" s="56"/>
      <c r="M46" s="56">
        <v>216.96</v>
      </c>
      <c r="N46" s="65"/>
      <c r="O46" s="65"/>
      <c r="P46" s="68">
        <v>1142.2912000000001</v>
      </c>
      <c r="Q46" s="68">
        <v>201.58080000000001</v>
      </c>
      <c r="R46" s="68">
        <v>335.96800000000002</v>
      </c>
      <c r="S46" s="68">
        <v>17977.517857142855</v>
      </c>
      <c r="T46" s="68">
        <v>17687.307857142856</v>
      </c>
      <c r="U46" s="68">
        <v>2122.4769428571426</v>
      </c>
      <c r="V46" s="68">
        <v>19809.784799999998</v>
      </c>
      <c r="W46" s="68"/>
      <c r="X46" s="67">
        <v>540</v>
      </c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8">
        <v>540</v>
      </c>
      <c r="AJ46" s="65"/>
      <c r="AK46" s="65"/>
      <c r="AL46" s="68">
        <v>0</v>
      </c>
      <c r="AM46" s="68">
        <v>0</v>
      </c>
      <c r="AN46" s="67"/>
      <c r="AO46" s="67"/>
      <c r="AP46" s="67"/>
      <c r="AQ46" s="67"/>
      <c r="AR46" s="67"/>
      <c r="AS46" s="67"/>
      <c r="AT46" s="67"/>
      <c r="AU46" s="67">
        <v>130</v>
      </c>
      <c r="AV46" s="67"/>
      <c r="AW46" s="67"/>
      <c r="AX46" s="67"/>
      <c r="AY46" s="67"/>
      <c r="AZ46" s="67"/>
      <c r="BA46" s="68">
        <v>540</v>
      </c>
      <c r="BB46" s="16"/>
      <c r="BC46" s="82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</row>
    <row r="47" spans="1:1008" s="27" customFormat="1" x14ac:dyDescent="0.25">
      <c r="A47" s="81">
        <v>43857</v>
      </c>
      <c r="B47" s="33" t="s">
        <v>74</v>
      </c>
      <c r="C47" s="56">
        <v>18050</v>
      </c>
      <c r="D47" s="68">
        <v>0</v>
      </c>
      <c r="E47" s="68">
        <v>1.0099999999983993</v>
      </c>
      <c r="F47" s="56"/>
      <c r="G47" s="68">
        <v>176.05618999999999</v>
      </c>
      <c r="H47" s="68">
        <v>40.943300000000001</v>
      </c>
      <c r="I47" s="68">
        <v>7971.6605099999997</v>
      </c>
      <c r="J47" s="56"/>
      <c r="K47" s="56"/>
      <c r="L47" s="56"/>
      <c r="M47" s="56">
        <v>272.33</v>
      </c>
      <c r="N47" s="65" t="s">
        <v>77</v>
      </c>
      <c r="O47" s="65">
        <v>170</v>
      </c>
      <c r="P47" s="68">
        <v>1441.8516</v>
      </c>
      <c r="Q47" s="68">
        <v>254.4444</v>
      </c>
      <c r="R47" s="68">
        <v>424.07400000000001</v>
      </c>
      <c r="S47" s="68">
        <v>21928.223214285714</v>
      </c>
      <c r="T47" s="68">
        <v>21655.893214285712</v>
      </c>
      <c r="U47" s="68">
        <v>2598.7071857142855</v>
      </c>
      <c r="V47" s="68">
        <v>24254.600399999996</v>
      </c>
      <c r="W47" s="68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8">
        <v>0</v>
      </c>
      <c r="AJ47" s="65"/>
      <c r="AK47" s="65"/>
      <c r="AL47" s="68">
        <v>0</v>
      </c>
      <c r="AM47" s="68">
        <v>0</v>
      </c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8">
        <v>0</v>
      </c>
      <c r="BB47" s="16"/>
      <c r="BC47" s="82"/>
      <c r="BD47" s="83"/>
      <c r="BE47" s="83"/>
      <c r="BF47" s="83"/>
      <c r="BG47" s="83"/>
      <c r="BH47" s="83"/>
      <c r="BI47" s="83"/>
      <c r="BJ47" s="83"/>
      <c r="BK47" s="83"/>
      <c r="BL47" s="83"/>
      <c r="BM47" s="83"/>
      <c r="BN47" s="83"/>
      <c r="BO47" s="83"/>
      <c r="BP47" s="83"/>
      <c r="BQ47" s="83"/>
      <c r="BR47" s="83"/>
      <c r="BS47" s="83"/>
      <c r="BT47" s="83"/>
      <c r="BU47" s="83"/>
      <c r="BV47" s="83"/>
      <c r="BW47" s="83"/>
      <c r="BX47" s="83"/>
      <c r="BY47" s="83"/>
      <c r="BZ47" s="83"/>
      <c r="CA47" s="83"/>
      <c r="CB47" s="83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</row>
    <row r="48" spans="1:1008" s="27" customFormat="1" x14ac:dyDescent="0.25">
      <c r="A48" s="81"/>
      <c r="B48" s="33" t="s">
        <v>76</v>
      </c>
      <c r="C48" s="56">
        <v>7570</v>
      </c>
      <c r="D48" s="68">
        <v>0</v>
      </c>
      <c r="E48" s="68">
        <v>5.7200000000002547</v>
      </c>
      <c r="F48" s="56">
        <v>300</v>
      </c>
      <c r="G48" s="68">
        <v>87.672269999999997</v>
      </c>
      <c r="H48" s="68">
        <v>20.388900000000003</v>
      </c>
      <c r="I48" s="68">
        <v>3969.7188300000003</v>
      </c>
      <c r="J48" s="56"/>
      <c r="K48" s="56"/>
      <c r="L48" s="56"/>
      <c r="M48" s="56">
        <v>92.82</v>
      </c>
      <c r="N48" s="65" t="s">
        <v>77</v>
      </c>
      <c r="O48" s="65">
        <v>610</v>
      </c>
      <c r="P48" s="68">
        <v>588.62840000000006</v>
      </c>
      <c r="Q48" s="68">
        <v>103.87560000000001</v>
      </c>
      <c r="R48" s="68">
        <v>173.126</v>
      </c>
      <c r="S48" s="68">
        <v>10512.75</v>
      </c>
      <c r="T48" s="68">
        <v>10419.93</v>
      </c>
      <c r="U48" s="68">
        <v>1250.3915999999999</v>
      </c>
      <c r="V48" s="68">
        <v>11670.321599999999</v>
      </c>
      <c r="W48" s="68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8">
        <v>0</v>
      </c>
      <c r="AJ48" s="65"/>
      <c r="AK48" s="65"/>
      <c r="AL48" s="68"/>
      <c r="AM48" s="68"/>
      <c r="AN48" s="67"/>
      <c r="AO48" s="67"/>
      <c r="AP48" s="67"/>
      <c r="AQ48" s="67">
        <v>0</v>
      </c>
      <c r="AR48" s="67"/>
      <c r="AS48" s="67"/>
      <c r="AT48" s="67"/>
      <c r="AU48" s="67"/>
      <c r="AV48" s="67"/>
      <c r="AW48" s="67"/>
      <c r="AX48" s="67"/>
      <c r="AY48" s="67"/>
      <c r="AZ48" s="67">
        <v>175</v>
      </c>
      <c r="BA48" s="68">
        <v>0</v>
      </c>
      <c r="BB48" s="16"/>
      <c r="BC48" s="82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</row>
    <row r="49" spans="1:1008" s="27" customFormat="1" x14ac:dyDescent="0.25">
      <c r="A49" s="81">
        <v>43858</v>
      </c>
      <c r="B49" s="33" t="s">
        <v>74</v>
      </c>
      <c r="C49" s="56">
        <v>14705</v>
      </c>
      <c r="D49" s="68">
        <v>0</v>
      </c>
      <c r="E49" s="68">
        <v>0.56999999999970896</v>
      </c>
      <c r="F49" s="56"/>
      <c r="G49" s="68">
        <v>225.01018499999998</v>
      </c>
      <c r="H49" s="68">
        <v>52.327950000000001</v>
      </c>
      <c r="I49" s="68">
        <v>10188.251865</v>
      </c>
      <c r="J49" s="56">
        <v>857.25</v>
      </c>
      <c r="K49" s="56"/>
      <c r="L49" s="56"/>
      <c r="M49" s="56">
        <v>269.19</v>
      </c>
      <c r="N49" s="65"/>
      <c r="O49" s="65"/>
      <c r="P49" s="68">
        <v>1338.9064000000001</v>
      </c>
      <c r="Q49" s="68">
        <v>236.27760000000001</v>
      </c>
      <c r="R49" s="68">
        <v>393.79600000000005</v>
      </c>
      <c r="S49" s="68">
        <v>21720.964285714283</v>
      </c>
      <c r="T49" s="68">
        <v>20594.524285714284</v>
      </c>
      <c r="U49" s="68">
        <v>2471.342914285714</v>
      </c>
      <c r="V49" s="68">
        <v>23065.867199999997</v>
      </c>
      <c r="W49" s="68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8">
        <v>0</v>
      </c>
      <c r="AJ49" s="65"/>
      <c r="AK49" s="65"/>
      <c r="AL49" s="68">
        <v>0</v>
      </c>
      <c r="AM49" s="68">
        <v>0</v>
      </c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8">
        <v>0</v>
      </c>
      <c r="BB49" s="16"/>
      <c r="BC49" s="82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</row>
    <row r="50" spans="1:1008" s="27" customFormat="1" x14ac:dyDescent="0.25">
      <c r="A50" s="81"/>
      <c r="B50" s="33" t="s">
        <v>76</v>
      </c>
      <c r="C50" s="56">
        <v>15760</v>
      </c>
      <c r="D50" s="68">
        <v>0</v>
      </c>
      <c r="E50" s="68">
        <v>0.92000000000007276</v>
      </c>
      <c r="F50" s="56">
        <v>600</v>
      </c>
      <c r="G50" s="68">
        <v>171.42637999999997</v>
      </c>
      <c r="H50" s="68">
        <v>39.866599999999998</v>
      </c>
      <c r="I50" s="68">
        <v>7762.0270199999995</v>
      </c>
      <c r="J50" s="56">
        <v>930.75</v>
      </c>
      <c r="K50" s="56"/>
      <c r="L50" s="56">
        <v>127</v>
      </c>
      <c r="M50" s="56">
        <v>157.13999999999999</v>
      </c>
      <c r="N50" s="65"/>
      <c r="O50" s="65"/>
      <c r="P50" s="68">
        <v>1119.6676</v>
      </c>
      <c r="Q50" s="68">
        <v>197.58840000000001</v>
      </c>
      <c r="R50" s="68">
        <v>329.31400000000002</v>
      </c>
      <c r="S50" s="68">
        <v>21683.678571428569</v>
      </c>
      <c r="T50" s="68">
        <v>20468.788571428569</v>
      </c>
      <c r="U50" s="68">
        <v>2456.2546285714284</v>
      </c>
      <c r="V50" s="68">
        <v>22925.043199999996</v>
      </c>
      <c r="W50" s="68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8">
        <v>0</v>
      </c>
      <c r="AJ50" s="65"/>
      <c r="AK50" s="65"/>
      <c r="AL50" s="68">
        <v>0</v>
      </c>
      <c r="AM50" s="68">
        <v>0</v>
      </c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8">
        <v>0</v>
      </c>
      <c r="BB50" s="16"/>
      <c r="BC50" s="82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</row>
    <row r="51" spans="1:1008" s="27" customFormat="1" x14ac:dyDescent="0.25">
      <c r="A51" s="81">
        <v>43859</v>
      </c>
      <c r="B51" s="33" t="s">
        <v>74</v>
      </c>
      <c r="C51" s="56">
        <v>15520</v>
      </c>
      <c r="D51" s="68">
        <v>0</v>
      </c>
      <c r="E51" s="68">
        <v>3.5400000000008731</v>
      </c>
      <c r="F51" s="56"/>
      <c r="G51" s="68">
        <v>426.98010999999997</v>
      </c>
      <c r="H51" s="68">
        <v>99.297700000000006</v>
      </c>
      <c r="I51" s="68">
        <v>19333.262190000001</v>
      </c>
      <c r="J51" s="56">
        <v>1355.75</v>
      </c>
      <c r="K51" s="56"/>
      <c r="L51" s="56"/>
      <c r="M51" s="56">
        <v>569.67999999999995</v>
      </c>
      <c r="N51" s="65" t="s">
        <v>77</v>
      </c>
      <c r="O51" s="65">
        <v>735</v>
      </c>
      <c r="P51" s="68">
        <v>1889.2031999999999</v>
      </c>
      <c r="Q51" s="68">
        <v>333.3888</v>
      </c>
      <c r="R51" s="68">
        <v>555.64800000000002</v>
      </c>
      <c r="S51" s="68">
        <v>31480.526785714286</v>
      </c>
      <c r="T51" s="68">
        <v>29555.096785714286</v>
      </c>
      <c r="U51" s="68">
        <v>3546.611614285714</v>
      </c>
      <c r="V51" s="68">
        <v>33101.708400000003</v>
      </c>
      <c r="W51" s="68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8">
        <v>0</v>
      </c>
      <c r="AJ51" s="65"/>
      <c r="AK51" s="65"/>
      <c r="AL51" s="68">
        <v>0</v>
      </c>
      <c r="AM51" s="68">
        <v>0</v>
      </c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8">
        <v>0</v>
      </c>
      <c r="BB51" s="16"/>
      <c r="BC51" s="82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</row>
    <row r="52" spans="1:1008" s="27" customFormat="1" ht="15.75" thickBot="1" x14ac:dyDescent="0.3">
      <c r="A52" s="81"/>
      <c r="B52" s="33" t="s">
        <v>76</v>
      </c>
      <c r="C52" s="56">
        <v>12746</v>
      </c>
      <c r="D52" s="68">
        <v>0</v>
      </c>
      <c r="E52" s="68">
        <v>0.47999999999956344</v>
      </c>
      <c r="F52" s="56"/>
      <c r="G52" s="68">
        <v>241.75137499999997</v>
      </c>
      <c r="H52" s="68">
        <v>56.221249999999998</v>
      </c>
      <c r="I52" s="68">
        <v>10946.277375</v>
      </c>
      <c r="J52" s="56">
        <v>1334.75</v>
      </c>
      <c r="K52" s="56"/>
      <c r="L52" s="56"/>
      <c r="M52" s="56">
        <v>299.10000000000002</v>
      </c>
      <c r="N52" s="65" t="s">
        <v>77</v>
      </c>
      <c r="O52" s="65">
        <v>985</v>
      </c>
      <c r="P52" s="68">
        <v>1178.4943999999998</v>
      </c>
      <c r="Q52" s="68">
        <v>207.96959999999999</v>
      </c>
      <c r="R52" s="68">
        <v>346.61599999999999</v>
      </c>
      <c r="S52" s="68">
        <v>22210.303571428569</v>
      </c>
      <c r="T52" s="68">
        <v>20576.45357142857</v>
      </c>
      <c r="U52" s="68">
        <v>2469.1744285714285</v>
      </c>
      <c r="V52" s="68">
        <v>23045.627999999997</v>
      </c>
      <c r="W52" s="68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8">
        <v>0</v>
      </c>
      <c r="AJ52" s="65"/>
      <c r="AK52" s="65"/>
      <c r="AL52" s="68"/>
      <c r="AM52" s="68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8">
        <v>0</v>
      </c>
      <c r="BB52" s="16"/>
      <c r="BC52" s="82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</row>
    <row r="53" spans="1:1008" s="27" customFormat="1" ht="15.75" thickBot="1" x14ac:dyDescent="0.3">
      <c r="A53" s="93">
        <v>43860</v>
      </c>
      <c r="B53" s="33" t="s">
        <v>74</v>
      </c>
      <c r="C53" s="56">
        <v>19435</v>
      </c>
      <c r="D53" s="68">
        <v>0</v>
      </c>
      <c r="E53" s="68">
        <v>0.4500000000007276</v>
      </c>
      <c r="F53" s="56"/>
      <c r="G53" s="68">
        <v>400.43169499999993</v>
      </c>
      <c r="H53" s="68">
        <v>93.123649999999998</v>
      </c>
      <c r="I53" s="68">
        <v>18131.174654999999</v>
      </c>
      <c r="J53" s="56">
        <v>1198.75</v>
      </c>
      <c r="K53" s="56"/>
      <c r="L53" s="56"/>
      <c r="M53" s="56">
        <v>829.49</v>
      </c>
      <c r="N53" s="65"/>
      <c r="O53" s="65"/>
      <c r="P53" s="68">
        <v>2057.1428000000001</v>
      </c>
      <c r="Q53" s="68">
        <v>363.02519999999998</v>
      </c>
      <c r="R53" s="68">
        <v>605.04200000000003</v>
      </c>
      <c r="S53" s="68">
        <v>33091.34821428571</v>
      </c>
      <c r="T53" s="68">
        <v>31063.108214285709</v>
      </c>
      <c r="U53" s="68">
        <v>3727.5729857142851</v>
      </c>
      <c r="V53" s="68">
        <v>34790.681199999992</v>
      </c>
      <c r="W53" s="68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8">
        <v>0</v>
      </c>
      <c r="AJ53" s="65"/>
      <c r="AK53" s="65"/>
      <c r="AL53" s="68">
        <v>0</v>
      </c>
      <c r="AM53" s="68">
        <v>0</v>
      </c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8">
        <v>0</v>
      </c>
      <c r="BB53" s="16"/>
      <c r="BC53" s="82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</row>
    <row r="54" spans="1:1008" s="27" customFormat="1" ht="15.75" thickBot="1" x14ac:dyDescent="0.3">
      <c r="A54" s="93"/>
      <c r="B54" s="33" t="s">
        <v>76</v>
      </c>
      <c r="C54" s="56">
        <v>14355</v>
      </c>
      <c r="D54" s="68">
        <v>0</v>
      </c>
      <c r="E54" s="68">
        <v>0.26000000000021828</v>
      </c>
      <c r="F54" s="56"/>
      <c r="G54" s="68">
        <v>118.04402999999999</v>
      </c>
      <c r="H54" s="68">
        <v>27.452100000000002</v>
      </c>
      <c r="I54" s="68">
        <v>5344.9238699999996</v>
      </c>
      <c r="J54" s="56">
        <v>289.75</v>
      </c>
      <c r="K54" s="56"/>
      <c r="L54" s="56">
        <v>26.5</v>
      </c>
      <c r="M54" s="56">
        <v>285.86</v>
      </c>
      <c r="N54" s="65" t="s">
        <v>77</v>
      </c>
      <c r="O54" s="65">
        <v>1625</v>
      </c>
      <c r="P54" s="68">
        <v>1049.7704000000001</v>
      </c>
      <c r="Q54" s="68">
        <v>185.25360000000001</v>
      </c>
      <c r="R54" s="68">
        <v>308.75600000000003</v>
      </c>
      <c r="S54" s="68">
        <v>18329.008928571428</v>
      </c>
      <c r="T54" s="68">
        <v>17726.898928571427</v>
      </c>
      <c r="U54" s="68">
        <v>2127.2278714285712</v>
      </c>
      <c r="V54" s="68">
        <v>19854.126799999998</v>
      </c>
      <c r="W54" s="68"/>
      <c r="X54" s="67"/>
      <c r="Y54" s="67"/>
      <c r="Z54" s="67"/>
      <c r="AA54" s="67">
        <v>315</v>
      </c>
      <c r="AB54" s="67"/>
      <c r="AC54" s="67"/>
      <c r="AD54" s="67"/>
      <c r="AE54" s="67"/>
      <c r="AF54" s="67"/>
      <c r="AG54" s="67"/>
      <c r="AH54" s="67"/>
      <c r="AI54" s="68">
        <v>315</v>
      </c>
      <c r="AJ54" s="65">
        <v>845</v>
      </c>
      <c r="AK54" s="65"/>
      <c r="AL54" s="68"/>
      <c r="AM54" s="68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8">
        <v>1160</v>
      </c>
      <c r="BB54" s="16"/>
      <c r="BC54" s="82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  <c r="JA54" s="16"/>
      <c r="JB54" s="16"/>
      <c r="JC54" s="16"/>
      <c r="JD54" s="16"/>
      <c r="JE54" s="16"/>
      <c r="JF54" s="16"/>
      <c r="JG54" s="16"/>
      <c r="JH54" s="16"/>
      <c r="JI54" s="16"/>
      <c r="JJ54" s="16"/>
      <c r="JK54" s="16"/>
      <c r="JL54" s="16"/>
      <c r="JM54" s="16"/>
      <c r="JN54" s="16"/>
      <c r="JO54" s="16"/>
      <c r="JP54" s="16"/>
      <c r="JQ54" s="16"/>
      <c r="JR54" s="16"/>
      <c r="JS54" s="16"/>
      <c r="JT54" s="16"/>
      <c r="JU54" s="16"/>
      <c r="JV54" s="16"/>
      <c r="JW54" s="16"/>
      <c r="JX54" s="16"/>
      <c r="JY54" s="16"/>
      <c r="JZ54" s="16"/>
      <c r="KA54" s="16"/>
      <c r="KB54" s="16"/>
      <c r="KC54" s="16"/>
      <c r="KD54" s="16"/>
      <c r="KE54" s="16"/>
      <c r="KF54" s="16"/>
      <c r="KG54" s="16"/>
      <c r="KH54" s="16"/>
      <c r="KI54" s="16"/>
      <c r="KJ54" s="16"/>
      <c r="KK54" s="16"/>
      <c r="KL54" s="16"/>
      <c r="KM54" s="16"/>
      <c r="KN54" s="16"/>
      <c r="KO54" s="16"/>
      <c r="KP54" s="16"/>
      <c r="KQ54" s="16"/>
      <c r="KR54" s="16"/>
      <c r="KS54" s="16"/>
      <c r="KT54" s="16"/>
      <c r="KU54" s="16"/>
      <c r="KV54" s="16"/>
      <c r="KW54" s="16"/>
      <c r="KX54" s="16"/>
      <c r="KY54" s="16"/>
      <c r="KZ54" s="16"/>
      <c r="LA54" s="16"/>
      <c r="LB54" s="16"/>
      <c r="LC54" s="16"/>
      <c r="LD54" s="16"/>
      <c r="LE54" s="16"/>
      <c r="LF54" s="16"/>
      <c r="LG54" s="16"/>
      <c r="LH54" s="16"/>
      <c r="LI54" s="16"/>
      <c r="LJ54" s="16"/>
      <c r="LK54" s="16"/>
      <c r="LL54" s="16"/>
      <c r="LM54" s="16"/>
      <c r="LN54" s="16"/>
      <c r="LO54" s="16"/>
      <c r="LP54" s="16"/>
      <c r="LQ54" s="16"/>
      <c r="LR54" s="16"/>
      <c r="LS54" s="16"/>
      <c r="LT54" s="16"/>
      <c r="LU54" s="16"/>
      <c r="LV54" s="16"/>
      <c r="LW54" s="16"/>
      <c r="LX54" s="16"/>
      <c r="LY54" s="16"/>
      <c r="LZ54" s="16"/>
      <c r="MA54" s="16"/>
      <c r="MB54" s="16"/>
      <c r="MC54" s="16"/>
      <c r="MD54" s="16"/>
      <c r="ME54" s="16"/>
      <c r="MF54" s="16"/>
      <c r="MG54" s="16"/>
      <c r="MH54" s="16"/>
      <c r="MI54" s="16"/>
      <c r="MJ54" s="16"/>
      <c r="MK54" s="16"/>
      <c r="ML54" s="16"/>
      <c r="MM54" s="16"/>
      <c r="MN54" s="16"/>
      <c r="MO54" s="16"/>
      <c r="MP54" s="16"/>
      <c r="MQ54" s="16"/>
      <c r="MR54" s="16"/>
      <c r="MS54" s="16"/>
      <c r="MT54" s="16"/>
      <c r="MU54" s="16"/>
      <c r="MV54" s="16"/>
      <c r="MW54" s="16"/>
      <c r="MX54" s="16"/>
      <c r="MY54" s="16"/>
      <c r="MZ54" s="16"/>
      <c r="NA54" s="16"/>
      <c r="NB54" s="16"/>
      <c r="NC54" s="16"/>
      <c r="ND54" s="16"/>
      <c r="NE54" s="16"/>
      <c r="NF54" s="16"/>
      <c r="NG54" s="16"/>
      <c r="NH54" s="16"/>
      <c r="NI54" s="16"/>
      <c r="NJ54" s="16"/>
      <c r="NK54" s="16"/>
      <c r="NL54" s="16"/>
      <c r="NM54" s="16"/>
      <c r="NN54" s="16"/>
      <c r="NO54" s="16"/>
      <c r="NP54" s="16"/>
      <c r="NQ54" s="16"/>
      <c r="NR54" s="16"/>
      <c r="NS54" s="16"/>
      <c r="NT54" s="16"/>
      <c r="NU54" s="16"/>
      <c r="NV54" s="16"/>
      <c r="NW54" s="16"/>
      <c r="NX54" s="16"/>
      <c r="NY54" s="16"/>
      <c r="NZ54" s="16"/>
      <c r="OA54" s="16"/>
      <c r="OB54" s="16"/>
      <c r="OC54" s="16"/>
      <c r="OD54" s="16"/>
      <c r="OE54" s="16"/>
      <c r="OF54" s="16"/>
      <c r="OG54" s="16"/>
      <c r="OH54" s="16"/>
      <c r="OI54" s="16"/>
      <c r="OJ54" s="16"/>
      <c r="OK54" s="16"/>
      <c r="OL54" s="16"/>
      <c r="OM54" s="16"/>
      <c r="ON54" s="16"/>
      <c r="OO54" s="16"/>
      <c r="OP54" s="16"/>
      <c r="OQ54" s="16"/>
      <c r="OR54" s="16"/>
      <c r="OS54" s="16"/>
      <c r="OT54" s="16"/>
      <c r="OU54" s="16"/>
      <c r="OV54" s="16"/>
      <c r="OW54" s="16"/>
      <c r="OX54" s="16"/>
      <c r="OY54" s="16"/>
      <c r="OZ54" s="16"/>
      <c r="PA54" s="16"/>
      <c r="PB54" s="16"/>
      <c r="PC54" s="16"/>
      <c r="PD54" s="16"/>
      <c r="PE54" s="16"/>
      <c r="PF54" s="16"/>
      <c r="PG54" s="16"/>
      <c r="PH54" s="16"/>
      <c r="PI54" s="16"/>
      <c r="PJ54" s="16"/>
      <c r="PK54" s="16"/>
      <c r="PL54" s="16"/>
      <c r="PM54" s="16"/>
      <c r="PN54" s="16"/>
      <c r="PO54" s="16"/>
      <c r="PP54" s="16"/>
      <c r="PQ54" s="16"/>
      <c r="PR54" s="16"/>
      <c r="PS54" s="16"/>
      <c r="PT54" s="16"/>
      <c r="PU54" s="16"/>
      <c r="PV54" s="16"/>
      <c r="PW54" s="16"/>
      <c r="PX54" s="16"/>
      <c r="PY54" s="16"/>
      <c r="PZ54" s="16"/>
      <c r="QA54" s="16"/>
      <c r="QB54" s="16"/>
      <c r="QC54" s="16"/>
      <c r="QD54" s="16"/>
      <c r="QE54" s="16"/>
      <c r="QF54" s="16"/>
      <c r="QG54" s="16"/>
      <c r="QH54" s="16"/>
      <c r="QI54" s="16"/>
      <c r="QJ54" s="16"/>
      <c r="QK54" s="16"/>
      <c r="QL54" s="16"/>
      <c r="QM54" s="16"/>
      <c r="QN54" s="16"/>
      <c r="QO54" s="16"/>
      <c r="QP54" s="16"/>
      <c r="QQ54" s="16"/>
      <c r="QR54" s="16"/>
      <c r="QS54" s="16"/>
      <c r="QT54" s="16"/>
      <c r="QU54" s="16"/>
      <c r="QV54" s="16"/>
      <c r="QW54" s="16"/>
      <c r="QX54" s="16"/>
      <c r="QY54" s="16"/>
      <c r="QZ54" s="16"/>
      <c r="RA54" s="16"/>
      <c r="RB54" s="16"/>
      <c r="RC54" s="16"/>
      <c r="RD54" s="16"/>
      <c r="RE54" s="16"/>
      <c r="RF54" s="16"/>
      <c r="RG54" s="16"/>
      <c r="RH54" s="16"/>
      <c r="RI54" s="16"/>
      <c r="RJ54" s="16"/>
      <c r="RK54" s="16"/>
      <c r="RL54" s="16"/>
      <c r="RM54" s="16"/>
      <c r="RN54" s="16"/>
      <c r="RO54" s="16"/>
      <c r="RP54" s="16"/>
      <c r="RQ54" s="16"/>
      <c r="RR54" s="16"/>
      <c r="RS54" s="16"/>
      <c r="RT54" s="16"/>
      <c r="RU54" s="16"/>
      <c r="RV54" s="16"/>
      <c r="RW54" s="16"/>
      <c r="RX54" s="16"/>
      <c r="RY54" s="16"/>
      <c r="RZ54" s="16"/>
      <c r="SA54" s="16"/>
      <c r="SB54" s="16"/>
      <c r="SC54" s="16"/>
      <c r="SD54" s="16"/>
      <c r="SE54" s="16"/>
      <c r="SF54" s="16"/>
      <c r="SG54" s="16"/>
      <c r="SH54" s="16"/>
      <c r="SI54" s="16"/>
      <c r="SJ54" s="16"/>
      <c r="SK54" s="16"/>
      <c r="SL54" s="16"/>
      <c r="SM54" s="16"/>
      <c r="SN54" s="16"/>
      <c r="SO54" s="16"/>
      <c r="SP54" s="16"/>
      <c r="SQ54" s="16"/>
      <c r="SR54" s="16"/>
      <c r="SS54" s="16"/>
      <c r="ST54" s="16"/>
      <c r="SU54" s="16"/>
      <c r="SV54" s="16"/>
      <c r="SW54" s="16"/>
      <c r="SX54" s="16"/>
      <c r="SY54" s="16"/>
      <c r="SZ54" s="16"/>
      <c r="TA54" s="16"/>
      <c r="TB54" s="16"/>
      <c r="TC54" s="16"/>
      <c r="TD54" s="16"/>
      <c r="TE54" s="16"/>
      <c r="TF54" s="16"/>
      <c r="TG54" s="16"/>
      <c r="TH54" s="16"/>
      <c r="TI54" s="16"/>
      <c r="TJ54" s="16"/>
      <c r="TK54" s="16"/>
      <c r="TL54" s="16"/>
      <c r="TM54" s="16"/>
      <c r="TN54" s="16"/>
      <c r="TO54" s="16"/>
      <c r="TP54" s="16"/>
      <c r="TQ54" s="16"/>
      <c r="TR54" s="16"/>
      <c r="TS54" s="16"/>
      <c r="TT54" s="16"/>
      <c r="TU54" s="16"/>
      <c r="TV54" s="16"/>
      <c r="TW54" s="16"/>
      <c r="TX54" s="16"/>
      <c r="TY54" s="16"/>
      <c r="TZ54" s="16"/>
      <c r="UA54" s="16"/>
      <c r="UB54" s="16"/>
      <c r="UC54" s="16"/>
      <c r="UD54" s="16"/>
      <c r="UE54" s="16"/>
      <c r="UF54" s="16"/>
      <c r="UG54" s="16"/>
      <c r="UH54" s="16"/>
      <c r="UI54" s="16"/>
      <c r="UJ54" s="16"/>
      <c r="UK54" s="16"/>
      <c r="UL54" s="16"/>
      <c r="UM54" s="16"/>
      <c r="UN54" s="16"/>
      <c r="UO54" s="16"/>
      <c r="UP54" s="16"/>
      <c r="UQ54" s="16"/>
      <c r="UR54" s="16"/>
      <c r="US54" s="16"/>
      <c r="UT54" s="16"/>
      <c r="UU54" s="16"/>
      <c r="UV54" s="16"/>
      <c r="UW54" s="16"/>
      <c r="UX54" s="16"/>
      <c r="UY54" s="16"/>
      <c r="UZ54" s="16"/>
      <c r="VA54" s="16"/>
      <c r="VB54" s="16"/>
      <c r="VC54" s="16"/>
      <c r="VD54" s="16"/>
      <c r="VE54" s="16"/>
      <c r="VF54" s="16"/>
      <c r="VG54" s="16"/>
      <c r="VH54" s="16"/>
      <c r="VI54" s="16"/>
      <c r="VJ54" s="16"/>
      <c r="VK54" s="16"/>
      <c r="VL54" s="16"/>
      <c r="VM54" s="16"/>
      <c r="VN54" s="16"/>
      <c r="VO54" s="16"/>
      <c r="VP54" s="16"/>
      <c r="VQ54" s="16"/>
      <c r="VR54" s="16"/>
      <c r="VS54" s="16"/>
      <c r="VT54" s="16"/>
      <c r="VU54" s="16"/>
      <c r="VV54" s="16"/>
      <c r="VW54" s="16"/>
      <c r="VX54" s="16"/>
      <c r="VY54" s="16"/>
      <c r="VZ54" s="16"/>
      <c r="WA54" s="16"/>
      <c r="WB54" s="16"/>
      <c r="WC54" s="16"/>
      <c r="WD54" s="16"/>
      <c r="WE54" s="16"/>
      <c r="WF54" s="16"/>
      <c r="WG54" s="16"/>
      <c r="WH54" s="16"/>
      <c r="WI54" s="16"/>
      <c r="WJ54" s="16"/>
      <c r="WK54" s="16"/>
      <c r="WL54" s="16"/>
      <c r="WM54" s="16"/>
      <c r="WN54" s="16"/>
      <c r="WO54" s="16"/>
      <c r="WP54" s="16"/>
      <c r="WQ54" s="16"/>
      <c r="WR54" s="16"/>
      <c r="WS54" s="16"/>
      <c r="WT54" s="16"/>
      <c r="WU54" s="16"/>
      <c r="WV54" s="16"/>
      <c r="WW54" s="16"/>
      <c r="WX54" s="16"/>
      <c r="WY54" s="16"/>
      <c r="WZ54" s="16"/>
      <c r="XA54" s="16"/>
      <c r="XB54" s="16"/>
      <c r="XC54" s="16"/>
      <c r="XD54" s="16"/>
      <c r="XE54" s="16"/>
      <c r="XF54" s="16"/>
      <c r="XG54" s="16"/>
      <c r="XH54" s="16"/>
      <c r="XI54" s="16"/>
      <c r="XJ54" s="16"/>
      <c r="XK54" s="16"/>
      <c r="XL54" s="16"/>
      <c r="XM54" s="16"/>
      <c r="XN54" s="16"/>
      <c r="XO54" s="16"/>
      <c r="XP54" s="16"/>
      <c r="XQ54" s="16"/>
      <c r="XR54" s="16"/>
      <c r="XS54" s="16"/>
      <c r="XT54" s="16"/>
      <c r="XU54" s="16"/>
      <c r="XV54" s="16"/>
      <c r="XW54" s="16"/>
      <c r="XX54" s="16"/>
      <c r="XY54" s="16"/>
      <c r="XZ54" s="16"/>
      <c r="YA54" s="16"/>
      <c r="YB54" s="16"/>
      <c r="YC54" s="16"/>
      <c r="YD54" s="16"/>
      <c r="YE54" s="16"/>
      <c r="YF54" s="16"/>
      <c r="YG54" s="16"/>
      <c r="YH54" s="16"/>
      <c r="YI54" s="16"/>
      <c r="YJ54" s="16"/>
      <c r="YK54" s="16"/>
      <c r="YL54" s="16"/>
      <c r="YM54" s="16"/>
      <c r="YN54" s="16"/>
      <c r="YO54" s="16"/>
      <c r="YP54" s="16"/>
      <c r="YQ54" s="16"/>
      <c r="YR54" s="16"/>
      <c r="YS54" s="16"/>
      <c r="YT54" s="16"/>
      <c r="YU54" s="16"/>
      <c r="YV54" s="16"/>
      <c r="YW54" s="16"/>
      <c r="YX54" s="16"/>
      <c r="YY54" s="16"/>
      <c r="YZ54" s="16"/>
      <c r="ZA54" s="16"/>
      <c r="ZB54" s="16"/>
      <c r="ZC54" s="16"/>
      <c r="ZD54" s="16"/>
      <c r="ZE54" s="16"/>
      <c r="ZF54" s="16"/>
      <c r="ZG54" s="16"/>
      <c r="ZH54" s="16"/>
      <c r="ZI54" s="16"/>
      <c r="ZJ54" s="16"/>
      <c r="ZK54" s="16"/>
      <c r="ZL54" s="16"/>
      <c r="ZM54" s="16"/>
      <c r="ZN54" s="16"/>
      <c r="ZO54" s="16"/>
      <c r="ZP54" s="16"/>
      <c r="ZQ54" s="16"/>
      <c r="ZR54" s="16"/>
      <c r="ZS54" s="16"/>
      <c r="ZT54" s="16"/>
      <c r="ZU54" s="16"/>
      <c r="ZV54" s="16"/>
      <c r="ZW54" s="16"/>
      <c r="ZX54" s="16"/>
      <c r="ZY54" s="16"/>
      <c r="ZZ54" s="16"/>
      <c r="AAA54" s="16"/>
      <c r="AAB54" s="16"/>
      <c r="AAC54" s="16"/>
      <c r="AAD54" s="16"/>
      <c r="AAE54" s="16"/>
      <c r="AAF54" s="16"/>
      <c r="AAG54" s="16"/>
      <c r="AAH54" s="16"/>
      <c r="AAI54" s="16"/>
      <c r="AAJ54" s="16"/>
      <c r="AAK54" s="16"/>
      <c r="AAL54" s="16"/>
      <c r="AAM54" s="16"/>
      <c r="AAN54" s="16"/>
      <c r="AAO54" s="16"/>
      <c r="AAP54" s="16"/>
      <c r="AAQ54" s="16"/>
      <c r="AAR54" s="16"/>
      <c r="AAS54" s="16"/>
      <c r="AAT54" s="16"/>
      <c r="AAU54" s="16"/>
      <c r="AAV54" s="16"/>
      <c r="AAW54" s="16"/>
      <c r="AAX54" s="16"/>
      <c r="AAY54" s="16"/>
      <c r="AAZ54" s="16"/>
      <c r="ABA54" s="16"/>
      <c r="ABB54" s="16"/>
      <c r="ABC54" s="16"/>
      <c r="ABD54" s="16"/>
      <c r="ABE54" s="16"/>
      <c r="ABF54" s="16"/>
      <c r="ABG54" s="16"/>
      <c r="ABH54" s="16"/>
      <c r="ABI54" s="16"/>
      <c r="ABJ54" s="16"/>
      <c r="ABK54" s="16"/>
      <c r="ABL54" s="16"/>
      <c r="ABM54" s="16"/>
      <c r="ABN54" s="16"/>
      <c r="ABO54" s="16"/>
      <c r="ABP54" s="16"/>
      <c r="ABQ54" s="16"/>
      <c r="ABR54" s="16"/>
      <c r="ABS54" s="16"/>
      <c r="ABT54" s="16"/>
      <c r="ABU54" s="16"/>
      <c r="ABV54" s="16"/>
      <c r="ABW54" s="16"/>
      <c r="ABX54" s="16"/>
      <c r="ABY54" s="16"/>
      <c r="ABZ54" s="16"/>
      <c r="ACA54" s="16"/>
      <c r="ACB54" s="16"/>
      <c r="ACC54" s="16"/>
      <c r="ACD54" s="16"/>
      <c r="ACE54" s="16"/>
      <c r="ACF54" s="16"/>
      <c r="ACG54" s="16"/>
      <c r="ACH54" s="16"/>
      <c r="ACI54" s="16"/>
      <c r="ACJ54" s="16"/>
      <c r="ACK54" s="16"/>
      <c r="ACL54" s="16"/>
      <c r="ACM54" s="16"/>
      <c r="ACN54" s="16"/>
      <c r="ACO54" s="16"/>
      <c r="ACP54" s="16"/>
      <c r="ACQ54" s="16"/>
      <c r="ACR54" s="16"/>
      <c r="ACS54" s="16"/>
      <c r="ACT54" s="16"/>
      <c r="ACU54" s="16"/>
      <c r="ACV54" s="16"/>
      <c r="ACW54" s="16"/>
      <c r="ACX54" s="16"/>
      <c r="ACY54" s="16"/>
      <c r="ACZ54" s="16"/>
      <c r="ADA54" s="16"/>
      <c r="ADB54" s="16"/>
      <c r="ADC54" s="16"/>
      <c r="ADD54" s="16"/>
      <c r="ADE54" s="16"/>
      <c r="ADF54" s="16"/>
      <c r="ADG54" s="16"/>
      <c r="ADH54" s="16"/>
      <c r="ADI54" s="16"/>
      <c r="ADJ54" s="16"/>
      <c r="ADK54" s="16"/>
      <c r="ADL54" s="16"/>
      <c r="ADM54" s="16"/>
      <c r="ADN54" s="16"/>
      <c r="ADO54" s="16"/>
      <c r="ADP54" s="16"/>
      <c r="ADQ54" s="16"/>
      <c r="ADR54" s="16"/>
      <c r="ADS54" s="16"/>
      <c r="ADT54" s="16"/>
      <c r="ADU54" s="16"/>
      <c r="ADV54" s="16"/>
      <c r="ADW54" s="16"/>
      <c r="ADX54" s="16"/>
      <c r="ADY54" s="16"/>
      <c r="ADZ54" s="16"/>
      <c r="AEA54" s="16"/>
      <c r="AEB54" s="16"/>
      <c r="AEC54" s="16"/>
      <c r="AED54" s="16"/>
      <c r="AEE54" s="16"/>
      <c r="AEF54" s="16"/>
      <c r="AEG54" s="16"/>
      <c r="AEH54" s="16"/>
      <c r="AEI54" s="16"/>
      <c r="AEJ54" s="16"/>
      <c r="AEK54" s="16"/>
      <c r="AEL54" s="16"/>
      <c r="AEM54" s="16"/>
      <c r="AEN54" s="16"/>
      <c r="AEO54" s="16"/>
      <c r="AEP54" s="16"/>
      <c r="AEQ54" s="16"/>
      <c r="AER54" s="16"/>
      <c r="AES54" s="16"/>
      <c r="AET54" s="16"/>
      <c r="AEU54" s="16"/>
      <c r="AEV54" s="16"/>
      <c r="AEW54" s="16"/>
      <c r="AEX54" s="16"/>
      <c r="AEY54" s="16"/>
      <c r="AEZ54" s="16"/>
      <c r="AFA54" s="16"/>
      <c r="AFB54" s="16"/>
      <c r="AFC54" s="16"/>
      <c r="AFD54" s="16"/>
      <c r="AFE54" s="16"/>
      <c r="AFF54" s="16"/>
      <c r="AFG54" s="16"/>
      <c r="AFH54" s="16"/>
      <c r="AFI54" s="16"/>
      <c r="AFJ54" s="16"/>
      <c r="AFK54" s="16"/>
      <c r="AFL54" s="16"/>
      <c r="AFM54" s="16"/>
      <c r="AFN54" s="16"/>
      <c r="AFO54" s="16"/>
      <c r="AFP54" s="16"/>
      <c r="AFQ54" s="16"/>
      <c r="AFR54" s="16"/>
      <c r="AFS54" s="16"/>
      <c r="AFT54" s="16"/>
      <c r="AFU54" s="16"/>
      <c r="AFV54" s="16"/>
      <c r="AFW54" s="16"/>
      <c r="AFX54" s="16"/>
      <c r="AFY54" s="16"/>
      <c r="AFZ54" s="16"/>
      <c r="AGA54" s="16"/>
      <c r="AGB54" s="16"/>
      <c r="AGC54" s="16"/>
      <c r="AGD54" s="16"/>
      <c r="AGE54" s="16"/>
      <c r="AGF54" s="16"/>
      <c r="AGG54" s="16"/>
      <c r="AGH54" s="16"/>
      <c r="AGI54" s="16"/>
      <c r="AGJ54" s="16"/>
      <c r="AGK54" s="16"/>
      <c r="AGL54" s="16"/>
      <c r="AGM54" s="16"/>
      <c r="AGN54" s="16"/>
      <c r="AGO54" s="16"/>
      <c r="AGP54" s="16"/>
      <c r="AGQ54" s="16"/>
      <c r="AGR54" s="16"/>
      <c r="AGS54" s="16"/>
      <c r="AGT54" s="16"/>
      <c r="AGU54" s="16"/>
      <c r="AGV54" s="16"/>
      <c r="AGW54" s="16"/>
      <c r="AGX54" s="16"/>
      <c r="AGY54" s="16"/>
      <c r="AGZ54" s="16"/>
      <c r="AHA54" s="16"/>
      <c r="AHB54" s="16"/>
      <c r="AHC54" s="16"/>
      <c r="AHD54" s="16"/>
      <c r="AHE54" s="16"/>
      <c r="AHF54" s="16"/>
      <c r="AHG54" s="16"/>
      <c r="AHH54" s="16"/>
      <c r="AHI54" s="16"/>
      <c r="AHJ54" s="16"/>
      <c r="AHK54" s="16"/>
      <c r="AHL54" s="16"/>
      <c r="AHM54" s="16"/>
      <c r="AHN54" s="16"/>
      <c r="AHO54" s="16"/>
      <c r="AHP54" s="16"/>
      <c r="AHQ54" s="16"/>
      <c r="AHR54" s="16"/>
      <c r="AHS54" s="16"/>
      <c r="AHT54" s="16"/>
      <c r="AHU54" s="16"/>
      <c r="AHV54" s="16"/>
      <c r="AHW54" s="16"/>
      <c r="AHX54" s="16"/>
      <c r="AHY54" s="16"/>
      <c r="AHZ54" s="16"/>
      <c r="AIA54" s="16"/>
      <c r="AIB54" s="16"/>
      <c r="AIC54" s="16"/>
      <c r="AID54" s="16"/>
      <c r="AIE54" s="16"/>
      <c r="AIF54" s="16"/>
      <c r="AIG54" s="16"/>
      <c r="AIH54" s="16"/>
      <c r="AII54" s="16"/>
      <c r="AIJ54" s="16"/>
      <c r="AIK54" s="16"/>
      <c r="AIL54" s="16"/>
      <c r="AIM54" s="16"/>
      <c r="AIN54" s="16"/>
      <c r="AIO54" s="16"/>
      <c r="AIP54" s="16"/>
      <c r="AIQ54" s="16"/>
      <c r="AIR54" s="16"/>
      <c r="AIS54" s="16"/>
      <c r="AIT54" s="16"/>
      <c r="AIU54" s="16"/>
      <c r="AIV54" s="16"/>
      <c r="AIW54" s="16"/>
      <c r="AIX54" s="16"/>
      <c r="AIY54" s="16"/>
      <c r="AIZ54" s="16"/>
      <c r="AJA54" s="16"/>
      <c r="AJB54" s="16"/>
      <c r="AJC54" s="16"/>
      <c r="AJD54" s="16"/>
      <c r="AJE54" s="16"/>
      <c r="AJF54" s="16"/>
      <c r="AJG54" s="16"/>
      <c r="AJH54" s="16"/>
      <c r="AJI54" s="16"/>
      <c r="AJJ54" s="16"/>
      <c r="AJK54" s="16"/>
      <c r="AJL54" s="16"/>
      <c r="AJM54" s="16"/>
      <c r="AJN54" s="16"/>
      <c r="AJO54" s="16"/>
      <c r="AJP54" s="16"/>
      <c r="AJQ54" s="16"/>
      <c r="AJR54" s="16"/>
      <c r="AJS54" s="16"/>
      <c r="AJT54" s="16"/>
      <c r="AJU54" s="16"/>
      <c r="AJV54" s="16"/>
      <c r="AJW54" s="16"/>
      <c r="AJX54" s="16"/>
      <c r="AJY54" s="16"/>
      <c r="AJZ54" s="16"/>
      <c r="AKA54" s="16"/>
      <c r="AKB54" s="16"/>
      <c r="AKC54" s="16"/>
      <c r="AKD54" s="16"/>
      <c r="AKE54" s="16"/>
      <c r="AKF54" s="16"/>
      <c r="AKG54" s="16"/>
      <c r="AKH54" s="16"/>
      <c r="AKI54" s="16"/>
      <c r="AKJ54" s="16"/>
      <c r="AKK54" s="16"/>
      <c r="AKL54" s="16"/>
      <c r="AKM54" s="16"/>
      <c r="AKN54" s="16"/>
      <c r="AKO54" s="16"/>
      <c r="AKP54" s="16"/>
      <c r="AKQ54" s="16"/>
      <c r="AKR54" s="16"/>
      <c r="AKS54" s="16"/>
      <c r="AKT54" s="16"/>
      <c r="AKU54" s="16"/>
      <c r="AKV54" s="16"/>
      <c r="AKW54" s="16"/>
      <c r="AKX54" s="16"/>
      <c r="AKY54" s="16"/>
      <c r="AKZ54" s="16"/>
      <c r="ALA54" s="16"/>
      <c r="ALB54" s="16"/>
      <c r="ALC54" s="16"/>
      <c r="ALD54" s="16"/>
      <c r="ALE54" s="16"/>
      <c r="ALF54" s="16"/>
      <c r="ALG54" s="16"/>
      <c r="ALH54" s="16"/>
      <c r="ALI54" s="16"/>
      <c r="ALJ54" s="16"/>
      <c r="ALK54" s="16"/>
      <c r="ALL54" s="16"/>
      <c r="ALM54" s="16"/>
      <c r="ALN54" s="16"/>
      <c r="ALO54" s="16"/>
      <c r="ALP54" s="16"/>
      <c r="ALQ54" s="16"/>
      <c r="ALR54" s="16"/>
      <c r="ALS54" s="16"/>
      <c r="ALT54" s="16"/>
    </row>
    <row r="55" spans="1:1008" s="27" customFormat="1" x14ac:dyDescent="0.25">
      <c r="A55" s="81">
        <v>43861</v>
      </c>
      <c r="B55" s="33" t="s">
        <v>74</v>
      </c>
      <c r="C55" s="56">
        <v>21050</v>
      </c>
      <c r="D55" s="68">
        <v>0</v>
      </c>
      <c r="E55" s="68">
        <v>1.9000000000014552</v>
      </c>
      <c r="F55" s="56"/>
      <c r="G55" s="68">
        <v>355.27588999999995</v>
      </c>
      <c r="H55" s="68">
        <v>82.622299999999996</v>
      </c>
      <c r="I55" s="68">
        <v>16086.561809999999</v>
      </c>
      <c r="J55" s="56">
        <v>1830</v>
      </c>
      <c r="K55" s="56"/>
      <c r="L55" s="56"/>
      <c r="M55" s="56">
        <v>236.16</v>
      </c>
      <c r="N55" s="65" t="s">
        <v>77</v>
      </c>
      <c r="O55" s="65">
        <v>535</v>
      </c>
      <c r="P55" s="68">
        <v>2009.6787999999999</v>
      </c>
      <c r="Q55" s="68">
        <v>354.64920000000001</v>
      </c>
      <c r="R55" s="68">
        <v>591.08199999999999</v>
      </c>
      <c r="S55" s="68">
        <v>33230.63392857142</v>
      </c>
      <c r="T55" s="68">
        <v>31164.47392857142</v>
      </c>
      <c r="U55" s="68">
        <v>3739.7368714285703</v>
      </c>
      <c r="V55" s="68">
        <v>34904.210799999993</v>
      </c>
      <c r="W55" s="68"/>
      <c r="X55" s="67"/>
      <c r="Y55" s="67"/>
      <c r="Z55" s="95">
        <v>0</v>
      </c>
      <c r="AA55" s="67"/>
      <c r="AB55" s="67"/>
      <c r="AC55" s="67"/>
      <c r="AD55" s="67"/>
      <c r="AE55" s="67"/>
      <c r="AF55" s="67"/>
      <c r="AG55" s="67"/>
      <c r="AH55" s="67"/>
      <c r="AI55" s="68">
        <v>0</v>
      </c>
      <c r="AJ55" s="65"/>
      <c r="AK55" s="65"/>
      <c r="AL55" s="68">
        <v>0</v>
      </c>
      <c r="AM55" s="68">
        <v>0</v>
      </c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8">
        <v>0</v>
      </c>
      <c r="BB55" s="16"/>
      <c r="BC55" s="82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  <c r="JA55" s="16"/>
      <c r="JB55" s="16"/>
      <c r="JC55" s="16"/>
      <c r="JD55" s="16"/>
      <c r="JE55" s="16"/>
      <c r="JF55" s="16"/>
      <c r="JG55" s="16"/>
      <c r="JH55" s="16"/>
      <c r="JI55" s="16"/>
      <c r="JJ55" s="16"/>
      <c r="JK55" s="16"/>
      <c r="JL55" s="16"/>
      <c r="JM55" s="16"/>
      <c r="JN55" s="16"/>
      <c r="JO55" s="16"/>
      <c r="JP55" s="16"/>
      <c r="JQ55" s="16"/>
      <c r="JR55" s="16"/>
      <c r="JS55" s="16"/>
      <c r="JT55" s="16"/>
      <c r="JU55" s="16"/>
      <c r="JV55" s="16"/>
      <c r="JW55" s="16"/>
      <c r="JX55" s="16"/>
      <c r="JY55" s="16"/>
      <c r="JZ55" s="16"/>
      <c r="KA55" s="16"/>
      <c r="KB55" s="16"/>
      <c r="KC55" s="16"/>
      <c r="KD55" s="16"/>
      <c r="KE55" s="16"/>
      <c r="KF55" s="16"/>
      <c r="KG55" s="16"/>
      <c r="KH55" s="16"/>
      <c r="KI55" s="16"/>
      <c r="KJ55" s="16"/>
      <c r="KK55" s="16"/>
      <c r="KL55" s="16"/>
      <c r="KM55" s="16"/>
      <c r="KN55" s="16"/>
      <c r="KO55" s="16"/>
      <c r="KP55" s="16"/>
      <c r="KQ55" s="16"/>
      <c r="KR55" s="16"/>
      <c r="KS55" s="16"/>
      <c r="KT55" s="16"/>
      <c r="KU55" s="16"/>
      <c r="KV55" s="16"/>
      <c r="KW55" s="16"/>
      <c r="KX55" s="16"/>
      <c r="KY55" s="16"/>
      <c r="KZ55" s="16"/>
      <c r="LA55" s="16"/>
      <c r="LB55" s="16"/>
      <c r="LC55" s="16"/>
      <c r="LD55" s="16"/>
      <c r="LE55" s="16"/>
      <c r="LF55" s="16"/>
      <c r="LG55" s="16"/>
      <c r="LH55" s="16"/>
      <c r="LI55" s="16"/>
      <c r="LJ55" s="16"/>
      <c r="LK55" s="16"/>
      <c r="LL55" s="16"/>
      <c r="LM55" s="16"/>
      <c r="LN55" s="16"/>
      <c r="LO55" s="16"/>
      <c r="LP55" s="16"/>
      <c r="LQ55" s="16"/>
      <c r="LR55" s="16"/>
      <c r="LS55" s="16"/>
      <c r="LT55" s="16"/>
      <c r="LU55" s="16"/>
      <c r="LV55" s="16"/>
      <c r="LW55" s="16"/>
      <c r="LX55" s="16"/>
      <c r="LY55" s="16"/>
      <c r="LZ55" s="16"/>
      <c r="MA55" s="16"/>
      <c r="MB55" s="16"/>
      <c r="MC55" s="16"/>
      <c r="MD55" s="16"/>
      <c r="ME55" s="16"/>
      <c r="MF55" s="16"/>
      <c r="MG55" s="16"/>
      <c r="MH55" s="16"/>
      <c r="MI55" s="16"/>
      <c r="MJ55" s="16"/>
      <c r="MK55" s="16"/>
      <c r="ML55" s="16"/>
      <c r="MM55" s="16"/>
      <c r="MN55" s="16"/>
      <c r="MO55" s="16"/>
      <c r="MP55" s="16"/>
      <c r="MQ55" s="16"/>
      <c r="MR55" s="16"/>
      <c r="MS55" s="16"/>
      <c r="MT55" s="16"/>
      <c r="MU55" s="16"/>
      <c r="MV55" s="16"/>
      <c r="MW55" s="16"/>
      <c r="MX55" s="16"/>
      <c r="MY55" s="16"/>
      <c r="MZ55" s="16"/>
      <c r="NA55" s="16"/>
      <c r="NB55" s="16"/>
      <c r="NC55" s="16"/>
      <c r="ND55" s="16"/>
      <c r="NE55" s="16"/>
      <c r="NF55" s="16"/>
      <c r="NG55" s="16"/>
      <c r="NH55" s="16"/>
      <c r="NI55" s="16"/>
      <c r="NJ55" s="16"/>
      <c r="NK55" s="16"/>
      <c r="NL55" s="16"/>
      <c r="NM55" s="16"/>
      <c r="NN55" s="16"/>
      <c r="NO55" s="16"/>
      <c r="NP55" s="16"/>
      <c r="NQ55" s="16"/>
      <c r="NR55" s="16"/>
      <c r="NS55" s="16"/>
      <c r="NT55" s="16"/>
      <c r="NU55" s="16"/>
      <c r="NV55" s="16"/>
      <c r="NW55" s="16"/>
      <c r="NX55" s="16"/>
      <c r="NY55" s="16"/>
      <c r="NZ55" s="16"/>
      <c r="OA55" s="16"/>
      <c r="OB55" s="16"/>
      <c r="OC55" s="16"/>
      <c r="OD55" s="16"/>
      <c r="OE55" s="16"/>
      <c r="OF55" s="16"/>
      <c r="OG55" s="16"/>
      <c r="OH55" s="16"/>
      <c r="OI55" s="16"/>
      <c r="OJ55" s="16"/>
      <c r="OK55" s="16"/>
      <c r="OL55" s="16"/>
      <c r="OM55" s="16"/>
      <c r="ON55" s="16"/>
      <c r="OO55" s="16"/>
      <c r="OP55" s="16"/>
      <c r="OQ55" s="16"/>
      <c r="OR55" s="16"/>
      <c r="OS55" s="16"/>
      <c r="OT55" s="16"/>
      <c r="OU55" s="16"/>
      <c r="OV55" s="16"/>
      <c r="OW55" s="16"/>
      <c r="OX55" s="16"/>
      <c r="OY55" s="16"/>
      <c r="OZ55" s="16"/>
      <c r="PA55" s="16"/>
      <c r="PB55" s="16"/>
      <c r="PC55" s="16"/>
      <c r="PD55" s="16"/>
      <c r="PE55" s="16"/>
      <c r="PF55" s="16"/>
      <c r="PG55" s="16"/>
      <c r="PH55" s="16"/>
      <c r="PI55" s="16"/>
      <c r="PJ55" s="16"/>
      <c r="PK55" s="16"/>
      <c r="PL55" s="16"/>
      <c r="PM55" s="16"/>
      <c r="PN55" s="16"/>
      <c r="PO55" s="16"/>
      <c r="PP55" s="16"/>
      <c r="PQ55" s="16"/>
      <c r="PR55" s="16"/>
      <c r="PS55" s="16"/>
      <c r="PT55" s="16"/>
      <c r="PU55" s="16"/>
      <c r="PV55" s="16"/>
      <c r="PW55" s="16"/>
      <c r="PX55" s="16"/>
      <c r="PY55" s="16"/>
      <c r="PZ55" s="16"/>
      <c r="QA55" s="16"/>
      <c r="QB55" s="16"/>
      <c r="QC55" s="16"/>
      <c r="QD55" s="16"/>
      <c r="QE55" s="16"/>
      <c r="QF55" s="16"/>
      <c r="QG55" s="16"/>
      <c r="QH55" s="16"/>
      <c r="QI55" s="16"/>
      <c r="QJ55" s="16"/>
      <c r="QK55" s="16"/>
      <c r="QL55" s="16"/>
      <c r="QM55" s="16"/>
      <c r="QN55" s="16"/>
      <c r="QO55" s="16"/>
      <c r="QP55" s="16"/>
      <c r="QQ55" s="16"/>
      <c r="QR55" s="16"/>
      <c r="QS55" s="16"/>
      <c r="QT55" s="16"/>
      <c r="QU55" s="16"/>
      <c r="QV55" s="16"/>
      <c r="QW55" s="16"/>
      <c r="QX55" s="16"/>
      <c r="QY55" s="16"/>
      <c r="QZ55" s="16"/>
      <c r="RA55" s="16"/>
      <c r="RB55" s="16"/>
      <c r="RC55" s="16"/>
      <c r="RD55" s="16"/>
      <c r="RE55" s="16"/>
      <c r="RF55" s="16"/>
      <c r="RG55" s="16"/>
      <c r="RH55" s="16"/>
      <c r="RI55" s="16"/>
      <c r="RJ55" s="16"/>
      <c r="RK55" s="16"/>
      <c r="RL55" s="16"/>
      <c r="RM55" s="16"/>
      <c r="RN55" s="16"/>
      <c r="RO55" s="16"/>
      <c r="RP55" s="16"/>
      <c r="RQ55" s="16"/>
      <c r="RR55" s="16"/>
      <c r="RS55" s="16"/>
      <c r="RT55" s="16"/>
      <c r="RU55" s="16"/>
      <c r="RV55" s="16"/>
      <c r="RW55" s="16"/>
      <c r="RX55" s="16"/>
      <c r="RY55" s="16"/>
      <c r="RZ55" s="16"/>
      <c r="SA55" s="16"/>
      <c r="SB55" s="16"/>
      <c r="SC55" s="16"/>
      <c r="SD55" s="16"/>
      <c r="SE55" s="16"/>
      <c r="SF55" s="16"/>
      <c r="SG55" s="16"/>
      <c r="SH55" s="16"/>
      <c r="SI55" s="16"/>
      <c r="SJ55" s="16"/>
      <c r="SK55" s="16"/>
      <c r="SL55" s="16"/>
      <c r="SM55" s="16"/>
      <c r="SN55" s="16"/>
      <c r="SO55" s="16"/>
      <c r="SP55" s="16"/>
      <c r="SQ55" s="16"/>
      <c r="SR55" s="16"/>
      <c r="SS55" s="16"/>
      <c r="ST55" s="16"/>
      <c r="SU55" s="16"/>
      <c r="SV55" s="16"/>
      <c r="SW55" s="16"/>
      <c r="SX55" s="16"/>
      <c r="SY55" s="16"/>
      <c r="SZ55" s="16"/>
      <c r="TA55" s="16"/>
      <c r="TB55" s="16"/>
      <c r="TC55" s="16"/>
      <c r="TD55" s="16"/>
      <c r="TE55" s="16"/>
      <c r="TF55" s="16"/>
      <c r="TG55" s="16"/>
      <c r="TH55" s="16"/>
      <c r="TI55" s="16"/>
      <c r="TJ55" s="16"/>
      <c r="TK55" s="16"/>
      <c r="TL55" s="16"/>
      <c r="TM55" s="16"/>
      <c r="TN55" s="16"/>
      <c r="TO55" s="16"/>
      <c r="TP55" s="16"/>
      <c r="TQ55" s="16"/>
      <c r="TR55" s="16"/>
      <c r="TS55" s="16"/>
      <c r="TT55" s="16"/>
      <c r="TU55" s="16"/>
      <c r="TV55" s="16"/>
      <c r="TW55" s="16"/>
      <c r="TX55" s="16"/>
      <c r="TY55" s="16"/>
      <c r="TZ55" s="16"/>
      <c r="UA55" s="16"/>
      <c r="UB55" s="16"/>
      <c r="UC55" s="16"/>
      <c r="UD55" s="16"/>
      <c r="UE55" s="16"/>
      <c r="UF55" s="16"/>
      <c r="UG55" s="16"/>
      <c r="UH55" s="16"/>
      <c r="UI55" s="16"/>
      <c r="UJ55" s="16"/>
      <c r="UK55" s="16"/>
      <c r="UL55" s="16"/>
      <c r="UM55" s="16"/>
      <c r="UN55" s="16"/>
      <c r="UO55" s="16"/>
      <c r="UP55" s="16"/>
      <c r="UQ55" s="16"/>
      <c r="UR55" s="16"/>
      <c r="US55" s="16"/>
      <c r="UT55" s="16"/>
      <c r="UU55" s="16"/>
      <c r="UV55" s="16"/>
      <c r="UW55" s="16"/>
      <c r="UX55" s="16"/>
      <c r="UY55" s="16"/>
      <c r="UZ55" s="16"/>
      <c r="VA55" s="16"/>
      <c r="VB55" s="16"/>
      <c r="VC55" s="16"/>
      <c r="VD55" s="16"/>
      <c r="VE55" s="16"/>
      <c r="VF55" s="16"/>
      <c r="VG55" s="16"/>
      <c r="VH55" s="16"/>
      <c r="VI55" s="16"/>
      <c r="VJ55" s="16"/>
      <c r="VK55" s="16"/>
      <c r="VL55" s="16"/>
      <c r="VM55" s="16"/>
      <c r="VN55" s="16"/>
      <c r="VO55" s="16"/>
      <c r="VP55" s="16"/>
      <c r="VQ55" s="16"/>
      <c r="VR55" s="16"/>
      <c r="VS55" s="16"/>
      <c r="VT55" s="16"/>
      <c r="VU55" s="16"/>
      <c r="VV55" s="16"/>
      <c r="VW55" s="16"/>
      <c r="VX55" s="16"/>
      <c r="VY55" s="16"/>
      <c r="VZ55" s="16"/>
      <c r="WA55" s="16"/>
      <c r="WB55" s="16"/>
      <c r="WC55" s="16"/>
      <c r="WD55" s="16"/>
      <c r="WE55" s="16"/>
      <c r="WF55" s="16"/>
      <c r="WG55" s="16"/>
      <c r="WH55" s="16"/>
      <c r="WI55" s="16"/>
      <c r="WJ55" s="16"/>
      <c r="WK55" s="16"/>
      <c r="WL55" s="16"/>
      <c r="WM55" s="16"/>
      <c r="WN55" s="16"/>
      <c r="WO55" s="16"/>
      <c r="WP55" s="16"/>
      <c r="WQ55" s="16"/>
      <c r="WR55" s="16"/>
      <c r="WS55" s="16"/>
      <c r="WT55" s="16"/>
      <c r="WU55" s="16"/>
      <c r="WV55" s="16"/>
      <c r="WW55" s="16"/>
      <c r="WX55" s="16"/>
      <c r="WY55" s="16"/>
      <c r="WZ55" s="16"/>
      <c r="XA55" s="16"/>
      <c r="XB55" s="16"/>
      <c r="XC55" s="16"/>
      <c r="XD55" s="16"/>
      <c r="XE55" s="16"/>
      <c r="XF55" s="16"/>
      <c r="XG55" s="16"/>
      <c r="XH55" s="16"/>
      <c r="XI55" s="16"/>
      <c r="XJ55" s="16"/>
      <c r="XK55" s="16"/>
      <c r="XL55" s="16"/>
      <c r="XM55" s="16"/>
      <c r="XN55" s="16"/>
      <c r="XO55" s="16"/>
      <c r="XP55" s="16"/>
      <c r="XQ55" s="16"/>
      <c r="XR55" s="16"/>
      <c r="XS55" s="16"/>
      <c r="XT55" s="16"/>
      <c r="XU55" s="16"/>
      <c r="XV55" s="16"/>
      <c r="XW55" s="16"/>
      <c r="XX55" s="16"/>
      <c r="XY55" s="16"/>
      <c r="XZ55" s="16"/>
      <c r="YA55" s="16"/>
      <c r="YB55" s="16"/>
      <c r="YC55" s="16"/>
      <c r="YD55" s="16"/>
      <c r="YE55" s="16"/>
      <c r="YF55" s="16"/>
      <c r="YG55" s="16"/>
      <c r="YH55" s="16"/>
      <c r="YI55" s="16"/>
      <c r="YJ55" s="16"/>
      <c r="YK55" s="16"/>
      <c r="YL55" s="16"/>
      <c r="YM55" s="16"/>
      <c r="YN55" s="16"/>
      <c r="YO55" s="16"/>
      <c r="YP55" s="16"/>
      <c r="YQ55" s="16"/>
      <c r="YR55" s="16"/>
      <c r="YS55" s="16"/>
      <c r="YT55" s="16"/>
      <c r="YU55" s="16"/>
      <c r="YV55" s="16"/>
      <c r="YW55" s="16"/>
      <c r="YX55" s="16"/>
      <c r="YY55" s="16"/>
      <c r="YZ55" s="16"/>
      <c r="ZA55" s="16"/>
      <c r="ZB55" s="16"/>
      <c r="ZC55" s="16"/>
      <c r="ZD55" s="16"/>
      <c r="ZE55" s="16"/>
      <c r="ZF55" s="16"/>
      <c r="ZG55" s="16"/>
      <c r="ZH55" s="16"/>
      <c r="ZI55" s="16"/>
      <c r="ZJ55" s="16"/>
      <c r="ZK55" s="16"/>
      <c r="ZL55" s="16"/>
      <c r="ZM55" s="16"/>
      <c r="ZN55" s="16"/>
      <c r="ZO55" s="16"/>
      <c r="ZP55" s="16"/>
      <c r="ZQ55" s="16"/>
      <c r="ZR55" s="16"/>
      <c r="ZS55" s="16"/>
      <c r="ZT55" s="16"/>
      <c r="ZU55" s="16"/>
      <c r="ZV55" s="16"/>
      <c r="ZW55" s="16"/>
      <c r="ZX55" s="16"/>
      <c r="ZY55" s="16"/>
      <c r="ZZ55" s="16"/>
      <c r="AAA55" s="16"/>
      <c r="AAB55" s="16"/>
      <c r="AAC55" s="16"/>
      <c r="AAD55" s="16"/>
      <c r="AAE55" s="16"/>
      <c r="AAF55" s="16"/>
      <c r="AAG55" s="16"/>
      <c r="AAH55" s="16"/>
      <c r="AAI55" s="16"/>
      <c r="AAJ55" s="16"/>
      <c r="AAK55" s="16"/>
      <c r="AAL55" s="16"/>
      <c r="AAM55" s="16"/>
      <c r="AAN55" s="16"/>
      <c r="AAO55" s="16"/>
      <c r="AAP55" s="16"/>
      <c r="AAQ55" s="16"/>
      <c r="AAR55" s="16"/>
      <c r="AAS55" s="16"/>
      <c r="AAT55" s="16"/>
      <c r="AAU55" s="16"/>
      <c r="AAV55" s="16"/>
      <c r="AAW55" s="16"/>
      <c r="AAX55" s="16"/>
      <c r="AAY55" s="16"/>
      <c r="AAZ55" s="16"/>
      <c r="ABA55" s="16"/>
      <c r="ABB55" s="16"/>
      <c r="ABC55" s="16"/>
      <c r="ABD55" s="16"/>
      <c r="ABE55" s="16"/>
      <c r="ABF55" s="16"/>
      <c r="ABG55" s="16"/>
      <c r="ABH55" s="16"/>
      <c r="ABI55" s="16"/>
      <c r="ABJ55" s="16"/>
      <c r="ABK55" s="16"/>
      <c r="ABL55" s="16"/>
      <c r="ABM55" s="16"/>
      <c r="ABN55" s="16"/>
      <c r="ABO55" s="16"/>
      <c r="ABP55" s="16"/>
      <c r="ABQ55" s="16"/>
      <c r="ABR55" s="16"/>
      <c r="ABS55" s="16"/>
      <c r="ABT55" s="16"/>
      <c r="ABU55" s="16"/>
      <c r="ABV55" s="16"/>
      <c r="ABW55" s="16"/>
      <c r="ABX55" s="16"/>
      <c r="ABY55" s="16"/>
      <c r="ABZ55" s="16"/>
      <c r="ACA55" s="16"/>
      <c r="ACB55" s="16"/>
      <c r="ACC55" s="16"/>
      <c r="ACD55" s="16"/>
      <c r="ACE55" s="16"/>
      <c r="ACF55" s="16"/>
      <c r="ACG55" s="16"/>
      <c r="ACH55" s="16"/>
      <c r="ACI55" s="16"/>
      <c r="ACJ55" s="16"/>
      <c r="ACK55" s="16"/>
      <c r="ACL55" s="16"/>
      <c r="ACM55" s="16"/>
      <c r="ACN55" s="16"/>
      <c r="ACO55" s="16"/>
      <c r="ACP55" s="16"/>
      <c r="ACQ55" s="16"/>
      <c r="ACR55" s="16"/>
      <c r="ACS55" s="16"/>
      <c r="ACT55" s="16"/>
      <c r="ACU55" s="16"/>
      <c r="ACV55" s="16"/>
      <c r="ACW55" s="16"/>
      <c r="ACX55" s="16"/>
      <c r="ACY55" s="16"/>
      <c r="ACZ55" s="16"/>
      <c r="ADA55" s="16"/>
      <c r="ADB55" s="16"/>
      <c r="ADC55" s="16"/>
      <c r="ADD55" s="16"/>
      <c r="ADE55" s="16"/>
      <c r="ADF55" s="16"/>
      <c r="ADG55" s="16"/>
      <c r="ADH55" s="16"/>
      <c r="ADI55" s="16"/>
      <c r="ADJ55" s="16"/>
      <c r="ADK55" s="16"/>
      <c r="ADL55" s="16"/>
      <c r="ADM55" s="16"/>
      <c r="ADN55" s="16"/>
      <c r="ADO55" s="16"/>
      <c r="ADP55" s="16"/>
      <c r="ADQ55" s="16"/>
      <c r="ADR55" s="16"/>
      <c r="ADS55" s="16"/>
      <c r="ADT55" s="16"/>
      <c r="ADU55" s="16"/>
      <c r="ADV55" s="16"/>
      <c r="ADW55" s="16"/>
      <c r="ADX55" s="16"/>
      <c r="ADY55" s="16"/>
      <c r="ADZ55" s="16"/>
      <c r="AEA55" s="16"/>
      <c r="AEB55" s="16"/>
      <c r="AEC55" s="16"/>
      <c r="AED55" s="16"/>
      <c r="AEE55" s="16"/>
      <c r="AEF55" s="16"/>
      <c r="AEG55" s="16"/>
      <c r="AEH55" s="16"/>
      <c r="AEI55" s="16"/>
      <c r="AEJ55" s="16"/>
      <c r="AEK55" s="16"/>
      <c r="AEL55" s="16"/>
      <c r="AEM55" s="16"/>
      <c r="AEN55" s="16"/>
      <c r="AEO55" s="16"/>
      <c r="AEP55" s="16"/>
      <c r="AEQ55" s="16"/>
      <c r="AER55" s="16"/>
      <c r="AES55" s="16"/>
      <c r="AET55" s="16"/>
      <c r="AEU55" s="16"/>
      <c r="AEV55" s="16"/>
      <c r="AEW55" s="16"/>
      <c r="AEX55" s="16"/>
      <c r="AEY55" s="16"/>
      <c r="AEZ55" s="16"/>
      <c r="AFA55" s="16"/>
      <c r="AFB55" s="16"/>
      <c r="AFC55" s="16"/>
      <c r="AFD55" s="16"/>
      <c r="AFE55" s="16"/>
      <c r="AFF55" s="16"/>
      <c r="AFG55" s="16"/>
      <c r="AFH55" s="16"/>
      <c r="AFI55" s="16"/>
      <c r="AFJ55" s="16"/>
      <c r="AFK55" s="16"/>
      <c r="AFL55" s="16"/>
      <c r="AFM55" s="16"/>
      <c r="AFN55" s="16"/>
      <c r="AFO55" s="16"/>
      <c r="AFP55" s="16"/>
      <c r="AFQ55" s="16"/>
      <c r="AFR55" s="16"/>
      <c r="AFS55" s="16"/>
      <c r="AFT55" s="16"/>
      <c r="AFU55" s="16"/>
      <c r="AFV55" s="16"/>
      <c r="AFW55" s="16"/>
      <c r="AFX55" s="16"/>
      <c r="AFY55" s="16"/>
      <c r="AFZ55" s="16"/>
      <c r="AGA55" s="16"/>
      <c r="AGB55" s="16"/>
      <c r="AGC55" s="16"/>
      <c r="AGD55" s="16"/>
      <c r="AGE55" s="16"/>
      <c r="AGF55" s="16"/>
      <c r="AGG55" s="16"/>
      <c r="AGH55" s="16"/>
      <c r="AGI55" s="16"/>
      <c r="AGJ55" s="16"/>
      <c r="AGK55" s="16"/>
      <c r="AGL55" s="16"/>
      <c r="AGM55" s="16"/>
      <c r="AGN55" s="16"/>
      <c r="AGO55" s="16"/>
      <c r="AGP55" s="16"/>
      <c r="AGQ55" s="16"/>
      <c r="AGR55" s="16"/>
      <c r="AGS55" s="16"/>
      <c r="AGT55" s="16"/>
      <c r="AGU55" s="16"/>
      <c r="AGV55" s="16"/>
      <c r="AGW55" s="16"/>
      <c r="AGX55" s="16"/>
      <c r="AGY55" s="16"/>
      <c r="AGZ55" s="16"/>
      <c r="AHA55" s="16"/>
      <c r="AHB55" s="16"/>
      <c r="AHC55" s="16"/>
      <c r="AHD55" s="16"/>
      <c r="AHE55" s="16"/>
      <c r="AHF55" s="16"/>
      <c r="AHG55" s="16"/>
      <c r="AHH55" s="16"/>
      <c r="AHI55" s="16"/>
      <c r="AHJ55" s="16"/>
      <c r="AHK55" s="16"/>
      <c r="AHL55" s="16"/>
      <c r="AHM55" s="16"/>
      <c r="AHN55" s="16"/>
      <c r="AHO55" s="16"/>
      <c r="AHP55" s="16"/>
      <c r="AHQ55" s="16"/>
      <c r="AHR55" s="16"/>
      <c r="AHS55" s="16"/>
      <c r="AHT55" s="16"/>
      <c r="AHU55" s="16"/>
      <c r="AHV55" s="16"/>
      <c r="AHW55" s="16"/>
      <c r="AHX55" s="16"/>
      <c r="AHY55" s="16"/>
      <c r="AHZ55" s="16"/>
      <c r="AIA55" s="16"/>
      <c r="AIB55" s="16"/>
      <c r="AIC55" s="16"/>
      <c r="AID55" s="16"/>
      <c r="AIE55" s="16"/>
      <c r="AIF55" s="16"/>
      <c r="AIG55" s="16"/>
      <c r="AIH55" s="16"/>
      <c r="AII55" s="16"/>
      <c r="AIJ55" s="16"/>
      <c r="AIK55" s="16"/>
      <c r="AIL55" s="16"/>
      <c r="AIM55" s="16"/>
      <c r="AIN55" s="16"/>
      <c r="AIO55" s="16"/>
      <c r="AIP55" s="16"/>
      <c r="AIQ55" s="16"/>
      <c r="AIR55" s="16"/>
      <c r="AIS55" s="16"/>
      <c r="AIT55" s="16"/>
      <c r="AIU55" s="16"/>
      <c r="AIV55" s="16"/>
      <c r="AIW55" s="16"/>
      <c r="AIX55" s="16"/>
      <c r="AIY55" s="16"/>
      <c r="AIZ55" s="16"/>
      <c r="AJA55" s="16"/>
      <c r="AJB55" s="16"/>
      <c r="AJC55" s="16"/>
      <c r="AJD55" s="16"/>
      <c r="AJE55" s="16"/>
      <c r="AJF55" s="16"/>
      <c r="AJG55" s="16"/>
      <c r="AJH55" s="16"/>
      <c r="AJI55" s="16"/>
      <c r="AJJ55" s="16"/>
      <c r="AJK55" s="16"/>
      <c r="AJL55" s="16"/>
      <c r="AJM55" s="16"/>
      <c r="AJN55" s="16"/>
      <c r="AJO55" s="16"/>
      <c r="AJP55" s="16"/>
      <c r="AJQ55" s="16"/>
      <c r="AJR55" s="16"/>
      <c r="AJS55" s="16"/>
      <c r="AJT55" s="16"/>
      <c r="AJU55" s="16"/>
      <c r="AJV55" s="16"/>
      <c r="AJW55" s="16"/>
      <c r="AJX55" s="16"/>
      <c r="AJY55" s="16"/>
      <c r="AJZ55" s="16"/>
      <c r="AKA55" s="16"/>
      <c r="AKB55" s="16"/>
      <c r="AKC55" s="16"/>
      <c r="AKD55" s="16"/>
      <c r="AKE55" s="16"/>
      <c r="AKF55" s="16"/>
      <c r="AKG55" s="16"/>
      <c r="AKH55" s="16"/>
      <c r="AKI55" s="16"/>
      <c r="AKJ55" s="16"/>
      <c r="AKK55" s="16"/>
      <c r="AKL55" s="16"/>
      <c r="AKM55" s="16"/>
      <c r="AKN55" s="16"/>
      <c r="AKO55" s="16"/>
      <c r="AKP55" s="16"/>
      <c r="AKQ55" s="16"/>
      <c r="AKR55" s="16"/>
      <c r="AKS55" s="16"/>
      <c r="AKT55" s="16"/>
      <c r="AKU55" s="16"/>
      <c r="AKV55" s="16"/>
      <c r="AKW55" s="16"/>
      <c r="AKX55" s="16"/>
      <c r="AKY55" s="16"/>
      <c r="AKZ55" s="16"/>
      <c r="ALA55" s="16"/>
      <c r="ALB55" s="16"/>
      <c r="ALC55" s="16"/>
      <c r="ALD55" s="16"/>
      <c r="ALE55" s="16"/>
      <c r="ALF55" s="16"/>
      <c r="ALG55" s="16"/>
      <c r="ALH55" s="16"/>
      <c r="ALI55" s="16"/>
      <c r="ALJ55" s="16"/>
      <c r="ALK55" s="16"/>
      <c r="ALL55" s="16"/>
      <c r="ALM55" s="16"/>
      <c r="ALN55" s="16"/>
      <c r="ALO55" s="16"/>
      <c r="ALP55" s="16"/>
      <c r="ALQ55" s="16"/>
      <c r="ALR55" s="16"/>
      <c r="ALS55" s="16"/>
      <c r="ALT55" s="16"/>
    </row>
    <row r="56" spans="1:1008" s="27" customFormat="1" ht="15.75" thickBot="1" x14ac:dyDescent="0.3">
      <c r="A56" s="81"/>
      <c r="B56" s="33" t="s">
        <v>76</v>
      </c>
      <c r="C56" s="56">
        <v>16978</v>
      </c>
      <c r="D56" s="68">
        <v>0</v>
      </c>
      <c r="E56" s="68">
        <v>1.1899999999986903</v>
      </c>
      <c r="F56" s="56">
        <v>600</v>
      </c>
      <c r="G56" s="68">
        <v>364.03907499999997</v>
      </c>
      <c r="H56" s="68">
        <v>84.660250000000005</v>
      </c>
      <c r="I56" s="68">
        <v>16483.350674999998</v>
      </c>
      <c r="J56" s="56">
        <v>1019</v>
      </c>
      <c r="K56" s="56"/>
      <c r="L56" s="56"/>
      <c r="M56" s="56">
        <v>456.03</v>
      </c>
      <c r="N56" s="65" t="s">
        <v>77</v>
      </c>
      <c r="O56" s="65">
        <v>2635</v>
      </c>
      <c r="P56" s="68">
        <v>1793.5068000000001</v>
      </c>
      <c r="Q56" s="68">
        <v>316.50120000000004</v>
      </c>
      <c r="R56" s="68">
        <v>527.50200000000007</v>
      </c>
      <c r="S56" s="68">
        <v>32112.839285714279</v>
      </c>
      <c r="T56" s="68">
        <v>30637.80928571428</v>
      </c>
      <c r="U56" s="68">
        <v>3676.5371142857134</v>
      </c>
      <c r="V56" s="68">
        <v>34314.346399999995</v>
      </c>
      <c r="W56" s="68"/>
      <c r="X56" s="67"/>
      <c r="Y56" s="67"/>
      <c r="Z56" s="96"/>
      <c r="AA56" s="67"/>
      <c r="AB56" s="67"/>
      <c r="AC56" s="67"/>
      <c r="AD56" s="67"/>
      <c r="AE56" s="67"/>
      <c r="AF56" s="67"/>
      <c r="AG56" s="67"/>
      <c r="AH56" s="67"/>
      <c r="AI56" s="68">
        <v>0</v>
      </c>
      <c r="AJ56" s="65"/>
      <c r="AK56" s="65"/>
      <c r="AL56" s="68"/>
      <c r="AM56" s="68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8">
        <v>0</v>
      </c>
      <c r="BB56" s="16"/>
      <c r="BC56" s="82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  <c r="JA56" s="16"/>
      <c r="JB56" s="16"/>
      <c r="JC56" s="16"/>
      <c r="JD56" s="16"/>
      <c r="JE56" s="16"/>
      <c r="JF56" s="16"/>
      <c r="JG56" s="16"/>
      <c r="JH56" s="16"/>
      <c r="JI56" s="16"/>
      <c r="JJ56" s="16"/>
      <c r="JK56" s="16"/>
      <c r="JL56" s="16"/>
      <c r="JM56" s="16"/>
      <c r="JN56" s="16"/>
      <c r="JO56" s="16"/>
      <c r="JP56" s="16"/>
      <c r="JQ56" s="16"/>
      <c r="JR56" s="16"/>
      <c r="JS56" s="16"/>
      <c r="JT56" s="16"/>
      <c r="JU56" s="16"/>
      <c r="JV56" s="16"/>
      <c r="JW56" s="16"/>
      <c r="JX56" s="16"/>
      <c r="JY56" s="16"/>
      <c r="JZ56" s="16"/>
      <c r="KA56" s="16"/>
      <c r="KB56" s="16"/>
      <c r="KC56" s="16"/>
      <c r="KD56" s="16"/>
      <c r="KE56" s="16"/>
      <c r="KF56" s="16"/>
      <c r="KG56" s="16"/>
      <c r="KH56" s="16"/>
      <c r="KI56" s="16"/>
      <c r="KJ56" s="16"/>
      <c r="KK56" s="16"/>
      <c r="KL56" s="16"/>
      <c r="KM56" s="16"/>
      <c r="KN56" s="16"/>
      <c r="KO56" s="16"/>
      <c r="KP56" s="16"/>
      <c r="KQ56" s="16"/>
      <c r="KR56" s="16"/>
      <c r="KS56" s="16"/>
      <c r="KT56" s="16"/>
      <c r="KU56" s="16"/>
      <c r="KV56" s="16"/>
      <c r="KW56" s="16"/>
      <c r="KX56" s="16"/>
      <c r="KY56" s="16"/>
      <c r="KZ56" s="16"/>
      <c r="LA56" s="16"/>
      <c r="LB56" s="16"/>
      <c r="LC56" s="16"/>
      <c r="LD56" s="16"/>
      <c r="LE56" s="16"/>
      <c r="LF56" s="16"/>
      <c r="LG56" s="16"/>
      <c r="LH56" s="16"/>
      <c r="LI56" s="16"/>
      <c r="LJ56" s="16"/>
      <c r="LK56" s="16"/>
      <c r="LL56" s="16"/>
      <c r="LM56" s="16"/>
      <c r="LN56" s="16"/>
      <c r="LO56" s="16"/>
      <c r="LP56" s="16"/>
      <c r="LQ56" s="16"/>
      <c r="LR56" s="16"/>
      <c r="LS56" s="16"/>
      <c r="LT56" s="16"/>
      <c r="LU56" s="16"/>
      <c r="LV56" s="16"/>
      <c r="LW56" s="16"/>
      <c r="LX56" s="16"/>
      <c r="LY56" s="16"/>
      <c r="LZ56" s="16"/>
      <c r="MA56" s="16"/>
      <c r="MB56" s="16"/>
      <c r="MC56" s="16"/>
      <c r="MD56" s="16"/>
      <c r="ME56" s="16"/>
      <c r="MF56" s="16"/>
      <c r="MG56" s="16"/>
      <c r="MH56" s="16"/>
      <c r="MI56" s="16"/>
      <c r="MJ56" s="16"/>
      <c r="MK56" s="16"/>
      <c r="ML56" s="16"/>
      <c r="MM56" s="16"/>
      <c r="MN56" s="16"/>
      <c r="MO56" s="16"/>
      <c r="MP56" s="16"/>
      <c r="MQ56" s="16"/>
      <c r="MR56" s="16"/>
      <c r="MS56" s="16"/>
      <c r="MT56" s="16"/>
      <c r="MU56" s="16"/>
      <c r="MV56" s="16"/>
      <c r="MW56" s="16"/>
      <c r="MX56" s="16"/>
      <c r="MY56" s="16"/>
      <c r="MZ56" s="16"/>
      <c r="NA56" s="16"/>
      <c r="NB56" s="16"/>
      <c r="NC56" s="16"/>
      <c r="ND56" s="16"/>
      <c r="NE56" s="16"/>
      <c r="NF56" s="16"/>
      <c r="NG56" s="16"/>
      <c r="NH56" s="16"/>
      <c r="NI56" s="16"/>
      <c r="NJ56" s="16"/>
      <c r="NK56" s="16"/>
      <c r="NL56" s="16"/>
      <c r="NM56" s="16"/>
      <c r="NN56" s="16"/>
      <c r="NO56" s="16"/>
      <c r="NP56" s="16"/>
      <c r="NQ56" s="16"/>
      <c r="NR56" s="16"/>
      <c r="NS56" s="16"/>
      <c r="NT56" s="16"/>
      <c r="NU56" s="16"/>
      <c r="NV56" s="16"/>
      <c r="NW56" s="16"/>
      <c r="NX56" s="16"/>
      <c r="NY56" s="16"/>
      <c r="NZ56" s="16"/>
      <c r="OA56" s="16"/>
      <c r="OB56" s="16"/>
      <c r="OC56" s="16"/>
      <c r="OD56" s="16"/>
      <c r="OE56" s="16"/>
      <c r="OF56" s="16"/>
      <c r="OG56" s="16"/>
      <c r="OH56" s="16"/>
      <c r="OI56" s="16"/>
      <c r="OJ56" s="16"/>
      <c r="OK56" s="16"/>
      <c r="OL56" s="16"/>
      <c r="OM56" s="16"/>
      <c r="ON56" s="16"/>
      <c r="OO56" s="16"/>
      <c r="OP56" s="16"/>
      <c r="OQ56" s="16"/>
      <c r="OR56" s="16"/>
      <c r="OS56" s="16"/>
      <c r="OT56" s="16"/>
      <c r="OU56" s="16"/>
      <c r="OV56" s="16"/>
      <c r="OW56" s="16"/>
      <c r="OX56" s="16"/>
      <c r="OY56" s="16"/>
      <c r="OZ56" s="16"/>
      <c r="PA56" s="16"/>
      <c r="PB56" s="16"/>
      <c r="PC56" s="16"/>
      <c r="PD56" s="16"/>
      <c r="PE56" s="16"/>
      <c r="PF56" s="16"/>
      <c r="PG56" s="16"/>
      <c r="PH56" s="16"/>
      <c r="PI56" s="16"/>
      <c r="PJ56" s="16"/>
      <c r="PK56" s="16"/>
      <c r="PL56" s="16"/>
      <c r="PM56" s="16"/>
      <c r="PN56" s="16"/>
      <c r="PO56" s="16"/>
      <c r="PP56" s="16"/>
      <c r="PQ56" s="16"/>
      <c r="PR56" s="16"/>
      <c r="PS56" s="16"/>
      <c r="PT56" s="16"/>
      <c r="PU56" s="16"/>
      <c r="PV56" s="16"/>
      <c r="PW56" s="16"/>
      <c r="PX56" s="16"/>
      <c r="PY56" s="16"/>
      <c r="PZ56" s="16"/>
      <c r="QA56" s="16"/>
      <c r="QB56" s="16"/>
      <c r="QC56" s="16"/>
      <c r="QD56" s="16"/>
      <c r="QE56" s="16"/>
      <c r="QF56" s="16"/>
      <c r="QG56" s="16"/>
      <c r="QH56" s="16"/>
      <c r="QI56" s="16"/>
      <c r="QJ56" s="16"/>
      <c r="QK56" s="16"/>
      <c r="QL56" s="16"/>
      <c r="QM56" s="16"/>
      <c r="QN56" s="16"/>
      <c r="QO56" s="16"/>
      <c r="QP56" s="16"/>
      <c r="QQ56" s="16"/>
      <c r="QR56" s="16"/>
      <c r="QS56" s="16"/>
      <c r="QT56" s="16"/>
      <c r="QU56" s="16"/>
      <c r="QV56" s="16"/>
      <c r="QW56" s="16"/>
      <c r="QX56" s="16"/>
      <c r="QY56" s="16"/>
      <c r="QZ56" s="16"/>
      <c r="RA56" s="16"/>
      <c r="RB56" s="16"/>
      <c r="RC56" s="16"/>
      <c r="RD56" s="16"/>
      <c r="RE56" s="16"/>
      <c r="RF56" s="16"/>
      <c r="RG56" s="16"/>
      <c r="RH56" s="16"/>
      <c r="RI56" s="16"/>
      <c r="RJ56" s="16"/>
      <c r="RK56" s="16"/>
      <c r="RL56" s="16"/>
      <c r="RM56" s="16"/>
      <c r="RN56" s="16"/>
      <c r="RO56" s="16"/>
      <c r="RP56" s="16"/>
      <c r="RQ56" s="16"/>
      <c r="RR56" s="16"/>
      <c r="RS56" s="16"/>
      <c r="RT56" s="16"/>
      <c r="RU56" s="16"/>
      <c r="RV56" s="16"/>
      <c r="RW56" s="16"/>
      <c r="RX56" s="16"/>
      <c r="RY56" s="16"/>
      <c r="RZ56" s="16"/>
      <c r="SA56" s="16"/>
      <c r="SB56" s="16"/>
      <c r="SC56" s="16"/>
      <c r="SD56" s="16"/>
      <c r="SE56" s="16"/>
      <c r="SF56" s="16"/>
      <c r="SG56" s="16"/>
      <c r="SH56" s="16"/>
      <c r="SI56" s="16"/>
      <c r="SJ56" s="16"/>
      <c r="SK56" s="16"/>
      <c r="SL56" s="16"/>
      <c r="SM56" s="16"/>
      <c r="SN56" s="16"/>
      <c r="SO56" s="16"/>
      <c r="SP56" s="16"/>
      <c r="SQ56" s="16"/>
      <c r="SR56" s="16"/>
      <c r="SS56" s="16"/>
      <c r="ST56" s="16"/>
      <c r="SU56" s="16"/>
      <c r="SV56" s="16"/>
      <c r="SW56" s="16"/>
      <c r="SX56" s="16"/>
      <c r="SY56" s="16"/>
      <c r="SZ56" s="16"/>
      <c r="TA56" s="16"/>
      <c r="TB56" s="16"/>
      <c r="TC56" s="16"/>
      <c r="TD56" s="16"/>
      <c r="TE56" s="16"/>
      <c r="TF56" s="16"/>
      <c r="TG56" s="16"/>
      <c r="TH56" s="16"/>
      <c r="TI56" s="16"/>
      <c r="TJ56" s="16"/>
      <c r="TK56" s="16"/>
      <c r="TL56" s="16"/>
      <c r="TM56" s="16"/>
      <c r="TN56" s="16"/>
      <c r="TO56" s="16"/>
      <c r="TP56" s="16"/>
      <c r="TQ56" s="16"/>
      <c r="TR56" s="16"/>
      <c r="TS56" s="16"/>
      <c r="TT56" s="16"/>
      <c r="TU56" s="16"/>
      <c r="TV56" s="16"/>
      <c r="TW56" s="16"/>
      <c r="TX56" s="16"/>
      <c r="TY56" s="16"/>
      <c r="TZ56" s="16"/>
      <c r="UA56" s="16"/>
      <c r="UB56" s="16"/>
      <c r="UC56" s="16"/>
      <c r="UD56" s="16"/>
      <c r="UE56" s="16"/>
      <c r="UF56" s="16"/>
      <c r="UG56" s="16"/>
      <c r="UH56" s="16"/>
      <c r="UI56" s="16"/>
      <c r="UJ56" s="16"/>
      <c r="UK56" s="16"/>
      <c r="UL56" s="16"/>
      <c r="UM56" s="16"/>
      <c r="UN56" s="16"/>
      <c r="UO56" s="16"/>
      <c r="UP56" s="16"/>
      <c r="UQ56" s="16"/>
      <c r="UR56" s="16"/>
      <c r="US56" s="16"/>
      <c r="UT56" s="16"/>
      <c r="UU56" s="16"/>
      <c r="UV56" s="16"/>
      <c r="UW56" s="16"/>
      <c r="UX56" s="16"/>
      <c r="UY56" s="16"/>
      <c r="UZ56" s="16"/>
      <c r="VA56" s="16"/>
      <c r="VB56" s="16"/>
      <c r="VC56" s="16"/>
      <c r="VD56" s="16"/>
      <c r="VE56" s="16"/>
      <c r="VF56" s="16"/>
      <c r="VG56" s="16"/>
      <c r="VH56" s="16"/>
      <c r="VI56" s="16"/>
      <c r="VJ56" s="16"/>
      <c r="VK56" s="16"/>
      <c r="VL56" s="16"/>
      <c r="VM56" s="16"/>
      <c r="VN56" s="16"/>
      <c r="VO56" s="16"/>
      <c r="VP56" s="16"/>
      <c r="VQ56" s="16"/>
      <c r="VR56" s="16"/>
      <c r="VS56" s="16"/>
      <c r="VT56" s="16"/>
      <c r="VU56" s="16"/>
      <c r="VV56" s="16"/>
      <c r="VW56" s="16"/>
      <c r="VX56" s="16"/>
      <c r="VY56" s="16"/>
      <c r="VZ56" s="16"/>
      <c r="WA56" s="16"/>
      <c r="WB56" s="16"/>
      <c r="WC56" s="16"/>
      <c r="WD56" s="16"/>
      <c r="WE56" s="16"/>
      <c r="WF56" s="16"/>
      <c r="WG56" s="16"/>
      <c r="WH56" s="16"/>
      <c r="WI56" s="16"/>
      <c r="WJ56" s="16"/>
      <c r="WK56" s="16"/>
      <c r="WL56" s="16"/>
      <c r="WM56" s="16"/>
      <c r="WN56" s="16"/>
      <c r="WO56" s="16"/>
      <c r="WP56" s="16"/>
      <c r="WQ56" s="16"/>
      <c r="WR56" s="16"/>
      <c r="WS56" s="16"/>
      <c r="WT56" s="16"/>
      <c r="WU56" s="16"/>
      <c r="WV56" s="16"/>
      <c r="WW56" s="16"/>
      <c r="WX56" s="16"/>
      <c r="WY56" s="16"/>
      <c r="WZ56" s="16"/>
      <c r="XA56" s="16"/>
      <c r="XB56" s="16"/>
      <c r="XC56" s="16"/>
      <c r="XD56" s="16"/>
      <c r="XE56" s="16"/>
      <c r="XF56" s="16"/>
      <c r="XG56" s="16"/>
      <c r="XH56" s="16"/>
      <c r="XI56" s="16"/>
      <c r="XJ56" s="16"/>
      <c r="XK56" s="16"/>
      <c r="XL56" s="16"/>
      <c r="XM56" s="16"/>
      <c r="XN56" s="16"/>
      <c r="XO56" s="16"/>
      <c r="XP56" s="16"/>
      <c r="XQ56" s="16"/>
      <c r="XR56" s="16"/>
      <c r="XS56" s="16"/>
      <c r="XT56" s="16"/>
      <c r="XU56" s="16"/>
      <c r="XV56" s="16"/>
      <c r="XW56" s="16"/>
      <c r="XX56" s="16"/>
      <c r="XY56" s="16"/>
      <c r="XZ56" s="16"/>
      <c r="YA56" s="16"/>
      <c r="YB56" s="16"/>
      <c r="YC56" s="16"/>
      <c r="YD56" s="16"/>
      <c r="YE56" s="16"/>
      <c r="YF56" s="16"/>
      <c r="YG56" s="16"/>
      <c r="YH56" s="16"/>
      <c r="YI56" s="16"/>
      <c r="YJ56" s="16"/>
      <c r="YK56" s="16"/>
      <c r="YL56" s="16"/>
      <c r="YM56" s="16"/>
      <c r="YN56" s="16"/>
      <c r="YO56" s="16"/>
      <c r="YP56" s="16"/>
      <c r="YQ56" s="16"/>
      <c r="YR56" s="16"/>
      <c r="YS56" s="16"/>
      <c r="YT56" s="16"/>
      <c r="YU56" s="16"/>
      <c r="YV56" s="16"/>
      <c r="YW56" s="16"/>
      <c r="YX56" s="16"/>
      <c r="YY56" s="16"/>
      <c r="YZ56" s="16"/>
      <c r="ZA56" s="16"/>
      <c r="ZB56" s="16"/>
      <c r="ZC56" s="16"/>
      <c r="ZD56" s="16"/>
      <c r="ZE56" s="16"/>
      <c r="ZF56" s="16"/>
      <c r="ZG56" s="16"/>
      <c r="ZH56" s="16"/>
      <c r="ZI56" s="16"/>
      <c r="ZJ56" s="16"/>
      <c r="ZK56" s="16"/>
      <c r="ZL56" s="16"/>
      <c r="ZM56" s="16"/>
      <c r="ZN56" s="16"/>
      <c r="ZO56" s="16"/>
      <c r="ZP56" s="16"/>
      <c r="ZQ56" s="16"/>
      <c r="ZR56" s="16"/>
      <c r="ZS56" s="16"/>
      <c r="ZT56" s="16"/>
      <c r="ZU56" s="16"/>
      <c r="ZV56" s="16"/>
      <c r="ZW56" s="16"/>
      <c r="ZX56" s="16"/>
      <c r="ZY56" s="16"/>
      <c r="ZZ56" s="16"/>
      <c r="AAA56" s="16"/>
      <c r="AAB56" s="16"/>
      <c r="AAC56" s="16"/>
      <c r="AAD56" s="16"/>
      <c r="AAE56" s="16"/>
      <c r="AAF56" s="16"/>
      <c r="AAG56" s="16"/>
      <c r="AAH56" s="16"/>
      <c r="AAI56" s="16"/>
      <c r="AAJ56" s="16"/>
      <c r="AAK56" s="16"/>
      <c r="AAL56" s="16"/>
      <c r="AAM56" s="16"/>
      <c r="AAN56" s="16"/>
      <c r="AAO56" s="16"/>
      <c r="AAP56" s="16"/>
      <c r="AAQ56" s="16"/>
      <c r="AAR56" s="16"/>
      <c r="AAS56" s="16"/>
      <c r="AAT56" s="16"/>
      <c r="AAU56" s="16"/>
      <c r="AAV56" s="16"/>
      <c r="AAW56" s="16"/>
      <c r="AAX56" s="16"/>
      <c r="AAY56" s="16"/>
      <c r="AAZ56" s="16"/>
      <c r="ABA56" s="16"/>
      <c r="ABB56" s="16"/>
      <c r="ABC56" s="16"/>
      <c r="ABD56" s="16"/>
      <c r="ABE56" s="16"/>
      <c r="ABF56" s="16"/>
      <c r="ABG56" s="16"/>
      <c r="ABH56" s="16"/>
      <c r="ABI56" s="16"/>
      <c r="ABJ56" s="16"/>
      <c r="ABK56" s="16"/>
      <c r="ABL56" s="16"/>
      <c r="ABM56" s="16"/>
      <c r="ABN56" s="16"/>
      <c r="ABO56" s="16"/>
      <c r="ABP56" s="16"/>
      <c r="ABQ56" s="16"/>
      <c r="ABR56" s="16"/>
      <c r="ABS56" s="16"/>
      <c r="ABT56" s="16"/>
      <c r="ABU56" s="16"/>
      <c r="ABV56" s="16"/>
      <c r="ABW56" s="16"/>
      <c r="ABX56" s="16"/>
      <c r="ABY56" s="16"/>
      <c r="ABZ56" s="16"/>
      <c r="ACA56" s="16"/>
      <c r="ACB56" s="16"/>
      <c r="ACC56" s="16"/>
      <c r="ACD56" s="16"/>
      <c r="ACE56" s="16"/>
      <c r="ACF56" s="16"/>
      <c r="ACG56" s="16"/>
      <c r="ACH56" s="16"/>
      <c r="ACI56" s="16"/>
      <c r="ACJ56" s="16"/>
      <c r="ACK56" s="16"/>
      <c r="ACL56" s="16"/>
      <c r="ACM56" s="16"/>
      <c r="ACN56" s="16"/>
      <c r="ACO56" s="16"/>
      <c r="ACP56" s="16"/>
      <c r="ACQ56" s="16"/>
      <c r="ACR56" s="16"/>
      <c r="ACS56" s="16"/>
      <c r="ACT56" s="16"/>
      <c r="ACU56" s="16"/>
      <c r="ACV56" s="16"/>
      <c r="ACW56" s="16"/>
      <c r="ACX56" s="16"/>
      <c r="ACY56" s="16"/>
      <c r="ACZ56" s="16"/>
      <c r="ADA56" s="16"/>
      <c r="ADB56" s="16"/>
      <c r="ADC56" s="16"/>
      <c r="ADD56" s="16"/>
      <c r="ADE56" s="16"/>
      <c r="ADF56" s="16"/>
      <c r="ADG56" s="16"/>
      <c r="ADH56" s="16"/>
      <c r="ADI56" s="16"/>
      <c r="ADJ56" s="16"/>
      <c r="ADK56" s="16"/>
      <c r="ADL56" s="16"/>
      <c r="ADM56" s="16"/>
      <c r="ADN56" s="16"/>
      <c r="ADO56" s="16"/>
      <c r="ADP56" s="16"/>
      <c r="ADQ56" s="16"/>
      <c r="ADR56" s="16"/>
      <c r="ADS56" s="16"/>
      <c r="ADT56" s="16"/>
      <c r="ADU56" s="16"/>
      <c r="ADV56" s="16"/>
      <c r="ADW56" s="16"/>
      <c r="ADX56" s="16"/>
      <c r="ADY56" s="16"/>
      <c r="ADZ56" s="16"/>
      <c r="AEA56" s="16"/>
      <c r="AEB56" s="16"/>
      <c r="AEC56" s="16"/>
      <c r="AED56" s="16"/>
      <c r="AEE56" s="16"/>
      <c r="AEF56" s="16"/>
      <c r="AEG56" s="16"/>
      <c r="AEH56" s="16"/>
      <c r="AEI56" s="16"/>
      <c r="AEJ56" s="16"/>
      <c r="AEK56" s="16"/>
      <c r="AEL56" s="16"/>
      <c r="AEM56" s="16"/>
      <c r="AEN56" s="16"/>
      <c r="AEO56" s="16"/>
      <c r="AEP56" s="16"/>
      <c r="AEQ56" s="16"/>
      <c r="AER56" s="16"/>
      <c r="AES56" s="16"/>
      <c r="AET56" s="16"/>
      <c r="AEU56" s="16"/>
      <c r="AEV56" s="16"/>
      <c r="AEW56" s="16"/>
      <c r="AEX56" s="16"/>
      <c r="AEY56" s="16"/>
      <c r="AEZ56" s="16"/>
      <c r="AFA56" s="16"/>
      <c r="AFB56" s="16"/>
      <c r="AFC56" s="16"/>
      <c r="AFD56" s="16"/>
      <c r="AFE56" s="16"/>
      <c r="AFF56" s="16"/>
      <c r="AFG56" s="16"/>
      <c r="AFH56" s="16"/>
      <c r="AFI56" s="16"/>
      <c r="AFJ56" s="16"/>
      <c r="AFK56" s="16"/>
      <c r="AFL56" s="16"/>
      <c r="AFM56" s="16"/>
      <c r="AFN56" s="16"/>
      <c r="AFO56" s="16"/>
      <c r="AFP56" s="16"/>
      <c r="AFQ56" s="16"/>
      <c r="AFR56" s="16"/>
      <c r="AFS56" s="16"/>
      <c r="AFT56" s="16"/>
      <c r="AFU56" s="16"/>
      <c r="AFV56" s="16"/>
      <c r="AFW56" s="16"/>
      <c r="AFX56" s="16"/>
      <c r="AFY56" s="16"/>
      <c r="AFZ56" s="16"/>
      <c r="AGA56" s="16"/>
      <c r="AGB56" s="16"/>
      <c r="AGC56" s="16"/>
      <c r="AGD56" s="16"/>
      <c r="AGE56" s="16"/>
      <c r="AGF56" s="16"/>
      <c r="AGG56" s="16"/>
      <c r="AGH56" s="16"/>
      <c r="AGI56" s="16"/>
      <c r="AGJ56" s="16"/>
      <c r="AGK56" s="16"/>
      <c r="AGL56" s="16"/>
      <c r="AGM56" s="16"/>
      <c r="AGN56" s="16"/>
      <c r="AGO56" s="16"/>
      <c r="AGP56" s="16"/>
      <c r="AGQ56" s="16"/>
      <c r="AGR56" s="16"/>
      <c r="AGS56" s="16"/>
      <c r="AGT56" s="16"/>
      <c r="AGU56" s="16"/>
      <c r="AGV56" s="16"/>
      <c r="AGW56" s="16"/>
      <c r="AGX56" s="16"/>
      <c r="AGY56" s="16"/>
      <c r="AGZ56" s="16"/>
      <c r="AHA56" s="16"/>
      <c r="AHB56" s="16"/>
      <c r="AHC56" s="16"/>
      <c r="AHD56" s="16"/>
      <c r="AHE56" s="16"/>
      <c r="AHF56" s="16"/>
      <c r="AHG56" s="16"/>
      <c r="AHH56" s="16"/>
      <c r="AHI56" s="16"/>
      <c r="AHJ56" s="16"/>
      <c r="AHK56" s="16"/>
      <c r="AHL56" s="16"/>
      <c r="AHM56" s="16"/>
      <c r="AHN56" s="16"/>
      <c r="AHO56" s="16"/>
      <c r="AHP56" s="16"/>
      <c r="AHQ56" s="16"/>
      <c r="AHR56" s="16"/>
      <c r="AHS56" s="16"/>
      <c r="AHT56" s="16"/>
      <c r="AHU56" s="16"/>
      <c r="AHV56" s="16"/>
      <c r="AHW56" s="16"/>
      <c r="AHX56" s="16"/>
      <c r="AHY56" s="16"/>
      <c r="AHZ56" s="16"/>
      <c r="AIA56" s="16"/>
      <c r="AIB56" s="16"/>
      <c r="AIC56" s="16"/>
      <c r="AID56" s="16"/>
      <c r="AIE56" s="16"/>
      <c r="AIF56" s="16"/>
      <c r="AIG56" s="16"/>
      <c r="AIH56" s="16"/>
      <c r="AII56" s="16"/>
      <c r="AIJ56" s="16"/>
      <c r="AIK56" s="16"/>
      <c r="AIL56" s="16"/>
      <c r="AIM56" s="16"/>
      <c r="AIN56" s="16"/>
      <c r="AIO56" s="16"/>
      <c r="AIP56" s="16"/>
      <c r="AIQ56" s="16"/>
      <c r="AIR56" s="16"/>
      <c r="AIS56" s="16"/>
      <c r="AIT56" s="16"/>
      <c r="AIU56" s="16"/>
      <c r="AIV56" s="16"/>
      <c r="AIW56" s="16"/>
      <c r="AIX56" s="16"/>
      <c r="AIY56" s="16"/>
      <c r="AIZ56" s="16"/>
      <c r="AJA56" s="16"/>
      <c r="AJB56" s="16"/>
      <c r="AJC56" s="16"/>
      <c r="AJD56" s="16"/>
      <c r="AJE56" s="16"/>
      <c r="AJF56" s="16"/>
      <c r="AJG56" s="16"/>
      <c r="AJH56" s="16"/>
      <c r="AJI56" s="16"/>
      <c r="AJJ56" s="16"/>
      <c r="AJK56" s="16"/>
      <c r="AJL56" s="16"/>
      <c r="AJM56" s="16"/>
      <c r="AJN56" s="16"/>
      <c r="AJO56" s="16"/>
      <c r="AJP56" s="16"/>
      <c r="AJQ56" s="16"/>
      <c r="AJR56" s="16"/>
      <c r="AJS56" s="16"/>
      <c r="AJT56" s="16"/>
      <c r="AJU56" s="16"/>
      <c r="AJV56" s="16"/>
      <c r="AJW56" s="16"/>
      <c r="AJX56" s="16"/>
      <c r="AJY56" s="16"/>
      <c r="AJZ56" s="16"/>
      <c r="AKA56" s="16"/>
      <c r="AKB56" s="16"/>
      <c r="AKC56" s="16"/>
      <c r="AKD56" s="16"/>
      <c r="AKE56" s="16"/>
      <c r="AKF56" s="16"/>
      <c r="AKG56" s="16"/>
      <c r="AKH56" s="16"/>
      <c r="AKI56" s="16"/>
      <c r="AKJ56" s="16"/>
      <c r="AKK56" s="16"/>
      <c r="AKL56" s="16"/>
      <c r="AKM56" s="16"/>
      <c r="AKN56" s="16"/>
      <c r="AKO56" s="16"/>
      <c r="AKP56" s="16"/>
      <c r="AKQ56" s="16"/>
      <c r="AKR56" s="16"/>
      <c r="AKS56" s="16"/>
      <c r="AKT56" s="16"/>
      <c r="AKU56" s="16"/>
      <c r="AKV56" s="16"/>
      <c r="AKW56" s="16"/>
      <c r="AKX56" s="16"/>
      <c r="AKY56" s="16"/>
      <c r="AKZ56" s="16"/>
      <c r="ALA56" s="16"/>
      <c r="ALB56" s="16"/>
      <c r="ALC56" s="16"/>
      <c r="ALD56" s="16"/>
      <c r="ALE56" s="16"/>
      <c r="ALF56" s="16"/>
      <c r="ALG56" s="16"/>
      <c r="ALH56" s="16"/>
      <c r="ALI56" s="16"/>
      <c r="ALJ56" s="16"/>
      <c r="ALK56" s="16"/>
      <c r="ALL56" s="16"/>
      <c r="ALM56" s="16"/>
      <c r="ALN56" s="16"/>
      <c r="ALO56" s="16"/>
      <c r="ALP56" s="16"/>
      <c r="ALQ56" s="16"/>
      <c r="ALR56" s="16"/>
      <c r="ALS56" s="16"/>
      <c r="ALT56" s="16"/>
    </row>
    <row r="57" spans="1:1008" s="27" customFormat="1" ht="15.75" thickBot="1" x14ac:dyDescent="0.3">
      <c r="A57" s="98"/>
      <c r="C57" s="56"/>
      <c r="D57" s="68"/>
      <c r="E57" s="68"/>
      <c r="F57" s="56"/>
      <c r="G57" s="68"/>
      <c r="H57" s="68"/>
      <c r="I57" s="68"/>
      <c r="J57" s="56"/>
      <c r="K57" s="56"/>
      <c r="L57" s="56"/>
      <c r="M57" s="56"/>
      <c r="N57" s="65"/>
      <c r="O57" s="65"/>
      <c r="P57" s="68"/>
      <c r="Q57" s="68"/>
      <c r="R57" s="68"/>
      <c r="S57" s="68"/>
      <c r="T57" s="68"/>
      <c r="U57" s="68"/>
      <c r="V57" s="68"/>
      <c r="W57" s="68"/>
      <c r="X57" s="99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8"/>
      <c r="AJ57" s="65"/>
      <c r="AK57" s="65"/>
      <c r="AL57" s="68"/>
      <c r="AM57" s="68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8"/>
      <c r="BB57" s="16"/>
      <c r="BC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</row>
    <row r="58" spans="1:1008" s="27" customFormat="1" ht="16.5" thickTop="1" thickBot="1" x14ac:dyDescent="0.3">
      <c r="A58" s="100" t="s">
        <v>82</v>
      </c>
      <c r="B58" s="100"/>
      <c r="C58" s="101">
        <v>678552</v>
      </c>
      <c r="D58" s="101">
        <v>0.62999999999738066</v>
      </c>
      <c r="E58" s="101">
        <v>69.860000000005812</v>
      </c>
      <c r="F58" s="101">
        <v>5100</v>
      </c>
      <c r="G58" s="101">
        <v>9137.462590000001</v>
      </c>
      <c r="H58" s="101">
        <v>2124.9913000000006</v>
      </c>
      <c r="I58" s="101">
        <v>413735.80610999989</v>
      </c>
      <c r="J58" s="101">
        <v>11473.35</v>
      </c>
      <c r="K58" s="101">
        <v>82</v>
      </c>
      <c r="L58" s="101">
        <v>153.5</v>
      </c>
      <c r="M58" s="101">
        <v>13627.509999999998</v>
      </c>
      <c r="N58" s="101"/>
      <c r="O58" s="101">
        <v>22623.03</v>
      </c>
      <c r="P58" s="101">
        <v>57281.50680000001</v>
      </c>
      <c r="Q58" s="101">
        <v>10108.501200000002</v>
      </c>
      <c r="R58" s="101">
        <v>16847.502000000004</v>
      </c>
      <c r="S58" s="101">
        <v>938909.38392857136</v>
      </c>
      <c r="T58" s="101">
        <v>913573.02392857149</v>
      </c>
      <c r="U58" s="101">
        <v>109628.76287142858</v>
      </c>
      <c r="V58" s="101">
        <v>988297.57599999988</v>
      </c>
      <c r="W58" s="101"/>
      <c r="X58" s="102">
        <v>3745</v>
      </c>
      <c r="Y58" s="102">
        <v>2075</v>
      </c>
      <c r="Z58" s="102">
        <v>2100</v>
      </c>
      <c r="AA58" s="102">
        <v>2375</v>
      </c>
      <c r="AB58" s="102">
        <v>0</v>
      </c>
      <c r="AC58" s="102">
        <v>0</v>
      </c>
      <c r="AD58" s="102">
        <v>0</v>
      </c>
      <c r="AE58" s="102">
        <v>0</v>
      </c>
      <c r="AF58" s="102">
        <v>0</v>
      </c>
      <c r="AG58" s="102">
        <v>0</v>
      </c>
      <c r="AH58" s="101">
        <v>0</v>
      </c>
      <c r="AI58" s="101">
        <v>8785</v>
      </c>
      <c r="AJ58" s="102">
        <v>6095</v>
      </c>
      <c r="AK58" s="101">
        <v>0</v>
      </c>
      <c r="AL58" s="101">
        <v>0</v>
      </c>
      <c r="AM58" s="101">
        <v>0</v>
      </c>
      <c r="AN58" s="101">
        <v>0</v>
      </c>
      <c r="AO58" s="101">
        <v>105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130</v>
      </c>
      <c r="AV58" s="101">
        <v>0</v>
      </c>
      <c r="AW58" s="101">
        <v>0</v>
      </c>
      <c r="AX58" s="101">
        <v>0</v>
      </c>
      <c r="AY58" s="101">
        <v>0</v>
      </c>
      <c r="AZ58" s="101">
        <v>130</v>
      </c>
      <c r="BA58" s="101">
        <v>14880</v>
      </c>
      <c r="BB58" s="16"/>
      <c r="BC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</row>
    <row r="59" spans="1:1008" s="27" customFormat="1" ht="15.75" thickTop="1" x14ac:dyDescent="0.25">
      <c r="A59" s="27" t="s">
        <v>83</v>
      </c>
      <c r="C59" s="16"/>
      <c r="D59" s="103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04" t="s">
        <v>84</v>
      </c>
      <c r="T59"/>
      <c r="U59" s="105">
        <f>U58/T58</f>
        <v>0.12000000000000001</v>
      </c>
      <c r="V59" s="106"/>
      <c r="W59" s="106"/>
      <c r="X59" s="107">
        <v>3800</v>
      </c>
      <c r="Y59" s="107">
        <v>2100</v>
      </c>
      <c r="Z59" s="107">
        <v>2100</v>
      </c>
      <c r="AA59" s="107">
        <v>2100</v>
      </c>
      <c r="AB59" s="107">
        <v>1000</v>
      </c>
      <c r="AC59" s="107">
        <v>1500</v>
      </c>
      <c r="AD59" s="16"/>
      <c r="AE59" s="16"/>
      <c r="AF59" s="107">
        <v>1500</v>
      </c>
      <c r="AG59" s="107">
        <v>1500</v>
      </c>
      <c r="AH59" s="16"/>
      <c r="AI59" s="16"/>
      <c r="AJ59" s="16"/>
      <c r="AK59" s="16"/>
      <c r="AL59" s="16"/>
      <c r="AM59" s="108" t="s">
        <v>85</v>
      </c>
      <c r="AN59" s="109">
        <v>0</v>
      </c>
      <c r="AO59" s="109">
        <v>105</v>
      </c>
      <c r="AP59" s="109">
        <v>0</v>
      </c>
      <c r="AQ59" s="109">
        <v>0</v>
      </c>
      <c r="AR59" s="109">
        <v>0</v>
      </c>
      <c r="AS59" s="109">
        <v>0</v>
      </c>
      <c r="AT59" s="108"/>
      <c r="AU59" s="108"/>
      <c r="AV59" s="108"/>
      <c r="AW59" s="108"/>
      <c r="AX59" s="108"/>
      <c r="AY59" s="108"/>
      <c r="AZ59" s="108"/>
      <c r="BA59" s="103">
        <v>105</v>
      </c>
      <c r="BB59" s="16"/>
      <c r="BC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</row>
    <row r="60" spans="1:1008" s="27" customFormat="1" x14ac:dyDescent="0.25">
      <c r="A60" s="27" t="s">
        <v>86</v>
      </c>
      <c r="C60" s="103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04" t="s">
        <v>87</v>
      </c>
      <c r="T60" s="104">
        <v>913573.02392857149</v>
      </c>
      <c r="U60" s="103"/>
      <c r="V60" s="106"/>
      <c r="W60" s="106"/>
      <c r="X60" s="107">
        <v>55</v>
      </c>
      <c r="Y60" s="107">
        <v>25</v>
      </c>
      <c r="Z60" s="107">
        <v>0</v>
      </c>
      <c r="AA60" s="107">
        <v>-275</v>
      </c>
      <c r="AB60" s="107">
        <v>1000</v>
      </c>
      <c r="AC60" s="107">
        <v>1500</v>
      </c>
      <c r="AD60" s="107">
        <v>0</v>
      </c>
      <c r="AE60" s="107">
        <v>0</v>
      </c>
      <c r="AF60" s="107">
        <v>1500</v>
      </c>
      <c r="AG60" s="107">
        <v>1500</v>
      </c>
      <c r="AH60" s="16"/>
      <c r="AI60" s="16"/>
      <c r="AJ60" s="16"/>
      <c r="AK60" s="16"/>
      <c r="AL60" s="16"/>
      <c r="AM60" s="108" t="s">
        <v>88</v>
      </c>
      <c r="AN60" s="109">
        <v>0</v>
      </c>
      <c r="AO60" s="109">
        <v>94.5</v>
      </c>
      <c r="AP60" s="109">
        <v>0</v>
      </c>
      <c r="AQ60" s="109">
        <v>0</v>
      </c>
      <c r="AR60" s="109">
        <v>0</v>
      </c>
      <c r="AS60" s="109">
        <v>0</v>
      </c>
      <c r="AT60" s="109">
        <v>0</v>
      </c>
      <c r="AU60" s="109">
        <v>0</v>
      </c>
      <c r="AV60" s="109">
        <v>0</v>
      </c>
      <c r="AW60" s="109">
        <v>0</v>
      </c>
      <c r="AX60" s="109">
        <v>0</v>
      </c>
      <c r="AY60" s="109">
        <v>0</v>
      </c>
      <c r="AZ60" s="109"/>
      <c r="BA60" s="103">
        <v>94.5</v>
      </c>
      <c r="BB60" s="16"/>
      <c r="BC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</row>
    <row r="61" spans="1:1008" s="27" customFormat="1" x14ac:dyDescent="0.25">
      <c r="A61" s="27" t="s">
        <v>89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10" t="s">
        <v>90</v>
      </c>
      <c r="O61" s="111">
        <v>19800</v>
      </c>
      <c r="P61" s="16"/>
      <c r="Q61" s="16"/>
      <c r="R61" s="16"/>
      <c r="S61" s="104" t="s">
        <v>91</v>
      </c>
      <c r="T61" s="104">
        <v>0</v>
      </c>
      <c r="U61" s="105"/>
      <c r="V61" s="106"/>
      <c r="W61" s="106"/>
      <c r="X61" s="107">
        <v>49.5</v>
      </c>
      <c r="Y61" s="107">
        <v>22.5</v>
      </c>
      <c r="Z61" s="107">
        <v>0</v>
      </c>
      <c r="AA61" s="107">
        <v>-247.5</v>
      </c>
      <c r="AB61" s="107">
        <v>900</v>
      </c>
      <c r="AC61" s="107">
        <v>1350</v>
      </c>
      <c r="AD61" s="107">
        <v>0</v>
      </c>
      <c r="AE61" s="107">
        <v>0</v>
      </c>
      <c r="AF61" s="107">
        <v>1350</v>
      </c>
      <c r="AG61" s="107">
        <v>1350</v>
      </c>
      <c r="AH61" s="16"/>
      <c r="AI61" s="16"/>
      <c r="AJ61" s="16"/>
      <c r="AK61" s="16"/>
      <c r="AL61" s="16"/>
      <c r="AN61" s="30"/>
      <c r="AO61" s="30"/>
      <c r="AP61" s="30"/>
      <c r="AQ61" s="30"/>
      <c r="AR61" s="30"/>
      <c r="BA61" s="16"/>
      <c r="BB61" s="16"/>
      <c r="BC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</row>
    <row r="62" spans="1:1008" s="27" customFormat="1" x14ac:dyDescent="0.25">
      <c r="A62" s="27" t="s">
        <v>4</v>
      </c>
      <c r="C62" s="103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85"/>
      <c r="R62" s="16"/>
      <c r="S62" s="104" t="s">
        <v>92</v>
      </c>
      <c r="T62" s="104">
        <v>913573.02392857149</v>
      </c>
      <c r="U62" s="105"/>
      <c r="V62" s="106"/>
      <c r="W62" s="10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13" t="s">
        <v>93</v>
      </c>
      <c r="AN62" s="114">
        <v>0</v>
      </c>
      <c r="AO62" s="114">
        <v>0</v>
      </c>
      <c r="AP62" s="114" t="e">
        <v>#VALUE!</v>
      </c>
      <c r="AQ62" s="114">
        <v>0</v>
      </c>
      <c r="AR62" s="114">
        <v>0</v>
      </c>
      <c r="AS62" s="114">
        <v>0</v>
      </c>
      <c r="AT62" s="114">
        <v>0</v>
      </c>
      <c r="AU62" s="114">
        <v>130</v>
      </c>
      <c r="AV62" s="114">
        <v>0</v>
      </c>
      <c r="AW62" s="114">
        <v>0</v>
      </c>
      <c r="AX62" s="114">
        <v>0</v>
      </c>
      <c r="AY62" s="114">
        <v>0</v>
      </c>
      <c r="AZ62" s="114"/>
      <c r="BA62" s="103" t="e">
        <v>#VALUE!</v>
      </c>
      <c r="BB62" s="16"/>
      <c r="BC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</row>
    <row r="63" spans="1:1008" s="27" customForma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5"/>
      <c r="V63" s="106"/>
      <c r="W63" s="10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15" t="s">
        <v>88</v>
      </c>
      <c r="AN63" s="114">
        <v>0</v>
      </c>
      <c r="AO63" s="114">
        <v>0</v>
      </c>
      <c r="AP63" s="114" t="e">
        <v>#VALUE!</v>
      </c>
      <c r="AQ63" s="114">
        <v>0</v>
      </c>
      <c r="AR63" s="114">
        <v>0</v>
      </c>
      <c r="AS63" s="114">
        <v>0</v>
      </c>
      <c r="AT63" s="114">
        <v>0</v>
      </c>
      <c r="AU63" s="114">
        <v>117</v>
      </c>
      <c r="AV63" s="114">
        <v>0</v>
      </c>
      <c r="AW63" s="114">
        <v>0</v>
      </c>
      <c r="AX63" s="114">
        <v>0</v>
      </c>
      <c r="AY63" s="114">
        <v>0</v>
      </c>
      <c r="AZ63" s="114"/>
      <c r="BA63" s="103" t="e">
        <v>#VALUE!</v>
      </c>
      <c r="BB63" s="16"/>
      <c r="BC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</row>
    <row r="64" spans="1:1008" s="27" customForma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16">
        <v>913573.02392857138</v>
      </c>
      <c r="U64" s="116">
        <v>109628.76287142851</v>
      </c>
      <c r="V64" s="116">
        <v>1011567.0498666666</v>
      </c>
      <c r="W64" s="116"/>
      <c r="X64" s="16"/>
      <c r="Y64" s="16"/>
      <c r="Z64" s="16"/>
      <c r="AA64" s="16" t="s">
        <v>94</v>
      </c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03"/>
      <c r="AO64" s="103"/>
      <c r="AP64" s="103"/>
      <c r="AQ64" s="103"/>
      <c r="AR64" s="103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</row>
    <row r="65" spans="1:1008" s="27" customFormat="1" x14ac:dyDescent="0.25">
      <c r="A65" s="24" t="s">
        <v>95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5"/>
      <c r="V65" s="106"/>
      <c r="W65" s="10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03"/>
      <c r="AO65" s="103">
        <f>AO60/AO58</f>
        <v>0.9</v>
      </c>
      <c r="AP65" s="103"/>
      <c r="AQ65" s="103"/>
      <c r="AR65" s="103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</row>
    <row r="66" spans="1:1008" s="27" customFormat="1" x14ac:dyDescent="0.25">
      <c r="A66" s="16"/>
      <c r="B66" s="16"/>
      <c r="C66" s="117"/>
      <c r="D66" s="16"/>
      <c r="E66" s="16"/>
      <c r="F66" s="16"/>
      <c r="G66" s="16"/>
      <c r="H66" s="16"/>
      <c r="I66" s="16"/>
      <c r="P66" s="16"/>
      <c r="Q66" s="16"/>
      <c r="R66" s="16"/>
      <c r="S66" s="16"/>
      <c r="T66" s="16"/>
      <c r="U66" s="103"/>
      <c r="V66" s="103"/>
      <c r="W66" s="103"/>
      <c r="AN66" s="68"/>
      <c r="AO66" s="68"/>
      <c r="AP66" s="68"/>
      <c r="AQ66" s="68"/>
      <c r="AR66" s="68"/>
      <c r="BA66" s="16"/>
      <c r="BB66" s="16"/>
      <c r="BC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</row>
    <row r="67" spans="1:1008" s="27" customFormat="1" x14ac:dyDescent="0.25">
      <c r="A67" s="16" t="s">
        <v>64</v>
      </c>
      <c r="B67" s="16"/>
      <c r="C67" s="16" t="s">
        <v>98</v>
      </c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03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07"/>
      <c r="AO67" s="107"/>
      <c r="AP67" s="107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</row>
    <row r="68" spans="1:1008" s="16" customFormat="1" x14ac:dyDescent="0.25">
      <c r="A68" s="16" t="s">
        <v>99</v>
      </c>
      <c r="C68" s="103"/>
      <c r="U68" s="103"/>
      <c r="V68" s="103"/>
      <c r="W68" s="103"/>
      <c r="AN68" s="107"/>
      <c r="AO68" s="107"/>
      <c r="AP68" s="107"/>
      <c r="BD68" s="27"/>
      <c r="BE68" s="27"/>
      <c r="BF68" s="27"/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7"/>
      <c r="CD68" s="27"/>
      <c r="CE68" s="27"/>
      <c r="CF68" s="27"/>
      <c r="CG68" s="27"/>
      <c r="CH68" s="27"/>
      <c r="CI68" s="27"/>
      <c r="CJ68" s="27"/>
      <c r="CK68" s="27"/>
      <c r="CL68" s="27"/>
      <c r="CM68" s="27"/>
      <c r="CN68" s="27"/>
      <c r="CO68" s="27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7"/>
      <c r="DA68" s="27"/>
      <c r="DB68" s="27"/>
      <c r="DC68" s="27"/>
      <c r="DD68" s="27"/>
    </row>
  </sheetData>
  <mergeCells count="43">
    <mergeCell ref="AT6:AT7"/>
    <mergeCell ref="AU6:AU7"/>
    <mergeCell ref="AV6:AV7"/>
    <mergeCell ref="AZ6:AZ7"/>
    <mergeCell ref="BA6:BA7"/>
    <mergeCell ref="AN6:AN7"/>
    <mergeCell ref="AO6:AO7"/>
    <mergeCell ref="AP6:AP7"/>
    <mergeCell ref="AQ6:AQ7"/>
    <mergeCell ref="AR6:AR7"/>
    <mergeCell ref="AS6:AS7"/>
    <mergeCell ref="AE6:AE7"/>
    <mergeCell ref="AF6:AF7"/>
    <mergeCell ref="AG6:AG7"/>
    <mergeCell ref="AJ6:AJ7"/>
    <mergeCell ref="AL6:AL7"/>
    <mergeCell ref="AM6:AM7"/>
    <mergeCell ref="Y6:Y7"/>
    <mergeCell ref="Z6:Z7"/>
    <mergeCell ref="AA6:AA7"/>
    <mergeCell ref="AB6:AB7"/>
    <mergeCell ref="AC6:AC7"/>
    <mergeCell ref="AD6:AD7"/>
    <mergeCell ref="P6:Q6"/>
    <mergeCell ref="R6:R7"/>
    <mergeCell ref="S6:S7"/>
    <mergeCell ref="T6:T7"/>
    <mergeCell ref="U6:U7"/>
    <mergeCell ref="V6:V7"/>
    <mergeCell ref="J6:J7"/>
    <mergeCell ref="K6:K7"/>
    <mergeCell ref="L6:L7"/>
    <mergeCell ref="M6:M7"/>
    <mergeCell ref="N6:O6"/>
    <mergeCell ref="G6:G7"/>
    <mergeCell ref="H6:H7"/>
    <mergeCell ref="I6:I7"/>
    <mergeCell ref="D6:D7"/>
    <mergeCell ref="E6:E7"/>
    <mergeCell ref="F6:F7"/>
    <mergeCell ref="A6:A7"/>
    <mergeCell ref="B6:B7"/>
    <mergeCell ref="C6:C7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zoomScaleNormal="100" workbookViewId="0">
      <pane xSplit="1" ySplit="2" topLeftCell="P21" activePane="bottomRight" state="frozen"/>
      <selection pane="topRight" activeCell="P1" sqref="P1"/>
      <selection pane="bottomLeft" activeCell="A21" sqref="A21"/>
      <selection pane="bottomRight" activeCell="AA38" sqref="AA38"/>
    </sheetView>
  </sheetViews>
  <sheetFormatPr defaultRowHeight="15" x14ac:dyDescent="0.25"/>
  <cols>
    <col min="1" max="1" width="22.5703125" customWidth="1"/>
    <col min="2" max="10" width="8.5703125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/>
    <col min="16" max="1025" width="8.5703125" customWidth="1"/>
  </cols>
  <sheetData>
    <row r="2" spans="1:32" x14ac:dyDescent="0.25">
      <c r="B2" s="118">
        <f>'SALES SUMMARY'!A9</f>
        <v>43831</v>
      </c>
      <c r="C2" s="118">
        <f>'SALES SUMMARY'!A12</f>
        <v>43832</v>
      </c>
      <c r="D2" s="118">
        <f>'SALES SUMMARY'!A15</f>
        <v>43833</v>
      </c>
      <c r="E2" s="118">
        <f>'SALES SUMMARY'!A18</f>
        <v>43834</v>
      </c>
      <c r="F2" s="118">
        <f>'SALES SUMMARY'!A21</f>
        <v>43835</v>
      </c>
      <c r="G2" s="118">
        <f>'SALES SUMMARY'!A24</f>
        <v>43836</v>
      </c>
      <c r="H2" s="118">
        <f>'SALES SUMMARY'!A27</f>
        <v>43837</v>
      </c>
      <c r="I2" s="118">
        <f>'SALES SUMMARY'!A30</f>
        <v>43838</v>
      </c>
      <c r="J2" s="118">
        <f>'SALES SUMMARY'!A33</f>
        <v>43839</v>
      </c>
      <c r="K2" s="118">
        <f>'SALES SUMMARY'!A36</f>
        <v>43840</v>
      </c>
      <c r="L2" s="118">
        <f>'SALES SUMMARY'!A39</f>
        <v>43841</v>
      </c>
      <c r="M2" s="118">
        <f>'SALES SUMMARY'!A42</f>
        <v>43842</v>
      </c>
      <c r="N2" s="118">
        <f>'SALES SUMMARY'!A45</f>
        <v>43843</v>
      </c>
      <c r="O2" s="118">
        <f>'SALES SUMMARY'!A48</f>
        <v>43844</v>
      </c>
      <c r="P2" s="118">
        <f>'SALES SUMMARY'!A51</f>
        <v>43845</v>
      </c>
      <c r="Q2" s="118">
        <f>'SALES SUMMARY'!A54</f>
        <v>43846</v>
      </c>
      <c r="R2" s="118">
        <f>'SALES SUMMARY'!A57</f>
        <v>43847</v>
      </c>
      <c r="S2" s="118">
        <f>'SALES SUMMARY'!A60</f>
        <v>43848</v>
      </c>
      <c r="T2" s="118">
        <f>'SALES SUMMARY'!A63</f>
        <v>43849</v>
      </c>
      <c r="U2" s="118">
        <f>'SALES SUMMARY'!A66</f>
        <v>43850</v>
      </c>
      <c r="V2" s="118">
        <f>'SALES SUMMARY'!A69</f>
        <v>43851</v>
      </c>
      <c r="W2" s="118">
        <f>'SALES SUMMARY'!A72</f>
        <v>43852</v>
      </c>
      <c r="X2" s="118">
        <f>'SALES SUMMARY'!A75</f>
        <v>43853</v>
      </c>
      <c r="Y2" s="118">
        <f>'SALES SUMMARY'!A78</f>
        <v>43854</v>
      </c>
      <c r="Z2" s="118">
        <f>'SALES SUMMARY'!A81</f>
        <v>43855</v>
      </c>
      <c r="AA2" s="118">
        <f>'SALES SUMMARY'!A84</f>
        <v>43856</v>
      </c>
      <c r="AB2" s="118">
        <f>'SALES SUMMARY'!A87</f>
        <v>43857</v>
      </c>
      <c r="AC2" s="118">
        <f>'SALES SUMMARY'!A90</f>
        <v>43858</v>
      </c>
      <c r="AD2" s="118">
        <f>'SALES SUMMARY'!A93</f>
        <v>43859</v>
      </c>
      <c r="AE2" s="118">
        <f>'SALES SUMMARY'!A96</f>
        <v>43860</v>
      </c>
      <c r="AF2" s="118" t="e">
        <f>'SALES SUMMARY'!#REF!</f>
        <v>#REF!</v>
      </c>
    </row>
    <row r="3" spans="1:32" x14ac:dyDescent="0.25">
      <c r="A3" s="119" t="s">
        <v>14</v>
      </c>
      <c r="B3" s="120">
        <f>'SALES SUMMARY'!E11</f>
        <v>0</v>
      </c>
      <c r="C3" s="120">
        <f>'SALES SUMMARY'!E14</f>
        <v>12496</v>
      </c>
      <c r="D3" s="120">
        <f>'SALES SUMMARY'!E17</f>
        <v>27705</v>
      </c>
      <c r="E3" s="120">
        <f>'SALES SUMMARY'!E20</f>
        <v>5760</v>
      </c>
      <c r="F3" s="120">
        <f>'SALES SUMMARY'!E23</f>
        <v>0</v>
      </c>
      <c r="G3" s="120">
        <f>'SALES SUMMARY'!E26</f>
        <v>0</v>
      </c>
      <c r="H3" s="120">
        <f>'SALES SUMMARY'!E29</f>
        <v>21762</v>
      </c>
      <c r="I3" s="120">
        <f>'SALES SUMMARY'!E32</f>
        <v>29441</v>
      </c>
      <c r="J3" s="120">
        <f>'SALES SUMMARY'!E35</f>
        <v>35042</v>
      </c>
      <c r="K3" s="120">
        <f>'SALES SUMMARY'!E38</f>
        <v>50880</v>
      </c>
      <c r="L3" s="120">
        <f>'SALES SUMMARY'!E41</f>
        <v>1928</v>
      </c>
      <c r="M3" s="120">
        <f>'SALES SUMMARY'!E44</f>
        <v>0</v>
      </c>
      <c r="N3" s="120">
        <f>'SALES SUMMARY'!E47</f>
        <v>0</v>
      </c>
      <c r="O3" s="120">
        <f>'SALES SUMMARY'!E50</f>
        <v>26815</v>
      </c>
      <c r="P3" s="120">
        <f>'SALES SUMMARY'!E53</f>
        <v>38200</v>
      </c>
      <c r="Q3" s="120">
        <f>'SALES SUMMARY'!E56</f>
        <v>41892</v>
      </c>
      <c r="R3" s="120">
        <f>'SALES SUMMARY'!E59</f>
        <v>51785</v>
      </c>
      <c r="S3" s="120">
        <f>'SALES SUMMARY'!E62</f>
        <v>5380</v>
      </c>
      <c r="T3" s="120">
        <f>'SALES SUMMARY'!E65</f>
        <v>0</v>
      </c>
      <c r="U3" s="120">
        <f>'SALES SUMMARY'!E68</f>
        <v>21437</v>
      </c>
      <c r="V3" s="120">
        <f>'SALES SUMMARY'!E71</f>
        <v>40391</v>
      </c>
      <c r="W3" s="120">
        <f>'SALES SUMMARY'!E74</f>
        <v>25995</v>
      </c>
      <c r="X3" s="120">
        <f>'SALES SUMMARY'!E77</f>
        <v>30185</v>
      </c>
      <c r="Y3" s="120">
        <f>'SALES SUMMARY'!E80</f>
        <v>32789</v>
      </c>
      <c r="Z3" s="120">
        <f>'SALES SUMMARY'!E83</f>
        <v>0</v>
      </c>
      <c r="AA3" s="120">
        <f>'SALES SUMMARY'!E86</f>
        <v>0</v>
      </c>
      <c r="AB3" s="120">
        <f>'SALES SUMMARY'!E89</f>
        <v>25620</v>
      </c>
      <c r="AC3" s="120">
        <f>'SALES SUMMARY'!E92</f>
        <v>30465</v>
      </c>
      <c r="AD3" s="120">
        <f>'SALES SUMMARY'!E95</f>
        <v>28266</v>
      </c>
      <c r="AE3" s="120">
        <f>'SALES SUMMARY'!E98</f>
        <v>33790</v>
      </c>
      <c r="AF3" s="120">
        <f>'SALES SUMMARY'!E100</f>
        <v>16978</v>
      </c>
    </row>
    <row r="4" spans="1:32" x14ac:dyDescent="0.25">
      <c r="A4" s="119"/>
      <c r="B4" s="120"/>
      <c r="C4" s="120"/>
      <c r="D4" s="120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0"/>
      <c r="AF4" s="120"/>
    </row>
    <row r="5" spans="1:32" x14ac:dyDescent="0.25">
      <c r="A5" s="119" t="s">
        <v>16</v>
      </c>
      <c r="B5" s="120">
        <f>-'SALES SUMMARY'!G11</f>
        <v>0</v>
      </c>
      <c r="C5" s="120">
        <f>-'SALES SUMMARY'!G14</f>
        <v>0</v>
      </c>
      <c r="D5" s="120">
        <f>-'SALES SUMMARY'!G17</f>
        <v>0</v>
      </c>
      <c r="E5" s="120">
        <f>-'SALES SUMMARY'!G20</f>
        <v>0</v>
      </c>
      <c r="F5" s="120">
        <f>-'SALES SUMMARY'!G23</f>
        <v>0</v>
      </c>
      <c r="G5" s="120">
        <f>-'SALES SUMMARY'!G26</f>
        <v>0</v>
      </c>
      <c r="H5" s="120">
        <f>-'SALES SUMMARY'!G29</f>
        <v>0</v>
      </c>
      <c r="I5" s="120">
        <f>-'SALES SUMMARY'!G32</f>
        <v>0</v>
      </c>
      <c r="J5" s="120">
        <f>-'SALES SUMMARY'!G35</f>
        <v>0</v>
      </c>
      <c r="K5" s="120">
        <f>-'SALES SUMMARY'!G38</f>
        <v>-0.48999999999796273</v>
      </c>
      <c r="L5" s="120">
        <f>-'SALES SUMMARY'!G41</f>
        <v>0</v>
      </c>
      <c r="M5" s="120">
        <f>-'SALES SUMMARY'!G44</f>
        <v>0</v>
      </c>
      <c r="N5" s="120">
        <f>-'SALES SUMMARY'!G47</f>
        <v>0</v>
      </c>
      <c r="O5" s="120">
        <f>-'SALES SUMMARY'!G50</f>
        <v>0</v>
      </c>
      <c r="P5" s="120">
        <f>-'SALES SUMMARY'!G53</f>
        <v>0</v>
      </c>
      <c r="Q5" s="120">
        <f>-'SALES SUMMARY'!G56</f>
        <v>0</v>
      </c>
      <c r="R5" s="120">
        <f>-'SALES SUMMARY'!G59</f>
        <v>0</v>
      </c>
      <c r="S5" s="120">
        <f>-'SALES SUMMARY'!G62</f>
        <v>0</v>
      </c>
      <c r="T5" s="120">
        <f>-'SALES SUMMARY'!G65</f>
        <v>0</v>
      </c>
      <c r="U5" s="120">
        <f>-'SALES SUMMARY'!G68</f>
        <v>0</v>
      </c>
      <c r="V5" s="120">
        <f>-'SALES SUMMARY'!G71</f>
        <v>0</v>
      </c>
      <c r="W5" s="120">
        <f>-'SALES SUMMARY'!G74</f>
        <v>-0.13999999999941792</v>
      </c>
      <c r="X5" s="120">
        <f>-'SALES SUMMARY'!G77</f>
        <v>0</v>
      </c>
      <c r="Y5" s="120">
        <f>-'SALES SUMMARY'!G80</f>
        <v>0</v>
      </c>
      <c r="Z5" s="120">
        <f>-'SALES SUMMARY'!G83</f>
        <v>0</v>
      </c>
      <c r="AA5" s="120">
        <f>-'SALES SUMMARY'!G86</f>
        <v>0</v>
      </c>
      <c r="AB5" s="120">
        <f>-'SALES SUMMARY'!G89</f>
        <v>0</v>
      </c>
      <c r="AC5" s="120">
        <f>-'SALES SUMMARY'!G92</f>
        <v>0</v>
      </c>
      <c r="AD5" s="120">
        <f>-'SALES SUMMARY'!G95</f>
        <v>0</v>
      </c>
      <c r="AE5" s="120">
        <f>-'SALES SUMMARY'!G98</f>
        <v>0</v>
      </c>
      <c r="AF5" s="120">
        <f>-'SALES SUMMARY'!G100</f>
        <v>0</v>
      </c>
    </row>
    <row r="6" spans="1:32" x14ac:dyDescent="0.25">
      <c r="A6" s="119" t="s">
        <v>17</v>
      </c>
      <c r="B6" s="120">
        <f>'SALES SUMMARY'!H11</f>
        <v>0</v>
      </c>
      <c r="C6" s="120">
        <f>'SALES SUMMARY'!H14</f>
        <v>3.4000000000000909</v>
      </c>
      <c r="D6" s="120">
        <f>'SALES SUMMARY'!H17</f>
        <v>3.4300000000012005</v>
      </c>
      <c r="E6" s="120">
        <f>'SALES SUMMARY'!H20</f>
        <v>9.0000000000145519E-2</v>
      </c>
      <c r="F6" s="120">
        <f>'SALES SUMMARY'!H23</f>
        <v>0</v>
      </c>
      <c r="G6" s="120">
        <f>'SALES SUMMARY'!H26</f>
        <v>2.2399999999997817</v>
      </c>
      <c r="H6" s="120">
        <f>'SALES SUMMARY'!H29</f>
        <v>1.0300000000006548</v>
      </c>
      <c r="I6" s="120">
        <f>'SALES SUMMARY'!H32</f>
        <v>3.3999999999996362</v>
      </c>
      <c r="J6" s="120">
        <f>'SALES SUMMARY'!H35</f>
        <v>4.2600000000002183</v>
      </c>
      <c r="K6" s="120">
        <f>'SALES SUMMARY'!H38</f>
        <v>0.31999999999970896</v>
      </c>
      <c r="L6" s="120">
        <f>'SALES SUMMARY'!H41</f>
        <v>0.41000000000008185</v>
      </c>
      <c r="M6" s="120">
        <f>'SALES SUMMARY'!H44</f>
        <v>0</v>
      </c>
      <c r="N6" s="120">
        <f>'SALES SUMMARY'!H47</f>
        <v>0</v>
      </c>
      <c r="O6" s="120">
        <f>'SALES SUMMARY'!H50</f>
        <v>10.209999999999127</v>
      </c>
      <c r="P6" s="120">
        <f>'SALES SUMMARY'!H53</f>
        <v>5.2599999999983993</v>
      </c>
      <c r="Q6" s="120">
        <f>'SALES SUMMARY'!H56</f>
        <v>1.819999999999709</v>
      </c>
      <c r="R6" s="120">
        <f>'SALES SUMMARY'!H59</f>
        <v>7.7300000000032014</v>
      </c>
      <c r="S6" s="120">
        <f>'SALES SUMMARY'!H62</f>
        <v>0</v>
      </c>
      <c r="T6" s="120">
        <f>'SALES SUMMARY'!H65</f>
        <v>0</v>
      </c>
      <c r="U6" s="120">
        <f>'SALES SUMMARY'!H68</f>
        <v>3.6800000000012005</v>
      </c>
      <c r="V6" s="120">
        <f>'SALES SUMMARY'!H71</f>
        <v>2.180000000000291</v>
      </c>
      <c r="W6" s="120">
        <f>'SALES SUMMARY'!H74</f>
        <v>0.61000000000058208</v>
      </c>
      <c r="X6" s="120">
        <f>'SALES SUMMARY'!H77</f>
        <v>2.5200000000004366</v>
      </c>
      <c r="Y6" s="120">
        <f>'SALES SUMMARY'!H80</f>
        <v>1.2300000000013824</v>
      </c>
      <c r="Z6" s="120">
        <f>'SALES SUMMARY'!H83</f>
        <v>0</v>
      </c>
      <c r="AA6" s="120">
        <f>'SALES SUMMARY'!H86</f>
        <v>0</v>
      </c>
      <c r="AB6" s="120">
        <f>'SALES SUMMARY'!H89</f>
        <v>6.7299999999986539</v>
      </c>
      <c r="AC6" s="120">
        <f>'SALES SUMMARY'!H92</f>
        <v>1.4899999999997817</v>
      </c>
      <c r="AD6" s="120">
        <f>'SALES SUMMARY'!H95</f>
        <v>4.0200000000004366</v>
      </c>
      <c r="AE6" s="120">
        <f>'SALES SUMMARY'!H98</f>
        <v>0.71000000000094587</v>
      </c>
      <c r="AF6" s="120">
        <f>'SALES SUMMARY'!H100</f>
        <v>1.1899999999986903</v>
      </c>
    </row>
    <row r="7" spans="1:32" x14ac:dyDescent="0.25">
      <c r="A7" s="119" t="s">
        <v>18</v>
      </c>
      <c r="B7" s="120">
        <f>-'SALES SUMMARY'!I11</f>
        <v>0</v>
      </c>
      <c r="C7" s="120">
        <f>-'SALES SUMMARY'!I14</f>
        <v>0</v>
      </c>
      <c r="D7" s="120">
        <f>-'SALES SUMMARY'!I17</f>
        <v>0</v>
      </c>
      <c r="E7" s="120">
        <f>-'SALES SUMMARY'!I20</f>
        <v>-300</v>
      </c>
      <c r="F7" s="120">
        <f>-'SALES SUMMARY'!I23</f>
        <v>0</v>
      </c>
      <c r="G7" s="120">
        <f>-'SALES SUMMARY'!I26</f>
        <v>0</v>
      </c>
      <c r="H7" s="120">
        <f>-'SALES SUMMARY'!I29</f>
        <v>0</v>
      </c>
      <c r="I7" s="120">
        <f>-'SALES SUMMARY'!I32</f>
        <v>-600</v>
      </c>
      <c r="J7" s="120">
        <f>-'SALES SUMMARY'!I35</f>
        <v>0</v>
      </c>
      <c r="K7" s="120">
        <f>-'SALES SUMMARY'!I38</f>
        <v>0</v>
      </c>
      <c r="L7" s="120">
        <f>-'SALES SUMMARY'!I41</f>
        <v>-900</v>
      </c>
      <c r="M7" s="120">
        <f>-'SALES SUMMARY'!I44</f>
        <v>0</v>
      </c>
      <c r="N7" s="120">
        <f>-'SALES SUMMARY'!I47</f>
        <v>0</v>
      </c>
      <c r="O7" s="120">
        <f>-'SALES SUMMARY'!I50</f>
        <v>-300</v>
      </c>
      <c r="P7" s="120">
        <f>-'SALES SUMMARY'!I53</f>
        <v>0</v>
      </c>
      <c r="Q7" s="120">
        <f>-'SALES SUMMARY'!I56</f>
        <v>0</v>
      </c>
      <c r="R7" s="120">
        <f>-'SALES SUMMARY'!I59</f>
        <v>0</v>
      </c>
      <c r="S7" s="120">
        <f>-'SALES SUMMARY'!I62</f>
        <v>-300</v>
      </c>
      <c r="T7" s="120">
        <f>-'SALES SUMMARY'!I65</f>
        <v>0</v>
      </c>
      <c r="U7" s="120">
        <f>-'SALES SUMMARY'!I68</f>
        <v>0</v>
      </c>
      <c r="V7" s="120">
        <f>-'SALES SUMMARY'!I71</f>
        <v>0</v>
      </c>
      <c r="W7" s="120">
        <f>-'SALES SUMMARY'!I74</f>
        <v>-900</v>
      </c>
      <c r="X7" s="120">
        <f>-'SALES SUMMARY'!I77</f>
        <v>0</v>
      </c>
      <c r="Y7" s="120">
        <f>-'SALES SUMMARY'!I80</f>
        <v>0</v>
      </c>
      <c r="Z7" s="120">
        <f>-'SALES SUMMARY'!I83</f>
        <v>0</v>
      </c>
      <c r="AA7" s="120">
        <f>-'SALES SUMMARY'!I86</f>
        <v>0</v>
      </c>
      <c r="AB7" s="120">
        <f>-'SALES SUMMARY'!I89</f>
        <v>-300</v>
      </c>
      <c r="AC7" s="120">
        <f>-'SALES SUMMARY'!I92</f>
        <v>-600</v>
      </c>
      <c r="AD7" s="120">
        <f>-'SALES SUMMARY'!I95</f>
        <v>0</v>
      </c>
      <c r="AE7" s="120">
        <f>-'SALES SUMMARY'!I98</f>
        <v>0</v>
      </c>
      <c r="AF7" s="120">
        <f>-'SALES SUMMARY'!I100</f>
        <v>-600</v>
      </c>
    </row>
    <row r="8" spans="1:32" x14ac:dyDescent="0.25">
      <c r="A8" s="119" t="s">
        <v>19</v>
      </c>
      <c r="B8" s="120">
        <f>-'SALES SUMMARY'!J11</f>
        <v>0</v>
      </c>
      <c r="C8" s="120">
        <f>-'SALES SUMMARY'!J14</f>
        <v>0</v>
      </c>
      <c r="D8" s="120">
        <f>-'SALES SUMMARY'!J17</f>
        <v>0</v>
      </c>
      <c r="E8" s="120">
        <f>-'SALES SUMMARY'!J20</f>
        <v>0</v>
      </c>
      <c r="F8" s="120">
        <f>-'SALES SUMMARY'!J23</f>
        <v>0</v>
      </c>
      <c r="G8" s="120">
        <f>-'SALES SUMMARY'!J26</f>
        <v>0</v>
      </c>
      <c r="H8" s="120">
        <f>-'SALES SUMMARY'!J29</f>
        <v>0</v>
      </c>
      <c r="I8" s="120">
        <f>-'SALES SUMMARY'!J32</f>
        <v>0</v>
      </c>
      <c r="J8" s="120">
        <f>-'SALES SUMMARY'!J35</f>
        <v>0</v>
      </c>
      <c r="K8" s="120">
        <f>-'SALES SUMMARY'!J38</f>
        <v>0</v>
      </c>
      <c r="L8" s="120">
        <f>-'SALES SUMMARY'!J41</f>
        <v>0</v>
      </c>
      <c r="M8" s="120">
        <f>-'SALES SUMMARY'!J44</f>
        <v>0</v>
      </c>
      <c r="N8" s="120">
        <f>-'SALES SUMMARY'!J47</f>
        <v>0</v>
      </c>
      <c r="O8" s="120">
        <f>-'SALES SUMMARY'!J50</f>
        <v>0</v>
      </c>
      <c r="P8" s="120">
        <f>-'SALES SUMMARY'!J53</f>
        <v>0</v>
      </c>
      <c r="Q8" s="120">
        <f>-'SALES SUMMARY'!J56</f>
        <v>0</v>
      </c>
      <c r="R8" s="120">
        <f>-'SALES SUMMARY'!J59</f>
        <v>0</v>
      </c>
      <c r="S8" s="120">
        <f>-'SALES SUMMARY'!J62</f>
        <v>0</v>
      </c>
      <c r="T8" s="120">
        <f>-'SALES SUMMARY'!J65</f>
        <v>0</v>
      </c>
      <c r="U8" s="120">
        <f>-'SALES SUMMARY'!J68</f>
        <v>0</v>
      </c>
      <c r="V8" s="120">
        <f>-'SALES SUMMARY'!J71</f>
        <v>0</v>
      </c>
      <c r="W8" s="120">
        <f>-'SALES SUMMARY'!J74</f>
        <v>0</v>
      </c>
      <c r="X8" s="120">
        <f>-'SALES SUMMARY'!J77</f>
        <v>0</v>
      </c>
      <c r="Y8" s="120">
        <f>-'SALES SUMMARY'!J80</f>
        <v>0</v>
      </c>
      <c r="Z8" s="120">
        <f>-'SALES SUMMARY'!J83</f>
        <v>0</v>
      </c>
      <c r="AA8" s="120">
        <f>-'SALES SUMMARY'!J86</f>
        <v>0</v>
      </c>
      <c r="AB8" s="120">
        <f>-'SALES SUMMARY'!J89</f>
        <v>0</v>
      </c>
      <c r="AC8" s="120">
        <f>-'SALES SUMMARY'!J92</f>
        <v>0</v>
      </c>
      <c r="AD8" s="120">
        <f>-'SALES SUMMARY'!J95</f>
        <v>0</v>
      </c>
      <c r="AE8" s="120">
        <f>-'SALES SUMMARY'!J98</f>
        <v>0</v>
      </c>
      <c r="AF8" s="120">
        <f>-'SALES SUMMARY'!J100</f>
        <v>0</v>
      </c>
    </row>
    <row r="9" spans="1:32" x14ac:dyDescent="0.25">
      <c r="A9" s="119" t="s">
        <v>22</v>
      </c>
      <c r="B9" s="120">
        <f>-'SALES SUMMARY'!M11</f>
        <v>0</v>
      </c>
      <c r="C9" s="120">
        <f>-'SALES SUMMARY'!M14</f>
        <v>-153.72199000000001</v>
      </c>
      <c r="D9" s="120">
        <f>-'SALES SUMMARY'!M17</f>
        <v>-260.93948</v>
      </c>
      <c r="E9" s="120">
        <f>-'SALES SUMMARY'!M20</f>
        <v>-48.3277</v>
      </c>
      <c r="F9" s="120">
        <f>-'SALES SUMMARY'!M23</f>
        <v>0</v>
      </c>
      <c r="G9" s="120">
        <f>-'SALES SUMMARY'!M26</f>
        <v>-464.20327499999996</v>
      </c>
      <c r="H9" s="120">
        <f>-'SALES SUMMARY'!M29</f>
        <v>-302.58712999999995</v>
      </c>
      <c r="I9" s="120">
        <f>-'SALES SUMMARY'!M32</f>
        <v>-313.91548</v>
      </c>
      <c r="J9" s="120">
        <f>-'SALES SUMMARY'!M35</f>
        <v>-220.57021999999998</v>
      </c>
      <c r="K9" s="120">
        <f>-'SALES SUMMARY'!M38</f>
        <v>-601.90797999999995</v>
      </c>
      <c r="L9" s="120">
        <f>-'SALES SUMMARY'!M41</f>
        <v>-27.255119999999998</v>
      </c>
      <c r="M9" s="120">
        <f>-'SALES SUMMARY'!M44</f>
        <v>0</v>
      </c>
      <c r="N9" s="120">
        <f>-'SALES SUMMARY'!M47</f>
        <v>0</v>
      </c>
      <c r="O9" s="120">
        <f>-'SALES SUMMARY'!M50</f>
        <v>-442.45366000000001</v>
      </c>
      <c r="P9" s="120">
        <f>-'SALES SUMMARY'!M53</f>
        <v>-236.90914499999997</v>
      </c>
      <c r="Q9" s="120">
        <f>-'SALES SUMMARY'!M56</f>
        <v>-471.80072999999993</v>
      </c>
      <c r="R9" s="120">
        <f>-'SALES SUMMARY'!M59</f>
        <v>-541.58886999999993</v>
      </c>
      <c r="S9" s="120">
        <f>-'SALES SUMMARY'!M62</f>
        <v>-88.67846999999999</v>
      </c>
      <c r="T9" s="120">
        <f>-'SALES SUMMARY'!M65</f>
        <v>0</v>
      </c>
      <c r="U9" s="120">
        <f>-'SALES SUMMARY'!M68</f>
        <v>-315.95518499999997</v>
      </c>
      <c r="V9" s="120">
        <f>-'SALES SUMMARY'!M71</f>
        <v>-281.63688500000001</v>
      </c>
      <c r="W9" s="120">
        <f>-'SALES SUMMARY'!M74</f>
        <v>-503.29242499999998</v>
      </c>
      <c r="X9" s="120">
        <f>-'SALES SUMMARY'!M77</f>
        <v>-206.36775</v>
      </c>
      <c r="Y9" s="120">
        <f>-'SALES SUMMARY'!M80</f>
        <v>-625.67472499999985</v>
      </c>
      <c r="Z9" s="120">
        <f>-'SALES SUMMARY'!M83</f>
        <v>0</v>
      </c>
      <c r="AA9" s="120">
        <f>-'SALES SUMMARY'!M86</f>
        <v>0</v>
      </c>
      <c r="AB9" s="120">
        <f>-'SALES SUMMARY'!M89</f>
        <v>-263.72845999999998</v>
      </c>
      <c r="AC9" s="120">
        <f>-'SALES SUMMARY'!M92</f>
        <v>-396.43656499999997</v>
      </c>
      <c r="AD9" s="120">
        <f>-'SALES SUMMARY'!M95</f>
        <v>-668.73148499999991</v>
      </c>
      <c r="AE9" s="120">
        <f>-'SALES SUMMARY'!M98</f>
        <v>-518.4757249999999</v>
      </c>
      <c r="AF9" s="120">
        <f>-'SALES SUMMARY'!M100</f>
        <v>-364.03907499999997</v>
      </c>
    </row>
    <row r="10" spans="1:32" x14ac:dyDescent="0.25">
      <c r="A10" s="119" t="s">
        <v>23</v>
      </c>
      <c r="B10" s="120">
        <f>-'SALES SUMMARY'!N11</f>
        <v>0</v>
      </c>
      <c r="C10" s="120">
        <f>-'SALES SUMMARY'!N14</f>
        <v>-35.749300000000005</v>
      </c>
      <c r="D10" s="120">
        <f>-'SALES SUMMARY'!N17</f>
        <v>-60.683600000000006</v>
      </c>
      <c r="E10" s="120">
        <f>-'SALES SUMMARY'!N20</f>
        <v>-11.239000000000001</v>
      </c>
      <c r="F10" s="120">
        <f>-'SALES SUMMARY'!N23</f>
        <v>0</v>
      </c>
      <c r="G10" s="120">
        <f>-'SALES SUMMARY'!N26</f>
        <v>-107.95425</v>
      </c>
      <c r="H10" s="120">
        <f>-'SALES SUMMARY'!N29</f>
        <v>-70.369100000000003</v>
      </c>
      <c r="I10" s="120">
        <f>-'SALES SUMMARY'!N32</f>
        <v>-73.003600000000006</v>
      </c>
      <c r="J10" s="120">
        <f>-'SALES SUMMARY'!N35</f>
        <v>-51.295400000000001</v>
      </c>
      <c r="K10" s="120">
        <f>-'SALES SUMMARY'!N38</f>
        <v>-139.9786</v>
      </c>
      <c r="L10" s="120">
        <f>-'SALES SUMMARY'!N41</f>
        <v>-6.3384</v>
      </c>
      <c r="M10" s="120">
        <f>-'SALES SUMMARY'!N44</f>
        <v>0</v>
      </c>
      <c r="N10" s="120">
        <f>-'SALES SUMMARY'!N47</f>
        <v>0</v>
      </c>
      <c r="O10" s="120">
        <f>-'SALES SUMMARY'!N50</f>
        <v>-102.89619999999999</v>
      </c>
      <c r="P10" s="120">
        <f>-'SALES SUMMARY'!N53</f>
        <v>-55.095150000000004</v>
      </c>
      <c r="Q10" s="120">
        <f>-'SALES SUMMARY'!N56</f>
        <v>-109.72110000000001</v>
      </c>
      <c r="R10" s="120">
        <f>-'SALES SUMMARY'!N59</f>
        <v>-125.95090000000002</v>
      </c>
      <c r="S10" s="120">
        <f>-'SALES SUMMARY'!N62</f>
        <v>-20.622900000000001</v>
      </c>
      <c r="T10" s="120">
        <f>-'SALES SUMMARY'!N65</f>
        <v>0</v>
      </c>
      <c r="U10" s="120">
        <f>-'SALES SUMMARY'!N68</f>
        <v>-73.477950000000007</v>
      </c>
      <c r="V10" s="120">
        <f>-'SALES SUMMARY'!N71</f>
        <v>-65.496949999999998</v>
      </c>
      <c r="W10" s="120">
        <f>-'SALES SUMMARY'!N74</f>
        <v>-117.04474999999999</v>
      </c>
      <c r="X10" s="120">
        <f>-'SALES SUMMARY'!N77</f>
        <v>-47.992500000000007</v>
      </c>
      <c r="Y10" s="120">
        <f>-'SALES SUMMARY'!N80</f>
        <v>-145.50574999999998</v>
      </c>
      <c r="Z10" s="120">
        <f>-'SALES SUMMARY'!N83</f>
        <v>0</v>
      </c>
      <c r="AA10" s="120">
        <f>-'SALES SUMMARY'!N86</f>
        <v>0</v>
      </c>
      <c r="AB10" s="120">
        <f>-'SALES SUMMARY'!N89</f>
        <v>-61.3322</v>
      </c>
      <c r="AC10" s="120">
        <f>-'SALES SUMMARY'!N92</f>
        <v>-92.194549999999992</v>
      </c>
      <c r="AD10" s="120">
        <f>-'SALES SUMMARY'!N95</f>
        <v>-155.51895000000002</v>
      </c>
      <c r="AE10" s="120">
        <f>-'SALES SUMMARY'!N98</f>
        <v>-120.57575</v>
      </c>
      <c r="AF10" s="120">
        <f>-'SALES SUMMARY'!N100</f>
        <v>-84.660250000000005</v>
      </c>
    </row>
    <row r="11" spans="1:32" x14ac:dyDescent="0.25">
      <c r="A11" s="119" t="s">
        <v>24</v>
      </c>
      <c r="B11" s="120">
        <f>-'SALES SUMMARY'!O11</f>
        <v>0</v>
      </c>
      <c r="C11" s="120">
        <f>-'SALES SUMMARY'!O14</f>
        <v>-6960.3887100000002</v>
      </c>
      <c r="D11" s="120">
        <f>-'SALES SUMMARY'!O17</f>
        <v>-11815.09692</v>
      </c>
      <c r="E11" s="120">
        <f>-'SALES SUMMARY'!O20</f>
        <v>-2188.2333000000003</v>
      </c>
      <c r="F11" s="120">
        <f>-'SALES SUMMARY'!O23</f>
        <v>0</v>
      </c>
      <c r="G11" s="120">
        <f>-'SALES SUMMARY'!O26</f>
        <v>-21018.692474999996</v>
      </c>
      <c r="H11" s="120">
        <f>-'SALES SUMMARY'!O29</f>
        <v>-13700.86377</v>
      </c>
      <c r="I11" s="120">
        <f>-'SALES SUMMARY'!O32</f>
        <v>-14213.800919999998</v>
      </c>
      <c r="J11" s="120">
        <f>-'SALES SUMMARY'!O35</f>
        <v>-9987.2143799999994</v>
      </c>
      <c r="K11" s="120">
        <f>-'SALES SUMMARY'!O38</f>
        <v>-27253.833419999999</v>
      </c>
      <c r="L11" s="120">
        <f>-'SALES SUMMARY'!O41</f>
        <v>-1234.0864799999999</v>
      </c>
      <c r="M11" s="120">
        <f>-'SALES SUMMARY'!O44</f>
        <v>0</v>
      </c>
      <c r="N11" s="120">
        <f>-'SALES SUMMARY'!O47</f>
        <v>0</v>
      </c>
      <c r="O11" s="120">
        <f>-'SALES SUMMARY'!O50</f>
        <v>-20033.89014</v>
      </c>
      <c r="P11" s="120">
        <f>-'SALES SUMMARY'!O53</f>
        <v>-10727.025705</v>
      </c>
      <c r="Q11" s="120">
        <f>-'SALES SUMMARY'!O56</f>
        <v>-21362.69817</v>
      </c>
      <c r="R11" s="120">
        <f>-'SALES SUMMARY'!O59</f>
        <v>-24522.640230000001</v>
      </c>
      <c r="S11" s="120">
        <f>-'SALES SUMMARY'!O62</f>
        <v>-4015.2786300000002</v>
      </c>
      <c r="T11" s="120">
        <f>-'SALES SUMMARY'!O65</f>
        <v>0</v>
      </c>
      <c r="U11" s="120">
        <f>-'SALES SUMMARY'!O68</f>
        <v>-14306.156865000001</v>
      </c>
      <c r="V11" s="120">
        <f>-'SALES SUMMARY'!O71</f>
        <v>-12752.256165000001</v>
      </c>
      <c r="W11" s="120">
        <f>-'SALES SUMMARY'!O74</f>
        <v>-22788.612825</v>
      </c>
      <c r="X11" s="120">
        <f>-'SALES SUMMARY'!O77</f>
        <v>-9344.1397499999985</v>
      </c>
      <c r="Y11" s="120">
        <f>-'SALES SUMMARY'!O80</f>
        <v>-28329.969524999997</v>
      </c>
      <c r="Z11" s="120">
        <f>-'SALES SUMMARY'!O83</f>
        <v>0</v>
      </c>
      <c r="AA11" s="120">
        <f>-'SALES SUMMARY'!O86</f>
        <v>0</v>
      </c>
      <c r="AB11" s="120">
        <f>-'SALES SUMMARY'!O89</f>
        <v>-11941.37934</v>
      </c>
      <c r="AC11" s="120">
        <f>-'SALES SUMMARY'!O92</f>
        <v>-17950.278885</v>
      </c>
      <c r="AD11" s="120">
        <f>-'SALES SUMMARY'!O95</f>
        <v>-30279.539564999999</v>
      </c>
      <c r="AE11" s="120">
        <f>-'SALES SUMMARY'!O98</f>
        <v>-23476.098524999998</v>
      </c>
      <c r="AF11" s="120">
        <f>-'SALES SUMMARY'!O100</f>
        <v>-16483.350674999998</v>
      </c>
    </row>
    <row r="12" spans="1:32" x14ac:dyDescent="0.25">
      <c r="A12" s="119" t="s">
        <v>25</v>
      </c>
      <c r="B12" s="120">
        <f>'SALES SUMMARY'!P11</f>
        <v>0</v>
      </c>
      <c r="C12" s="120">
        <f>'SALES SUMMARY'!P14</f>
        <v>0</v>
      </c>
      <c r="D12" s="120">
        <f>'SALES SUMMARY'!P17</f>
        <v>0</v>
      </c>
      <c r="E12" s="120">
        <f>'SALES SUMMARY'!P20</f>
        <v>0</v>
      </c>
      <c r="F12" s="120">
        <f>'SALES SUMMARY'!P23</f>
        <v>0</v>
      </c>
      <c r="G12" s="120">
        <f>'SALES SUMMARY'!P26</f>
        <v>0</v>
      </c>
      <c r="H12" s="120">
        <f>'SALES SUMMARY'!P29</f>
        <v>0</v>
      </c>
      <c r="I12" s="120">
        <f>'SALES SUMMARY'!P32</f>
        <v>0</v>
      </c>
      <c r="J12" s="120">
        <f>'SALES SUMMARY'!P35</f>
        <v>0</v>
      </c>
      <c r="K12" s="120">
        <f>'SALES SUMMARY'!P38</f>
        <v>0</v>
      </c>
      <c r="L12" s="120">
        <f>'SALES SUMMARY'!P41</f>
        <v>0</v>
      </c>
      <c r="M12" s="120">
        <f>'SALES SUMMARY'!P44</f>
        <v>0</v>
      </c>
      <c r="N12" s="120">
        <f>'SALES SUMMARY'!P47</f>
        <v>0</v>
      </c>
      <c r="O12" s="120">
        <f>'SALES SUMMARY'!P50</f>
        <v>0</v>
      </c>
      <c r="P12" s="120">
        <f>'SALES SUMMARY'!P53</f>
        <v>0</v>
      </c>
      <c r="Q12" s="120">
        <f>'SALES SUMMARY'!P56</f>
        <v>0</v>
      </c>
      <c r="R12" s="120">
        <f>'SALES SUMMARY'!P59</f>
        <v>0</v>
      </c>
      <c r="S12" s="120">
        <f>'SALES SUMMARY'!P62</f>
        <v>0</v>
      </c>
      <c r="T12" s="120">
        <f>'SALES SUMMARY'!P65</f>
        <v>0</v>
      </c>
      <c r="U12" s="120">
        <f>'SALES SUMMARY'!P68</f>
        <v>0</v>
      </c>
      <c r="V12" s="120">
        <f>'SALES SUMMARY'!P71</f>
        <v>0</v>
      </c>
      <c r="W12" s="120">
        <f>'SALES SUMMARY'!P74</f>
        <v>0</v>
      </c>
      <c r="X12" s="120">
        <f>'SALES SUMMARY'!P77</f>
        <v>0</v>
      </c>
      <c r="Y12" s="120">
        <f>'SALES SUMMARY'!P80</f>
        <v>0</v>
      </c>
      <c r="Z12" s="120">
        <f>'SALES SUMMARY'!P83</f>
        <v>0</v>
      </c>
      <c r="AA12" s="120">
        <f>'SALES SUMMARY'!P86</f>
        <v>0</v>
      </c>
      <c r="AB12" s="120">
        <f>'SALES SUMMARY'!P89</f>
        <v>0</v>
      </c>
      <c r="AC12" s="120">
        <f>'SALES SUMMARY'!P92</f>
        <v>0</v>
      </c>
      <c r="AD12" s="120">
        <f>'SALES SUMMARY'!P95</f>
        <v>0</v>
      </c>
      <c r="AE12" s="120">
        <f>'SALES SUMMARY'!P98</f>
        <v>0</v>
      </c>
      <c r="AF12" s="120">
        <f>'SALES SUMMARY'!P100</f>
        <v>0</v>
      </c>
    </row>
    <row r="13" spans="1:32" x14ac:dyDescent="0.25">
      <c r="A13" s="119" t="s">
        <v>29</v>
      </c>
      <c r="B13" s="120">
        <f>-'SALES SUMMARY'!T11</f>
        <v>0</v>
      </c>
      <c r="C13" s="120">
        <f>-'SALES SUMMARY'!T14</f>
        <v>0</v>
      </c>
      <c r="D13" s="120">
        <f>-'SALES SUMMARY'!T17</f>
        <v>0</v>
      </c>
      <c r="E13" s="120">
        <f>-'SALES SUMMARY'!T20</f>
        <v>0</v>
      </c>
      <c r="F13" s="120">
        <f>-'SALES SUMMARY'!T23</f>
        <v>0</v>
      </c>
      <c r="G13" s="120">
        <f>-'SALES SUMMARY'!T26</f>
        <v>0</v>
      </c>
      <c r="H13" s="120">
        <f>-'SALES SUMMARY'!T29</f>
        <v>0</v>
      </c>
      <c r="I13" s="120">
        <f>-'SALES SUMMARY'!T32</f>
        <v>0</v>
      </c>
      <c r="J13" s="120">
        <f>-'SALES SUMMARY'!T35</f>
        <v>0</v>
      </c>
      <c r="K13" s="120">
        <f>-'SALES SUMMARY'!T38</f>
        <v>0</v>
      </c>
      <c r="L13" s="120">
        <f>-'SALES SUMMARY'!T41</f>
        <v>0</v>
      </c>
      <c r="M13" s="120">
        <f>-'SALES SUMMARY'!T44</f>
        <v>0</v>
      </c>
      <c r="N13" s="120">
        <f>-'SALES SUMMARY'!T47</f>
        <v>0</v>
      </c>
      <c r="O13" s="120">
        <f>-'SALES SUMMARY'!T50</f>
        <v>0</v>
      </c>
      <c r="P13" s="120">
        <f>-'SALES SUMMARY'!T53</f>
        <v>0</v>
      </c>
      <c r="Q13" s="120">
        <f>-'SALES SUMMARY'!T56</f>
        <v>0</v>
      </c>
      <c r="R13" s="120">
        <f>-'SALES SUMMARY'!T59</f>
        <v>0</v>
      </c>
      <c r="S13" s="120">
        <f>-'SALES SUMMARY'!T62</f>
        <v>0</v>
      </c>
      <c r="T13" s="120">
        <f>-'SALES SUMMARY'!T65</f>
        <v>0</v>
      </c>
      <c r="U13" s="120">
        <f>-'SALES SUMMARY'!T68</f>
        <v>0</v>
      </c>
      <c r="V13" s="120">
        <f>-'SALES SUMMARY'!T71</f>
        <v>0</v>
      </c>
      <c r="W13" s="120">
        <f>-'SALES SUMMARY'!T74</f>
        <v>0</v>
      </c>
      <c r="X13" s="120">
        <f>-'SALES SUMMARY'!T77</f>
        <v>0</v>
      </c>
      <c r="Y13" s="120">
        <f>-'SALES SUMMARY'!T80</f>
        <v>0</v>
      </c>
      <c r="Z13" s="120">
        <f>-'SALES SUMMARY'!T83</f>
        <v>0</v>
      </c>
      <c r="AA13" s="120">
        <f>-'SALES SUMMARY'!T86</f>
        <v>0</v>
      </c>
      <c r="AB13" s="120">
        <f>-'SALES SUMMARY'!T89</f>
        <v>0</v>
      </c>
      <c r="AC13" s="120">
        <f>-'SALES SUMMARY'!T92</f>
        <v>0</v>
      </c>
      <c r="AD13" s="120">
        <f>-'SALES SUMMARY'!T95</f>
        <v>0</v>
      </c>
      <c r="AE13" s="120">
        <f>-'SALES SUMMARY'!T98</f>
        <v>0</v>
      </c>
      <c r="AF13" s="120">
        <f>-'SALES SUMMARY'!T100</f>
        <v>0</v>
      </c>
    </row>
    <row r="14" spans="1:32" x14ac:dyDescent="0.25">
      <c r="A14" s="119" t="s">
        <v>30</v>
      </c>
      <c r="B14" s="120">
        <f>-'SALES SUMMARY'!U11</f>
        <v>0</v>
      </c>
      <c r="C14" s="120">
        <f>-'SALES SUMMARY'!U14</f>
        <v>0</v>
      </c>
      <c r="D14" s="120">
        <f>-'SALES SUMMARY'!U17</f>
        <v>0</v>
      </c>
      <c r="E14" s="120">
        <f>-'SALES SUMMARY'!U20</f>
        <v>0</v>
      </c>
      <c r="F14" s="120">
        <f>-'SALES SUMMARY'!U23</f>
        <v>0</v>
      </c>
      <c r="G14" s="120">
        <f>-'SALES SUMMARY'!U26</f>
        <v>0</v>
      </c>
      <c r="H14" s="120">
        <f>-'SALES SUMMARY'!U29</f>
        <v>0</v>
      </c>
      <c r="I14" s="120">
        <f>-'SALES SUMMARY'!U32</f>
        <v>0</v>
      </c>
      <c r="J14" s="120">
        <f>-'SALES SUMMARY'!U35</f>
        <v>0</v>
      </c>
      <c r="K14" s="120">
        <f>-'SALES SUMMARY'!U38</f>
        <v>0</v>
      </c>
      <c r="L14" s="120">
        <f>-'SALES SUMMARY'!U41</f>
        <v>0</v>
      </c>
      <c r="M14" s="120">
        <f>-'SALES SUMMARY'!U44</f>
        <v>0</v>
      </c>
      <c r="N14" s="120">
        <f>-'SALES SUMMARY'!U47</f>
        <v>0</v>
      </c>
      <c r="O14" s="120">
        <f>-'SALES SUMMARY'!U50</f>
        <v>0</v>
      </c>
      <c r="P14" s="120">
        <f>-'SALES SUMMARY'!U53</f>
        <v>0</v>
      </c>
      <c r="Q14" s="120">
        <f>-'SALES SUMMARY'!U56</f>
        <v>0</v>
      </c>
      <c r="R14" s="120">
        <f>-'SALES SUMMARY'!U59</f>
        <v>0</v>
      </c>
      <c r="S14" s="120">
        <f>-'SALES SUMMARY'!U62</f>
        <v>0</v>
      </c>
      <c r="T14" s="120">
        <f>-'SALES SUMMARY'!U65</f>
        <v>0</v>
      </c>
      <c r="U14" s="120">
        <f>-'SALES SUMMARY'!U68</f>
        <v>0</v>
      </c>
      <c r="V14" s="120">
        <f>-'SALES SUMMARY'!U71</f>
        <v>0</v>
      </c>
      <c r="W14" s="120">
        <f>-'SALES SUMMARY'!U74</f>
        <v>0</v>
      </c>
      <c r="X14" s="120">
        <f>-'SALES SUMMARY'!U77</f>
        <v>0</v>
      </c>
      <c r="Y14" s="120">
        <f>-'SALES SUMMARY'!U80</f>
        <v>0</v>
      </c>
      <c r="Z14" s="120">
        <f>-'SALES SUMMARY'!U83</f>
        <v>0</v>
      </c>
      <c r="AA14" s="120">
        <f>-'SALES SUMMARY'!U86</f>
        <v>0</v>
      </c>
      <c r="AB14" s="120">
        <f>-'SALES SUMMARY'!U89</f>
        <v>0</v>
      </c>
      <c r="AC14" s="120">
        <f>-'SALES SUMMARY'!U92</f>
        <v>0</v>
      </c>
      <c r="AD14" s="120">
        <f>-'SALES SUMMARY'!U95</f>
        <v>0</v>
      </c>
      <c r="AE14" s="120">
        <f>-'SALES SUMMARY'!U98</f>
        <v>0</v>
      </c>
      <c r="AF14" s="120">
        <f>-'SALES SUMMARY'!U100</f>
        <v>0</v>
      </c>
    </row>
    <row r="15" spans="1:32" x14ac:dyDescent="0.25">
      <c r="A15" s="119" t="s">
        <v>31</v>
      </c>
      <c r="B15" s="120">
        <f>-'SALES SUMMARY'!V11</f>
        <v>0</v>
      </c>
      <c r="C15" s="120">
        <f>-'SALES SUMMARY'!V14</f>
        <v>0</v>
      </c>
      <c r="D15" s="120">
        <f>-'SALES SUMMARY'!V17</f>
        <v>0</v>
      </c>
      <c r="E15" s="120">
        <f>-'SALES SUMMARY'!V20</f>
        <v>0</v>
      </c>
      <c r="F15" s="120">
        <f>-'SALES SUMMARY'!V23</f>
        <v>0</v>
      </c>
      <c r="G15" s="120">
        <f>-'SALES SUMMARY'!V26</f>
        <v>0</v>
      </c>
      <c r="H15" s="120">
        <f>-'SALES SUMMARY'!V29</f>
        <v>0</v>
      </c>
      <c r="I15" s="120">
        <f>-'SALES SUMMARY'!V32</f>
        <v>0</v>
      </c>
      <c r="J15" s="120">
        <f>-'SALES SUMMARY'!V35</f>
        <v>0</v>
      </c>
      <c r="K15" s="120">
        <f>-'SALES SUMMARY'!V38</f>
        <v>0</v>
      </c>
      <c r="L15" s="120">
        <f>-'SALES SUMMARY'!V41</f>
        <v>0</v>
      </c>
      <c r="M15" s="120">
        <f>-'SALES SUMMARY'!V44</f>
        <v>0</v>
      </c>
      <c r="N15" s="120">
        <f>-'SALES SUMMARY'!V47</f>
        <v>0</v>
      </c>
      <c r="O15" s="120">
        <f>-'SALES SUMMARY'!V50</f>
        <v>0</v>
      </c>
      <c r="P15" s="120">
        <f>-'SALES SUMMARY'!V53</f>
        <v>0</v>
      </c>
      <c r="Q15" s="120">
        <f>-'SALES SUMMARY'!V56</f>
        <v>0</v>
      </c>
      <c r="R15" s="120">
        <f>-'SALES SUMMARY'!V59</f>
        <v>0</v>
      </c>
      <c r="S15" s="120">
        <f>-'SALES SUMMARY'!V62</f>
        <v>0</v>
      </c>
      <c r="T15" s="120">
        <f>-'SALES SUMMARY'!V65</f>
        <v>0</v>
      </c>
      <c r="U15" s="120">
        <f>-'SALES SUMMARY'!V68</f>
        <v>0</v>
      </c>
      <c r="V15" s="120">
        <f>-'SALES SUMMARY'!V71</f>
        <v>0</v>
      </c>
      <c r="W15" s="120">
        <f>-'SALES SUMMARY'!V74</f>
        <v>0</v>
      </c>
      <c r="X15" s="120">
        <f>-'SALES SUMMARY'!V77</f>
        <v>0</v>
      </c>
      <c r="Y15" s="120">
        <f>-'SALES SUMMARY'!V80</f>
        <v>0</v>
      </c>
      <c r="Z15" s="120">
        <f>-'SALES SUMMARY'!V83</f>
        <v>0</v>
      </c>
      <c r="AA15" s="120">
        <f>-'SALES SUMMARY'!V86</f>
        <v>0</v>
      </c>
      <c r="AB15" s="120">
        <f>-'SALES SUMMARY'!V89</f>
        <v>0</v>
      </c>
      <c r="AC15" s="120">
        <f>-'SALES SUMMARY'!V92</f>
        <v>0</v>
      </c>
      <c r="AD15" s="120">
        <f>-'SALES SUMMARY'!V95</f>
        <v>0</v>
      </c>
      <c r="AE15" s="120">
        <f>-'SALES SUMMARY'!V98</f>
        <v>0</v>
      </c>
      <c r="AF15" s="120">
        <f>-'SALES SUMMARY'!V100</f>
        <v>0</v>
      </c>
    </row>
    <row r="16" spans="1:32" x14ac:dyDescent="0.25">
      <c r="A16" s="119" t="s">
        <v>32</v>
      </c>
      <c r="B16" s="120">
        <f>'SALES SUMMARY'!W11</f>
        <v>0</v>
      </c>
      <c r="C16" s="120">
        <f>'SALES SUMMARY'!W14</f>
        <v>0</v>
      </c>
      <c r="D16" s="120">
        <f>'SALES SUMMARY'!W17</f>
        <v>0</v>
      </c>
      <c r="E16" s="120">
        <f>'SALES SUMMARY'!W20</f>
        <v>0</v>
      </c>
      <c r="F16" s="120">
        <f>'SALES SUMMARY'!W23</f>
        <v>0</v>
      </c>
      <c r="G16" s="120">
        <f>'SALES SUMMARY'!W26</f>
        <v>0</v>
      </c>
      <c r="H16" s="120">
        <f>'SALES SUMMARY'!W29</f>
        <v>0</v>
      </c>
      <c r="I16" s="120">
        <f>'SALES SUMMARY'!W32</f>
        <v>0</v>
      </c>
      <c r="J16" s="120">
        <f>'SALES SUMMARY'!W35</f>
        <v>0</v>
      </c>
      <c r="K16" s="120">
        <f>'SALES SUMMARY'!W38</f>
        <v>0</v>
      </c>
      <c r="L16" s="120">
        <f>'SALES SUMMARY'!W41</f>
        <v>0</v>
      </c>
      <c r="M16" s="120">
        <f>'SALES SUMMARY'!W44</f>
        <v>0</v>
      </c>
      <c r="N16" s="120">
        <f>'SALES SUMMARY'!W47</f>
        <v>0</v>
      </c>
      <c r="O16" s="120">
        <f>'SALES SUMMARY'!W50</f>
        <v>0</v>
      </c>
      <c r="P16" s="120">
        <f>'SALES SUMMARY'!W53</f>
        <v>0</v>
      </c>
      <c r="Q16" s="120">
        <f>'SALES SUMMARY'!W56</f>
        <v>0</v>
      </c>
      <c r="R16" s="120">
        <f>'SALES SUMMARY'!W59</f>
        <v>0</v>
      </c>
      <c r="S16" s="120">
        <f>'SALES SUMMARY'!W62</f>
        <v>0</v>
      </c>
      <c r="T16" s="120">
        <f>'SALES SUMMARY'!W65</f>
        <v>0</v>
      </c>
      <c r="U16" s="120">
        <f>'SALES SUMMARY'!W68</f>
        <v>0</v>
      </c>
      <c r="V16" s="120">
        <f>'SALES SUMMARY'!W71</f>
        <v>0</v>
      </c>
      <c r="W16" s="120">
        <f>'SALES SUMMARY'!W74</f>
        <v>0</v>
      </c>
      <c r="X16" s="120">
        <f>'SALES SUMMARY'!W77</f>
        <v>0</v>
      </c>
      <c r="Y16" s="120">
        <f>'SALES SUMMARY'!W80</f>
        <v>0</v>
      </c>
      <c r="Z16" s="120">
        <f>'SALES SUMMARY'!W83</f>
        <v>0</v>
      </c>
      <c r="AA16" s="120">
        <f>'SALES SUMMARY'!W86</f>
        <v>0</v>
      </c>
      <c r="AB16" s="120">
        <f>'SALES SUMMARY'!W89</f>
        <v>0</v>
      </c>
      <c r="AC16" s="120">
        <f>'SALES SUMMARY'!W92</f>
        <v>0</v>
      </c>
      <c r="AD16" s="120">
        <f>'SALES SUMMARY'!W95</f>
        <v>0</v>
      </c>
      <c r="AE16" s="120">
        <f>'SALES SUMMARY'!W98</f>
        <v>0</v>
      </c>
      <c r="AF16" s="120">
        <f>'SALES SUMMARY'!W100</f>
        <v>0</v>
      </c>
    </row>
    <row r="17" spans="1:32" x14ac:dyDescent="0.25">
      <c r="A17" s="119" t="s">
        <v>63</v>
      </c>
      <c r="B17" s="120">
        <f>-'SALES SUMMARY'!Y11</f>
        <v>0</v>
      </c>
      <c r="C17" s="120">
        <f>-'SALES SUMMARY'!Y14</f>
        <v>0</v>
      </c>
      <c r="D17" s="120">
        <f>-'SALES SUMMARY'!Y17</f>
        <v>0</v>
      </c>
      <c r="E17" s="120">
        <f>-'SALES SUMMARY'!Y20</f>
        <v>0</v>
      </c>
      <c r="F17" s="120">
        <f>-'SALES SUMMARY'!Y23</f>
        <v>0</v>
      </c>
      <c r="G17" s="120">
        <f>-'SALES SUMMARY'!Y26</f>
        <v>0</v>
      </c>
      <c r="H17" s="120">
        <f>-'SALES SUMMARY'!Y29</f>
        <v>0</v>
      </c>
      <c r="I17" s="120">
        <f>-'SALES SUMMARY'!Y32</f>
        <v>0</v>
      </c>
      <c r="J17" s="120">
        <f>-'SALES SUMMARY'!Y35</f>
        <v>0</v>
      </c>
      <c r="K17" s="120">
        <f>-'SALES SUMMARY'!Y38</f>
        <v>0</v>
      </c>
      <c r="L17" s="120">
        <f>-'SALES SUMMARY'!Y41</f>
        <v>0</v>
      </c>
      <c r="M17" s="120">
        <f>-'SALES SUMMARY'!Y44</f>
        <v>0</v>
      </c>
      <c r="N17" s="120">
        <f>-'SALES SUMMARY'!Y47</f>
        <v>0</v>
      </c>
      <c r="O17" s="120">
        <f>-'SALES SUMMARY'!Y50</f>
        <v>0</v>
      </c>
      <c r="P17" s="120">
        <f>-'SALES SUMMARY'!Y53</f>
        <v>0</v>
      </c>
      <c r="Q17" s="120">
        <f>-'SALES SUMMARY'!Y56</f>
        <v>0</v>
      </c>
      <c r="R17" s="120">
        <f>-'SALES SUMMARY'!Y59</f>
        <v>0</v>
      </c>
      <c r="S17" s="120">
        <f>-'SALES SUMMARY'!Y62</f>
        <v>0</v>
      </c>
      <c r="T17" s="120">
        <f>-'SALES SUMMARY'!Y65</f>
        <v>0</v>
      </c>
      <c r="U17" s="120">
        <f>-'SALES SUMMARY'!Y68</f>
        <v>0</v>
      </c>
      <c r="V17" s="120">
        <f>-'SALES SUMMARY'!Y71</f>
        <v>0</v>
      </c>
      <c r="W17" s="120">
        <f>-'SALES SUMMARY'!Y74</f>
        <v>0</v>
      </c>
      <c r="X17" s="120">
        <f>-'SALES SUMMARY'!Y77</f>
        <v>0</v>
      </c>
      <c r="Y17" s="120">
        <f>-'SALES SUMMARY'!Y80</f>
        <v>0</v>
      </c>
      <c r="Z17" s="120">
        <f>-'SALES SUMMARY'!Y83</f>
        <v>0</v>
      </c>
      <c r="AA17" s="120">
        <f>-'SALES SUMMARY'!Y86</f>
        <v>0</v>
      </c>
      <c r="AB17" s="120">
        <f>-'SALES SUMMARY'!Y89</f>
        <v>0</v>
      </c>
      <c r="AC17" s="120">
        <f>-'SALES SUMMARY'!Y92</f>
        <v>0</v>
      </c>
      <c r="AD17" s="120">
        <f>-'SALES SUMMARY'!Y95</f>
        <v>0</v>
      </c>
      <c r="AE17" s="120">
        <f>-'SALES SUMMARY'!Y98</f>
        <v>0</v>
      </c>
      <c r="AF17" s="120">
        <f>-'SALES SUMMARY'!Y100</f>
        <v>0</v>
      </c>
    </row>
    <row r="18" spans="1:32" x14ac:dyDescent="0.25">
      <c r="A18" s="119" t="s">
        <v>100</v>
      </c>
      <c r="B18" s="120">
        <f>-'SALES SUMMARY'!Z11</f>
        <v>0</v>
      </c>
      <c r="C18" s="120">
        <f>-'SALES SUMMARY'!Z14</f>
        <v>0</v>
      </c>
      <c r="D18" s="120">
        <f>-'SALES SUMMARY'!Z17</f>
        <v>0</v>
      </c>
      <c r="E18" s="120">
        <f>-'SALES SUMMARY'!Z20</f>
        <v>0</v>
      </c>
      <c r="F18" s="120">
        <f>-'SALES SUMMARY'!Z23</f>
        <v>0</v>
      </c>
      <c r="G18" s="120">
        <f>-'SALES SUMMARY'!Z26</f>
        <v>0</v>
      </c>
      <c r="H18" s="120">
        <f>-'SALES SUMMARY'!Z29</f>
        <v>0</v>
      </c>
      <c r="I18" s="120">
        <f>-'SALES SUMMARY'!Z32</f>
        <v>0</v>
      </c>
      <c r="J18" s="120">
        <f>-'SALES SUMMARY'!Z35</f>
        <v>0</v>
      </c>
      <c r="K18" s="120">
        <f>-'SALES SUMMARY'!Z38</f>
        <v>0</v>
      </c>
      <c r="L18" s="120">
        <f>-'SALES SUMMARY'!Z41</f>
        <v>0</v>
      </c>
      <c r="M18" s="120">
        <f>-'SALES SUMMARY'!Z44</f>
        <v>0</v>
      </c>
      <c r="N18" s="120">
        <f>-'SALES SUMMARY'!Z47</f>
        <v>0</v>
      </c>
      <c r="O18" s="120">
        <f>-'SALES SUMMARY'!Z50</f>
        <v>0</v>
      </c>
      <c r="P18" s="120">
        <f>-'SALES SUMMARY'!Z53</f>
        <v>0</v>
      </c>
      <c r="Q18" s="120">
        <f>-'SALES SUMMARY'!Z56</f>
        <v>0</v>
      </c>
      <c r="R18" s="120">
        <f>-'SALES SUMMARY'!Z59</f>
        <v>0</v>
      </c>
      <c r="S18" s="120">
        <f>-'SALES SUMMARY'!Z62</f>
        <v>0</v>
      </c>
      <c r="T18" s="120">
        <f>-'SALES SUMMARY'!Z65</f>
        <v>0</v>
      </c>
      <c r="U18" s="120">
        <f>-'SALES SUMMARY'!Z68</f>
        <v>0</v>
      </c>
      <c r="V18" s="120">
        <f>-'SALES SUMMARY'!Z71</f>
        <v>0</v>
      </c>
      <c r="W18" s="120">
        <f>-'SALES SUMMARY'!Z74</f>
        <v>0</v>
      </c>
      <c r="X18" s="120">
        <f>-'SALES SUMMARY'!Z77</f>
        <v>0</v>
      </c>
      <c r="Y18" s="120">
        <f>-'SALES SUMMARY'!Z80</f>
        <v>0</v>
      </c>
      <c r="Z18" s="120">
        <f>-'SALES SUMMARY'!Z83</f>
        <v>0</v>
      </c>
      <c r="AA18" s="120">
        <f>-'SALES SUMMARY'!Z86</f>
        <v>0</v>
      </c>
      <c r="AB18" s="120">
        <f>-'SALES SUMMARY'!Z89</f>
        <v>0</v>
      </c>
      <c r="AC18" s="120">
        <f>-'SALES SUMMARY'!Z92</f>
        <v>0</v>
      </c>
      <c r="AD18" s="120">
        <f>-'SALES SUMMARY'!Z95</f>
        <v>0</v>
      </c>
      <c r="AE18" s="120">
        <f>-'SALES SUMMARY'!Z98</f>
        <v>0</v>
      </c>
      <c r="AF18" s="120">
        <f>-'SALES SUMMARY'!Z100</f>
        <v>-1019</v>
      </c>
    </row>
    <row r="19" spans="1:32" x14ac:dyDescent="0.25">
      <c r="A19" s="119" t="s">
        <v>101</v>
      </c>
      <c r="B19" s="120">
        <f>-'SALES SUMMARY'!AA11</f>
        <v>0</v>
      </c>
      <c r="C19" s="120">
        <f>-'SALES SUMMARY'!AA14</f>
        <v>0</v>
      </c>
      <c r="D19" s="120">
        <f>-'SALES SUMMARY'!AA17</f>
        <v>0</v>
      </c>
      <c r="E19" s="120">
        <f>-'SALES SUMMARY'!AA20</f>
        <v>0</v>
      </c>
      <c r="F19" s="120">
        <f>-'SALES SUMMARY'!AA23</f>
        <v>0</v>
      </c>
      <c r="G19" s="120">
        <f>-'SALES SUMMARY'!AA26</f>
        <v>0</v>
      </c>
      <c r="H19" s="120">
        <f>-'SALES SUMMARY'!AA29</f>
        <v>0</v>
      </c>
      <c r="I19" s="120">
        <f>-'SALES SUMMARY'!AA32</f>
        <v>0</v>
      </c>
      <c r="J19" s="120">
        <f>-'SALES SUMMARY'!AA35</f>
        <v>0</v>
      </c>
      <c r="K19" s="120">
        <f>-'SALES SUMMARY'!AA38</f>
        <v>0</v>
      </c>
      <c r="L19" s="120">
        <f>-'SALES SUMMARY'!AA41</f>
        <v>0</v>
      </c>
      <c r="M19" s="120">
        <f>-'SALES SUMMARY'!AA44</f>
        <v>0</v>
      </c>
      <c r="N19" s="120">
        <f>-'SALES SUMMARY'!AA47</f>
        <v>0</v>
      </c>
      <c r="O19" s="120">
        <f>-'SALES SUMMARY'!AA50</f>
        <v>0</v>
      </c>
      <c r="P19" s="120">
        <f>-'SALES SUMMARY'!AA53</f>
        <v>0</v>
      </c>
      <c r="Q19" s="120">
        <f>-'SALES SUMMARY'!AA56</f>
        <v>0</v>
      </c>
      <c r="R19" s="120">
        <f>-'SALES SUMMARY'!AA59</f>
        <v>0</v>
      </c>
      <c r="S19" s="120">
        <f>-'SALES SUMMARY'!AA62</f>
        <v>0</v>
      </c>
      <c r="T19" s="120">
        <f>-'SALES SUMMARY'!AA65</f>
        <v>0</v>
      </c>
      <c r="U19" s="120">
        <f>-'SALES SUMMARY'!AA68</f>
        <v>0</v>
      </c>
      <c r="V19" s="120">
        <f>-'SALES SUMMARY'!AA71</f>
        <v>0</v>
      </c>
      <c r="W19" s="120">
        <f>-'SALES SUMMARY'!AA74</f>
        <v>0</v>
      </c>
      <c r="X19" s="120">
        <f>-'SALES SUMMARY'!AA77</f>
        <v>0</v>
      </c>
      <c r="Y19" s="120">
        <f>-'SALES SUMMARY'!AA80</f>
        <v>0</v>
      </c>
      <c r="Z19" s="120">
        <f>-'SALES SUMMARY'!AA83</f>
        <v>0</v>
      </c>
      <c r="AA19" s="120">
        <f>-'SALES SUMMARY'!AA86</f>
        <v>0</v>
      </c>
      <c r="AB19" s="120">
        <f>-'SALES SUMMARY'!AA89</f>
        <v>0</v>
      </c>
      <c r="AC19" s="120">
        <f>-'SALES SUMMARY'!AA92</f>
        <v>0</v>
      </c>
      <c r="AD19" s="120">
        <f>-'SALES SUMMARY'!AA95</f>
        <v>0</v>
      </c>
      <c r="AE19" s="120">
        <f>-'SALES SUMMARY'!AA98</f>
        <v>0</v>
      </c>
      <c r="AF19" s="120">
        <f>-'SALES SUMMARY'!AA100</f>
        <v>0</v>
      </c>
    </row>
    <row r="20" spans="1:32" x14ac:dyDescent="0.25">
      <c r="A20" s="119" t="s">
        <v>102</v>
      </c>
      <c r="B20" s="120">
        <f>-'SALES SUMMARY'!AB11</f>
        <v>0</v>
      </c>
      <c r="C20" s="120">
        <f>-'SALES SUMMARY'!AB14</f>
        <v>0</v>
      </c>
      <c r="D20" s="120">
        <f>-'SALES SUMMARY'!AB17</f>
        <v>0</v>
      </c>
      <c r="E20" s="120">
        <f>-'SALES SUMMARY'!AB20</f>
        <v>0</v>
      </c>
      <c r="F20" s="120">
        <f>-'SALES SUMMARY'!AB23</f>
        <v>0</v>
      </c>
      <c r="G20" s="120">
        <f>-'SALES SUMMARY'!AB26</f>
        <v>0</v>
      </c>
      <c r="H20" s="120">
        <f>-'SALES SUMMARY'!AB29</f>
        <v>0</v>
      </c>
      <c r="I20" s="120">
        <f>-'SALES SUMMARY'!AB32</f>
        <v>0</v>
      </c>
      <c r="J20" s="120">
        <f>-'SALES SUMMARY'!AB35</f>
        <v>0</v>
      </c>
      <c r="K20" s="120">
        <f>-'SALES SUMMARY'!AB38</f>
        <v>0</v>
      </c>
      <c r="L20" s="120">
        <f>-'SALES SUMMARY'!AB41</f>
        <v>0</v>
      </c>
      <c r="M20" s="120">
        <f>-'SALES SUMMARY'!AB44</f>
        <v>0</v>
      </c>
      <c r="N20" s="120">
        <f>-'SALES SUMMARY'!AB47</f>
        <v>0</v>
      </c>
      <c r="O20" s="120">
        <f>-'SALES SUMMARY'!AB50</f>
        <v>0</v>
      </c>
      <c r="P20" s="120">
        <f>-'SALES SUMMARY'!AB53</f>
        <v>0</v>
      </c>
      <c r="Q20" s="120">
        <f>-'SALES SUMMARY'!AB56</f>
        <v>0</v>
      </c>
      <c r="R20" s="120">
        <f>-'SALES SUMMARY'!AB59</f>
        <v>0</v>
      </c>
      <c r="S20" s="120">
        <f>-'SALES SUMMARY'!AB62</f>
        <v>0</v>
      </c>
      <c r="T20" s="120">
        <f>-'SALES SUMMARY'!AB65</f>
        <v>0</v>
      </c>
      <c r="U20" s="120">
        <f>-'SALES SUMMARY'!AB68</f>
        <v>0</v>
      </c>
      <c r="V20" s="120">
        <f>-'SALES SUMMARY'!AB71</f>
        <v>0</v>
      </c>
      <c r="W20" s="120">
        <f>-'SALES SUMMARY'!AB74</f>
        <v>0</v>
      </c>
      <c r="X20" s="120">
        <f>-'SALES SUMMARY'!AB77</f>
        <v>0</v>
      </c>
      <c r="Y20" s="120">
        <f>-'SALES SUMMARY'!AB80</f>
        <v>0</v>
      </c>
      <c r="Z20" s="120">
        <f>-'SALES SUMMARY'!AB83</f>
        <v>0</v>
      </c>
      <c r="AA20" s="120">
        <f>-'SALES SUMMARY'!AB86</f>
        <v>0</v>
      </c>
      <c r="AB20" s="120">
        <f>-'SALES SUMMARY'!AB89</f>
        <v>0</v>
      </c>
      <c r="AC20" s="120">
        <f>-'SALES SUMMARY'!AB92</f>
        <v>0</v>
      </c>
      <c r="AD20" s="120">
        <f>-'SALES SUMMARY'!AB95</f>
        <v>0</v>
      </c>
      <c r="AE20" s="120">
        <f>-'SALES SUMMARY'!AB98</f>
        <v>0</v>
      </c>
      <c r="AF20" s="120">
        <f>-'SALES SUMMARY'!AB100</f>
        <v>0</v>
      </c>
    </row>
    <row r="21" spans="1:32" x14ac:dyDescent="0.25">
      <c r="A21" s="119" t="s">
        <v>103</v>
      </c>
      <c r="B21" s="120">
        <f>-'SALES SUMMARY'!AC11</f>
        <v>0</v>
      </c>
      <c r="C21" s="120">
        <f>-'SALES SUMMARY'!AC14</f>
        <v>0</v>
      </c>
      <c r="D21" s="120">
        <f>-'SALES SUMMARY'!AC17</f>
        <v>0</v>
      </c>
      <c r="E21" s="120">
        <f>-'SALES SUMMARY'!AC20</f>
        <v>0</v>
      </c>
      <c r="F21" s="120">
        <f>-'SALES SUMMARY'!AC23</f>
        <v>0</v>
      </c>
      <c r="G21" s="120">
        <f>-'SALES SUMMARY'!AC26</f>
        <v>0</v>
      </c>
      <c r="H21" s="120">
        <f>-'SALES SUMMARY'!AC29</f>
        <v>0</v>
      </c>
      <c r="I21" s="120">
        <f>-'SALES SUMMARY'!AC32</f>
        <v>0</v>
      </c>
      <c r="J21" s="120">
        <f>-'SALES SUMMARY'!AC35</f>
        <v>0</v>
      </c>
      <c r="K21" s="120">
        <f>-'SALES SUMMARY'!AC38</f>
        <v>0</v>
      </c>
      <c r="L21" s="120">
        <f>-'SALES SUMMARY'!AC41</f>
        <v>0</v>
      </c>
      <c r="M21" s="120">
        <f>-'SALES SUMMARY'!AC44</f>
        <v>0</v>
      </c>
      <c r="N21" s="120">
        <f>-'SALES SUMMARY'!AC47</f>
        <v>0</v>
      </c>
      <c r="O21" s="120">
        <f>-'SALES SUMMARY'!AC50</f>
        <v>0</v>
      </c>
      <c r="P21" s="120">
        <f>-'SALES SUMMARY'!AC53</f>
        <v>0</v>
      </c>
      <c r="Q21" s="120">
        <f>-'SALES SUMMARY'!AC56</f>
        <v>0</v>
      </c>
      <c r="R21" s="120">
        <f>-'SALES SUMMARY'!AC59</f>
        <v>0</v>
      </c>
      <c r="S21" s="120">
        <f>-'SALES SUMMARY'!AC62</f>
        <v>0</v>
      </c>
      <c r="T21" s="120">
        <f>-'SALES SUMMARY'!AC65</f>
        <v>0</v>
      </c>
      <c r="U21" s="120">
        <f>-'SALES SUMMARY'!AC68</f>
        <v>0</v>
      </c>
      <c r="V21" s="120">
        <f>-'SALES SUMMARY'!AC71</f>
        <v>0</v>
      </c>
      <c r="W21" s="120">
        <f>-'SALES SUMMARY'!AC74</f>
        <v>0</v>
      </c>
      <c r="X21" s="120">
        <f>-'SALES SUMMARY'!AC77</f>
        <v>0</v>
      </c>
      <c r="Y21" s="120">
        <f>-'SALES SUMMARY'!AC80</f>
        <v>0</v>
      </c>
      <c r="Z21" s="120">
        <f>-'SALES SUMMARY'!AC83</f>
        <v>0</v>
      </c>
      <c r="AA21" s="120">
        <f>-'SALES SUMMARY'!AC86</f>
        <v>0</v>
      </c>
      <c r="AB21" s="120">
        <f>-'SALES SUMMARY'!AC89</f>
        <v>0</v>
      </c>
      <c r="AC21" s="120">
        <f>-'SALES SUMMARY'!AC92</f>
        <v>0</v>
      </c>
      <c r="AD21" s="120">
        <f>-'SALES SUMMARY'!AC95</f>
        <v>0</v>
      </c>
      <c r="AE21" s="120">
        <f>-'SALES SUMMARY'!AC98</f>
        <v>0</v>
      </c>
      <c r="AF21" s="120">
        <f>-'SALES SUMMARY'!AC100</f>
        <v>-456.03</v>
      </c>
    </row>
    <row r="22" spans="1:32" x14ac:dyDescent="0.25">
      <c r="A22" s="119" t="s">
        <v>104</v>
      </c>
      <c r="B22" s="120">
        <f>-'SALES SUMMARY'!AE11</f>
        <v>0</v>
      </c>
      <c r="C22" s="120">
        <f>-'SALES SUMMARY'!AE14</f>
        <v>0</v>
      </c>
      <c r="D22" s="120">
        <f>-'SALES SUMMARY'!AE17</f>
        <v>0</v>
      </c>
      <c r="E22" s="120">
        <f>-'SALES SUMMARY'!AE20</f>
        <v>0</v>
      </c>
      <c r="F22" s="120">
        <f>-'SALES SUMMARY'!AE23</f>
        <v>0</v>
      </c>
      <c r="G22" s="120">
        <f>-'SALES SUMMARY'!AE26</f>
        <v>0</v>
      </c>
      <c r="H22" s="120">
        <f>-'SALES SUMMARY'!AE29</f>
        <v>0</v>
      </c>
      <c r="I22" s="120">
        <f>-'SALES SUMMARY'!AE32</f>
        <v>0</v>
      </c>
      <c r="J22" s="120">
        <f>-'SALES SUMMARY'!AE35</f>
        <v>0</v>
      </c>
      <c r="K22" s="120">
        <f>-'SALES SUMMARY'!AE38</f>
        <v>0</v>
      </c>
      <c r="L22" s="120">
        <f>-'SALES SUMMARY'!AE41</f>
        <v>0</v>
      </c>
      <c r="M22" s="120">
        <f>-'SALES SUMMARY'!AE44</f>
        <v>0</v>
      </c>
      <c r="N22" s="120">
        <f>-'SALES SUMMARY'!AE47</f>
        <v>0</v>
      </c>
      <c r="O22" s="120">
        <f>-'SALES SUMMARY'!AE50</f>
        <v>0</v>
      </c>
      <c r="P22" s="120">
        <f>-'SALES SUMMARY'!AE53</f>
        <v>0</v>
      </c>
      <c r="Q22" s="120">
        <f>-'SALES SUMMARY'!AE56</f>
        <v>0</v>
      </c>
      <c r="R22" s="120">
        <f>-'SALES SUMMARY'!AE59</f>
        <v>0</v>
      </c>
      <c r="S22" s="120">
        <f>-'SALES SUMMARY'!AE62</f>
        <v>0</v>
      </c>
      <c r="T22" s="120">
        <f>-'SALES SUMMARY'!AE65</f>
        <v>0</v>
      </c>
      <c r="U22" s="120">
        <f>-'SALES SUMMARY'!AE68</f>
        <v>0</v>
      </c>
      <c r="V22" s="120">
        <f>-'SALES SUMMARY'!AE71</f>
        <v>0</v>
      </c>
      <c r="W22" s="120">
        <f>-'SALES SUMMARY'!AE74</f>
        <v>0</v>
      </c>
      <c r="X22" s="120">
        <f>-'SALES SUMMARY'!AE77</f>
        <v>0</v>
      </c>
      <c r="Y22" s="120">
        <f>-'SALES SUMMARY'!AE80</f>
        <v>0</v>
      </c>
      <c r="Z22" s="120">
        <f>-'SALES SUMMARY'!AE83</f>
        <v>0</v>
      </c>
      <c r="AA22" s="120">
        <f>-'SALES SUMMARY'!AE86</f>
        <v>0</v>
      </c>
      <c r="AB22" s="120">
        <f>-'SALES SUMMARY'!AE89</f>
        <v>0</v>
      </c>
      <c r="AC22" s="120">
        <f>-'SALES SUMMARY'!AE92</f>
        <v>0</v>
      </c>
      <c r="AD22" s="120">
        <f>-'SALES SUMMARY'!AE95</f>
        <v>0</v>
      </c>
      <c r="AE22" s="120">
        <f>-'SALES SUMMARY'!AE98</f>
        <v>0</v>
      </c>
      <c r="AF22" s="120">
        <f>-'SALES SUMMARY'!AE100</f>
        <v>-2635</v>
      </c>
    </row>
    <row r="23" spans="1:32" x14ac:dyDescent="0.25">
      <c r="A23" s="119" t="s">
        <v>105</v>
      </c>
      <c r="B23" s="120">
        <f>'SALES SUMMARY'!AG11</f>
        <v>0</v>
      </c>
      <c r="C23" s="120">
        <f>'SALES SUMMARY'!AG14</f>
        <v>1053.5376000000001</v>
      </c>
      <c r="D23" s="120">
        <f>'SALES SUMMARY'!AG17</f>
        <v>2140.2456000000002</v>
      </c>
      <c r="E23" s="120">
        <f>'SALES SUMMARY'!AG20</f>
        <v>421.33480000000003</v>
      </c>
      <c r="F23" s="120">
        <f>'SALES SUMMARY'!AG23</f>
        <v>0</v>
      </c>
      <c r="G23" s="120">
        <f>'SALES SUMMARY'!AG26</f>
        <v>2370.0176000000001</v>
      </c>
      <c r="H23" s="120">
        <f>'SALES SUMMARY'!AG29</f>
        <v>1909.5216000000003</v>
      </c>
      <c r="I23" s="120">
        <f>'SALES SUMMARY'!AG32</f>
        <v>2325.3552</v>
      </c>
      <c r="J23" s="120">
        <f>'SALES SUMMARY'!AG35</f>
        <v>2323.4784</v>
      </c>
      <c r="K23" s="120">
        <f>'SALES SUMMARY'!AG38</f>
        <v>4144.1307999999999</v>
      </c>
      <c r="L23" s="120">
        <f>'SALES SUMMARY'!AG41</f>
        <v>147.35599999999999</v>
      </c>
      <c r="M23" s="120">
        <f>'SALES SUMMARY'!AG44</f>
        <v>0</v>
      </c>
      <c r="N23" s="120">
        <f>'SALES SUMMARY'!AG47</f>
        <v>0</v>
      </c>
      <c r="O23" s="120">
        <f>'SALES SUMMARY'!AG50</f>
        <v>2504.5419999999999</v>
      </c>
      <c r="P23" s="120">
        <f>'SALES SUMMARY'!AG53</f>
        <v>2578.0907999999999</v>
      </c>
      <c r="Q23" s="120">
        <f>'SALES SUMMARY'!AG56</f>
        <v>3418.2852000000003</v>
      </c>
      <c r="R23" s="120">
        <f>'SALES SUMMARY'!AG59</f>
        <v>4166.2103999999999</v>
      </c>
      <c r="S23" s="120">
        <f>'SALES SUMMARY'!AG62</f>
        <v>464.6508</v>
      </c>
      <c r="T23" s="120">
        <f>'SALES SUMMARY'!AG65</f>
        <v>0</v>
      </c>
      <c r="U23" s="120">
        <f>'SALES SUMMARY'!AG68</f>
        <v>1850.1711999999998</v>
      </c>
      <c r="V23" s="120">
        <f>'SALES SUMMARY'!AG71</f>
        <v>2702.7824000000001</v>
      </c>
      <c r="W23" s="120">
        <f>'SALES SUMMARY'!AG74</f>
        <v>2827.1952000000001</v>
      </c>
      <c r="X23" s="120">
        <f>'SALES SUMMARY'!AG77</f>
        <v>2113.5691999999999</v>
      </c>
      <c r="Y23" s="120">
        <f>'SALES SUMMARY'!AG80</f>
        <v>3354.1816000000003</v>
      </c>
      <c r="Z23" s="120">
        <f>'SALES SUMMARY'!AG83</f>
        <v>0</v>
      </c>
      <c r="AA23" s="120">
        <f>'SALES SUMMARY'!AG86</f>
        <v>0</v>
      </c>
      <c r="AB23" s="120">
        <f>'SALES SUMMARY'!AG89</f>
        <v>2030.48</v>
      </c>
      <c r="AC23" s="120">
        <f>'SALES SUMMARY'!AG92</f>
        <v>2458.5740000000001</v>
      </c>
      <c r="AD23" s="120">
        <f>'SALES SUMMARY'!AG95</f>
        <v>3067.6975999999995</v>
      </c>
      <c r="AE23" s="120">
        <f>'SALES SUMMARY'!AG98</f>
        <v>3106.9132</v>
      </c>
      <c r="AF23" s="120">
        <f>'SALES SUMMARY'!AG100</f>
        <v>1793.5068000000001</v>
      </c>
    </row>
    <row r="24" spans="1:32" x14ac:dyDescent="0.25">
      <c r="A24" s="119" t="s">
        <v>106</v>
      </c>
      <c r="B24" s="120">
        <f>'SALES SUMMARY'!AH11</f>
        <v>0</v>
      </c>
      <c r="C24" s="120">
        <f>'SALES SUMMARY'!AH14</f>
        <v>185.91839999999999</v>
      </c>
      <c r="D24" s="120">
        <f>'SALES SUMMARY'!AH17</f>
        <v>377.69040000000001</v>
      </c>
      <c r="E24" s="120">
        <f>'SALES SUMMARY'!AH20</f>
        <v>74.353200000000001</v>
      </c>
      <c r="F24" s="120">
        <f>'SALES SUMMARY'!AH23</f>
        <v>0</v>
      </c>
      <c r="G24" s="120">
        <f>'SALES SUMMARY'!AH26</f>
        <v>418.23839999999996</v>
      </c>
      <c r="H24" s="120">
        <f>'SALES SUMMARY'!AH29</f>
        <v>336.97440000000006</v>
      </c>
      <c r="I24" s="120">
        <f>'SALES SUMMARY'!AH32</f>
        <v>410.35680000000002</v>
      </c>
      <c r="J24" s="120">
        <f>'SALES SUMMARY'!AH35</f>
        <v>410.0256</v>
      </c>
      <c r="K24" s="120">
        <f>'SALES SUMMARY'!AH38</f>
        <v>731.31719999999996</v>
      </c>
      <c r="L24" s="120">
        <f>'SALES SUMMARY'!AH41</f>
        <v>26.004000000000001</v>
      </c>
      <c r="M24" s="120">
        <f>'SALES SUMMARY'!AH44</f>
        <v>0</v>
      </c>
      <c r="N24" s="120">
        <f>'SALES SUMMARY'!AH47</f>
        <v>0</v>
      </c>
      <c r="O24" s="120">
        <f>'SALES SUMMARY'!AH50</f>
        <v>441.97799999999995</v>
      </c>
      <c r="P24" s="120">
        <f>'SALES SUMMARY'!AH53</f>
        <v>454.95719999999994</v>
      </c>
      <c r="Q24" s="120">
        <f>'SALES SUMMARY'!AH56</f>
        <v>603.22680000000003</v>
      </c>
      <c r="R24" s="120">
        <f>'SALES SUMMARY'!AH59</f>
        <v>735.21360000000004</v>
      </c>
      <c r="S24" s="120">
        <f>'SALES SUMMARY'!AH62</f>
        <v>81.997200000000007</v>
      </c>
      <c r="T24" s="120">
        <f>'SALES SUMMARY'!AH65</f>
        <v>0</v>
      </c>
      <c r="U24" s="120">
        <f>'SALES SUMMARY'!AH68</f>
        <v>326.50079999999997</v>
      </c>
      <c r="V24" s="120">
        <f>'SALES SUMMARY'!AH71</f>
        <v>476.96159999999998</v>
      </c>
      <c r="W24" s="120">
        <f>'SALES SUMMARY'!AH74</f>
        <v>498.91680000000002</v>
      </c>
      <c r="X24" s="120">
        <f>'SALES SUMMARY'!AH77</f>
        <v>372.9828</v>
      </c>
      <c r="Y24" s="120">
        <f>'SALES SUMMARY'!AH80</f>
        <v>591.9144</v>
      </c>
      <c r="Z24" s="120">
        <f>'SALES SUMMARY'!AH83</f>
        <v>0</v>
      </c>
      <c r="AA24" s="120">
        <f>'SALES SUMMARY'!AH86</f>
        <v>0</v>
      </c>
      <c r="AB24" s="120">
        <f>'SALES SUMMARY'!AH89</f>
        <v>358.32</v>
      </c>
      <c r="AC24" s="120">
        <f>'SALES SUMMARY'!AH92</f>
        <v>433.86599999999999</v>
      </c>
      <c r="AD24" s="120">
        <f>'SALES SUMMARY'!AH95</f>
        <v>541.35839999999996</v>
      </c>
      <c r="AE24" s="120">
        <f>'SALES SUMMARY'!AH98</f>
        <v>548.27880000000005</v>
      </c>
      <c r="AF24" s="120">
        <f>'SALES SUMMARY'!AH100</f>
        <v>316.50120000000004</v>
      </c>
    </row>
    <row r="25" spans="1:32" x14ac:dyDescent="0.25">
      <c r="A25" s="119" t="s">
        <v>107</v>
      </c>
      <c r="B25" s="120">
        <f>'SALES SUMMARY'!AI11</f>
        <v>0</v>
      </c>
      <c r="C25" s="120">
        <f>'SALES SUMMARY'!AI14</f>
        <v>309.86400000000003</v>
      </c>
      <c r="D25" s="120">
        <f>'SALES SUMMARY'!AI17</f>
        <v>629.48400000000004</v>
      </c>
      <c r="E25" s="120">
        <f>'SALES SUMMARY'!AI20</f>
        <v>123.92200000000001</v>
      </c>
      <c r="F25" s="120">
        <f>'SALES SUMMARY'!AI23</f>
        <v>0</v>
      </c>
      <c r="G25" s="120">
        <f>'SALES SUMMARY'!AI26</f>
        <v>697.06400000000008</v>
      </c>
      <c r="H25" s="120">
        <f>'SALES SUMMARY'!AI29</f>
        <v>561.62400000000002</v>
      </c>
      <c r="I25" s="120">
        <f>'SALES SUMMARY'!AI32</f>
        <v>683.92800000000011</v>
      </c>
      <c r="J25" s="120">
        <f>'SALES SUMMARY'!AI35</f>
        <v>683.37599999999998</v>
      </c>
      <c r="K25" s="120">
        <f>'SALES SUMMARY'!AI38</f>
        <v>1218.8620000000001</v>
      </c>
      <c r="L25" s="120">
        <f>'SALES SUMMARY'!AI41</f>
        <v>43.34</v>
      </c>
      <c r="M25" s="120">
        <f>'SALES SUMMARY'!AI44</f>
        <v>0</v>
      </c>
      <c r="N25" s="120">
        <f>'SALES SUMMARY'!AI47</f>
        <v>0</v>
      </c>
      <c r="O25" s="120">
        <f>'SALES SUMMARY'!AI50</f>
        <v>736.63</v>
      </c>
      <c r="P25" s="120">
        <f>'SALES SUMMARY'!AI53</f>
        <v>758.26199999999994</v>
      </c>
      <c r="Q25" s="120">
        <f>'SALES SUMMARY'!AI56</f>
        <v>1005.378</v>
      </c>
      <c r="R25" s="120">
        <f>'SALES SUMMARY'!AI59</f>
        <v>1225.3560000000002</v>
      </c>
      <c r="S25" s="120">
        <f>'SALES SUMMARY'!AI62</f>
        <v>136.66200000000001</v>
      </c>
      <c r="T25" s="120">
        <f>'SALES SUMMARY'!AI65</f>
        <v>0</v>
      </c>
      <c r="U25" s="120">
        <f>'SALES SUMMARY'!AI68</f>
        <v>544.16800000000001</v>
      </c>
      <c r="V25" s="120">
        <f>'SALES SUMMARY'!AI71</f>
        <v>794.93599999999992</v>
      </c>
      <c r="W25" s="120">
        <f>'SALES SUMMARY'!AI74</f>
        <v>831.52800000000002</v>
      </c>
      <c r="X25" s="120">
        <f>'SALES SUMMARY'!AI77</f>
        <v>621.63800000000003</v>
      </c>
      <c r="Y25" s="120">
        <f>'SALES SUMMARY'!AI80</f>
        <v>986.52400000000011</v>
      </c>
      <c r="Z25" s="120">
        <f>'SALES SUMMARY'!AI83</f>
        <v>0</v>
      </c>
      <c r="AA25" s="120">
        <f>'SALES SUMMARY'!AI86</f>
        <v>0</v>
      </c>
      <c r="AB25" s="120">
        <f>'SALES SUMMARY'!AI89</f>
        <v>597.20000000000005</v>
      </c>
      <c r="AC25" s="120">
        <f>'SALES SUMMARY'!AI92</f>
        <v>723.11000000000013</v>
      </c>
      <c r="AD25" s="120">
        <f>'SALES SUMMARY'!AI95</f>
        <v>902.26400000000001</v>
      </c>
      <c r="AE25" s="120">
        <f>'SALES SUMMARY'!AI98</f>
        <v>913.798</v>
      </c>
      <c r="AF25" s="120">
        <f>'SALES SUMMARY'!AI100</f>
        <v>527.50200000000007</v>
      </c>
    </row>
    <row r="26" spans="1:32" x14ac:dyDescent="0.25">
      <c r="A26" s="119" t="s">
        <v>108</v>
      </c>
      <c r="B26" s="120">
        <f>'SALES SUMMARY'!AJ11</f>
        <v>0</v>
      </c>
      <c r="C26" s="120">
        <f>'SALES SUMMARY'!AJ14</f>
        <v>0</v>
      </c>
      <c r="D26" s="120">
        <f>'SALES SUMMARY'!AJ17</f>
        <v>0</v>
      </c>
      <c r="E26" s="120">
        <f>'SALES SUMMARY'!AJ20</f>
        <v>0</v>
      </c>
      <c r="F26" s="120">
        <f>'SALES SUMMARY'!AJ23</f>
        <v>0</v>
      </c>
      <c r="G26" s="120">
        <f>'SALES SUMMARY'!AJ26</f>
        <v>0</v>
      </c>
      <c r="H26" s="120">
        <f>'SALES SUMMARY'!AJ29</f>
        <v>0</v>
      </c>
      <c r="I26" s="120">
        <f>'SALES SUMMARY'!AJ32</f>
        <v>0</v>
      </c>
      <c r="J26" s="120">
        <f>'SALES SUMMARY'!AJ35</f>
        <v>0</v>
      </c>
      <c r="K26" s="120">
        <f>'SALES SUMMARY'!AJ38</f>
        <v>0</v>
      </c>
      <c r="L26" s="120">
        <f>'SALES SUMMARY'!AJ41</f>
        <v>0</v>
      </c>
      <c r="M26" s="120">
        <f>'SALES SUMMARY'!AJ44</f>
        <v>0</v>
      </c>
      <c r="N26" s="120">
        <f>'SALES SUMMARY'!AJ47</f>
        <v>0</v>
      </c>
      <c r="O26" s="120">
        <f>'SALES SUMMARY'!AJ50</f>
        <v>0</v>
      </c>
      <c r="P26" s="120">
        <f>'SALES SUMMARY'!AJ53</f>
        <v>0</v>
      </c>
      <c r="Q26" s="120">
        <f>'SALES SUMMARY'!AJ56</f>
        <v>0</v>
      </c>
      <c r="R26" s="120">
        <f>'SALES SUMMARY'!AJ59</f>
        <v>0</v>
      </c>
      <c r="S26" s="120">
        <f>'SALES SUMMARY'!AJ62</f>
        <v>0</v>
      </c>
      <c r="T26" s="120">
        <f>'SALES SUMMARY'!AJ65</f>
        <v>0</v>
      </c>
      <c r="U26" s="120">
        <f>'SALES SUMMARY'!AJ68</f>
        <v>0</v>
      </c>
      <c r="V26" s="120">
        <f>'SALES SUMMARY'!AJ71</f>
        <v>0</v>
      </c>
      <c r="W26" s="120">
        <f>'SALES SUMMARY'!AJ74</f>
        <v>0</v>
      </c>
      <c r="X26" s="120">
        <f>'SALES SUMMARY'!AJ77</f>
        <v>0</v>
      </c>
      <c r="Y26" s="120">
        <f>'SALES SUMMARY'!AJ80</f>
        <v>0</v>
      </c>
      <c r="Z26" s="120">
        <f>'SALES SUMMARY'!AJ83</f>
        <v>0</v>
      </c>
      <c r="AA26" s="120">
        <f>'SALES SUMMARY'!AJ86</f>
        <v>0</v>
      </c>
      <c r="AB26" s="120">
        <f>'SALES SUMMARY'!AJ89</f>
        <v>0</v>
      </c>
      <c r="AC26" s="120">
        <f>'SALES SUMMARY'!AJ92</f>
        <v>0</v>
      </c>
      <c r="AD26" s="120">
        <f>'SALES SUMMARY'!AJ95</f>
        <v>0</v>
      </c>
      <c r="AE26" s="120">
        <f>'SALES SUMMARY'!AJ98</f>
        <v>0</v>
      </c>
      <c r="AF26" s="120">
        <f>'SALES SUMMARY'!AJ100</f>
        <v>0</v>
      </c>
    </row>
    <row r="27" spans="1:32" x14ac:dyDescent="0.25">
      <c r="A27" s="119" t="s">
        <v>109</v>
      </c>
      <c r="B27" s="120">
        <f>'SALES SUMMARY'!AK11</f>
        <v>0</v>
      </c>
      <c r="C27" s="120">
        <f>'SALES SUMMARY'!AK14</f>
        <v>17096.142857142855</v>
      </c>
      <c r="D27" s="120">
        <f>'SALES SUMMARY'!AK17</f>
        <v>34356.687499999993</v>
      </c>
      <c r="E27" s="120">
        <f>'SALES SUMMARY'!AK20</f>
        <v>7162.3124999999991</v>
      </c>
      <c r="F27" s="120">
        <f>'SALES SUMMARY'!AK23</f>
        <v>0</v>
      </c>
      <c r="G27" s="120">
        <f>'SALES SUMMARY'!AK26</f>
        <v>36651.544642857138</v>
      </c>
      <c r="H27" s="120">
        <f>'SALES SUMMARY'!AK29</f>
        <v>29919.651785714283</v>
      </c>
      <c r="I27" s="120">
        <f>'SALES SUMMARY'!AK32</f>
        <v>38632.955357142855</v>
      </c>
      <c r="J27" s="120">
        <f>'SALES SUMMARY'!AK35</f>
        <v>39334.464285714283</v>
      </c>
      <c r="K27" s="120">
        <f>'SALES SUMMARY'!AK38</f>
        <v>65666.4375</v>
      </c>
      <c r="L27" s="120">
        <f>'SALES SUMMARY'!AK41</f>
        <v>4424.7410714285706</v>
      </c>
      <c r="M27" s="120">
        <f>'SALES SUMMARY'!AK44</f>
        <v>0</v>
      </c>
      <c r="N27" s="120">
        <f>'SALES SUMMARY'!AK47</f>
        <v>0</v>
      </c>
      <c r="O27" s="120">
        <f>'SALES SUMMARY'!AK50</f>
        <v>40499.84821428571</v>
      </c>
      <c r="P27" s="120">
        <f>'SALES SUMMARY'!AK53</f>
        <v>41284.35714285713</v>
      </c>
      <c r="Q27" s="120">
        <f>'SALES SUMMARY'!AK56</f>
        <v>53150.82142857142</v>
      </c>
      <c r="R27" s="120">
        <f>'SALES SUMMARY'!AK59</f>
        <v>64988.749999999993</v>
      </c>
      <c r="S27" s="120">
        <f>'SALES SUMMARY'!AK62</f>
        <v>8688.0625</v>
      </c>
      <c r="T27" s="120">
        <f>'SALES SUMMARY'!AK65</f>
        <v>0</v>
      </c>
      <c r="U27" s="120">
        <f>'SALES SUMMARY'!AK68</f>
        <v>31938.696428571428</v>
      </c>
      <c r="V27" s="120">
        <f>'SALES SUMMARY'!AK71</f>
        <v>45294.955357142855</v>
      </c>
      <c r="W27" s="120">
        <f>'SALES SUMMARY'!AK74</f>
        <v>45477.080357142855</v>
      </c>
      <c r="X27" s="120">
        <f>'SALES SUMMARY'!AK77</f>
        <v>35990.053571428565</v>
      </c>
      <c r="Y27" s="120">
        <f>'SALES SUMMARY'!AK80</f>
        <v>52051.544642857138</v>
      </c>
      <c r="Z27" s="120">
        <f>'SALES SUMMARY'!AK83</f>
        <v>0</v>
      </c>
      <c r="AA27" s="120">
        <f>'SALES SUMMARY'!AK86</f>
        <v>0</v>
      </c>
      <c r="AB27" s="120">
        <f>'SALES SUMMARY'!AK89</f>
        <v>32440.973214285714</v>
      </c>
      <c r="AC27" s="120">
        <f>'SALES SUMMARY'!AK92</f>
        <v>43404.642857142855</v>
      </c>
      <c r="AD27" s="120">
        <f>'SALES SUMMARY'!AK95</f>
        <v>53690.830357142855</v>
      </c>
      <c r="AE27" s="120">
        <f>'SALES SUMMARY'!AK98</f>
        <v>51420.357142857138</v>
      </c>
      <c r="AF27" s="120">
        <f>'SALES SUMMARY'!AK100</f>
        <v>32112.839285714279</v>
      </c>
    </row>
    <row r="28" spans="1:32" x14ac:dyDescent="0.25">
      <c r="A28" s="119" t="s">
        <v>110</v>
      </c>
      <c r="B28" s="120">
        <f>'SALES SUMMARY'!AM11</f>
        <v>0</v>
      </c>
      <c r="C28" s="120">
        <f>'SALES SUMMARY'!AM14</f>
        <v>1980.7827428571427</v>
      </c>
      <c r="D28" s="120">
        <f>'SALES SUMMARY'!AM17</f>
        <v>4041.3680999999988</v>
      </c>
      <c r="E28" s="120">
        <f>'SALES SUMMARY'!AM20</f>
        <v>842.83469999999988</v>
      </c>
      <c r="F28" s="120">
        <f>'SALES SUMMARY'!AM23</f>
        <v>0</v>
      </c>
      <c r="G28" s="120">
        <f>'SALES SUMMARY'!AM26</f>
        <v>4344.6125571428565</v>
      </c>
      <c r="H28" s="120">
        <f>'SALES SUMMARY'!AM29</f>
        <v>3532.3574142857133</v>
      </c>
      <c r="I28" s="120">
        <f>'SALES SUMMARY'!AM32</f>
        <v>4521.9270428571417</v>
      </c>
      <c r="J28" s="120">
        <f>'SALES SUMMARY'!AM35</f>
        <v>4655.3525142857143</v>
      </c>
      <c r="K28" s="120">
        <f>'SALES SUMMARY'!AM38</f>
        <v>7807.3928999999989</v>
      </c>
      <c r="L28" s="120">
        <f>'SALES SUMMARY'!AM41</f>
        <v>515.11212857142846</v>
      </c>
      <c r="M28" s="120">
        <f>'SALES SUMMARY'!AM44</f>
        <v>0</v>
      </c>
      <c r="N28" s="120">
        <f>'SALES SUMMARY'!AM47</f>
        <v>0</v>
      </c>
      <c r="O28" s="120">
        <f>'SALES SUMMARY'!AM50</f>
        <v>4752.1077857142855</v>
      </c>
      <c r="P28" s="120">
        <f>'SALES SUMMARY'!AM53</f>
        <v>4856.2004571428561</v>
      </c>
      <c r="Q28" s="120">
        <f>'SALES SUMMARY'!AM56</f>
        <v>6291.5293714285699</v>
      </c>
      <c r="R28" s="120">
        <f>'SALES SUMMARY'!AM59</f>
        <v>7694.6423999999988</v>
      </c>
      <c r="S28" s="120">
        <f>'SALES SUMMARY'!AM62</f>
        <v>1030.6719000000001</v>
      </c>
      <c r="T28" s="120">
        <f>'SALES SUMMARY'!AM65</f>
        <v>0</v>
      </c>
      <c r="U28" s="120">
        <f>'SALES SUMMARY'!AM68</f>
        <v>3768.6511714285712</v>
      </c>
      <c r="V28" s="120">
        <f>'SALES SUMMARY'!AM71</f>
        <v>5289.3762428571426</v>
      </c>
      <c r="W28" s="120">
        <f>'SALES SUMMARY'!AM74</f>
        <v>5282.594442857142</v>
      </c>
      <c r="X28" s="120">
        <f>'SALES SUMMARY'!AM77</f>
        <v>4236.4780285714278</v>
      </c>
      <c r="Y28" s="120">
        <f>'SALES SUMMARY'!AM80</f>
        <v>6121.2137571428557</v>
      </c>
      <c r="Z28" s="120">
        <f>'SALES SUMMARY'!AM83</f>
        <v>0</v>
      </c>
      <c r="AA28" s="120">
        <f>'SALES SUMMARY'!AM86</f>
        <v>0</v>
      </c>
      <c r="AB28" s="120">
        <f>'SALES SUMMARY'!AM89</f>
        <v>3849.0987857142854</v>
      </c>
      <c r="AC28" s="120">
        <f>'SALES SUMMARY'!AM92</f>
        <v>4927.5975428571419</v>
      </c>
      <c r="AD28" s="120">
        <f>'SALES SUMMARY'!AM95</f>
        <v>6015.7860428571421</v>
      </c>
      <c r="AE28" s="120">
        <f>'SALES SUMMARY'!AM98</f>
        <v>5854.8008571428563</v>
      </c>
      <c r="AF28" s="120">
        <f>'SALES SUMMARY'!AM100</f>
        <v>3676.5371142857134</v>
      </c>
    </row>
    <row r="30" spans="1:32" x14ac:dyDescent="0.25">
      <c r="A30" s="121" t="s">
        <v>70</v>
      </c>
      <c r="B30" s="122">
        <f>-'SALES SUMMARY'!AZ11</f>
        <v>0</v>
      </c>
      <c r="C30" s="122">
        <f>-'SALES SUMMARY'!AZ14</f>
        <v>0</v>
      </c>
      <c r="D30" s="122">
        <f>-'SALES SUMMARY'!AZ17</f>
        <v>-245</v>
      </c>
      <c r="E30" s="122">
        <f>-'SALES SUMMARY'!AZ20</f>
        <v>0</v>
      </c>
      <c r="F30" s="122">
        <f>-'SALES SUMMARY'!AZ23</f>
        <v>0</v>
      </c>
      <c r="G30" s="122">
        <f>-'SALES SUMMARY'!AZ26</f>
        <v>0</v>
      </c>
      <c r="H30" s="122">
        <f>-'SALES SUMMARY'!AZ29</f>
        <v>-1680</v>
      </c>
      <c r="I30" s="122">
        <f>-'SALES SUMMARY'!AZ32</f>
        <v>-615</v>
      </c>
      <c r="J30" s="122">
        <f>-'SALES SUMMARY'!AZ35</f>
        <v>-565</v>
      </c>
      <c r="K30" s="122">
        <f>-'SALES SUMMARY'!AZ38</f>
        <v>-570</v>
      </c>
      <c r="L30" s="122">
        <f>-'SALES SUMMARY'!AZ41</f>
        <v>-1060</v>
      </c>
      <c r="M30" s="122">
        <f>-'SALES SUMMARY'!AZ44</f>
        <v>0</v>
      </c>
      <c r="N30" s="122">
        <f>-'SALES SUMMARY'!AZ47</f>
        <v>0</v>
      </c>
      <c r="O30" s="122">
        <f>-'SALES SUMMARY'!AZ50</f>
        <v>-565</v>
      </c>
      <c r="P30" s="122">
        <f>-'SALES SUMMARY'!AZ53</f>
        <v>0</v>
      </c>
      <c r="Q30" s="122">
        <f>-'SALES SUMMARY'!AZ56</f>
        <v>0</v>
      </c>
      <c r="R30" s="122">
        <f>-'SALES SUMMARY'!AZ59</f>
        <v>-1185</v>
      </c>
      <c r="S30" s="122">
        <f>-'SALES SUMMARY'!AZ62</f>
        <v>-270</v>
      </c>
      <c r="T30" s="122">
        <f>-'SALES SUMMARY'!AZ65</f>
        <v>0</v>
      </c>
      <c r="U30" s="122">
        <f>-'SALES SUMMARY'!AZ68</f>
        <v>0</v>
      </c>
      <c r="V30" s="122">
        <f>-'SALES SUMMARY'!AZ71</f>
        <v>-905</v>
      </c>
      <c r="W30" s="122">
        <f>-'SALES SUMMARY'!AZ74</f>
        <v>0</v>
      </c>
      <c r="X30" s="122">
        <f>-'SALES SUMMARY'!AZ77</f>
        <v>-270</v>
      </c>
      <c r="Y30" s="122">
        <f>-'SALES SUMMARY'!AZ80</f>
        <v>-540</v>
      </c>
      <c r="Z30" s="122">
        <f>-'SALES SUMMARY'!AZ83</f>
        <v>0</v>
      </c>
      <c r="AA30" s="122">
        <f>-'SALES SUMMARY'!AZ86</f>
        <v>0</v>
      </c>
      <c r="AB30" s="122">
        <f>-'SALES SUMMARY'!AZ89</f>
        <v>0</v>
      </c>
      <c r="AC30" s="122">
        <f>-'SALES SUMMARY'!AZ92</f>
        <v>0</v>
      </c>
      <c r="AD30" s="122">
        <f>-'SALES SUMMARY'!AZ95</f>
        <v>0</v>
      </c>
      <c r="AE30" s="122">
        <f>-'SALES SUMMARY'!AZ98</f>
        <v>-315</v>
      </c>
      <c r="AF30" s="122">
        <f>-'SALES SUMMARY'!AZ100</f>
        <v>0</v>
      </c>
    </row>
    <row r="31" spans="1:32" x14ac:dyDescent="0.25">
      <c r="A31" s="121" t="s">
        <v>71</v>
      </c>
      <c r="B31" s="122">
        <f>-'SALES SUMMARY'!BA11</f>
        <v>0</v>
      </c>
      <c r="C31" s="122">
        <f>-'SALES SUMMARY'!BA14</f>
        <v>0</v>
      </c>
      <c r="D31" s="122">
        <f>-'SALES SUMMARY'!BA17</f>
        <v>0</v>
      </c>
      <c r="E31" s="122">
        <f>-'SALES SUMMARY'!BA20</f>
        <v>0</v>
      </c>
      <c r="F31" s="122">
        <f>-'SALES SUMMARY'!BA23</f>
        <v>0</v>
      </c>
      <c r="G31" s="122">
        <f>-'SALES SUMMARY'!BA26</f>
        <v>0</v>
      </c>
      <c r="H31" s="122">
        <f>-'SALES SUMMARY'!BA29</f>
        <v>-1995</v>
      </c>
      <c r="I31" s="122">
        <f>-'SALES SUMMARY'!BA32</f>
        <v>0</v>
      </c>
      <c r="J31" s="122">
        <f>-'SALES SUMMARY'!BA35</f>
        <v>-285</v>
      </c>
      <c r="K31" s="122">
        <f>-'SALES SUMMARY'!BA38</f>
        <v>-515</v>
      </c>
      <c r="L31" s="122">
        <f>-'SALES SUMMARY'!BA41</f>
        <v>0</v>
      </c>
      <c r="M31" s="122">
        <f>-'SALES SUMMARY'!BA44</f>
        <v>0</v>
      </c>
      <c r="N31" s="122">
        <f>-'SALES SUMMARY'!BA47</f>
        <v>0</v>
      </c>
      <c r="O31" s="122">
        <f>-'SALES SUMMARY'!BA50</f>
        <v>0</v>
      </c>
      <c r="P31" s="122">
        <f>-'SALES SUMMARY'!BA53</f>
        <v>-2260</v>
      </c>
      <c r="Q31" s="122">
        <f>-'SALES SUMMARY'!BA56</f>
        <v>0</v>
      </c>
      <c r="R31" s="122">
        <f>-'SALES SUMMARY'!BA59</f>
        <v>-195</v>
      </c>
      <c r="S31" s="122">
        <f>-'SALES SUMMARY'!BA62</f>
        <v>0</v>
      </c>
      <c r="T31" s="122">
        <f>-'SALES SUMMARY'!BA65</f>
        <v>0</v>
      </c>
      <c r="U31" s="122">
        <f>-'SALES SUMMARY'!BA68</f>
        <v>0</v>
      </c>
      <c r="V31" s="122">
        <f>-'SALES SUMMARY'!BA71</f>
        <v>0</v>
      </c>
      <c r="W31" s="122">
        <f>-'SALES SUMMARY'!BA74</f>
        <v>0</v>
      </c>
      <c r="X31" s="122">
        <f>-'SALES SUMMARY'!BA77</f>
        <v>0</v>
      </c>
      <c r="Y31" s="122">
        <f>-'SALES SUMMARY'!BA80</f>
        <v>0</v>
      </c>
      <c r="Z31" s="122" t="e">
        <f>-'SALES SUMMARY'!BA83</f>
        <v>#VALUE!</v>
      </c>
      <c r="AA31" s="122">
        <f>-'SALES SUMMARY'!BA86</f>
        <v>0</v>
      </c>
      <c r="AB31" s="122">
        <f>-'SALES SUMMARY'!BA89</f>
        <v>0</v>
      </c>
      <c r="AC31" s="122">
        <f>-'SALES SUMMARY'!BA92</f>
        <v>0</v>
      </c>
      <c r="AD31" s="122">
        <f>-'SALES SUMMARY'!BA95</f>
        <v>0</v>
      </c>
      <c r="AE31" s="122">
        <f>-'SALES SUMMARY'!BA98</f>
        <v>-845</v>
      </c>
      <c r="AF31" s="122">
        <f>-'SALES SUMMARY'!BA100</f>
        <v>0</v>
      </c>
    </row>
    <row r="32" spans="1:32" x14ac:dyDescent="0.25">
      <c r="A32" s="121" t="s">
        <v>72</v>
      </c>
      <c r="B32" s="122">
        <f>-'SALES SUMMARY'!BB11</f>
        <v>0</v>
      </c>
      <c r="C32" s="122">
        <f>-'SALES SUMMARY'!BB14</f>
        <v>0</v>
      </c>
      <c r="D32" s="122">
        <f>-'SALES SUMMARY'!BB17</f>
        <v>0</v>
      </c>
      <c r="E32" s="122">
        <f>-'SALES SUMMARY'!BB20</f>
        <v>0</v>
      </c>
      <c r="F32" s="122">
        <f>-'SALES SUMMARY'!BB23</f>
        <v>0</v>
      </c>
      <c r="G32" s="122">
        <f>-'SALES SUMMARY'!BB26</f>
        <v>0</v>
      </c>
      <c r="H32" s="122">
        <f>-'SALES SUMMARY'!BB29</f>
        <v>0</v>
      </c>
      <c r="I32" s="122">
        <f>-'SALES SUMMARY'!BB32</f>
        <v>0</v>
      </c>
      <c r="J32" s="122">
        <f>-'SALES SUMMARY'!BB35</f>
        <v>0</v>
      </c>
      <c r="K32" s="122">
        <f>-'SALES SUMMARY'!BB38</f>
        <v>0</v>
      </c>
      <c r="L32" s="122">
        <f>-'SALES SUMMARY'!BB41</f>
        <v>0</v>
      </c>
      <c r="M32" s="122">
        <f>-'SALES SUMMARY'!BB44</f>
        <v>0</v>
      </c>
      <c r="N32" s="122">
        <f>-'SALES SUMMARY'!BB47</f>
        <v>0</v>
      </c>
      <c r="O32" s="122">
        <f>-'SALES SUMMARY'!BB50</f>
        <v>0</v>
      </c>
      <c r="P32" s="122">
        <f>-'SALES SUMMARY'!BB53</f>
        <v>0</v>
      </c>
      <c r="Q32" s="122">
        <f>-'SALES SUMMARY'!BB56</f>
        <v>0</v>
      </c>
      <c r="R32" s="122">
        <f>-'SALES SUMMARY'!BB59</f>
        <v>0</v>
      </c>
      <c r="S32" s="122">
        <f>-'SALES SUMMARY'!BB62</f>
        <v>0</v>
      </c>
      <c r="T32" s="122">
        <f>-'SALES SUMMARY'!BB65</f>
        <v>0</v>
      </c>
      <c r="U32" s="122">
        <f>-'SALES SUMMARY'!BB68</f>
        <v>0</v>
      </c>
      <c r="V32" s="122">
        <f>-'SALES SUMMARY'!BB71</f>
        <v>0</v>
      </c>
      <c r="W32" s="122">
        <f>-'SALES SUMMARY'!BB74</f>
        <v>0</v>
      </c>
      <c r="X32" s="122">
        <f>-'SALES SUMMARY'!BB77</f>
        <v>0</v>
      </c>
      <c r="Y32" s="122">
        <f>-'SALES SUMMARY'!BB80</f>
        <v>0</v>
      </c>
      <c r="Z32" s="122">
        <f>-'SALES SUMMARY'!BB83</f>
        <v>0</v>
      </c>
      <c r="AA32" s="122">
        <f>-'SALES SUMMARY'!BB86</f>
        <v>0</v>
      </c>
      <c r="AB32" s="122">
        <f>-'SALES SUMMARY'!BB89</f>
        <v>0</v>
      </c>
      <c r="AC32" s="122">
        <f>-'SALES SUMMARY'!BB92</f>
        <v>0</v>
      </c>
      <c r="AD32" s="122">
        <f>-'SALES SUMMARY'!BB95</f>
        <v>0</v>
      </c>
      <c r="AE32" s="122">
        <f>-'SALES SUMMARY'!BB98</f>
        <v>0</v>
      </c>
      <c r="AF32" s="122">
        <f>-'SALES SUMMARY'!BB100</f>
        <v>0</v>
      </c>
    </row>
    <row r="33" spans="1:32" x14ac:dyDescent="0.25">
      <c r="A33" s="121" t="s">
        <v>73</v>
      </c>
      <c r="B33" s="122">
        <f>-('SALES SUMMARY'!BD11-'SALES SUMMARY'!BC11)</f>
        <v>0</v>
      </c>
      <c r="C33" s="122">
        <f>-('SALES SUMMARY'!BD14-'SALES SUMMARY'!BC14)</f>
        <v>0</v>
      </c>
      <c r="D33" s="122">
        <f>-('SALES SUMMARY'!BD17-'SALES SUMMARY'!BC17)</f>
        <v>0</v>
      </c>
      <c r="E33" s="122">
        <f>-('SALES SUMMARY'!BD20-'SALES SUMMARY'!BC20)</f>
        <v>0</v>
      </c>
      <c r="F33" s="122">
        <f>-('SALES SUMMARY'!BD23-'SALES SUMMARY'!BC23)</f>
        <v>0</v>
      </c>
      <c r="G33" s="122">
        <f>-('SALES SUMMARY'!BD26-'SALES SUMMARY'!BC26)</f>
        <v>0</v>
      </c>
      <c r="H33" s="122">
        <f>-('SALES SUMMARY'!BD29-'SALES SUMMARY'!BC29)</f>
        <v>0</v>
      </c>
      <c r="I33" s="122">
        <f>-('SALES SUMMARY'!BD32-'SALES SUMMARY'!BC32)</f>
        <v>0</v>
      </c>
      <c r="J33" s="122">
        <f>-('SALES SUMMARY'!BD35-'SALES SUMMARY'!BC35)</f>
        <v>0</v>
      </c>
      <c r="K33" s="122">
        <f>-('SALES SUMMARY'!BD38-'SALES SUMMARY'!BC38)</f>
        <v>0</v>
      </c>
      <c r="L33" s="122">
        <f>-('SALES SUMMARY'!BD41-'SALES SUMMARY'!BC41)</f>
        <v>0</v>
      </c>
      <c r="M33" s="122">
        <f>-('SALES SUMMARY'!BD44-'SALES SUMMARY'!BC44)</f>
        <v>0</v>
      </c>
      <c r="N33" s="122">
        <f>-('SALES SUMMARY'!BD47-'SALES SUMMARY'!BC47)</f>
        <v>0</v>
      </c>
      <c r="O33" s="122">
        <f>-('SALES SUMMARY'!BD50-'SALES SUMMARY'!BC50)</f>
        <v>0</v>
      </c>
      <c r="P33" s="122">
        <f>-('SALES SUMMARY'!BD53-'SALES SUMMARY'!BC53)</f>
        <v>0</v>
      </c>
      <c r="Q33" s="122">
        <f>-('SALES SUMMARY'!BD56-'SALES SUMMARY'!BC56)</f>
        <v>0</v>
      </c>
      <c r="R33" s="122">
        <f>-('SALES SUMMARY'!BD59-'SALES SUMMARY'!BC59)</f>
        <v>0</v>
      </c>
      <c r="S33" s="122">
        <f>-('SALES SUMMARY'!BD62-'SALES SUMMARY'!BC62)</f>
        <v>0</v>
      </c>
      <c r="T33" s="122">
        <f>-('SALES SUMMARY'!BD65-'SALES SUMMARY'!BC65)</f>
        <v>0</v>
      </c>
      <c r="U33" s="122">
        <f>-('SALES SUMMARY'!BD68-'SALES SUMMARY'!BC68)</f>
        <v>0</v>
      </c>
      <c r="V33" s="122">
        <f>-('SALES SUMMARY'!BD71-'SALES SUMMARY'!BC71)</f>
        <v>0</v>
      </c>
      <c r="W33" s="122">
        <f>-('SALES SUMMARY'!BD74-'SALES SUMMARY'!BC74)</f>
        <v>0</v>
      </c>
      <c r="X33" s="122">
        <f>-('SALES SUMMARY'!BD77-'SALES SUMMARY'!BC77)</f>
        <v>0</v>
      </c>
      <c r="Y33" s="122">
        <f>-('SALES SUMMARY'!BD80-'SALES SUMMARY'!BC80)</f>
        <v>0</v>
      </c>
      <c r="Z33" s="122">
        <f>-('SALES SUMMARY'!BD83-'SALES SUMMARY'!BC83)</f>
        <v>0</v>
      </c>
      <c r="AA33" s="122">
        <f>-('SALES SUMMARY'!BD86-'SALES SUMMARY'!BC86)</f>
        <v>0</v>
      </c>
      <c r="AB33" s="122">
        <f>-('SALES SUMMARY'!BD89-'SALES SUMMARY'!BC89)</f>
        <v>0</v>
      </c>
      <c r="AC33" s="122">
        <f>-('SALES SUMMARY'!BD92-'SALES SUMMARY'!BC92)</f>
        <v>0</v>
      </c>
      <c r="AD33" s="122">
        <f>-('SALES SUMMARY'!BD95-'SALES SUMMARY'!BC95)</f>
        <v>0</v>
      </c>
      <c r="AE33" s="122">
        <f>-('SALES SUMMARY'!BD98-'SALES SUMMARY'!BC98)</f>
        <v>0</v>
      </c>
      <c r="AF33" s="122">
        <f>-('SALES SUMMARY'!BD100-'SALES SUMMARY'!BC100)</f>
        <v>0</v>
      </c>
    </row>
    <row r="34" spans="1:32" x14ac:dyDescent="0.25">
      <c r="A34" s="121" t="s">
        <v>7</v>
      </c>
      <c r="B34" s="122">
        <f>'SALES SUMMARY'!BR11</f>
        <v>0</v>
      </c>
      <c r="C34" s="122">
        <f>'SALES SUMMARY'!BR14</f>
        <v>0</v>
      </c>
      <c r="D34" s="122">
        <f>'SALES SUMMARY'!BR17</f>
        <v>245</v>
      </c>
      <c r="E34" s="122">
        <f>'SALES SUMMARY'!BR20</f>
        <v>0</v>
      </c>
      <c r="F34" s="122">
        <f>'SALES SUMMARY'!BR23</f>
        <v>0</v>
      </c>
      <c r="G34" s="122">
        <f>'SALES SUMMARY'!BR26</f>
        <v>0</v>
      </c>
      <c r="H34" s="122">
        <f>'SALES SUMMARY'!BR29</f>
        <v>3675</v>
      </c>
      <c r="I34" s="122">
        <f>'SALES SUMMARY'!BR32</f>
        <v>615</v>
      </c>
      <c r="J34" s="122">
        <f>'SALES SUMMARY'!BR35</f>
        <v>850</v>
      </c>
      <c r="K34" s="122">
        <f>'SALES SUMMARY'!BR38</f>
        <v>1085</v>
      </c>
      <c r="L34" s="122">
        <f>'SALES SUMMARY'!BR41</f>
        <v>1060</v>
      </c>
      <c r="M34" s="122">
        <f>'SALES SUMMARY'!BR44</f>
        <v>0</v>
      </c>
      <c r="N34" s="122">
        <f>'SALES SUMMARY'!BR47</f>
        <v>0</v>
      </c>
      <c r="O34" s="122">
        <f>'SALES SUMMARY'!BR50</f>
        <v>565</v>
      </c>
      <c r="P34" s="122">
        <f>'SALES SUMMARY'!BR53</f>
        <v>2260</v>
      </c>
      <c r="Q34" s="122">
        <f>'SALES SUMMARY'!BR56</f>
        <v>0</v>
      </c>
      <c r="R34" s="122">
        <f>'SALES SUMMARY'!BR59</f>
        <v>1380</v>
      </c>
      <c r="S34" s="122">
        <f>'SALES SUMMARY'!BR62</f>
        <v>270</v>
      </c>
      <c r="T34" s="122">
        <f>'SALES SUMMARY'!BR65</f>
        <v>0</v>
      </c>
      <c r="U34" s="122">
        <f>'SALES SUMMARY'!BR68</f>
        <v>0</v>
      </c>
      <c r="V34" s="122">
        <f>'SALES SUMMARY'!BR71</f>
        <v>905</v>
      </c>
      <c r="W34" s="122">
        <f>'SALES SUMMARY'!BR74</f>
        <v>0</v>
      </c>
      <c r="X34" s="122">
        <f>'SALES SUMMARY'!BR77</f>
        <v>270</v>
      </c>
      <c r="Y34" s="122">
        <f>'SALES SUMMARY'!BR80</f>
        <v>540</v>
      </c>
      <c r="Z34" s="122">
        <f>'SALES SUMMARY'!BR83</f>
        <v>0</v>
      </c>
      <c r="AA34" s="122">
        <f>'SALES SUMMARY'!BR86</f>
        <v>0</v>
      </c>
      <c r="AB34" s="122">
        <f>'SALES SUMMARY'!BR89</f>
        <v>0</v>
      </c>
      <c r="AC34" s="122">
        <f>'SALES SUMMARY'!BR92</f>
        <v>0</v>
      </c>
      <c r="AD34" s="122">
        <f>'SALES SUMMARY'!BR95</f>
        <v>0</v>
      </c>
      <c r="AE34" s="122">
        <f>'SALES SUMMARY'!BR98</f>
        <v>1160</v>
      </c>
      <c r="AF34" s="122">
        <f>'SALES SUMMARY'!BR100</f>
        <v>0</v>
      </c>
    </row>
    <row r="36" spans="1:32" x14ac:dyDescent="0.25">
      <c r="A36" s="121" t="s">
        <v>111</v>
      </c>
      <c r="B36" s="123">
        <f t="shared" ref="B36:AF36" si="0">SUM(B5:B35)-B3</f>
        <v>0</v>
      </c>
      <c r="C36" s="123">
        <f t="shared" si="0"/>
        <v>983.78559999999925</v>
      </c>
      <c r="D36" s="123">
        <f t="shared" si="0"/>
        <v>1707.1855999999934</v>
      </c>
      <c r="E36" s="123">
        <f t="shared" si="0"/>
        <v>317.04719999999907</v>
      </c>
      <c r="F36" s="123">
        <f t="shared" si="0"/>
        <v>0</v>
      </c>
      <c r="G36" s="123">
        <f t="shared" si="0"/>
        <v>22892.867199999993</v>
      </c>
      <c r="H36" s="123">
        <f t="shared" si="0"/>
        <v>425.33919999999853</v>
      </c>
      <c r="I36" s="123">
        <f t="shared" si="0"/>
        <v>1936.2023999999947</v>
      </c>
      <c r="J36" s="123">
        <f t="shared" si="0"/>
        <v>2109.8767999999982</v>
      </c>
      <c r="K36" s="123">
        <f t="shared" si="0"/>
        <v>692.25040000000445</v>
      </c>
      <c r="L36" s="123">
        <f t="shared" si="0"/>
        <v>1061.2831999999989</v>
      </c>
      <c r="M36" s="123">
        <f t="shared" si="0"/>
        <v>0</v>
      </c>
      <c r="N36" s="123">
        <f t="shared" si="0"/>
        <v>0</v>
      </c>
      <c r="O36" s="123">
        <f t="shared" si="0"/>
        <v>1251.0759999999973</v>
      </c>
      <c r="P36" s="123">
        <f t="shared" si="0"/>
        <v>718.09759999997914</v>
      </c>
      <c r="Q36" s="123">
        <f t="shared" si="0"/>
        <v>634.84079999999085</v>
      </c>
      <c r="R36" s="123">
        <f t="shared" si="0"/>
        <v>1842.7223999999915</v>
      </c>
      <c r="S36" s="123">
        <f t="shared" si="0"/>
        <v>597.46439999999984</v>
      </c>
      <c r="T36" s="123">
        <f t="shared" si="0"/>
        <v>0</v>
      </c>
      <c r="U36" s="123">
        <f t="shared" si="0"/>
        <v>2299.2775999999976</v>
      </c>
      <c r="V36" s="123">
        <f t="shared" si="0"/>
        <v>1070.8015999999989</v>
      </c>
      <c r="W36" s="123">
        <f t="shared" si="0"/>
        <v>4613.8347999999933</v>
      </c>
      <c r="X36" s="123">
        <f t="shared" si="0"/>
        <v>3553.7415999999939</v>
      </c>
      <c r="Y36" s="123">
        <f t="shared" si="0"/>
        <v>1216.4584000000032</v>
      </c>
      <c r="Z36" s="123" t="e">
        <f t="shared" si="0"/>
        <v>#VALUE!</v>
      </c>
      <c r="AA36" s="123">
        <f t="shared" si="0"/>
        <v>0</v>
      </c>
      <c r="AB36" s="123">
        <f t="shared" si="0"/>
        <v>1096.3619999999974</v>
      </c>
      <c r="AC36" s="123">
        <f t="shared" si="0"/>
        <v>2445.3703999999998</v>
      </c>
      <c r="AD36" s="123">
        <f t="shared" si="0"/>
        <v>4852.1664000000019</v>
      </c>
      <c r="AE36" s="123">
        <f t="shared" si="0"/>
        <v>3939.7079999999987</v>
      </c>
      <c r="AF36" s="123">
        <f t="shared" si="0"/>
        <v>-192.00360000000728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74"/>
  <sheetViews>
    <sheetView topLeftCell="A46" zoomScaleNormal="100" zoomScalePageLayoutView="85" workbookViewId="0">
      <selection activeCell="K53" sqref="K53"/>
    </sheetView>
  </sheetViews>
  <sheetFormatPr defaultRowHeight="15" x14ac:dyDescent="0.25"/>
  <cols>
    <col min="1" max="1" width="12.85546875" style="124" customWidth="1"/>
    <col min="2" max="2" width="6.28515625" style="124" customWidth="1"/>
    <col min="3" max="4" width="13.140625" style="124" customWidth="1"/>
    <col min="5" max="5" width="13.5703125" style="124" customWidth="1"/>
    <col min="6" max="6" width="13.28515625" style="124" customWidth="1"/>
    <col min="7" max="7" width="10.28515625" style="124" customWidth="1"/>
    <col min="8" max="8" width="9.28515625" style="124" customWidth="1"/>
    <col min="9" max="9" width="12.85546875" style="124" customWidth="1"/>
    <col min="10" max="10" width="7.28515625" style="124" customWidth="1"/>
    <col min="11" max="11" width="15.140625" style="124" customWidth="1"/>
    <col min="12" max="12" width="16.85546875" style="124" customWidth="1"/>
    <col min="13" max="13" width="13.5703125" style="124" customWidth="1"/>
    <col min="14" max="14" width="13.28515625" style="124" customWidth="1"/>
    <col min="15" max="1025" width="9.140625" style="124" customWidth="1"/>
  </cols>
  <sheetData>
    <row r="1" spans="1:15" ht="15.75" x14ac:dyDescent="0.25">
      <c r="A1" s="125" t="str">
        <f>'SALES SUMMARY'!A1</f>
        <v>THE OLD SPAGHETTI HOUSE-VALERO</v>
      </c>
      <c r="B1" s="125"/>
      <c r="C1" s="125"/>
      <c r="D1" s="125"/>
      <c r="E1" s="125"/>
      <c r="F1" s="125"/>
      <c r="I1" s="125" t="str">
        <f>+'SALES SUMMARY'!A1</f>
        <v>THE OLD SPAGHETTI HOUSE-VALERO</v>
      </c>
      <c r="J1" s="125"/>
      <c r="K1" s="125"/>
      <c r="L1" s="125"/>
      <c r="M1" s="125"/>
      <c r="N1" s="125"/>
    </row>
    <row r="2" spans="1:15" ht="15.75" x14ac:dyDescent="0.25">
      <c r="A2" s="125" t="s">
        <v>112</v>
      </c>
      <c r="B2" s="125"/>
      <c r="C2" s="125"/>
      <c r="D2" s="125"/>
      <c r="E2" s="125"/>
      <c r="F2" s="125"/>
      <c r="I2" s="125" t="s">
        <v>112</v>
      </c>
      <c r="J2" s="125"/>
      <c r="K2" s="125"/>
      <c r="L2" s="125"/>
      <c r="M2" s="125"/>
      <c r="N2" s="125"/>
    </row>
    <row r="3" spans="1:15" ht="15.75" x14ac:dyDescent="0.25">
      <c r="A3" s="126" t="s">
        <v>113</v>
      </c>
      <c r="B3" s="125"/>
      <c r="C3" s="125"/>
      <c r="D3" s="125"/>
      <c r="E3" s="125"/>
      <c r="F3" s="125"/>
      <c r="I3" s="126" t="s">
        <v>114</v>
      </c>
      <c r="J3" s="125"/>
      <c r="K3" s="125"/>
      <c r="L3" s="125"/>
      <c r="M3" s="125"/>
      <c r="N3" s="125"/>
    </row>
    <row r="5" spans="1:15" ht="13.5" customHeight="1" x14ac:dyDescent="0.25">
      <c r="A5" s="178" t="s">
        <v>10</v>
      </c>
      <c r="B5" s="179" t="s">
        <v>11</v>
      </c>
      <c r="C5" s="179" t="s">
        <v>115</v>
      </c>
      <c r="D5" s="180" t="s">
        <v>38</v>
      </c>
      <c r="E5" s="180"/>
      <c r="F5" s="181" t="s">
        <v>116</v>
      </c>
      <c r="I5" s="178" t="s">
        <v>10</v>
      </c>
      <c r="J5" s="179" t="s">
        <v>11</v>
      </c>
      <c r="K5" s="179" t="s">
        <v>115</v>
      </c>
      <c r="L5" s="180" t="s">
        <v>38</v>
      </c>
      <c r="M5" s="180"/>
      <c r="N5" s="181" t="s">
        <v>117</v>
      </c>
    </row>
    <row r="6" spans="1:15" ht="25.5" x14ac:dyDescent="0.25">
      <c r="A6" s="178"/>
      <c r="B6" s="179"/>
      <c r="C6" s="179"/>
      <c r="D6" s="127" t="s">
        <v>118</v>
      </c>
      <c r="E6" s="127" t="s">
        <v>119</v>
      </c>
      <c r="F6" s="181"/>
      <c r="I6" s="178"/>
      <c r="J6" s="179"/>
      <c r="K6" s="179"/>
      <c r="L6" s="127" t="s">
        <v>118</v>
      </c>
      <c r="M6" s="127" t="s">
        <v>119</v>
      </c>
      <c r="N6" s="181"/>
    </row>
    <row r="7" spans="1:15" x14ac:dyDescent="0.25">
      <c r="A7" s="128"/>
      <c r="B7" s="129"/>
      <c r="C7" s="129"/>
      <c r="D7" s="129"/>
      <c r="E7" s="129"/>
      <c r="F7" s="130"/>
      <c r="I7" s="128"/>
      <c r="J7" s="129"/>
      <c r="K7" s="129"/>
      <c r="L7" s="129"/>
      <c r="M7" s="129"/>
      <c r="N7" s="130"/>
    </row>
    <row r="8" spans="1:15" x14ac:dyDescent="0.25">
      <c r="A8" s="182">
        <v>43647</v>
      </c>
      <c r="B8" s="132" t="s">
        <v>74</v>
      </c>
      <c r="C8" s="133">
        <f>+'SALES SUMMARY'!AF9</f>
        <v>0</v>
      </c>
      <c r="D8" s="133">
        <f>(C8*0.8)*0.85</f>
        <v>0</v>
      </c>
      <c r="E8" s="133">
        <f>(C8*0.8)*0.15</f>
        <v>0</v>
      </c>
      <c r="F8" s="134">
        <f>C8*0.2</f>
        <v>0</v>
      </c>
      <c r="I8" s="182">
        <v>43662</v>
      </c>
      <c r="J8" s="132" t="s">
        <v>74</v>
      </c>
      <c r="K8" s="133">
        <f>+'SALES SUMMARY'!AF54</f>
        <v>2737.44</v>
      </c>
      <c r="L8" s="133">
        <f>(K8*0.8)*0.85</f>
        <v>1861.4592000000002</v>
      </c>
      <c r="M8" s="133">
        <f>(K8*0.8)*0.15</f>
        <v>328.49280000000005</v>
      </c>
      <c r="N8" s="134">
        <f>K8*0.2</f>
        <v>547.48800000000006</v>
      </c>
      <c r="O8" s="133"/>
    </row>
    <row r="9" spans="1:15" x14ac:dyDescent="0.25">
      <c r="A9" s="182"/>
      <c r="B9" s="135" t="s">
        <v>76</v>
      </c>
      <c r="C9" s="133">
        <f>+'SALES SUMMARY'!AF10</f>
        <v>0</v>
      </c>
      <c r="D9" s="133">
        <f>(C9*0.8)*0.85</f>
        <v>0</v>
      </c>
      <c r="E9" s="133">
        <f>(C9*0.8)*0.15</f>
        <v>0</v>
      </c>
      <c r="F9" s="134">
        <f>C9*0.2</f>
        <v>0</v>
      </c>
      <c r="I9" s="182"/>
      <c r="J9" s="135" t="s">
        <v>76</v>
      </c>
      <c r="K9" s="133">
        <f>+'SALES SUMMARY'!AF55</f>
        <v>2289.4499999999998</v>
      </c>
      <c r="L9" s="133">
        <f>(K9*0.8)*0.85</f>
        <v>1556.826</v>
      </c>
      <c r="M9" s="133">
        <f>(K9*0.8)*0.15</f>
        <v>274.73399999999998</v>
      </c>
      <c r="N9" s="134">
        <f>K9*0.2</f>
        <v>457.89</v>
      </c>
    </row>
    <row r="10" spans="1:15" x14ac:dyDescent="0.25">
      <c r="A10" s="136"/>
      <c r="B10" s="137"/>
      <c r="C10" s="138">
        <f>+C9+C8</f>
        <v>0</v>
      </c>
      <c r="D10" s="138">
        <f>+D9+D8</f>
        <v>0</v>
      </c>
      <c r="E10" s="138">
        <f>+E9+E8</f>
        <v>0</v>
      </c>
      <c r="F10" s="139">
        <f>+F9+F8</f>
        <v>0</v>
      </c>
      <c r="I10" s="136"/>
      <c r="J10" s="137"/>
      <c r="K10" s="138">
        <f>+K9+K8</f>
        <v>5026.8899999999994</v>
      </c>
      <c r="L10" s="138">
        <f>+L9+L8</f>
        <v>3418.2852000000003</v>
      </c>
      <c r="M10" s="138">
        <f>+M9+M8</f>
        <v>603.22680000000003</v>
      </c>
      <c r="N10" s="139">
        <f>+N9+N8</f>
        <v>1005.378</v>
      </c>
    </row>
    <row r="11" spans="1:15" x14ac:dyDescent="0.25">
      <c r="A11" s="182">
        <f>+A8+1</f>
        <v>43648</v>
      </c>
      <c r="B11" s="135"/>
      <c r="C11" s="133">
        <f>+'SALES SUMMARY'!AF12</f>
        <v>1047.26</v>
      </c>
      <c r="D11" s="133">
        <f>(C11*0.8)*0.85</f>
        <v>712.13679999999999</v>
      </c>
      <c r="E11" s="133">
        <f>(C11*0.8)*0.15</f>
        <v>125.6712</v>
      </c>
      <c r="F11" s="134">
        <f>C11*0.2</f>
        <v>209.452</v>
      </c>
      <c r="I11" s="140">
        <f>+I8+1</f>
        <v>43663</v>
      </c>
      <c r="J11" s="135"/>
      <c r="K11" s="133">
        <f>+'SALES SUMMARY'!AF57</f>
        <v>3420.26</v>
      </c>
      <c r="L11" s="133">
        <f>(K11*0.8)*0.85</f>
        <v>2325.7768000000005</v>
      </c>
      <c r="M11" s="133">
        <f>(K11*0.8)*0.15</f>
        <v>410.43120000000005</v>
      </c>
      <c r="N11" s="134">
        <f>K11*0.2</f>
        <v>684.05200000000013</v>
      </c>
    </row>
    <row r="12" spans="1:15" x14ac:dyDescent="0.25">
      <c r="A12" s="182"/>
      <c r="B12" s="135"/>
      <c r="C12" s="133">
        <f>+'SALES SUMMARY'!AF13</f>
        <v>502.06</v>
      </c>
      <c r="D12" s="133">
        <f>(C12*0.8)*0.85</f>
        <v>341.4008</v>
      </c>
      <c r="E12" s="133">
        <f>(C12*0.8)*0.15</f>
        <v>60.247199999999999</v>
      </c>
      <c r="F12" s="134">
        <f>C12*0.2</f>
        <v>100.41200000000001</v>
      </c>
      <c r="I12" s="131"/>
      <c r="J12" s="135"/>
      <c r="K12" s="133">
        <f>+'SALES SUMMARY'!AF58</f>
        <v>2706.52</v>
      </c>
      <c r="L12" s="133">
        <f>(K12*0.8)*0.85</f>
        <v>1840.4335999999998</v>
      </c>
      <c r="M12" s="133">
        <f>(K12*0.8)*0.15</f>
        <v>324.7824</v>
      </c>
      <c r="N12" s="134">
        <f>K12*0.2</f>
        <v>541.30399999999997</v>
      </c>
    </row>
    <row r="13" spans="1:15" x14ac:dyDescent="0.25">
      <c r="A13" s="136"/>
      <c r="B13" s="137"/>
      <c r="C13" s="138">
        <f>+C12+C11</f>
        <v>1549.32</v>
      </c>
      <c r="D13" s="138">
        <f>+D12+D11</f>
        <v>1053.5376000000001</v>
      </c>
      <c r="E13" s="138">
        <f>+E12+E11</f>
        <v>185.91839999999999</v>
      </c>
      <c r="F13" s="139">
        <f>+F12+F11</f>
        <v>309.86400000000003</v>
      </c>
      <c r="I13" s="136"/>
      <c r="J13" s="137"/>
      <c r="K13" s="138">
        <f>+K12+K11</f>
        <v>6126.7800000000007</v>
      </c>
      <c r="L13" s="138">
        <f>+L12+L11</f>
        <v>4166.2103999999999</v>
      </c>
      <c r="M13" s="138">
        <f>+M12+M11</f>
        <v>735.21360000000004</v>
      </c>
      <c r="N13" s="139">
        <f>+N12+N11</f>
        <v>1225.3560000000002</v>
      </c>
    </row>
    <row r="14" spans="1:15" x14ac:dyDescent="0.25">
      <c r="A14" s="182">
        <f>+A11+1</f>
        <v>43649</v>
      </c>
      <c r="B14" s="135"/>
      <c r="C14" s="133">
        <f>+'SALES SUMMARY'!AF15</f>
        <v>2072.75</v>
      </c>
      <c r="D14" s="133">
        <f>(C14*0.8)*0.85</f>
        <v>1409.47</v>
      </c>
      <c r="E14" s="133">
        <f>(C14*0.8)*0.15</f>
        <v>248.73</v>
      </c>
      <c r="F14" s="134">
        <f>C14*0.2</f>
        <v>414.55</v>
      </c>
      <c r="I14" s="140">
        <f>+I11+1</f>
        <v>43664</v>
      </c>
      <c r="J14" s="135"/>
      <c r="K14" s="133">
        <f>+'SALES SUMMARY'!AF60</f>
        <v>0</v>
      </c>
      <c r="L14" s="133">
        <f>(K14*0.8)*0.85</f>
        <v>0</v>
      </c>
      <c r="M14" s="133">
        <f>(K14*0.8)*0.15</f>
        <v>0</v>
      </c>
      <c r="N14" s="134">
        <f>K14*0.2</f>
        <v>0</v>
      </c>
    </row>
    <row r="15" spans="1:15" x14ac:dyDescent="0.25">
      <c r="A15" s="182"/>
      <c r="B15" s="135"/>
      <c r="C15" s="133">
        <f>+'SALES SUMMARY'!AF16</f>
        <v>1074.67</v>
      </c>
      <c r="D15" s="133">
        <f>(C15*0.8)*0.85</f>
        <v>730.77560000000005</v>
      </c>
      <c r="E15" s="133">
        <f>(C15*0.8)*0.15</f>
        <v>128.96040000000002</v>
      </c>
      <c r="F15" s="134">
        <f>C15*0.2</f>
        <v>214.93400000000003</v>
      </c>
      <c r="I15" s="131"/>
      <c r="J15" s="135"/>
      <c r="K15" s="133">
        <f>+'SALES SUMMARY'!AF61</f>
        <v>683.31</v>
      </c>
      <c r="L15" s="133">
        <f>(K15*0.8)*0.85</f>
        <v>464.6508</v>
      </c>
      <c r="M15" s="133">
        <f>(K15*0.8)*0.15</f>
        <v>81.997200000000007</v>
      </c>
      <c r="N15" s="134">
        <f>K15*0.2</f>
        <v>136.66200000000001</v>
      </c>
    </row>
    <row r="16" spans="1:15" x14ac:dyDescent="0.25">
      <c r="A16" s="141"/>
      <c r="B16" s="137"/>
      <c r="C16" s="138">
        <f>+C15+C14</f>
        <v>3147.42</v>
      </c>
      <c r="D16" s="138">
        <f>+D15+D14</f>
        <v>2140.2456000000002</v>
      </c>
      <c r="E16" s="138">
        <f>+E15+E14</f>
        <v>377.69040000000001</v>
      </c>
      <c r="F16" s="139">
        <f>+F15+F14</f>
        <v>629.48400000000004</v>
      </c>
      <c r="I16" s="141"/>
      <c r="J16" s="137"/>
      <c r="K16" s="138">
        <f>+K15+K14</f>
        <v>683.31</v>
      </c>
      <c r="L16" s="138">
        <f>+L15+L14</f>
        <v>464.6508</v>
      </c>
      <c r="M16" s="138">
        <f>+M15+M14</f>
        <v>81.997200000000007</v>
      </c>
      <c r="N16" s="139">
        <f>+N15+N14</f>
        <v>136.66200000000001</v>
      </c>
    </row>
    <row r="17" spans="1:14" x14ac:dyDescent="0.25">
      <c r="A17" s="182">
        <f>+A14+1</f>
        <v>43650</v>
      </c>
      <c r="B17" s="135"/>
      <c r="C17" s="133">
        <f>+'SALES SUMMARY'!AF18</f>
        <v>0</v>
      </c>
      <c r="D17" s="133">
        <f>(C17*0.8)*0.85</f>
        <v>0</v>
      </c>
      <c r="E17" s="133">
        <f>(C17*0.8)*0.15</f>
        <v>0</v>
      </c>
      <c r="F17" s="134">
        <f>C17*0.2</f>
        <v>0</v>
      </c>
      <c r="I17" s="140">
        <f>+I14+1</f>
        <v>43665</v>
      </c>
      <c r="J17" s="135"/>
      <c r="K17" s="133">
        <f>+'SALES SUMMARY'!AF63</f>
        <v>0</v>
      </c>
      <c r="L17" s="133">
        <f>(K17*0.8)*0.85</f>
        <v>0</v>
      </c>
      <c r="M17" s="133">
        <f>(K17*0.8)*0.15</f>
        <v>0</v>
      </c>
      <c r="N17" s="134">
        <f>K17*0.2</f>
        <v>0</v>
      </c>
    </row>
    <row r="18" spans="1:14" x14ac:dyDescent="0.25">
      <c r="A18" s="182"/>
      <c r="B18" s="135"/>
      <c r="C18" s="133">
        <f>+'SALES SUMMARY'!AF19</f>
        <v>619.61</v>
      </c>
      <c r="D18" s="133">
        <f>(C18*0.8)*0.85</f>
        <v>421.33480000000003</v>
      </c>
      <c r="E18" s="133">
        <f>(C18*0.8)*0.15</f>
        <v>74.353200000000001</v>
      </c>
      <c r="F18" s="134">
        <f>C18*0.2</f>
        <v>123.92200000000001</v>
      </c>
      <c r="I18" s="131"/>
      <c r="J18" s="135"/>
      <c r="K18" s="133">
        <f>+'SALES SUMMARY'!AF64</f>
        <v>0</v>
      </c>
      <c r="L18" s="133">
        <f>(K18*0.8)*0.85</f>
        <v>0</v>
      </c>
      <c r="M18" s="133">
        <f>(K18*0.8)*0.15</f>
        <v>0</v>
      </c>
      <c r="N18" s="134">
        <f>K18*0.2</f>
        <v>0</v>
      </c>
    </row>
    <row r="19" spans="1:14" x14ac:dyDescent="0.25">
      <c r="A19" s="141"/>
      <c r="B19" s="137"/>
      <c r="C19" s="138">
        <f>+C18+C17</f>
        <v>619.61</v>
      </c>
      <c r="D19" s="138">
        <f>+D18+D17</f>
        <v>421.33480000000003</v>
      </c>
      <c r="E19" s="138">
        <f>+E18+E17</f>
        <v>74.353200000000001</v>
      </c>
      <c r="F19" s="139">
        <f>+F18+F17</f>
        <v>123.92200000000001</v>
      </c>
      <c r="I19" s="141"/>
      <c r="J19" s="137"/>
      <c r="K19" s="138">
        <f>+K18+K17</f>
        <v>0</v>
      </c>
      <c r="L19" s="138">
        <f>+L18+L17</f>
        <v>0</v>
      </c>
      <c r="M19" s="138">
        <f>+M18+M17</f>
        <v>0</v>
      </c>
      <c r="N19" s="139">
        <f>+N18+N17</f>
        <v>0</v>
      </c>
    </row>
    <row r="20" spans="1:14" x14ac:dyDescent="0.25">
      <c r="A20" s="182">
        <f>+A17+1</f>
        <v>43651</v>
      </c>
      <c r="B20" s="135"/>
      <c r="C20" s="133">
        <f>+'SALES SUMMARY'!AF21</f>
        <v>0</v>
      </c>
      <c r="D20" s="133">
        <f>(C20*0.8)*0.85</f>
        <v>0</v>
      </c>
      <c r="E20" s="133">
        <f>(C20*0.8)*0.15</f>
        <v>0</v>
      </c>
      <c r="F20" s="134">
        <f>C20*0.2</f>
        <v>0</v>
      </c>
      <c r="I20" s="140">
        <f>+I17+1</f>
        <v>43666</v>
      </c>
      <c r="J20" s="135"/>
      <c r="K20" s="133">
        <f>+'SALES SUMMARY'!AF66</f>
        <v>2059.14</v>
      </c>
      <c r="L20" s="133">
        <f>(K20*0.8)*0.85</f>
        <v>1400.2151999999999</v>
      </c>
      <c r="M20" s="133">
        <f>(K20*0.8)*0.15</f>
        <v>247.09679999999997</v>
      </c>
      <c r="N20" s="134">
        <f>K20*0.2</f>
        <v>411.82799999999997</v>
      </c>
    </row>
    <row r="21" spans="1:14" x14ac:dyDescent="0.25">
      <c r="A21" s="182"/>
      <c r="B21" s="135"/>
      <c r="C21" s="133">
        <f>+'SALES SUMMARY'!AF22</f>
        <v>0</v>
      </c>
      <c r="D21" s="133">
        <f>(C21*0.8)*0.85</f>
        <v>0</v>
      </c>
      <c r="E21" s="133">
        <f>(C21*0.8)*0.15</f>
        <v>0</v>
      </c>
      <c r="F21" s="134">
        <f>C21*0.2</f>
        <v>0</v>
      </c>
      <c r="I21" s="131"/>
      <c r="J21" s="135"/>
      <c r="K21" s="133">
        <f>+'SALES SUMMARY'!AF67</f>
        <v>661.7</v>
      </c>
      <c r="L21" s="133">
        <f>(K21*0.8)*0.85</f>
        <v>449.95600000000002</v>
      </c>
      <c r="M21" s="133">
        <f>(K21*0.8)*0.15</f>
        <v>79.403999999999996</v>
      </c>
      <c r="N21" s="134">
        <f>K21*0.2</f>
        <v>132.34</v>
      </c>
    </row>
    <row r="22" spans="1:14" x14ac:dyDescent="0.25">
      <c r="A22" s="141"/>
      <c r="B22" s="137"/>
      <c r="C22" s="138">
        <f>+C21+C20</f>
        <v>0</v>
      </c>
      <c r="D22" s="138">
        <f>+D21+D20</f>
        <v>0</v>
      </c>
      <c r="E22" s="138">
        <f>+E21+E20</f>
        <v>0</v>
      </c>
      <c r="F22" s="139">
        <f>+F21+F20</f>
        <v>0</v>
      </c>
      <c r="I22" s="141"/>
      <c r="J22" s="137"/>
      <c r="K22" s="138">
        <f>+K21+K20</f>
        <v>2720.84</v>
      </c>
      <c r="L22" s="138">
        <f>+L21+L20</f>
        <v>1850.1711999999998</v>
      </c>
      <c r="M22" s="138">
        <f>+M21+M20</f>
        <v>326.50079999999997</v>
      </c>
      <c r="N22" s="139">
        <f>+N21+N20</f>
        <v>544.16800000000001</v>
      </c>
    </row>
    <row r="23" spans="1:14" x14ac:dyDescent="0.25">
      <c r="A23" s="182">
        <f>+A20+1</f>
        <v>43652</v>
      </c>
      <c r="B23" s="135"/>
      <c r="C23" s="133">
        <f>+'SALES SUMMARY'!AF24</f>
        <v>2383.9</v>
      </c>
      <c r="D23" s="133">
        <f>(C23*0.8)*0.85</f>
        <v>1621.0520000000001</v>
      </c>
      <c r="E23" s="133">
        <f>(C23*0.8)*0.15</f>
        <v>286.06799999999998</v>
      </c>
      <c r="F23" s="134">
        <f>C23*0.2</f>
        <v>476.78000000000003</v>
      </c>
      <c r="I23" s="140">
        <f>+I20+1</f>
        <v>43667</v>
      </c>
      <c r="J23" s="135"/>
      <c r="K23" s="133">
        <f>+'SALES SUMMARY'!AF69</f>
        <v>1757.56</v>
      </c>
      <c r="L23" s="133">
        <f>(K23*0.8)*0.85</f>
        <v>1195.1407999999999</v>
      </c>
      <c r="M23" s="133">
        <f>(K23*0.8)*0.15</f>
        <v>210.90719999999999</v>
      </c>
      <c r="N23" s="134">
        <f>K23*0.2</f>
        <v>351.512</v>
      </c>
    </row>
    <row r="24" spans="1:14" x14ac:dyDescent="0.25">
      <c r="A24" s="182"/>
      <c r="B24" s="135"/>
      <c r="C24" s="133">
        <f>+'SALES SUMMARY'!AF25</f>
        <v>1101.42</v>
      </c>
      <c r="D24" s="133">
        <f>(C24*0.8)*0.85</f>
        <v>748.96559999999999</v>
      </c>
      <c r="E24" s="133">
        <f>(C24*0.8)*0.15</f>
        <v>132.1704</v>
      </c>
      <c r="F24" s="134">
        <f>C24*0.2</f>
        <v>220.28400000000002</v>
      </c>
      <c r="I24" s="131"/>
      <c r="J24" s="135"/>
      <c r="K24" s="133">
        <f>+'SALES SUMMARY'!AF70</f>
        <v>2217.12</v>
      </c>
      <c r="L24" s="133">
        <f>(K24*0.8)*0.85</f>
        <v>1507.6415999999999</v>
      </c>
      <c r="M24" s="133">
        <f>(K24*0.8)*0.15</f>
        <v>266.05439999999999</v>
      </c>
      <c r="N24" s="134">
        <f>K24*0.2</f>
        <v>443.42399999999998</v>
      </c>
    </row>
    <row r="25" spans="1:14" x14ac:dyDescent="0.25">
      <c r="A25" s="141"/>
      <c r="B25" s="137"/>
      <c r="C25" s="138">
        <f>+C24+C23</f>
        <v>3485.32</v>
      </c>
      <c r="D25" s="138">
        <f>+D24+D23</f>
        <v>2370.0176000000001</v>
      </c>
      <c r="E25" s="138">
        <f>+E24+E23</f>
        <v>418.23839999999996</v>
      </c>
      <c r="F25" s="139">
        <f>+F24+F23</f>
        <v>697.06400000000008</v>
      </c>
      <c r="G25" s="142"/>
      <c r="I25" s="141"/>
      <c r="J25" s="137"/>
      <c r="K25" s="138">
        <f>+K24+K23</f>
        <v>3974.68</v>
      </c>
      <c r="L25" s="138">
        <f>+L24+L23</f>
        <v>2702.7824000000001</v>
      </c>
      <c r="M25" s="138">
        <f>+M24+M23</f>
        <v>476.96159999999998</v>
      </c>
      <c r="N25" s="139">
        <f>+N24+N23</f>
        <v>794.93599999999992</v>
      </c>
    </row>
    <row r="26" spans="1:14" x14ac:dyDescent="0.25">
      <c r="A26" s="182">
        <f>+A23+1</f>
        <v>43653</v>
      </c>
      <c r="B26" s="135"/>
      <c r="C26" s="133">
        <f>+'SALES SUMMARY'!AF27</f>
        <v>1770.94</v>
      </c>
      <c r="D26" s="133">
        <f>(C26*0.8)*0.85</f>
        <v>1204.2392000000002</v>
      </c>
      <c r="E26" s="133">
        <f>(C26*0.8)*0.15</f>
        <v>212.51280000000003</v>
      </c>
      <c r="F26" s="134">
        <f>C26*0.2</f>
        <v>354.18800000000005</v>
      </c>
      <c r="I26" s="140">
        <f>+I23+1</f>
        <v>43668</v>
      </c>
      <c r="J26" s="135"/>
      <c r="K26" s="133">
        <f>+'SALES SUMMARY'!AF72</f>
        <v>2090.2800000000002</v>
      </c>
      <c r="L26" s="133">
        <f>(K26*0.8)*0.85</f>
        <v>1421.3904</v>
      </c>
      <c r="M26" s="133">
        <f>(K26*0.8)*0.15</f>
        <v>250.83360000000002</v>
      </c>
      <c r="N26" s="134">
        <f>K26*0.2</f>
        <v>418.05600000000004</v>
      </c>
    </row>
    <row r="27" spans="1:14" x14ac:dyDescent="0.25">
      <c r="A27" s="182"/>
      <c r="B27" s="135"/>
      <c r="C27" s="133">
        <f>+'SALES SUMMARY'!AF28</f>
        <v>1037.18</v>
      </c>
      <c r="D27" s="133">
        <f>(C27*0.8)*0.85</f>
        <v>705.28240000000005</v>
      </c>
      <c r="E27" s="133">
        <f>(C27*0.8)*0.15</f>
        <v>124.46160000000002</v>
      </c>
      <c r="F27" s="134">
        <f>C27*0.2</f>
        <v>207.43600000000004</v>
      </c>
      <c r="I27" s="131"/>
      <c r="J27" s="135"/>
      <c r="K27" s="133">
        <f>+'SALES SUMMARY'!AF73</f>
        <v>2067.36</v>
      </c>
      <c r="L27" s="133">
        <f>(K27*0.8)*0.85</f>
        <v>1405.8048000000001</v>
      </c>
      <c r="M27" s="133">
        <f>(K27*0.8)*0.15</f>
        <v>248.08320000000001</v>
      </c>
      <c r="N27" s="134">
        <f>K27*0.2</f>
        <v>413.47200000000004</v>
      </c>
    </row>
    <row r="28" spans="1:14" x14ac:dyDescent="0.25">
      <c r="A28" s="141"/>
      <c r="B28" s="137"/>
      <c r="C28" s="138">
        <f>+C27+C26</f>
        <v>2808.12</v>
      </c>
      <c r="D28" s="138">
        <f>+D27+D26</f>
        <v>1909.5216000000003</v>
      </c>
      <c r="E28" s="138">
        <f>+E27+E26</f>
        <v>336.97440000000006</v>
      </c>
      <c r="F28" s="139">
        <f>+F27+F26</f>
        <v>561.62400000000002</v>
      </c>
      <c r="I28" s="141"/>
      <c r="J28" s="137"/>
      <c r="K28" s="138">
        <f>+K27+K26</f>
        <v>4157.6400000000003</v>
      </c>
      <c r="L28" s="138">
        <f>+L27+L26</f>
        <v>2827.1952000000001</v>
      </c>
      <c r="M28" s="138">
        <f>+M27+M26</f>
        <v>498.91680000000002</v>
      </c>
      <c r="N28" s="139">
        <f>+N27+N26</f>
        <v>831.52800000000002</v>
      </c>
    </row>
    <row r="29" spans="1:14" x14ac:dyDescent="0.25">
      <c r="A29" s="182">
        <f>+A26+1</f>
        <v>43654</v>
      </c>
      <c r="B29" s="135"/>
      <c r="C29" s="133">
        <f>+'SALES SUMMARY'!AF30</f>
        <v>1634.43</v>
      </c>
      <c r="D29" s="133">
        <f>(C29*0.8)*0.85</f>
        <v>1111.4124000000002</v>
      </c>
      <c r="E29" s="133">
        <f>(C29*0.8)*0.15</f>
        <v>196.13160000000002</v>
      </c>
      <c r="F29" s="134">
        <f>C29*0.2</f>
        <v>326.88600000000002</v>
      </c>
      <c r="I29" s="140">
        <f>+I26+1</f>
        <v>43669</v>
      </c>
      <c r="J29" s="135"/>
      <c r="K29" s="133">
        <f>+'SALES SUMMARY'!AF75</f>
        <v>1938.04</v>
      </c>
      <c r="L29" s="133">
        <f>(K29*0.8)*0.85</f>
        <v>1317.8671999999999</v>
      </c>
      <c r="M29" s="133">
        <f>(K29*0.8)*0.15</f>
        <v>232.56479999999999</v>
      </c>
      <c r="N29" s="134">
        <f>K29*0.2</f>
        <v>387.608</v>
      </c>
    </row>
    <row r="30" spans="1:14" x14ac:dyDescent="0.25">
      <c r="A30" s="182"/>
      <c r="B30" s="135"/>
      <c r="C30" s="133">
        <f>+'SALES SUMMARY'!AF31</f>
        <v>1785.21</v>
      </c>
      <c r="D30" s="133">
        <f>(C30*0.8)*0.85</f>
        <v>1213.9428</v>
      </c>
      <c r="E30" s="133">
        <f>(C30*0.8)*0.15</f>
        <v>214.2252</v>
      </c>
      <c r="F30" s="134">
        <f>C30*0.2</f>
        <v>357.04200000000003</v>
      </c>
      <c r="I30" s="131"/>
      <c r="J30" s="135"/>
      <c r="K30" s="133">
        <f>+'SALES SUMMARY'!AF76</f>
        <v>1170.1500000000001</v>
      </c>
      <c r="L30" s="133">
        <f>(K30*0.8)*0.85</f>
        <v>795.70200000000011</v>
      </c>
      <c r="M30" s="133">
        <f>(K30*0.8)*0.15</f>
        <v>140.41800000000001</v>
      </c>
      <c r="N30" s="134">
        <f>K30*0.2</f>
        <v>234.03000000000003</v>
      </c>
    </row>
    <row r="31" spans="1:14" x14ac:dyDescent="0.25">
      <c r="A31" s="141"/>
      <c r="B31" s="137"/>
      <c r="C31" s="138">
        <f>+C30+C29</f>
        <v>3419.6400000000003</v>
      </c>
      <c r="D31" s="138">
        <f>+D30+D29</f>
        <v>2325.3552</v>
      </c>
      <c r="E31" s="138">
        <f>+E30+E29</f>
        <v>410.35680000000002</v>
      </c>
      <c r="F31" s="139">
        <f>+F30+F29</f>
        <v>683.92800000000011</v>
      </c>
      <c r="I31" s="141"/>
      <c r="J31" s="137"/>
      <c r="K31" s="138">
        <f>+K30+K29</f>
        <v>3108.19</v>
      </c>
      <c r="L31" s="138">
        <f>+L30+L29</f>
        <v>2113.5691999999999</v>
      </c>
      <c r="M31" s="138">
        <f>+M30+M29</f>
        <v>372.9828</v>
      </c>
      <c r="N31" s="139">
        <f>+N30+N29</f>
        <v>621.63800000000003</v>
      </c>
    </row>
    <row r="32" spans="1:14" x14ac:dyDescent="0.25">
      <c r="A32" s="182">
        <f>+A29+1</f>
        <v>43655</v>
      </c>
      <c r="B32" s="135"/>
      <c r="C32" s="133">
        <f>+'SALES SUMMARY'!AF33</f>
        <v>1735.26</v>
      </c>
      <c r="D32" s="133">
        <f>(C32*0.8)*0.85</f>
        <v>1179.9768000000001</v>
      </c>
      <c r="E32" s="133">
        <f>(C32*0.8)*0.15</f>
        <v>208.2312</v>
      </c>
      <c r="F32" s="134">
        <f>C32*0.2</f>
        <v>347.05200000000002</v>
      </c>
      <c r="I32" s="140">
        <f>+I29+1</f>
        <v>43670</v>
      </c>
      <c r="J32" s="135"/>
      <c r="K32" s="133">
        <f>+'SALES SUMMARY'!AF78</f>
        <v>3252.78</v>
      </c>
      <c r="L32" s="133">
        <f>(K32*0.8)*0.85</f>
        <v>2211.8904000000002</v>
      </c>
      <c r="M32" s="133">
        <f>(K32*0.8)*0.15</f>
        <v>390.33359999999999</v>
      </c>
      <c r="N32" s="134">
        <f>K32*0.2</f>
        <v>650.55600000000004</v>
      </c>
    </row>
    <row r="33" spans="1:18" x14ac:dyDescent="0.25">
      <c r="A33" s="182"/>
      <c r="B33" s="135"/>
      <c r="C33" s="133">
        <f>+'SALES SUMMARY'!AF34</f>
        <v>1681.62</v>
      </c>
      <c r="D33" s="133">
        <f>(C33*0.8)*0.85</f>
        <v>1143.5016000000001</v>
      </c>
      <c r="E33" s="133">
        <f>(C33*0.8)*0.15</f>
        <v>201.7944</v>
      </c>
      <c r="F33" s="134">
        <f>C33*0.2</f>
        <v>336.32400000000001</v>
      </c>
      <c r="I33" s="131"/>
      <c r="J33" s="135"/>
      <c r="K33" s="133">
        <f>+'SALES SUMMARY'!AF79</f>
        <v>1679.84</v>
      </c>
      <c r="L33" s="133">
        <f>(K33*0.8)*0.85</f>
        <v>1142.2912000000001</v>
      </c>
      <c r="M33" s="133">
        <f>(K33*0.8)*0.15</f>
        <v>201.58080000000001</v>
      </c>
      <c r="N33" s="134">
        <f>K33*0.2</f>
        <v>335.96800000000002</v>
      </c>
    </row>
    <row r="34" spans="1:18" x14ac:dyDescent="0.25">
      <c r="A34" s="141"/>
      <c r="B34" s="137"/>
      <c r="C34" s="138">
        <f>+C33+C32</f>
        <v>3416.88</v>
      </c>
      <c r="D34" s="138">
        <f>+D33+D32</f>
        <v>2323.4784</v>
      </c>
      <c r="E34" s="138">
        <f>+E33+E32</f>
        <v>410.0256</v>
      </c>
      <c r="F34" s="139">
        <f>+F33+F32</f>
        <v>683.37599999999998</v>
      </c>
      <c r="G34" s="142"/>
      <c r="I34" s="141"/>
      <c r="J34" s="137"/>
      <c r="K34" s="138">
        <f>+K33+K32</f>
        <v>4932.62</v>
      </c>
      <c r="L34" s="138">
        <f>+L33+L32</f>
        <v>3354.1816000000003</v>
      </c>
      <c r="M34" s="138">
        <f>+M33+M32</f>
        <v>591.9144</v>
      </c>
      <c r="N34" s="139">
        <f>+N33+N32</f>
        <v>986.52400000000011</v>
      </c>
    </row>
    <row r="35" spans="1:18" x14ac:dyDescent="0.25">
      <c r="A35" s="182">
        <f>+A32+1</f>
        <v>43656</v>
      </c>
      <c r="B35" s="135"/>
      <c r="C35" s="133">
        <f>+'SALES SUMMARY'!AF36</f>
        <v>4146.34</v>
      </c>
      <c r="D35" s="133">
        <f>(C35*0.8)*0.85</f>
        <v>2819.5111999999999</v>
      </c>
      <c r="E35" s="133">
        <f>(C35*0.8)*0.15</f>
        <v>497.56079999999997</v>
      </c>
      <c r="F35" s="134">
        <f>C35*0.2</f>
        <v>829.26800000000003</v>
      </c>
      <c r="I35" s="140">
        <f>+I32+1</f>
        <v>43671</v>
      </c>
      <c r="J35" s="135"/>
      <c r="K35" s="133">
        <f>+'SALES SUMMARY'!AF81</f>
        <v>0</v>
      </c>
      <c r="L35" s="133">
        <f>(K35*0.8)*0.85</f>
        <v>0</v>
      </c>
      <c r="M35" s="133">
        <f>(K35*0.8)*0.15</f>
        <v>0</v>
      </c>
      <c r="N35" s="134">
        <f>K35*0.2</f>
        <v>0</v>
      </c>
    </row>
    <row r="36" spans="1:18" x14ac:dyDescent="0.25">
      <c r="A36" s="182"/>
      <c r="B36" s="135"/>
      <c r="C36" s="133">
        <f>+'SALES SUMMARY'!AF37</f>
        <v>1947.97</v>
      </c>
      <c r="D36" s="133">
        <f>(C36*0.8)*0.85</f>
        <v>1324.6196000000002</v>
      </c>
      <c r="E36" s="133">
        <f>(C36*0.8)*0.15</f>
        <v>233.75640000000001</v>
      </c>
      <c r="F36" s="134">
        <f>C36*0.2</f>
        <v>389.59400000000005</v>
      </c>
      <c r="I36" s="131"/>
      <c r="J36" s="135"/>
      <c r="K36" s="133">
        <f>+'SALES SUMMARY'!AF82</f>
        <v>0</v>
      </c>
      <c r="L36" s="133">
        <f>(K36*0.8)*0.85</f>
        <v>0</v>
      </c>
      <c r="M36" s="133">
        <f>(K36*0.8)*0.15</f>
        <v>0</v>
      </c>
      <c r="N36" s="134">
        <f>K36*0.2</f>
        <v>0</v>
      </c>
    </row>
    <row r="37" spans="1:18" x14ac:dyDescent="0.25">
      <c r="A37" s="141"/>
      <c r="B37" s="137"/>
      <c r="C37" s="138">
        <f>+C36+C35</f>
        <v>6094.31</v>
      </c>
      <c r="D37" s="138">
        <f>+D36+D35</f>
        <v>4144.1307999999999</v>
      </c>
      <c r="E37" s="138">
        <f>+E36+E35</f>
        <v>731.31719999999996</v>
      </c>
      <c r="F37" s="139">
        <f>+F36+F35</f>
        <v>1218.8620000000001</v>
      </c>
      <c r="G37" s="142"/>
      <c r="I37" s="141"/>
      <c r="J37" s="137"/>
      <c r="K37" s="138">
        <f>+K36+K35</f>
        <v>0</v>
      </c>
      <c r="L37" s="138">
        <f>+L36+L35</f>
        <v>0</v>
      </c>
      <c r="M37" s="138">
        <f>+M36+M35</f>
        <v>0</v>
      </c>
      <c r="N37" s="139">
        <f>+N36+N35</f>
        <v>0</v>
      </c>
    </row>
    <row r="38" spans="1:18" x14ac:dyDescent="0.25">
      <c r="A38" s="182">
        <f>+A35+1</f>
        <v>43657</v>
      </c>
      <c r="B38" s="135"/>
      <c r="C38" s="133">
        <f>+'SALES SUMMARY'!AF39</f>
        <v>0</v>
      </c>
      <c r="D38" s="133">
        <f>(C38*0.8)*0.85</f>
        <v>0</v>
      </c>
      <c r="E38" s="133">
        <f>(C38*0.8)*0.15</f>
        <v>0</v>
      </c>
      <c r="F38" s="134">
        <f>C38*0.2</f>
        <v>0</v>
      </c>
      <c r="I38" s="140">
        <f>+I35+1</f>
        <v>43672</v>
      </c>
      <c r="J38" s="135"/>
      <c r="K38" s="133">
        <f>+'SALES SUMMARY'!AF84</f>
        <v>0</v>
      </c>
      <c r="L38" s="133">
        <f>(K38*0.8)*0.85</f>
        <v>0</v>
      </c>
      <c r="M38" s="133">
        <f>(K38*0.8)*0.15</f>
        <v>0</v>
      </c>
      <c r="N38" s="134">
        <f>K38*0.2</f>
        <v>0</v>
      </c>
      <c r="R38" s="143"/>
    </row>
    <row r="39" spans="1:18" x14ac:dyDescent="0.25">
      <c r="A39" s="182"/>
      <c r="B39" s="135"/>
      <c r="C39" s="133">
        <f>+'SALES SUMMARY'!AF40</f>
        <v>216.7</v>
      </c>
      <c r="D39" s="133">
        <f>(C39*0.8)*0.85</f>
        <v>147.35599999999999</v>
      </c>
      <c r="E39" s="133">
        <f>(C39*0.8)*0.15</f>
        <v>26.004000000000001</v>
      </c>
      <c r="F39" s="134">
        <f>C39*0.2</f>
        <v>43.34</v>
      </c>
      <c r="I39" s="131"/>
      <c r="J39" s="135"/>
      <c r="K39" s="133">
        <f>+'SALES SUMMARY'!AF85</f>
        <v>0</v>
      </c>
      <c r="L39" s="133">
        <f>(K39*0.8)*0.85</f>
        <v>0</v>
      </c>
      <c r="M39" s="133">
        <f>(K39*0.8)*0.15</f>
        <v>0</v>
      </c>
      <c r="N39" s="134">
        <f>K39*0.2</f>
        <v>0</v>
      </c>
    </row>
    <row r="40" spans="1:18" x14ac:dyDescent="0.25">
      <c r="A40" s="141"/>
      <c r="B40" s="137"/>
      <c r="C40" s="138">
        <f>+C39+C38</f>
        <v>216.7</v>
      </c>
      <c r="D40" s="138">
        <f>+D39+D38</f>
        <v>147.35599999999999</v>
      </c>
      <c r="E40" s="138">
        <f>+E39+E38</f>
        <v>26.004000000000001</v>
      </c>
      <c r="F40" s="139">
        <f>+F39+F38</f>
        <v>43.34</v>
      </c>
      <c r="I40" s="141"/>
      <c r="J40" s="137"/>
      <c r="K40" s="138">
        <f>+K39+K38</f>
        <v>0</v>
      </c>
      <c r="L40" s="138">
        <f>+L39+L38</f>
        <v>0</v>
      </c>
      <c r="M40" s="138">
        <f>+M39+M38</f>
        <v>0</v>
      </c>
      <c r="N40" s="139">
        <f>+N39+N38</f>
        <v>0</v>
      </c>
    </row>
    <row r="41" spans="1:18" x14ac:dyDescent="0.25">
      <c r="A41" s="182">
        <f>+A38+1</f>
        <v>43658</v>
      </c>
      <c r="B41" s="132"/>
      <c r="C41" s="133">
        <f>+'SALES SUMMARY'!AF42</f>
        <v>0</v>
      </c>
      <c r="D41" s="133">
        <f>(C41*0.8)*0.85</f>
        <v>0</v>
      </c>
      <c r="E41" s="133">
        <f>(C41*0.8)*0.15</f>
        <v>0</v>
      </c>
      <c r="F41" s="134">
        <f>C41*0.2</f>
        <v>0</v>
      </c>
      <c r="I41" s="140">
        <f>+I38+1</f>
        <v>43673</v>
      </c>
      <c r="J41" s="132"/>
      <c r="K41" s="133">
        <f>+'SALES SUMMARY'!AF87</f>
        <v>2120.37</v>
      </c>
      <c r="L41" s="133">
        <f>(K41*0.8)*0.85</f>
        <v>1441.8516</v>
      </c>
      <c r="M41" s="133">
        <f>(K41*0.8)*0.15</f>
        <v>254.4444</v>
      </c>
      <c r="N41" s="134">
        <f>K41*0.2</f>
        <v>424.07400000000001</v>
      </c>
    </row>
    <row r="42" spans="1:18" x14ac:dyDescent="0.25">
      <c r="A42" s="182"/>
      <c r="B42" s="135"/>
      <c r="C42" s="133">
        <f>+'SALES SUMMARY'!AF43</f>
        <v>0</v>
      </c>
      <c r="D42" s="133">
        <f>(C42*0.8)*0.85</f>
        <v>0</v>
      </c>
      <c r="E42" s="133">
        <f>(C42*0.8)*0.15</f>
        <v>0</v>
      </c>
      <c r="F42" s="134">
        <f>C42*0.2</f>
        <v>0</v>
      </c>
      <c r="I42" s="131"/>
      <c r="J42" s="135"/>
      <c r="K42" s="133">
        <f>+'SALES SUMMARY'!AF88</f>
        <v>865.63</v>
      </c>
      <c r="L42" s="133">
        <f>(K42*0.8)*0.85</f>
        <v>588.62840000000006</v>
      </c>
      <c r="M42" s="133">
        <f>(K42*0.8)*0.15</f>
        <v>103.87560000000001</v>
      </c>
      <c r="N42" s="134">
        <f>K42*0.2</f>
        <v>173.126</v>
      </c>
    </row>
    <row r="43" spans="1:18" x14ac:dyDescent="0.25">
      <c r="A43" s="136"/>
      <c r="B43" s="137"/>
      <c r="C43" s="138">
        <f>+C42+C41</f>
        <v>0</v>
      </c>
      <c r="D43" s="138">
        <f>+D42+D41</f>
        <v>0</v>
      </c>
      <c r="E43" s="138">
        <f>+E42+E41</f>
        <v>0</v>
      </c>
      <c r="F43" s="139">
        <f>+F42+F41</f>
        <v>0</v>
      </c>
      <c r="I43" s="136"/>
      <c r="J43" s="137"/>
      <c r="K43" s="138">
        <f>+K42+K41</f>
        <v>2986</v>
      </c>
      <c r="L43" s="138">
        <f>+L42+L41</f>
        <v>2030.48</v>
      </c>
      <c r="M43" s="138">
        <f>+M42+M41</f>
        <v>358.32</v>
      </c>
      <c r="N43" s="139">
        <f>+N42+N41</f>
        <v>597.20000000000005</v>
      </c>
    </row>
    <row r="44" spans="1:18" x14ac:dyDescent="0.25">
      <c r="A44" s="182">
        <f>+A41+1</f>
        <v>43659</v>
      </c>
      <c r="B44" s="135"/>
      <c r="C44" s="133">
        <f>+'SALES SUMMARY'!AF45</f>
        <v>0</v>
      </c>
      <c r="D44" s="133">
        <f>(C44*0.8)*0.85</f>
        <v>0</v>
      </c>
      <c r="E44" s="133">
        <f>(C44*0.8)*0.15</f>
        <v>0</v>
      </c>
      <c r="F44" s="134">
        <f>C44*0.2</f>
        <v>0</v>
      </c>
      <c r="I44" s="140">
        <f>+I41+1</f>
        <v>43674</v>
      </c>
      <c r="J44" s="135"/>
      <c r="K44" s="133">
        <f>+'SALES SUMMARY'!AF90</f>
        <v>1968.98</v>
      </c>
      <c r="L44" s="133">
        <f>(K44*0.8)*0.85</f>
        <v>1338.9064000000001</v>
      </c>
      <c r="M44" s="133">
        <f>(K44*0.8)*0.15</f>
        <v>236.27760000000001</v>
      </c>
      <c r="N44" s="134">
        <f>K44*0.2</f>
        <v>393.79600000000005</v>
      </c>
    </row>
    <row r="45" spans="1:18" x14ac:dyDescent="0.25">
      <c r="A45" s="182"/>
      <c r="B45" s="135"/>
      <c r="C45" s="133">
        <f>+'SALES SUMMARY'!AF46</f>
        <v>0</v>
      </c>
      <c r="D45" s="133">
        <f>(C45*0.8)*0.85</f>
        <v>0</v>
      </c>
      <c r="E45" s="133">
        <f>(C45*0.8)*0.15</f>
        <v>0</v>
      </c>
      <c r="F45" s="134">
        <f>C45*0.2</f>
        <v>0</v>
      </c>
      <c r="I45" s="131"/>
      <c r="J45" s="135"/>
      <c r="K45" s="133">
        <f>+'SALES SUMMARY'!AF91</f>
        <v>1646.57</v>
      </c>
      <c r="L45" s="133">
        <f>(K45*0.8)*0.85</f>
        <v>1119.6676</v>
      </c>
      <c r="M45" s="133">
        <f>(K45*0.8)*0.15</f>
        <v>197.58840000000001</v>
      </c>
      <c r="N45" s="134">
        <f>K45*0.2</f>
        <v>329.31400000000002</v>
      </c>
      <c r="R45" s="135"/>
    </row>
    <row r="46" spans="1:18" x14ac:dyDescent="0.25">
      <c r="A46" s="136"/>
      <c r="B46" s="137"/>
      <c r="C46" s="138">
        <f>+C45+C44</f>
        <v>0</v>
      </c>
      <c r="D46" s="138">
        <f>+D45+D44</f>
        <v>0</v>
      </c>
      <c r="E46" s="138">
        <f>+E45+E44</f>
        <v>0</v>
      </c>
      <c r="F46" s="139">
        <f>+F45+F44</f>
        <v>0</v>
      </c>
      <c r="G46" s="142"/>
      <c r="I46" s="136"/>
      <c r="J46" s="137"/>
      <c r="K46" s="138">
        <f>+K45+K44</f>
        <v>3615.55</v>
      </c>
      <c r="L46" s="138">
        <f>+L45+L44</f>
        <v>2458.5740000000001</v>
      </c>
      <c r="M46" s="138">
        <f>+M45+M44</f>
        <v>433.86599999999999</v>
      </c>
      <c r="N46" s="139">
        <f>+N45+N44</f>
        <v>723.11000000000013</v>
      </c>
    </row>
    <row r="47" spans="1:18" x14ac:dyDescent="0.25">
      <c r="A47" s="182">
        <f>+A44+1</f>
        <v>43660</v>
      </c>
      <c r="B47" s="135"/>
      <c r="C47" s="133">
        <f>+'SALES SUMMARY'!AF48</f>
        <v>2350.1999999999998</v>
      </c>
      <c r="D47" s="133">
        <f>(C47*0.8)*0.85</f>
        <v>1598.1359999999997</v>
      </c>
      <c r="E47" s="133">
        <f>(C47*0.8)*0.15</f>
        <v>282.02399999999994</v>
      </c>
      <c r="F47" s="134">
        <f>C47*0.2</f>
        <v>470.03999999999996</v>
      </c>
      <c r="I47" s="140">
        <f>+I44+1</f>
        <v>43675</v>
      </c>
      <c r="J47" s="135"/>
      <c r="K47" s="133">
        <f>+'SALES SUMMARY'!AF93</f>
        <v>2778.24</v>
      </c>
      <c r="L47" s="133">
        <f>(K47*0.8)*0.85</f>
        <v>1889.2031999999999</v>
      </c>
      <c r="M47" s="133">
        <f>(K47*0.8)*0.15</f>
        <v>333.3888</v>
      </c>
      <c r="N47" s="134">
        <f>K47*0.2</f>
        <v>555.64800000000002</v>
      </c>
    </row>
    <row r="48" spans="1:18" x14ac:dyDescent="0.25">
      <c r="A48" s="182"/>
      <c r="B48" s="135"/>
      <c r="C48" s="133">
        <f>+'SALES SUMMARY'!AF49</f>
        <v>1332.95</v>
      </c>
      <c r="D48" s="133">
        <f>(C48*0.8)*0.85</f>
        <v>906.40600000000006</v>
      </c>
      <c r="E48" s="133">
        <f>(C48*0.8)*0.15</f>
        <v>159.95400000000001</v>
      </c>
      <c r="F48" s="134">
        <f>C48*0.2</f>
        <v>266.59000000000003</v>
      </c>
      <c r="I48" s="131"/>
      <c r="J48" s="135"/>
      <c r="K48" s="133">
        <f>+'SALES SUMMARY'!AF94</f>
        <v>1733.08</v>
      </c>
      <c r="L48" s="133">
        <f>(K48*0.8)*0.85</f>
        <v>1178.4943999999998</v>
      </c>
      <c r="M48" s="133">
        <f>(K48*0.8)*0.15</f>
        <v>207.96959999999999</v>
      </c>
      <c r="N48" s="134">
        <f>K48*0.2</f>
        <v>346.61599999999999</v>
      </c>
    </row>
    <row r="49" spans="1:16" x14ac:dyDescent="0.25">
      <c r="A49" s="136"/>
      <c r="B49" s="137"/>
      <c r="C49" s="138">
        <f>+C48+C47</f>
        <v>3683.1499999999996</v>
      </c>
      <c r="D49" s="138">
        <f>+D48+D47</f>
        <v>2504.5419999999999</v>
      </c>
      <c r="E49" s="138">
        <f>+E48+E47</f>
        <v>441.97799999999995</v>
      </c>
      <c r="F49" s="139">
        <f>+F48+F47</f>
        <v>736.63</v>
      </c>
      <c r="G49" s="142"/>
      <c r="H49" s="142"/>
      <c r="I49" s="136"/>
      <c r="J49" s="137"/>
      <c r="K49" s="138">
        <f>+K48+K47</f>
        <v>4511.32</v>
      </c>
      <c r="L49" s="138">
        <f>+L48+L47</f>
        <v>3067.6975999999995</v>
      </c>
      <c r="M49" s="138">
        <f>+M48+M47</f>
        <v>541.35839999999996</v>
      </c>
      <c r="N49" s="139">
        <f>+N48+N47</f>
        <v>902.26400000000001</v>
      </c>
    </row>
    <row r="50" spans="1:16" x14ac:dyDescent="0.25">
      <c r="A50" s="182">
        <f>+A47+1</f>
        <v>43661</v>
      </c>
      <c r="B50" s="135"/>
      <c r="C50" s="133">
        <f>+'SALES SUMMARY'!AF51</f>
        <v>1861.84</v>
      </c>
      <c r="D50" s="133">
        <f>(C50*0.8)*0.85</f>
        <v>1266.0511999999999</v>
      </c>
      <c r="E50" s="133">
        <f>(C50*0.8)*0.15</f>
        <v>223.42079999999999</v>
      </c>
      <c r="F50" s="134">
        <f>C50*0.2</f>
        <v>372.36799999999999</v>
      </c>
      <c r="I50" s="140">
        <f>+I47+1</f>
        <v>43676</v>
      </c>
      <c r="J50" s="135"/>
      <c r="K50" s="133">
        <f>+'SALES SUMMARY'!AF96</f>
        <v>3025.21</v>
      </c>
      <c r="L50" s="133">
        <f>(K50*0.8)*0.85</f>
        <v>2057.1428000000001</v>
      </c>
      <c r="M50" s="133">
        <f>(K50*0.8)*0.15</f>
        <v>363.02519999999998</v>
      </c>
      <c r="N50" s="134">
        <f>K50*0.2</f>
        <v>605.04200000000003</v>
      </c>
    </row>
    <row r="51" spans="1:16" x14ac:dyDescent="0.25">
      <c r="A51" s="182"/>
      <c r="B51" s="135"/>
      <c r="C51" s="133">
        <f>+'SALES SUMMARY'!AF52</f>
        <v>1929.47</v>
      </c>
      <c r="D51" s="133">
        <f>(C51*0.8)*0.85</f>
        <v>1312.0396000000001</v>
      </c>
      <c r="E51" s="133">
        <f>(C51*0.8)*0.15</f>
        <v>231.53639999999999</v>
      </c>
      <c r="F51" s="134">
        <f>C51*0.2</f>
        <v>385.89400000000001</v>
      </c>
      <c r="I51" s="131"/>
      <c r="J51" s="135"/>
      <c r="K51" s="133">
        <f>+'SALES SUMMARY'!AF97</f>
        <v>1543.78</v>
      </c>
      <c r="L51" s="133">
        <f>(K51*0.8)*0.85</f>
        <v>1049.7704000000001</v>
      </c>
      <c r="M51" s="133">
        <f>(K51*0.8)*0.15</f>
        <v>185.25360000000001</v>
      </c>
      <c r="N51" s="134">
        <f>K51*0.2</f>
        <v>308.75600000000003</v>
      </c>
    </row>
    <row r="52" spans="1:16" x14ac:dyDescent="0.25">
      <c r="A52" s="136"/>
      <c r="B52" s="137"/>
      <c r="C52" s="138">
        <f>+C51+C50</f>
        <v>3791.31</v>
      </c>
      <c r="D52" s="138">
        <f>+D51+D50</f>
        <v>2578.0907999999999</v>
      </c>
      <c r="E52" s="138">
        <f>+E51+E50</f>
        <v>454.95719999999994</v>
      </c>
      <c r="F52" s="139">
        <f>+F51+F50</f>
        <v>758.26199999999994</v>
      </c>
      <c r="G52" s="142"/>
      <c r="H52" s="142"/>
      <c r="I52" s="136"/>
      <c r="J52" s="137"/>
      <c r="K52" s="138">
        <f>+K51+K50</f>
        <v>4568.99</v>
      </c>
      <c r="L52" s="138">
        <f>+L51+L50</f>
        <v>3106.9132</v>
      </c>
      <c r="M52" s="138">
        <f>+M51+M50</f>
        <v>548.27880000000005</v>
      </c>
      <c r="N52" s="139">
        <f>+N51+N50</f>
        <v>913.798</v>
      </c>
    </row>
    <row r="53" spans="1:16" x14ac:dyDescent="0.25">
      <c r="C53" s="133"/>
      <c r="D53" s="133"/>
      <c r="E53" s="133"/>
      <c r="F53" s="134"/>
      <c r="I53" s="140">
        <f>+I50+1</f>
        <v>43677</v>
      </c>
      <c r="J53" s="135"/>
      <c r="K53" s="133" t="e">
        <f>+'SALES SUMMARY'!#REF!</f>
        <v>#REF!</v>
      </c>
      <c r="L53" s="133" t="e">
        <f>(K53*0.8)*0.85</f>
        <v>#REF!</v>
      </c>
      <c r="M53" s="133" t="e">
        <f>(K53*0.8)*0.15</f>
        <v>#REF!</v>
      </c>
      <c r="N53" s="134" t="e">
        <f>K53*0.2</f>
        <v>#REF!</v>
      </c>
    </row>
    <row r="54" spans="1:16" x14ac:dyDescent="0.25">
      <c r="A54" s="144" t="s">
        <v>82</v>
      </c>
      <c r="B54" s="144"/>
      <c r="C54" s="145">
        <f>C10+C13+C16+C19+C22+C25+C28+C31+C34+C37+C40+C43+C46+C49+C52</f>
        <v>32231.780000000002</v>
      </c>
      <c r="D54" s="145">
        <f>D10+D13+D16+D19+D22+D25+D28+D31+D34+D37+D40+D43+D46+D49+D52</f>
        <v>21917.610399999998</v>
      </c>
      <c r="E54" s="145">
        <f>E10+E13+E16+E19+E22+E25+E28+E31+E34+E37+E40+E43+E46+E49+E52</f>
        <v>3867.8136</v>
      </c>
      <c r="F54" s="145">
        <f>F10+F13+F16+F19+F22+F25+F28+F31+F34+F37+F40+F43+F46+F49+F52</f>
        <v>6446.3560000000007</v>
      </c>
      <c r="I54" s="131"/>
      <c r="J54" s="135"/>
      <c r="K54" s="133" t="e">
        <f>+'SALES SUMMARY'!#REF!</f>
        <v>#REF!</v>
      </c>
      <c r="L54" s="133" t="e">
        <f>(K54*0.8)*0.85</f>
        <v>#REF!</v>
      </c>
      <c r="M54" s="133" t="e">
        <f>(K54*0.8)*0.15</f>
        <v>#REF!</v>
      </c>
      <c r="N54" s="134" t="e">
        <f>K54*0.2</f>
        <v>#REF!</v>
      </c>
    </row>
    <row r="55" spans="1:16" x14ac:dyDescent="0.25">
      <c r="C55" s="124" t="s">
        <v>79</v>
      </c>
      <c r="I55" s="136"/>
      <c r="J55" s="137"/>
      <c r="K55" s="138" t="e">
        <f>+K54+K53</f>
        <v>#REF!</v>
      </c>
      <c r="L55" s="138" t="e">
        <f>+L54+L53</f>
        <v>#REF!</v>
      </c>
      <c r="M55" s="138" t="e">
        <f>+M54+M53</f>
        <v>#REF!</v>
      </c>
      <c r="N55" s="139" t="e">
        <f>+N54+N53</f>
        <v>#REF!</v>
      </c>
    </row>
    <row r="56" spans="1:16" x14ac:dyDescent="0.25">
      <c r="A56" s="146"/>
      <c r="B56" s="146"/>
      <c r="C56" s="146" t="s">
        <v>112</v>
      </c>
      <c r="D56" s="146"/>
      <c r="E56" s="146"/>
      <c r="F56" s="147">
        <f>D54</f>
        <v>21917.610399999998</v>
      </c>
      <c r="K56" s="133"/>
      <c r="L56" s="133"/>
      <c r="M56" s="133"/>
      <c r="N56" s="134"/>
    </row>
    <row r="57" spans="1:16" x14ac:dyDescent="0.25">
      <c r="A57" s="146"/>
      <c r="B57" s="146"/>
      <c r="C57" s="146"/>
      <c r="D57" s="146"/>
      <c r="E57" s="146"/>
      <c r="F57" s="146"/>
      <c r="H57" s="142"/>
      <c r="I57" s="144" t="s">
        <v>82</v>
      </c>
      <c r="J57" s="144"/>
      <c r="K57" s="145" t="e">
        <f>+K55+K52+K49+K46+K43+K40+K37+K34+K31+K28+K25+K22+K19+K16+K13+K10</f>
        <v>#REF!</v>
      </c>
      <c r="L57" s="145" t="e">
        <f>+L10+L13+L16+L19+L22+L25+L28+L31+L34+L37+L40+L43+L46+L49+L52+L55</f>
        <v>#REF!</v>
      </c>
      <c r="M57" s="145" t="e">
        <f>+M10+M13+M16+M19+M22+M25+M28+M31+M34+M37+M40+M43+M46+M49+M52+M55</f>
        <v>#REF!</v>
      </c>
      <c r="N57" s="145" t="e">
        <f>+N10+N13+N16+N19+N22+N25+N28+N31+N34+N37+N40+N43+N46+N49+N52+N55</f>
        <v>#REF!</v>
      </c>
    </row>
    <row r="58" spans="1:16" x14ac:dyDescent="0.25">
      <c r="A58" s="146"/>
      <c r="B58" s="146"/>
      <c r="C58" s="146" t="s">
        <v>120</v>
      </c>
      <c r="D58" s="146"/>
      <c r="E58" s="146"/>
      <c r="F58" s="148"/>
      <c r="I58" s="146"/>
      <c r="J58" s="146"/>
      <c r="K58" s="146"/>
      <c r="L58" s="146"/>
      <c r="M58" s="146"/>
      <c r="N58" s="148"/>
    </row>
    <row r="59" spans="1:16" x14ac:dyDescent="0.25">
      <c r="A59" s="146"/>
      <c r="B59" s="146"/>
      <c r="C59" s="146" t="s">
        <v>121</v>
      </c>
      <c r="D59" s="146"/>
      <c r="E59" s="146"/>
      <c r="F59" s="148">
        <v>4580</v>
      </c>
      <c r="I59" s="146"/>
      <c r="J59" s="146" t="s">
        <v>112</v>
      </c>
      <c r="K59" s="146"/>
      <c r="L59" s="146"/>
      <c r="M59" s="149"/>
      <c r="N59" s="150" t="e">
        <f>L57</f>
        <v>#REF!</v>
      </c>
    </row>
    <row r="60" spans="1:16" x14ac:dyDescent="0.25">
      <c r="A60" s="146"/>
      <c r="B60" s="146"/>
      <c r="C60" s="146" t="s">
        <v>122</v>
      </c>
      <c r="D60" s="146"/>
      <c r="E60" s="146"/>
      <c r="F60" s="148">
        <f>(F54-F59)*0.6</f>
        <v>1119.8136000000004</v>
      </c>
      <c r="I60" s="146"/>
      <c r="J60" s="146"/>
      <c r="K60" s="146"/>
      <c r="L60" s="146"/>
      <c r="M60" s="151"/>
    </row>
    <row r="61" spans="1:16" x14ac:dyDescent="0.25">
      <c r="A61" s="146"/>
      <c r="B61" s="146"/>
      <c r="C61" s="146" t="s">
        <v>123</v>
      </c>
      <c r="D61" s="146"/>
      <c r="E61" s="146"/>
      <c r="F61" s="150">
        <f>+F59+F60</f>
        <v>5699.8136000000004</v>
      </c>
      <c r="I61" s="146"/>
      <c r="J61" s="146" t="s">
        <v>120</v>
      </c>
      <c r="K61" s="146"/>
      <c r="L61" s="146"/>
      <c r="M61" s="149"/>
      <c r="N61" s="142"/>
      <c r="P61" s="142"/>
    </row>
    <row r="62" spans="1:16" x14ac:dyDescent="0.25">
      <c r="A62" s="146"/>
      <c r="B62" s="146"/>
      <c r="C62" s="146"/>
      <c r="D62" s="146"/>
      <c r="E62" s="146"/>
      <c r="F62" s="146"/>
      <c r="H62" s="142"/>
      <c r="I62" s="146"/>
      <c r="J62" s="146" t="s">
        <v>121</v>
      </c>
      <c r="K62" s="146"/>
      <c r="L62" s="146"/>
      <c r="M62" s="151"/>
      <c r="N62" s="152">
        <v>4580</v>
      </c>
    </row>
    <row r="63" spans="1:16" x14ac:dyDescent="0.25">
      <c r="A63" s="146"/>
      <c r="B63" s="146"/>
      <c r="C63" s="146" t="s">
        <v>124</v>
      </c>
      <c r="D63" s="146"/>
      <c r="E63" s="146"/>
      <c r="F63" s="148">
        <f>E54</f>
        <v>3867.8136</v>
      </c>
      <c r="I63" s="146"/>
      <c r="J63" s="146" t="s">
        <v>125</v>
      </c>
      <c r="K63" s="146"/>
      <c r="L63" s="146"/>
      <c r="M63" s="151"/>
      <c r="N63" s="153" t="e">
        <f>(N57-N62)*0.6</f>
        <v>#REF!</v>
      </c>
    </row>
    <row r="64" spans="1:16" x14ac:dyDescent="0.25">
      <c r="I64" s="146"/>
      <c r="J64" s="146" t="s">
        <v>123</v>
      </c>
      <c r="K64" s="146"/>
      <c r="L64" s="146"/>
      <c r="M64" s="149"/>
      <c r="N64" s="150" t="e">
        <f>+N62+N63</f>
        <v>#REF!</v>
      </c>
    </row>
    <row r="65" spans="3:14" x14ac:dyDescent="0.25">
      <c r="C65" s="146" t="s">
        <v>126</v>
      </c>
      <c r="I65" s="146"/>
      <c r="J65" s="146"/>
      <c r="K65" s="146"/>
      <c r="L65" s="146"/>
      <c r="M65" s="151"/>
    </row>
    <row r="66" spans="3:14" x14ac:dyDescent="0.25">
      <c r="C66" s="146" t="s">
        <v>127</v>
      </c>
      <c r="F66" s="148">
        <f>(F54-F59)*0.4</f>
        <v>746.54240000000027</v>
      </c>
      <c r="I66" s="146"/>
      <c r="J66" s="146" t="s">
        <v>124</v>
      </c>
      <c r="K66" s="146"/>
      <c r="L66" s="146"/>
      <c r="M66" s="149"/>
      <c r="N66" s="148" t="e">
        <f>M57</f>
        <v>#REF!</v>
      </c>
    </row>
    <row r="67" spans="3:14" x14ac:dyDescent="0.25">
      <c r="M67" s="135"/>
    </row>
    <row r="68" spans="3:14" x14ac:dyDescent="0.25">
      <c r="C68" s="146" t="s">
        <v>128</v>
      </c>
      <c r="F68" s="154">
        <f>+F56+F59+F60+F63+F66</f>
        <v>32231.78</v>
      </c>
      <c r="G68" s="142">
        <f>+F68-C54</f>
        <v>0</v>
      </c>
      <c r="J68" s="146" t="s">
        <v>126</v>
      </c>
      <c r="M68" s="135"/>
    </row>
    <row r="69" spans="3:14" x14ac:dyDescent="0.25">
      <c r="J69" s="146" t="s">
        <v>127</v>
      </c>
      <c r="M69" s="135"/>
      <c r="N69" s="148" t="e">
        <f>(N57-N62)*0.4</f>
        <v>#REF!</v>
      </c>
    </row>
    <row r="71" spans="3:14" x14ac:dyDescent="0.25">
      <c r="J71" s="146" t="s">
        <v>128</v>
      </c>
      <c r="N71" s="154" t="e">
        <f>+N59+N62+N63+N66+N69</f>
        <v>#REF!</v>
      </c>
    </row>
    <row r="74" spans="3:14" x14ac:dyDescent="0.25">
      <c r="F74" s="124" t="s">
        <v>79</v>
      </c>
    </row>
  </sheetData>
  <mergeCells count="26">
    <mergeCell ref="A50:A51"/>
    <mergeCell ref="A35:A36"/>
    <mergeCell ref="A38:A39"/>
    <mergeCell ref="A41:A42"/>
    <mergeCell ref="A44:A45"/>
    <mergeCell ref="A47:A48"/>
    <mergeCell ref="A20:A21"/>
    <mergeCell ref="A23:A24"/>
    <mergeCell ref="A26:A27"/>
    <mergeCell ref="A29:A30"/>
    <mergeCell ref="A32:A33"/>
    <mergeCell ref="A8:A9"/>
    <mergeCell ref="I8:I9"/>
    <mergeCell ref="A11:A12"/>
    <mergeCell ref="A14:A15"/>
    <mergeCell ref="A17:A18"/>
    <mergeCell ref="I5:I6"/>
    <mergeCell ref="J5:J6"/>
    <mergeCell ref="K5:K6"/>
    <mergeCell ref="L5:M5"/>
    <mergeCell ref="N5:N6"/>
    <mergeCell ref="A5:A6"/>
    <mergeCell ref="B5:B6"/>
    <mergeCell ref="C5:C6"/>
    <mergeCell ref="D5:E5"/>
    <mergeCell ref="F5:F6"/>
  </mergeCells>
  <pageMargins left="0.75" right="0.75" top="0.5" bottom="0.17013888888888901" header="0.51180555555555496" footer="0.51180555555555496"/>
  <pageSetup paperSize="5" scale="80" firstPageNumber="0" orientation="portrait" horizontalDpi="300" verticalDpi="30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29"/>
  <sheetViews>
    <sheetView tabSelected="1" topLeftCell="A64" zoomScaleNormal="100" workbookViewId="0">
      <selection activeCell="G83" sqref="G83"/>
    </sheetView>
  </sheetViews>
  <sheetFormatPr defaultRowHeight="15" x14ac:dyDescent="0.25"/>
  <cols>
    <col min="1" max="1" width="33.85546875" style="155" customWidth="1"/>
    <col min="2" max="2" width="9.140625" style="155" customWidth="1"/>
    <col min="3" max="4" width="9.140625" style="155" hidden="1" customWidth="1"/>
    <col min="5" max="5" width="9.140625" style="155" customWidth="1"/>
    <col min="6" max="7" width="12.85546875" style="155" customWidth="1"/>
    <col min="8" max="1025" width="9.140625" style="155" customWidth="1"/>
  </cols>
  <sheetData>
    <row r="1" spans="1:7" x14ac:dyDescent="0.25">
      <c r="A1" s="156"/>
      <c r="B1" s="156"/>
      <c r="C1" s="156"/>
      <c r="D1" s="156"/>
      <c r="E1" s="156"/>
      <c r="F1" s="156"/>
      <c r="G1" s="156"/>
    </row>
    <row r="2" spans="1:7" x14ac:dyDescent="0.25">
      <c r="A2" s="156"/>
      <c r="B2" s="156"/>
      <c r="C2" s="156"/>
      <c r="D2" s="156"/>
      <c r="E2" s="156"/>
      <c r="F2" s="156"/>
      <c r="G2" s="156"/>
    </row>
    <row r="3" spans="1:7" x14ac:dyDescent="0.25">
      <c r="A3" s="157" t="str">
        <f>'SALES SUMMARY'!A1</f>
        <v>THE OLD SPAGHETTI HOUSE-VALERO</v>
      </c>
      <c r="B3" s="158"/>
      <c r="C3" s="158"/>
      <c r="D3" s="156"/>
      <c r="E3" s="156"/>
      <c r="F3" s="156"/>
      <c r="G3" s="156"/>
    </row>
    <row r="4" spans="1:7" x14ac:dyDescent="0.25">
      <c r="A4" s="157" t="s">
        <v>129</v>
      </c>
      <c r="B4" s="158"/>
      <c r="C4" s="158"/>
      <c r="D4" s="156"/>
      <c r="E4" s="156"/>
      <c r="F4" s="156"/>
      <c r="G4" s="156"/>
    </row>
    <row r="5" spans="1:7" x14ac:dyDescent="0.25">
      <c r="A5" s="159" t="s">
        <v>130</v>
      </c>
      <c r="B5" s="159"/>
      <c r="C5" s="159"/>
      <c r="D5" s="159"/>
      <c r="E5" s="156"/>
      <c r="F5" s="156"/>
      <c r="G5" s="156"/>
    </row>
    <row r="6" spans="1:7" x14ac:dyDescent="0.25">
      <c r="A6" s="156"/>
      <c r="B6" s="156"/>
      <c r="C6" s="156"/>
      <c r="D6" s="156"/>
      <c r="E6" s="156"/>
      <c r="F6" s="156"/>
      <c r="G6" s="156"/>
    </row>
    <row r="7" spans="1:7" x14ac:dyDescent="0.25">
      <c r="A7" s="156"/>
      <c r="B7" s="156"/>
      <c r="C7" s="156"/>
      <c r="D7" s="156"/>
      <c r="E7" s="156"/>
      <c r="F7" s="156"/>
      <c r="G7" s="156"/>
    </row>
    <row r="8" spans="1:7" x14ac:dyDescent="0.25">
      <c r="A8" s="156" t="s">
        <v>131</v>
      </c>
      <c r="B8" s="156"/>
      <c r="C8" s="156"/>
      <c r="D8" s="156"/>
      <c r="E8" s="156"/>
      <c r="F8" s="156"/>
      <c r="G8" s="160">
        <f>+'SALES SUMMARY'!C103</f>
        <v>1135816.0199999998</v>
      </c>
    </row>
    <row r="9" spans="1:7" x14ac:dyDescent="0.25">
      <c r="A9" s="156"/>
      <c r="B9" s="156"/>
      <c r="C9" s="156"/>
      <c r="D9" s="156"/>
      <c r="E9" s="156"/>
      <c r="F9" s="156"/>
      <c r="G9" s="160"/>
    </row>
    <row r="10" spans="1:7" x14ac:dyDescent="0.25">
      <c r="A10" s="156" t="s">
        <v>132</v>
      </c>
      <c r="B10" s="156"/>
      <c r="C10" s="156"/>
      <c r="D10" s="156"/>
      <c r="E10" s="156"/>
      <c r="F10" s="156"/>
      <c r="G10" s="160">
        <f>+'SALES SUMMARY'!AF103</f>
        <v>84237.510000000009</v>
      </c>
    </row>
    <row r="11" spans="1:7" x14ac:dyDescent="0.25">
      <c r="A11" s="156"/>
      <c r="B11" s="156"/>
      <c r="C11" s="156"/>
      <c r="D11" s="156"/>
      <c r="E11" s="156"/>
      <c r="F11" s="156"/>
      <c r="G11" s="156"/>
    </row>
    <row r="12" spans="1:7" x14ac:dyDescent="0.25">
      <c r="A12" s="156" t="s">
        <v>42</v>
      </c>
      <c r="B12" s="156"/>
      <c r="C12" s="156"/>
      <c r="D12" s="156"/>
      <c r="E12" s="156"/>
      <c r="F12" s="156"/>
      <c r="G12" s="161">
        <f>+'SALES SUMMARY'!AM103</f>
        <v>109628.76287142858</v>
      </c>
    </row>
    <row r="13" spans="1:7" x14ac:dyDescent="0.25">
      <c r="A13" s="156"/>
      <c r="B13" s="156"/>
      <c r="C13" s="156"/>
      <c r="D13" s="156"/>
      <c r="E13" s="156"/>
      <c r="F13" s="156"/>
      <c r="G13" s="162"/>
    </row>
    <row r="14" spans="1:7" x14ac:dyDescent="0.25">
      <c r="A14" s="156" t="s">
        <v>40</v>
      </c>
      <c r="B14" s="156"/>
      <c r="C14" s="156"/>
      <c r="D14" s="156"/>
      <c r="E14" s="156"/>
      <c r="F14" s="156"/>
      <c r="G14" s="160">
        <f>G8-G10-G12</f>
        <v>941949.74712857115</v>
      </c>
    </row>
    <row r="15" spans="1:7" x14ac:dyDescent="0.25">
      <c r="A15" s="156"/>
      <c r="B15" s="156"/>
      <c r="C15" s="156"/>
      <c r="D15" s="156"/>
      <c r="E15" s="156"/>
      <c r="F15" s="156"/>
      <c r="G15" s="156"/>
    </row>
    <row r="16" spans="1:7" x14ac:dyDescent="0.25">
      <c r="A16" s="156"/>
      <c r="B16" s="156"/>
      <c r="C16" s="156"/>
      <c r="D16" s="156"/>
      <c r="E16" s="156"/>
      <c r="F16" s="156"/>
      <c r="G16" s="163"/>
    </row>
    <row r="17" spans="1:7" x14ac:dyDescent="0.25">
      <c r="A17" s="164" t="s">
        <v>129</v>
      </c>
      <c r="B17" s="164"/>
      <c r="C17" s="164"/>
      <c r="D17" s="164"/>
      <c r="E17" s="164"/>
      <c r="F17" s="165">
        <v>0.02</v>
      </c>
      <c r="G17" s="166">
        <f>G14*F17</f>
        <v>18838.994942571422</v>
      </c>
    </row>
    <row r="18" spans="1:7" x14ac:dyDescent="0.25">
      <c r="A18" s="164"/>
      <c r="B18" s="164"/>
      <c r="C18" s="164"/>
      <c r="D18" s="164"/>
      <c r="E18" s="164"/>
      <c r="F18" s="165"/>
      <c r="G18" s="167"/>
    </row>
    <row r="19" spans="1:7" x14ac:dyDescent="0.25">
      <c r="A19" s="164" t="s">
        <v>133</v>
      </c>
      <c r="B19" s="164"/>
      <c r="C19" s="164"/>
      <c r="D19" s="164"/>
      <c r="E19" s="164"/>
      <c r="F19" s="165"/>
      <c r="G19" s="167">
        <f>+G17*0.12</f>
        <v>2260.6793931085704</v>
      </c>
    </row>
    <row r="20" spans="1:7" x14ac:dyDescent="0.25">
      <c r="A20" s="164"/>
      <c r="B20" s="164"/>
      <c r="C20" s="164"/>
      <c r="D20" s="164"/>
      <c r="E20" s="164"/>
      <c r="F20" s="165"/>
      <c r="G20" s="167"/>
    </row>
    <row r="21" spans="1:7" x14ac:dyDescent="0.25">
      <c r="A21" s="164" t="s">
        <v>134</v>
      </c>
      <c r="B21" s="164"/>
      <c r="C21" s="164"/>
      <c r="D21" s="164"/>
      <c r="E21" s="164"/>
      <c r="F21" s="165"/>
      <c r="G21" s="167">
        <f>+G17*0.15</f>
        <v>2825.8492413857134</v>
      </c>
    </row>
    <row r="22" spans="1:7" x14ac:dyDescent="0.25">
      <c r="A22" s="156"/>
      <c r="B22" s="156"/>
      <c r="C22" s="156"/>
      <c r="D22" s="156"/>
      <c r="E22" s="156"/>
      <c r="F22" s="156"/>
      <c r="G22" s="160"/>
    </row>
    <row r="23" spans="1:7" x14ac:dyDescent="0.25">
      <c r="A23" s="164" t="s">
        <v>135</v>
      </c>
      <c r="B23" s="164"/>
      <c r="C23" s="164"/>
      <c r="D23" s="164"/>
      <c r="E23" s="164"/>
      <c r="F23" s="164"/>
      <c r="G23" s="168">
        <f>G17+G19-G21</f>
        <v>18273.82509429428</v>
      </c>
    </row>
    <row r="24" spans="1:7" x14ac:dyDescent="0.25">
      <c r="A24" s="156"/>
      <c r="B24" s="156"/>
      <c r="C24" s="156"/>
      <c r="D24" s="156"/>
      <c r="E24" s="156"/>
      <c r="F24" s="156"/>
      <c r="G24" s="156"/>
    </row>
    <row r="25" spans="1:7" x14ac:dyDescent="0.25">
      <c r="A25" s="156"/>
      <c r="B25" s="156"/>
      <c r="C25" s="156"/>
      <c r="D25" s="156"/>
      <c r="E25" s="156"/>
      <c r="F25" s="156"/>
      <c r="G25" s="156"/>
    </row>
    <row r="26" spans="1:7" x14ac:dyDescent="0.25">
      <c r="A26" s="156"/>
      <c r="B26" s="156"/>
      <c r="C26" s="156"/>
      <c r="D26" s="156"/>
      <c r="E26" s="156"/>
      <c r="F26" s="156"/>
      <c r="G26" s="156"/>
    </row>
    <row r="27" spans="1:7" x14ac:dyDescent="0.25">
      <c r="A27" s="156"/>
      <c r="B27" s="156"/>
      <c r="C27" s="156"/>
      <c r="D27" s="156"/>
      <c r="E27" s="156"/>
      <c r="F27" s="156"/>
      <c r="G27" s="156"/>
    </row>
    <row r="28" spans="1:7" x14ac:dyDescent="0.25">
      <c r="A28" s="156" t="s">
        <v>136</v>
      </c>
      <c r="B28" s="156"/>
      <c r="C28" s="156"/>
      <c r="D28" s="156"/>
      <c r="E28" s="156"/>
      <c r="F28" s="156" t="s">
        <v>137</v>
      </c>
      <c r="G28" s="156"/>
    </row>
    <row r="29" spans="1:7" x14ac:dyDescent="0.25">
      <c r="A29" s="169"/>
      <c r="B29" s="169"/>
      <c r="C29" s="169"/>
      <c r="D29" s="169"/>
      <c r="E29" s="169"/>
      <c r="F29" s="169"/>
      <c r="G29" s="169"/>
    </row>
    <row r="30" spans="1:7" x14ac:dyDescent="0.25">
      <c r="A30" s="170"/>
      <c r="B30" s="170"/>
      <c r="C30" s="170"/>
      <c r="D30" s="170"/>
      <c r="E30" s="170"/>
      <c r="F30" s="170"/>
      <c r="G30" s="170"/>
    </row>
    <row r="31" spans="1:7" x14ac:dyDescent="0.25">
      <c r="A31" s="171"/>
      <c r="B31" s="171"/>
      <c r="C31" s="171"/>
      <c r="D31" s="171"/>
      <c r="E31" s="171"/>
      <c r="F31" s="171"/>
      <c r="G31" s="171"/>
    </row>
    <row r="32" spans="1:7" x14ac:dyDescent="0.25">
      <c r="A32" s="171"/>
      <c r="B32" s="171"/>
      <c r="C32" s="171"/>
      <c r="D32" s="171"/>
      <c r="E32" s="171"/>
      <c r="F32" s="171"/>
      <c r="G32" s="171"/>
    </row>
    <row r="33" spans="1:7" x14ac:dyDescent="0.25">
      <c r="A33" s="171"/>
      <c r="B33" s="171"/>
      <c r="C33" s="171"/>
      <c r="D33" s="171"/>
      <c r="E33" s="171"/>
      <c r="F33" s="171"/>
      <c r="G33" s="171"/>
    </row>
    <row r="34" spans="1:7" x14ac:dyDescent="0.25">
      <c r="A34" s="171"/>
      <c r="B34" s="171"/>
      <c r="C34" s="171"/>
      <c r="D34" s="171"/>
      <c r="E34" s="171"/>
      <c r="F34" s="171"/>
      <c r="G34" s="171"/>
    </row>
    <row r="35" spans="1:7" x14ac:dyDescent="0.25">
      <c r="A35" s="171"/>
      <c r="B35" s="171"/>
      <c r="C35" s="171"/>
      <c r="D35" s="171"/>
      <c r="E35" s="171"/>
      <c r="F35" s="171"/>
      <c r="G35" s="171"/>
    </row>
    <row r="36" spans="1:7" x14ac:dyDescent="0.25">
      <c r="A36" s="171"/>
      <c r="B36" s="171"/>
      <c r="C36" s="171"/>
      <c r="D36" s="171"/>
      <c r="E36" s="171"/>
      <c r="F36" s="171"/>
      <c r="G36" s="171"/>
    </row>
    <row r="37" spans="1:7" x14ac:dyDescent="0.25">
      <c r="A37" s="157" t="str">
        <f>+A3</f>
        <v>THE OLD SPAGHETTI HOUSE-VALERO</v>
      </c>
      <c r="B37" s="158"/>
      <c r="C37" s="158"/>
      <c r="D37" s="156"/>
      <c r="E37" s="156"/>
      <c r="F37" s="156"/>
      <c r="G37" s="156"/>
    </row>
    <row r="38" spans="1:7" x14ac:dyDescent="0.25">
      <c r="A38" s="157" t="s">
        <v>129</v>
      </c>
      <c r="B38" s="158"/>
      <c r="C38" s="158"/>
      <c r="D38" s="156"/>
      <c r="E38" s="156"/>
      <c r="F38" s="156"/>
      <c r="G38" s="156"/>
    </row>
    <row r="39" spans="1:7" x14ac:dyDescent="0.25">
      <c r="A39" s="159" t="s">
        <v>138</v>
      </c>
      <c r="B39" s="159"/>
      <c r="C39" s="159"/>
      <c r="D39" s="159"/>
      <c r="E39" s="156"/>
      <c r="F39" s="156"/>
      <c r="G39" s="156"/>
    </row>
    <row r="40" spans="1:7" x14ac:dyDescent="0.25">
      <c r="A40" s="156"/>
      <c r="B40" s="156"/>
      <c r="C40" s="156"/>
      <c r="D40" s="156"/>
      <c r="E40" s="156"/>
      <c r="F40" s="156"/>
      <c r="G40" s="156"/>
    </row>
    <row r="41" spans="1:7" x14ac:dyDescent="0.25">
      <c r="A41" s="156"/>
      <c r="B41" s="156"/>
      <c r="C41" s="156"/>
      <c r="D41" s="156"/>
      <c r="E41" s="156"/>
      <c r="F41" s="156"/>
      <c r="G41" s="156"/>
    </row>
    <row r="42" spans="1:7" x14ac:dyDescent="0.25">
      <c r="A42" s="156" t="s">
        <v>131</v>
      </c>
      <c r="B42" s="156"/>
      <c r="C42" s="156"/>
      <c r="D42" s="156"/>
      <c r="E42" s="156"/>
      <c r="F42" s="156"/>
      <c r="G42" s="160">
        <f>G8</f>
        <v>1135816.0199999998</v>
      </c>
    </row>
    <row r="43" spans="1:7" x14ac:dyDescent="0.25">
      <c r="A43" s="156"/>
      <c r="B43" s="156"/>
      <c r="C43" s="156"/>
      <c r="D43" s="156"/>
      <c r="E43" s="156"/>
      <c r="F43" s="156"/>
      <c r="G43" s="156"/>
    </row>
    <row r="44" spans="1:7" x14ac:dyDescent="0.25">
      <c r="A44" s="156" t="s">
        <v>132</v>
      </c>
      <c r="B44" s="156"/>
      <c r="C44" s="156"/>
      <c r="D44" s="156"/>
      <c r="E44" s="156"/>
      <c r="F44" s="156"/>
      <c r="G44" s="160">
        <f>+G10</f>
        <v>84237.510000000009</v>
      </c>
    </row>
    <row r="45" spans="1:7" x14ac:dyDescent="0.25">
      <c r="A45" s="156"/>
      <c r="B45" s="156"/>
      <c r="C45" s="156"/>
      <c r="D45" s="156"/>
      <c r="E45" s="156"/>
      <c r="F45" s="156"/>
      <c r="G45" s="156"/>
    </row>
    <row r="46" spans="1:7" x14ac:dyDescent="0.25">
      <c r="A46" s="156" t="s">
        <v>42</v>
      </c>
      <c r="B46" s="156"/>
      <c r="C46" s="156"/>
      <c r="D46" s="156"/>
      <c r="E46" s="156"/>
      <c r="F46" s="156"/>
      <c r="G46" s="161">
        <f>G12</f>
        <v>109628.76287142858</v>
      </c>
    </row>
    <row r="47" spans="1:7" x14ac:dyDescent="0.25">
      <c r="A47" s="156"/>
      <c r="B47" s="156"/>
      <c r="C47" s="156"/>
      <c r="D47" s="156"/>
      <c r="E47" s="156"/>
      <c r="F47" s="156"/>
      <c r="G47" s="162"/>
    </row>
    <row r="48" spans="1:7" x14ac:dyDescent="0.25">
      <c r="A48" s="156" t="s">
        <v>40</v>
      </c>
      <c r="B48" s="156"/>
      <c r="C48" s="156"/>
      <c r="D48" s="156"/>
      <c r="E48" s="156"/>
      <c r="F48" s="156"/>
      <c r="G48" s="160">
        <f>G42-G44-G46</f>
        <v>941949.74712857115</v>
      </c>
    </row>
    <row r="49" spans="1:7" x14ac:dyDescent="0.25">
      <c r="A49" s="156"/>
      <c r="B49" s="156"/>
      <c r="C49" s="156"/>
      <c r="D49" s="156"/>
      <c r="E49" s="156"/>
      <c r="F49" s="156"/>
      <c r="G49" s="156"/>
    </row>
    <row r="50" spans="1:7" x14ac:dyDescent="0.25">
      <c r="A50" s="156"/>
      <c r="B50" s="156"/>
      <c r="C50" s="156"/>
      <c r="D50" s="156"/>
      <c r="E50" s="156"/>
      <c r="F50" s="156"/>
      <c r="G50" s="163"/>
    </row>
    <row r="51" spans="1:7" x14ac:dyDescent="0.25">
      <c r="A51" s="164" t="s">
        <v>129</v>
      </c>
      <c r="B51" s="164"/>
      <c r="C51" s="164"/>
      <c r="D51" s="164"/>
      <c r="E51" s="164"/>
      <c r="F51" s="165">
        <v>0.02</v>
      </c>
      <c r="G51" s="166">
        <f>G48*F51</f>
        <v>18838.994942571422</v>
      </c>
    </row>
    <row r="52" spans="1:7" x14ac:dyDescent="0.25">
      <c r="A52" s="164"/>
      <c r="B52" s="164"/>
      <c r="C52" s="164"/>
      <c r="D52" s="164"/>
      <c r="E52" s="164"/>
      <c r="F52" s="165"/>
      <c r="G52" s="167"/>
    </row>
    <row r="53" spans="1:7" x14ac:dyDescent="0.25">
      <c r="A53" s="164" t="s">
        <v>133</v>
      </c>
      <c r="B53" s="164"/>
      <c r="C53" s="164"/>
      <c r="D53" s="164"/>
      <c r="E53" s="164"/>
      <c r="F53" s="165"/>
      <c r="G53" s="167">
        <f>+G51*0.12</f>
        <v>2260.6793931085704</v>
      </c>
    </row>
    <row r="54" spans="1:7" x14ac:dyDescent="0.25">
      <c r="A54" s="164"/>
      <c r="B54" s="164"/>
      <c r="C54" s="164"/>
      <c r="D54" s="164"/>
      <c r="E54" s="164"/>
      <c r="F54" s="165"/>
      <c r="G54" s="167"/>
    </row>
    <row r="55" spans="1:7" x14ac:dyDescent="0.25">
      <c r="A55" s="164" t="s">
        <v>134</v>
      </c>
      <c r="B55" s="164"/>
      <c r="C55" s="164"/>
      <c r="D55" s="164"/>
      <c r="E55" s="164"/>
      <c r="F55" s="165"/>
      <c r="G55" s="167">
        <f>+G51*0.15</f>
        <v>2825.8492413857134</v>
      </c>
    </row>
    <row r="56" spans="1:7" x14ac:dyDescent="0.25">
      <c r="A56" s="156"/>
      <c r="B56" s="156"/>
      <c r="C56" s="156"/>
      <c r="D56" s="156"/>
      <c r="E56" s="156"/>
      <c r="F56" s="156"/>
      <c r="G56" s="160"/>
    </row>
    <row r="57" spans="1:7" x14ac:dyDescent="0.25">
      <c r="A57" s="164" t="s">
        <v>135</v>
      </c>
      <c r="B57" s="164"/>
      <c r="C57" s="164"/>
      <c r="D57" s="164"/>
      <c r="E57" s="164"/>
      <c r="F57" s="164"/>
      <c r="G57" s="168">
        <f>G51+G53-G55</f>
        <v>18273.82509429428</v>
      </c>
    </row>
    <row r="58" spans="1:7" x14ac:dyDescent="0.25">
      <c r="A58" s="156"/>
      <c r="B58" s="156"/>
      <c r="C58" s="156"/>
      <c r="D58" s="156"/>
      <c r="E58" s="156"/>
      <c r="F58" s="156"/>
      <c r="G58" s="156"/>
    </row>
    <row r="59" spans="1:7" x14ac:dyDescent="0.25">
      <c r="A59" s="156" t="s">
        <v>139</v>
      </c>
      <c r="B59" s="156"/>
      <c r="C59" s="156"/>
      <c r="D59" s="156"/>
      <c r="E59" s="156"/>
      <c r="F59" s="156"/>
      <c r="G59" s="156"/>
    </row>
    <row r="60" spans="1:7" x14ac:dyDescent="0.25">
      <c r="A60" s="156"/>
      <c r="B60" s="156"/>
      <c r="C60" s="156"/>
      <c r="D60" s="156"/>
      <c r="E60" s="156"/>
      <c r="F60" s="156"/>
      <c r="G60" s="156"/>
    </row>
    <row r="61" spans="1:7" x14ac:dyDescent="0.25">
      <c r="A61" s="156"/>
      <c r="B61" s="156"/>
      <c r="C61" s="156"/>
      <c r="D61" s="156"/>
      <c r="E61" s="156"/>
      <c r="F61" s="156"/>
      <c r="G61" s="156"/>
    </row>
    <row r="62" spans="1:7" x14ac:dyDescent="0.25">
      <c r="A62" s="156" t="s">
        <v>136</v>
      </c>
      <c r="B62" s="156"/>
      <c r="C62" s="156"/>
      <c r="D62" s="156"/>
      <c r="E62" s="156"/>
      <c r="F62" s="156" t="s">
        <v>137</v>
      </c>
      <c r="G62" s="156"/>
    </row>
    <row r="63" spans="1:7" x14ac:dyDescent="0.25">
      <c r="A63" s="156"/>
      <c r="B63" s="156"/>
      <c r="C63" s="156"/>
      <c r="D63" s="156"/>
      <c r="E63" s="156"/>
      <c r="F63" s="156"/>
      <c r="G63" s="156"/>
    </row>
    <row r="64" spans="1:7" x14ac:dyDescent="0.25">
      <c r="A64" s="156"/>
      <c r="B64" s="156"/>
      <c r="C64" s="156"/>
      <c r="D64" s="156"/>
      <c r="E64" s="156"/>
      <c r="F64" s="156"/>
      <c r="G64" s="156"/>
    </row>
    <row r="67" spans="1:7" x14ac:dyDescent="0.25">
      <c r="A67" s="156"/>
      <c r="B67" s="156"/>
      <c r="C67" s="156"/>
      <c r="D67" s="156"/>
      <c r="E67" s="156"/>
      <c r="F67" s="156"/>
      <c r="G67" s="156"/>
    </row>
    <row r="68" spans="1:7" x14ac:dyDescent="0.25">
      <c r="A68" s="156"/>
      <c r="B68" s="156"/>
      <c r="C68" s="156"/>
      <c r="D68" s="156"/>
      <c r="E68" s="156"/>
      <c r="F68" s="156"/>
      <c r="G68" s="156"/>
    </row>
    <row r="69" spans="1:7" x14ac:dyDescent="0.25">
      <c r="A69" s="157" t="str">
        <f>A37</f>
        <v>THE OLD SPAGHETTI HOUSE-VALERO</v>
      </c>
      <c r="B69" s="158"/>
      <c r="C69" s="158"/>
      <c r="D69" s="156"/>
      <c r="E69" s="156"/>
      <c r="F69" s="156"/>
      <c r="G69" s="156"/>
    </row>
    <row r="70" spans="1:7" x14ac:dyDescent="0.25">
      <c r="A70" s="157" t="s">
        <v>140</v>
      </c>
      <c r="B70" s="158"/>
      <c r="C70" s="158"/>
      <c r="D70" s="156"/>
      <c r="E70" s="156"/>
      <c r="F70" s="156"/>
      <c r="G70" s="156"/>
    </row>
    <row r="71" spans="1:7" x14ac:dyDescent="0.25">
      <c r="A71" s="159" t="s">
        <v>138</v>
      </c>
      <c r="B71" s="159"/>
      <c r="C71" s="159"/>
      <c r="D71" s="159"/>
      <c r="E71" s="156"/>
      <c r="F71" s="156"/>
      <c r="G71" s="156"/>
    </row>
    <row r="72" spans="1:7" x14ac:dyDescent="0.25">
      <c r="A72" s="156"/>
      <c r="B72" s="156"/>
      <c r="C72" s="156"/>
      <c r="D72" s="156"/>
      <c r="E72" s="156"/>
      <c r="F72" s="156"/>
      <c r="G72" s="156"/>
    </row>
    <row r="73" spans="1:7" x14ac:dyDescent="0.25">
      <c r="A73" s="156"/>
      <c r="B73" s="156"/>
      <c r="C73" s="156"/>
      <c r="D73" s="156"/>
      <c r="E73" s="156"/>
      <c r="F73" s="156"/>
      <c r="G73" s="156"/>
    </row>
    <row r="74" spans="1:7" x14ac:dyDescent="0.25">
      <c r="A74" s="156" t="s">
        <v>131</v>
      </c>
      <c r="B74" s="156"/>
      <c r="C74" s="156"/>
      <c r="D74" s="156"/>
      <c r="E74" s="156"/>
      <c r="F74" s="156"/>
      <c r="G74" s="160">
        <f>G8</f>
        <v>1135816.0199999998</v>
      </c>
    </row>
    <row r="75" spans="1:7" x14ac:dyDescent="0.25">
      <c r="A75" s="156"/>
      <c r="B75" s="156"/>
      <c r="C75" s="156"/>
      <c r="D75" s="156"/>
      <c r="E75" s="156"/>
      <c r="F75" s="156"/>
      <c r="G75" s="156"/>
    </row>
    <row r="76" spans="1:7" x14ac:dyDescent="0.25">
      <c r="A76" s="156" t="s">
        <v>132</v>
      </c>
      <c r="B76" s="156"/>
      <c r="C76" s="156"/>
      <c r="D76" s="156"/>
      <c r="E76" s="156"/>
      <c r="F76" s="156"/>
      <c r="G76" s="160">
        <f>G10</f>
        <v>84237.510000000009</v>
      </c>
    </row>
    <row r="77" spans="1:7" x14ac:dyDescent="0.25">
      <c r="A77" s="156"/>
      <c r="B77" s="156"/>
      <c r="C77" s="156"/>
      <c r="D77" s="156"/>
      <c r="E77" s="156"/>
      <c r="F77" s="156"/>
      <c r="G77" s="156"/>
    </row>
    <row r="78" spans="1:7" x14ac:dyDescent="0.25">
      <c r="A78" s="156" t="s">
        <v>42</v>
      </c>
      <c r="B78" s="156"/>
      <c r="C78" s="156"/>
      <c r="D78" s="156"/>
      <c r="E78" s="156"/>
      <c r="F78" s="156"/>
      <c r="G78" s="161">
        <f>G12</f>
        <v>109628.76287142858</v>
      </c>
    </row>
    <row r="79" spans="1:7" x14ac:dyDescent="0.25">
      <c r="A79" s="156"/>
      <c r="B79" s="156"/>
      <c r="C79" s="156"/>
      <c r="D79" s="156"/>
      <c r="E79" s="156"/>
      <c r="F79" s="156"/>
      <c r="G79" s="172"/>
    </row>
    <row r="80" spans="1:7" x14ac:dyDescent="0.25">
      <c r="A80" s="156" t="s">
        <v>40</v>
      </c>
      <c r="B80" s="156"/>
      <c r="C80" s="156"/>
      <c r="D80" s="156"/>
      <c r="E80" s="156"/>
      <c r="F80" s="156"/>
      <c r="G80" s="160">
        <f>G74-G76-G78</f>
        <v>941949.74712857115</v>
      </c>
    </row>
    <row r="81" spans="1:7" x14ac:dyDescent="0.25">
      <c r="A81" s="156"/>
      <c r="B81" s="156"/>
      <c r="C81" s="156"/>
      <c r="D81" s="156"/>
      <c r="E81" s="156"/>
      <c r="F81" s="156"/>
      <c r="G81" s="156"/>
    </row>
    <row r="82" spans="1:7" x14ac:dyDescent="0.25">
      <c r="A82" s="156"/>
      <c r="B82" s="156"/>
      <c r="C82" s="156"/>
      <c r="D82" s="156"/>
      <c r="E82" s="156"/>
      <c r="F82" s="156"/>
      <c r="G82" s="163"/>
    </row>
    <row r="83" spans="1:7" x14ac:dyDescent="0.25">
      <c r="A83" s="164" t="s">
        <v>140</v>
      </c>
      <c r="B83" s="164"/>
      <c r="C83" s="164"/>
      <c r="D83" s="164"/>
      <c r="E83" s="164"/>
      <c r="F83" s="165">
        <v>0.03</v>
      </c>
      <c r="G83" s="173">
        <f>G80*F83</f>
        <v>28258.492413857133</v>
      </c>
    </row>
    <row r="84" spans="1:7" x14ac:dyDescent="0.25">
      <c r="A84" s="164"/>
      <c r="B84" s="164"/>
      <c r="C84" s="164"/>
      <c r="D84" s="164"/>
      <c r="E84" s="164"/>
      <c r="F84" s="165"/>
      <c r="G84" s="167"/>
    </row>
    <row r="85" spans="1:7" x14ac:dyDescent="0.25">
      <c r="A85" s="164" t="s">
        <v>133</v>
      </c>
      <c r="B85" s="164"/>
      <c r="C85" s="164"/>
      <c r="D85" s="164"/>
      <c r="E85" s="164"/>
      <c r="F85" s="165"/>
      <c r="G85" s="167">
        <f>+G83*0.12</f>
        <v>3391.019089662856</v>
      </c>
    </row>
    <row r="86" spans="1:7" x14ac:dyDescent="0.25">
      <c r="A86" s="164"/>
      <c r="B86" s="164"/>
      <c r="C86" s="164"/>
      <c r="D86" s="164"/>
      <c r="E86" s="164"/>
      <c r="F86" s="165"/>
      <c r="G86" s="167"/>
    </row>
    <row r="87" spans="1:7" x14ac:dyDescent="0.25">
      <c r="A87" s="164" t="s">
        <v>141</v>
      </c>
      <c r="B87" s="164"/>
      <c r="C87" s="164"/>
      <c r="D87" s="164"/>
      <c r="E87" s="164"/>
      <c r="F87" s="165"/>
      <c r="G87" s="167">
        <f>G83*15%</f>
        <v>4238.7738620785694</v>
      </c>
    </row>
    <row r="88" spans="1:7" x14ac:dyDescent="0.25">
      <c r="A88" s="156"/>
      <c r="B88" s="156"/>
      <c r="C88" s="156"/>
      <c r="D88" s="156"/>
      <c r="E88" s="156"/>
      <c r="F88" s="156"/>
      <c r="G88" s="160"/>
    </row>
    <row r="89" spans="1:7" x14ac:dyDescent="0.25">
      <c r="A89" s="164" t="s">
        <v>135</v>
      </c>
      <c r="B89" s="164"/>
      <c r="C89" s="164"/>
      <c r="D89" s="164"/>
      <c r="E89" s="164"/>
      <c r="F89" s="164"/>
      <c r="G89" s="168">
        <f>+G83+G85-G87</f>
        <v>27410.737641441418</v>
      </c>
    </row>
    <row r="90" spans="1:7" x14ac:dyDescent="0.25">
      <c r="A90" s="164"/>
      <c r="B90" s="164"/>
      <c r="C90" s="164"/>
      <c r="D90" s="164"/>
      <c r="E90" s="164"/>
      <c r="F90" s="164"/>
      <c r="G90" s="174"/>
    </row>
    <row r="91" spans="1:7" x14ac:dyDescent="0.25">
      <c r="A91" s="164"/>
      <c r="B91" s="164"/>
      <c r="C91" s="164"/>
      <c r="D91" s="164"/>
      <c r="E91" s="164"/>
      <c r="F91" s="164"/>
      <c r="G91" s="174"/>
    </row>
    <row r="92" spans="1:7" x14ac:dyDescent="0.25">
      <c r="A92" s="156"/>
      <c r="B92" s="156"/>
      <c r="C92" s="156"/>
      <c r="D92" s="156"/>
      <c r="E92" s="156"/>
      <c r="F92" s="156"/>
      <c r="G92" s="160"/>
    </row>
    <row r="93" spans="1:7" x14ac:dyDescent="0.25">
      <c r="A93" s="156"/>
      <c r="B93" s="156"/>
      <c r="C93" s="156"/>
      <c r="D93" s="156"/>
      <c r="E93" s="156"/>
      <c r="F93" s="156"/>
      <c r="G93" s="156"/>
    </row>
    <row r="94" spans="1:7" x14ac:dyDescent="0.25">
      <c r="A94" s="156"/>
      <c r="B94" s="156"/>
      <c r="C94" s="156"/>
      <c r="D94" s="156"/>
      <c r="E94" s="156"/>
      <c r="F94" s="156"/>
      <c r="G94" s="156"/>
    </row>
    <row r="95" spans="1:7" x14ac:dyDescent="0.25">
      <c r="A95" s="156"/>
      <c r="B95" s="156"/>
      <c r="C95" s="156"/>
      <c r="D95" s="156"/>
      <c r="E95" s="156"/>
      <c r="F95" s="156"/>
      <c r="G95" s="156"/>
    </row>
    <row r="96" spans="1:7" x14ac:dyDescent="0.25">
      <c r="A96" s="156" t="s">
        <v>136</v>
      </c>
      <c r="B96" s="156"/>
      <c r="C96" s="156"/>
      <c r="D96" s="156"/>
      <c r="E96" s="156"/>
      <c r="F96" s="156" t="s">
        <v>137</v>
      </c>
      <c r="G96" s="156"/>
    </row>
    <row r="97" spans="1:7" x14ac:dyDescent="0.25">
      <c r="A97" s="169"/>
      <c r="B97" s="169"/>
      <c r="C97" s="169"/>
      <c r="D97" s="169"/>
      <c r="E97" s="169"/>
      <c r="F97" s="169"/>
      <c r="G97" s="169"/>
    </row>
    <row r="98" spans="1:7" x14ac:dyDescent="0.25">
      <c r="A98" s="170"/>
      <c r="B98" s="170"/>
      <c r="C98" s="170"/>
      <c r="D98" s="170"/>
      <c r="E98" s="170"/>
      <c r="F98" s="170"/>
      <c r="G98" s="170"/>
    </row>
    <row r="99" spans="1:7" x14ac:dyDescent="0.25">
      <c r="A99" s="171"/>
      <c r="B99" s="171"/>
      <c r="C99" s="171"/>
      <c r="D99" s="171"/>
      <c r="E99" s="171"/>
      <c r="F99" s="171"/>
      <c r="G99" s="171"/>
    </row>
    <row r="100" spans="1:7" x14ac:dyDescent="0.25">
      <c r="A100" s="171"/>
      <c r="B100" s="171"/>
      <c r="C100" s="171"/>
      <c r="D100" s="171"/>
      <c r="E100" s="171"/>
      <c r="F100" s="171"/>
      <c r="G100" s="171"/>
    </row>
    <row r="101" spans="1:7" x14ac:dyDescent="0.25">
      <c r="A101" s="157" t="str">
        <f>+A69</f>
        <v>THE OLD SPAGHETTI HOUSE-VALERO</v>
      </c>
      <c r="B101" s="158"/>
      <c r="C101" s="158"/>
      <c r="D101" s="156"/>
      <c r="E101" s="156"/>
      <c r="F101" s="156"/>
      <c r="G101" s="156"/>
    </row>
    <row r="102" spans="1:7" x14ac:dyDescent="0.25">
      <c r="A102" s="157" t="s">
        <v>140</v>
      </c>
      <c r="B102" s="158"/>
      <c r="C102" s="158"/>
      <c r="D102" s="156"/>
      <c r="E102" s="156"/>
      <c r="F102" s="156"/>
      <c r="G102" s="156"/>
    </row>
    <row r="103" spans="1:7" x14ac:dyDescent="0.25">
      <c r="A103" s="159" t="str">
        <f>A5</f>
        <v>Month of December 2019</v>
      </c>
      <c r="B103" s="159"/>
      <c r="C103" s="159"/>
      <c r="D103" s="159"/>
      <c r="E103" s="156"/>
      <c r="F103" s="156"/>
      <c r="G103" s="156"/>
    </row>
    <row r="104" spans="1:7" x14ac:dyDescent="0.25">
      <c r="A104" s="156"/>
      <c r="B104" s="156"/>
      <c r="C104" s="156"/>
      <c r="D104" s="156"/>
      <c r="E104" s="156"/>
      <c r="F104" s="156"/>
      <c r="G104" s="156"/>
    </row>
    <row r="105" spans="1:7" x14ac:dyDescent="0.25">
      <c r="A105" s="156"/>
      <c r="B105" s="156"/>
      <c r="C105" s="156"/>
      <c r="D105" s="156"/>
      <c r="E105" s="156"/>
      <c r="F105" s="156"/>
      <c r="G105" s="156"/>
    </row>
    <row r="106" spans="1:7" x14ac:dyDescent="0.25">
      <c r="A106" s="156" t="s">
        <v>131</v>
      </c>
      <c r="B106" s="156"/>
      <c r="C106" s="156"/>
      <c r="D106" s="156"/>
      <c r="E106" s="156"/>
      <c r="F106" s="156"/>
      <c r="G106" s="160">
        <f>G8</f>
        <v>1135816.0199999998</v>
      </c>
    </row>
    <row r="107" spans="1:7" x14ac:dyDescent="0.25">
      <c r="A107" s="156"/>
      <c r="B107" s="156"/>
      <c r="C107" s="156"/>
      <c r="D107" s="156"/>
      <c r="E107" s="156"/>
      <c r="F107" s="156"/>
      <c r="G107" s="156"/>
    </row>
    <row r="108" spans="1:7" x14ac:dyDescent="0.25">
      <c r="A108" s="156" t="s">
        <v>132</v>
      </c>
      <c r="B108" s="156"/>
      <c r="C108" s="156"/>
      <c r="D108" s="156"/>
      <c r="E108" s="156"/>
      <c r="F108" s="156"/>
      <c r="G108" s="160">
        <f>G10</f>
        <v>84237.510000000009</v>
      </c>
    </row>
    <row r="109" spans="1:7" x14ac:dyDescent="0.25">
      <c r="A109" s="156"/>
      <c r="B109" s="156"/>
      <c r="C109" s="156"/>
      <c r="D109" s="156"/>
      <c r="E109" s="156"/>
      <c r="F109" s="156"/>
      <c r="G109" s="156"/>
    </row>
    <row r="110" spans="1:7" x14ac:dyDescent="0.25">
      <c r="A110" s="156" t="s">
        <v>42</v>
      </c>
      <c r="B110" s="156"/>
      <c r="C110" s="156"/>
      <c r="D110" s="156"/>
      <c r="E110" s="156"/>
      <c r="F110" s="156"/>
      <c r="G110" s="161">
        <f>G12</f>
        <v>109628.76287142858</v>
      </c>
    </row>
    <row r="111" spans="1:7" x14ac:dyDescent="0.25">
      <c r="A111" s="156"/>
      <c r="B111" s="156"/>
      <c r="C111" s="156"/>
      <c r="D111" s="156"/>
      <c r="E111" s="156"/>
      <c r="F111" s="156"/>
      <c r="G111" s="162"/>
    </row>
    <row r="112" spans="1:7" x14ac:dyDescent="0.25">
      <c r="A112" s="156" t="s">
        <v>40</v>
      </c>
      <c r="B112" s="156"/>
      <c r="C112" s="156"/>
      <c r="D112" s="156"/>
      <c r="E112" s="156"/>
      <c r="F112" s="156"/>
      <c r="G112" s="160">
        <f>G80</f>
        <v>941949.74712857115</v>
      </c>
    </row>
    <row r="113" spans="1:7" x14ac:dyDescent="0.25">
      <c r="A113" s="156"/>
      <c r="B113" s="156"/>
      <c r="C113" s="156"/>
      <c r="D113" s="156"/>
      <c r="E113" s="156"/>
      <c r="F113" s="156"/>
      <c r="G113" s="156"/>
    </row>
    <row r="114" spans="1:7" x14ac:dyDescent="0.25">
      <c r="A114" s="156"/>
      <c r="B114" s="156"/>
      <c r="C114" s="156"/>
      <c r="D114" s="156"/>
      <c r="E114" s="156"/>
      <c r="F114" s="156"/>
      <c r="G114" s="163"/>
    </row>
    <row r="115" spans="1:7" x14ac:dyDescent="0.25">
      <c r="A115" s="164" t="s">
        <v>142</v>
      </c>
      <c r="B115" s="164"/>
      <c r="C115" s="164"/>
      <c r="D115" s="164"/>
      <c r="E115" s="164"/>
      <c r="F115" s="165">
        <f>F83</f>
        <v>0.03</v>
      </c>
      <c r="G115" s="173">
        <f>G112*F115</f>
        <v>28258.492413857133</v>
      </c>
    </row>
    <row r="116" spans="1:7" x14ac:dyDescent="0.25">
      <c r="A116" s="164"/>
      <c r="B116" s="164"/>
      <c r="C116" s="164"/>
      <c r="D116" s="164"/>
      <c r="E116" s="164"/>
      <c r="F116" s="165"/>
      <c r="G116" s="167"/>
    </row>
    <row r="117" spans="1:7" x14ac:dyDescent="0.25">
      <c r="A117" s="164" t="s">
        <v>133</v>
      </c>
      <c r="B117" s="164"/>
      <c r="C117" s="164"/>
      <c r="D117" s="164"/>
      <c r="E117" s="164"/>
      <c r="F117" s="165"/>
      <c r="G117" s="167">
        <f>+G115*0.12</f>
        <v>3391.019089662856</v>
      </c>
    </row>
    <row r="118" spans="1:7" x14ac:dyDescent="0.25">
      <c r="A118" s="164"/>
      <c r="B118" s="164"/>
      <c r="C118" s="164"/>
      <c r="D118" s="164"/>
      <c r="E118" s="164"/>
      <c r="F118" s="165"/>
      <c r="G118" s="167"/>
    </row>
    <row r="119" spans="1:7" x14ac:dyDescent="0.25">
      <c r="A119" s="164" t="s">
        <v>134</v>
      </c>
      <c r="B119" s="164"/>
      <c r="C119" s="164"/>
      <c r="D119" s="164"/>
      <c r="E119" s="164"/>
      <c r="F119" s="165"/>
      <c r="G119" s="167">
        <f>+G115*0.1</f>
        <v>2825.8492413857134</v>
      </c>
    </row>
    <row r="120" spans="1:7" x14ac:dyDescent="0.25">
      <c r="A120" s="156"/>
      <c r="B120" s="156"/>
      <c r="C120" s="156"/>
      <c r="D120" s="156"/>
      <c r="E120" s="156"/>
      <c r="F120" s="156"/>
      <c r="G120" s="160"/>
    </row>
    <row r="121" spans="1:7" x14ac:dyDescent="0.25">
      <c r="A121" s="164" t="s">
        <v>135</v>
      </c>
      <c r="B121" s="164"/>
      <c r="C121" s="164"/>
      <c r="D121" s="164"/>
      <c r="E121" s="164"/>
      <c r="F121" s="164"/>
      <c r="G121" s="168">
        <f>G115+G117-G119</f>
        <v>28823.662262134276</v>
      </c>
    </row>
    <row r="122" spans="1:7" x14ac:dyDescent="0.25">
      <c r="A122" s="156"/>
      <c r="B122" s="156"/>
      <c r="C122" s="156"/>
      <c r="D122" s="156"/>
      <c r="E122" s="156"/>
      <c r="F122" s="156"/>
      <c r="G122" s="160"/>
    </row>
    <row r="123" spans="1:7" x14ac:dyDescent="0.25">
      <c r="A123" s="164"/>
      <c r="B123" s="164"/>
      <c r="C123" s="164"/>
      <c r="D123" s="164"/>
      <c r="E123" s="164"/>
      <c r="F123" s="164"/>
      <c r="G123" s="175"/>
    </row>
    <row r="124" spans="1:7" x14ac:dyDescent="0.25">
      <c r="A124" s="164"/>
      <c r="B124" s="164"/>
      <c r="C124" s="164"/>
      <c r="D124" s="164"/>
      <c r="E124" s="164"/>
      <c r="F124" s="164"/>
      <c r="G124" s="175"/>
    </row>
    <row r="125" spans="1:7" x14ac:dyDescent="0.25">
      <c r="A125" s="176" t="s">
        <v>143</v>
      </c>
      <c r="B125" s="164"/>
      <c r="C125" s="164"/>
      <c r="D125" s="164"/>
      <c r="E125" s="164"/>
      <c r="F125" s="164"/>
      <c r="G125" s="175"/>
    </row>
    <row r="126" spans="1:7" x14ac:dyDescent="0.25">
      <c r="A126" s="164"/>
      <c r="B126" s="164"/>
      <c r="C126" s="164"/>
      <c r="D126" s="164"/>
      <c r="E126" s="164"/>
      <c r="F126" s="164"/>
      <c r="G126" s="175"/>
    </row>
    <row r="127" spans="1:7" x14ac:dyDescent="0.25">
      <c r="A127" s="156"/>
      <c r="B127" s="156"/>
      <c r="C127" s="156"/>
      <c r="D127" s="156"/>
      <c r="E127" s="156"/>
      <c r="F127" s="156"/>
      <c r="G127" s="156"/>
    </row>
    <row r="128" spans="1:7" x14ac:dyDescent="0.25">
      <c r="A128" s="156" t="s">
        <v>136</v>
      </c>
      <c r="B128" s="156"/>
      <c r="C128" s="156"/>
      <c r="D128" s="156"/>
      <c r="E128" s="156"/>
      <c r="F128" s="156" t="s">
        <v>137</v>
      </c>
      <c r="G128" s="156"/>
    </row>
    <row r="129" spans="1:7" x14ac:dyDescent="0.25">
      <c r="A129" s="156"/>
      <c r="B129" s="156"/>
      <c r="C129" s="156"/>
      <c r="D129" s="156"/>
      <c r="E129" s="156"/>
      <c r="F129" s="156"/>
      <c r="G129" s="156"/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SALES SUMMARY (2)</vt:lpstr>
      <vt:lpstr>ENTRY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default</cp:lastModifiedBy>
  <cp:revision>1</cp:revision>
  <cp:lastPrinted>2019-11-16T02:55:04Z</cp:lastPrinted>
  <dcterms:created xsi:type="dcterms:W3CDTF">2013-01-10T00:59:22Z</dcterms:created>
  <dcterms:modified xsi:type="dcterms:W3CDTF">2020-06-08T00:53:10Z</dcterms:modified>
  <dc:language>en-PH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ADMIN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