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20\02\payroll\"/>
    </mc:Choice>
  </mc:AlternateContent>
  <xr:revisionPtr revIDLastSave="0" documentId="13_ncr:1_{D9C44D61-CB60-4297-B367-0E4E0DCF537F}" xr6:coauthVersionLast="45" xr6:coauthVersionMax="45" xr10:uidLastSave="{00000000-0000-0000-0000-000000000000}"/>
  <bookViews>
    <workbookView xWindow="-60" yWindow="-60" windowWidth="24120" windowHeight="12960" tabRatio="690" firstSheet="2" activeTab="2" xr2:uid="{00000000-000D-0000-FFFF-FFFF00000000}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Sheet1!$A$1:$P$33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8102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8" i="20" l="1"/>
  <c r="N89" i="79" l="1"/>
  <c r="F59" i="79"/>
  <c r="N53" i="79"/>
  <c r="N92" i="79" l="1"/>
  <c r="N59" i="79"/>
  <c r="N26" i="79"/>
  <c r="F26" i="79"/>
  <c r="H11" i="20" l="1"/>
  <c r="F80" i="79" s="1"/>
  <c r="F118" i="79"/>
  <c r="N85" i="79"/>
  <c r="F85" i="79"/>
  <c r="N52" i="79"/>
  <c r="F52" i="79"/>
  <c r="N19" i="79"/>
  <c r="E110" i="79" l="1"/>
  <c r="M77" i="79"/>
  <c r="E77" i="79" l="1"/>
  <c r="H76" i="79" s="1"/>
  <c r="M44" i="79"/>
  <c r="E44" i="79"/>
  <c r="M11" i="79"/>
  <c r="F21" i="79" l="1"/>
  <c r="F19" i="79"/>
  <c r="E11" i="79"/>
  <c r="P43" i="79" l="1"/>
  <c r="P10" i="79"/>
  <c r="H10" i="79"/>
  <c r="N159" i="79" l="1"/>
  <c r="F159" i="79"/>
  <c r="N158" i="79"/>
  <c r="F158" i="79"/>
  <c r="N157" i="79"/>
  <c r="F157" i="79"/>
  <c r="N156" i="79"/>
  <c r="F156" i="79"/>
  <c r="N155" i="79"/>
  <c r="F155" i="79"/>
  <c r="N154" i="79"/>
  <c r="F154" i="79"/>
  <c r="N153" i="79"/>
  <c r="F153" i="79"/>
  <c r="N152" i="79"/>
  <c r="F152" i="79"/>
  <c r="N151" i="79"/>
  <c r="F151" i="79"/>
  <c r="N149" i="79"/>
  <c r="F149" i="79"/>
  <c r="N148" i="79"/>
  <c r="F148" i="79"/>
  <c r="N147" i="79"/>
  <c r="F147" i="79"/>
  <c r="N146" i="79"/>
  <c r="F146" i="79"/>
  <c r="N145" i="79"/>
  <c r="P149" i="79" s="1"/>
  <c r="F145" i="79"/>
  <c r="H149" i="79" s="1"/>
  <c r="M143" i="79"/>
  <c r="E143" i="79"/>
  <c r="P142" i="79"/>
  <c r="L142" i="79"/>
  <c r="H142" i="79"/>
  <c r="L141" i="79"/>
  <c r="D141" i="79"/>
  <c r="L140" i="79"/>
  <c r="D140" i="79"/>
  <c r="L139" i="79"/>
  <c r="D139" i="79"/>
  <c r="J135" i="79"/>
  <c r="B135" i="79"/>
  <c r="J134" i="79"/>
  <c r="B134" i="79"/>
  <c r="N126" i="79"/>
  <c r="F126" i="79"/>
  <c r="N125" i="79"/>
  <c r="N124" i="79"/>
  <c r="N123" i="79"/>
  <c r="N122" i="79"/>
  <c r="N121" i="79"/>
  <c r="F121" i="79"/>
  <c r="N120" i="79"/>
  <c r="N119" i="79"/>
  <c r="N118" i="79"/>
  <c r="N116" i="79"/>
  <c r="N115" i="79"/>
  <c r="N114" i="79"/>
  <c r="N113" i="79"/>
  <c r="N112" i="79"/>
  <c r="M110" i="79"/>
  <c r="P109" i="79"/>
  <c r="L108" i="79"/>
  <c r="D108" i="79"/>
  <c r="L107" i="79"/>
  <c r="H109" i="79"/>
  <c r="L106" i="79"/>
  <c r="D106" i="79"/>
  <c r="J102" i="79"/>
  <c r="B102" i="79"/>
  <c r="J101" i="79"/>
  <c r="B101" i="79"/>
  <c r="N93" i="79"/>
  <c r="F93" i="79"/>
  <c r="F92" i="79"/>
  <c r="N88" i="79"/>
  <c r="F88" i="79"/>
  <c r="D75" i="79"/>
  <c r="L75" i="79" s="1"/>
  <c r="P76" i="79"/>
  <c r="L73" i="79"/>
  <c r="D73" i="79"/>
  <c r="J69" i="79"/>
  <c r="B69" i="79"/>
  <c r="J68" i="79"/>
  <c r="B68" i="79"/>
  <c r="N60" i="79"/>
  <c r="F60" i="79"/>
  <c r="N48" i="79"/>
  <c r="F48" i="79"/>
  <c r="N46" i="79"/>
  <c r="F46" i="79"/>
  <c r="H43" i="79"/>
  <c r="D42" i="79"/>
  <c r="L42" i="79" s="1"/>
  <c r="D41" i="79"/>
  <c r="L40" i="79"/>
  <c r="D40" i="79"/>
  <c r="J36" i="79"/>
  <c r="B36" i="79"/>
  <c r="J35" i="79"/>
  <c r="B35" i="79"/>
  <c r="N27" i="79"/>
  <c r="F27" i="79"/>
  <c r="N22" i="79"/>
  <c r="F22" i="79"/>
  <c r="N16" i="79"/>
  <c r="N15" i="79"/>
  <c r="F15" i="79"/>
  <c r="F13" i="79"/>
  <c r="D9" i="79"/>
  <c r="L9" i="79" s="1"/>
  <c r="L7" i="79"/>
  <c r="D7" i="79"/>
  <c r="J3" i="79"/>
  <c r="B3" i="79"/>
  <c r="J2" i="79"/>
  <c r="B2" i="79"/>
  <c r="H20" i="78"/>
  <c r="C20" i="78"/>
  <c r="H18" i="78"/>
  <c r="H10" i="78"/>
  <c r="C10" i="78"/>
  <c r="H8" i="78"/>
  <c r="F41" i="5"/>
  <c r="E41" i="5"/>
  <c r="D41" i="5"/>
  <c r="C41" i="5"/>
  <c r="O39" i="5"/>
  <c r="M39" i="5"/>
  <c r="G39" i="5"/>
  <c r="A39" i="5"/>
  <c r="O38" i="5"/>
  <c r="M38" i="5"/>
  <c r="G38" i="5"/>
  <c r="A38" i="5"/>
  <c r="O37" i="5"/>
  <c r="O41" i="5" s="1"/>
  <c r="M37" i="5"/>
  <c r="M41" i="5" s="1"/>
  <c r="G37" i="5"/>
  <c r="G41" i="5" s="1"/>
  <c r="A37" i="5"/>
  <c r="F36" i="5"/>
  <c r="E36" i="5"/>
  <c r="D36" i="5"/>
  <c r="C36" i="5"/>
  <c r="O34" i="5"/>
  <c r="O36" i="5" s="1"/>
  <c r="M34" i="5"/>
  <c r="M36" i="5" s="1"/>
  <c r="A34" i="5"/>
  <c r="U27" i="5"/>
  <c r="T27" i="5"/>
  <c r="S27" i="5"/>
  <c r="R27" i="5"/>
  <c r="O27" i="5"/>
  <c r="P27" i="5" s="1"/>
  <c r="L27" i="5"/>
  <c r="K27" i="5"/>
  <c r="A27" i="5"/>
  <c r="U26" i="5"/>
  <c r="T26" i="5"/>
  <c r="S26" i="5"/>
  <c r="R26" i="5"/>
  <c r="O26" i="5"/>
  <c r="P26" i="5" s="1"/>
  <c r="L26" i="5"/>
  <c r="K26" i="5"/>
  <c r="A26" i="5"/>
  <c r="U25" i="5"/>
  <c r="T25" i="5"/>
  <c r="S25" i="5"/>
  <c r="R25" i="5"/>
  <c r="O25" i="5"/>
  <c r="P25" i="5" s="1"/>
  <c r="L25" i="5"/>
  <c r="K25" i="5"/>
  <c r="A25" i="5"/>
  <c r="U24" i="5"/>
  <c r="T24" i="5"/>
  <c r="S24" i="5"/>
  <c r="R24" i="5"/>
  <c r="O24" i="5"/>
  <c r="P24" i="5" s="1"/>
  <c r="L24" i="5"/>
  <c r="K24" i="5"/>
  <c r="A24" i="5"/>
  <c r="U23" i="5"/>
  <c r="T23" i="5"/>
  <c r="S23" i="5"/>
  <c r="R23" i="5"/>
  <c r="O23" i="5"/>
  <c r="P23" i="5" s="1"/>
  <c r="L23" i="5"/>
  <c r="K23" i="5"/>
  <c r="A23" i="5"/>
  <c r="U22" i="5"/>
  <c r="T22" i="5"/>
  <c r="S22" i="5"/>
  <c r="R22" i="5"/>
  <c r="O22" i="5"/>
  <c r="P22" i="5" s="1"/>
  <c r="M22" i="5"/>
  <c r="N22" i="5" s="1"/>
  <c r="L22" i="5"/>
  <c r="K22" i="5"/>
  <c r="A22" i="5"/>
  <c r="U21" i="5"/>
  <c r="T21" i="5"/>
  <c r="R21" i="5"/>
  <c r="O21" i="5"/>
  <c r="P21" i="5" s="1"/>
  <c r="M21" i="5"/>
  <c r="N21" i="5" s="1"/>
  <c r="L21" i="5"/>
  <c r="K21" i="5"/>
  <c r="U20" i="5"/>
  <c r="T20" i="5"/>
  <c r="R20" i="5"/>
  <c r="Q20" i="5"/>
  <c r="O20" i="5"/>
  <c r="P20" i="5" s="1"/>
  <c r="M20" i="5"/>
  <c r="N20" i="5" s="1"/>
  <c r="L20" i="5"/>
  <c r="K20" i="5"/>
  <c r="U19" i="5"/>
  <c r="T19" i="5"/>
  <c r="S19" i="5"/>
  <c r="R19" i="5"/>
  <c r="Q19" i="5"/>
  <c r="O19" i="5"/>
  <c r="P19" i="5" s="1"/>
  <c r="M19" i="5"/>
  <c r="N19" i="5" s="1"/>
  <c r="L19" i="5"/>
  <c r="K19" i="5"/>
  <c r="A19" i="5"/>
  <c r="U18" i="5"/>
  <c r="T18" i="5"/>
  <c r="R18" i="5"/>
  <c r="O18" i="5"/>
  <c r="P18" i="5" s="1"/>
  <c r="M18" i="5"/>
  <c r="N18" i="5" s="1"/>
  <c r="L18" i="5"/>
  <c r="K18" i="5"/>
  <c r="A15" i="5"/>
  <c r="A14" i="5"/>
  <c r="N159" i="64"/>
  <c r="F159" i="64"/>
  <c r="N158" i="64"/>
  <c r="F158" i="64"/>
  <c r="N157" i="64"/>
  <c r="N156" i="64"/>
  <c r="F156" i="64"/>
  <c r="N155" i="64"/>
  <c r="F155" i="64"/>
  <c r="N154" i="64"/>
  <c r="N153" i="64"/>
  <c r="N152" i="64"/>
  <c r="F152" i="64"/>
  <c r="N151" i="64"/>
  <c r="N149" i="64"/>
  <c r="N148" i="64"/>
  <c r="N147" i="64"/>
  <c r="N146" i="64"/>
  <c r="N145" i="64"/>
  <c r="M143" i="64"/>
  <c r="E143" i="64"/>
  <c r="P142" i="64"/>
  <c r="L142" i="64"/>
  <c r="H142" i="64"/>
  <c r="L141" i="64"/>
  <c r="D141" i="64"/>
  <c r="L140" i="64"/>
  <c r="D140" i="64"/>
  <c r="L139" i="64"/>
  <c r="D139" i="64"/>
  <c r="J134" i="64"/>
  <c r="B134" i="64"/>
  <c r="N126" i="64"/>
  <c r="F126" i="64"/>
  <c r="N125" i="64"/>
  <c r="F125" i="64"/>
  <c r="N123" i="64"/>
  <c r="F123" i="64"/>
  <c r="N122" i="64"/>
  <c r="F122" i="64"/>
  <c r="N119" i="64"/>
  <c r="F119" i="64"/>
  <c r="M110" i="64"/>
  <c r="E110" i="64"/>
  <c r="L108" i="64"/>
  <c r="D108" i="64"/>
  <c r="D106" i="64"/>
  <c r="J101" i="64"/>
  <c r="B101" i="64"/>
  <c r="N93" i="64"/>
  <c r="F93" i="64"/>
  <c r="N92" i="64"/>
  <c r="F92" i="64"/>
  <c r="N90" i="64"/>
  <c r="F90" i="64"/>
  <c r="N89" i="64"/>
  <c r="F89" i="64"/>
  <c r="F87" i="64"/>
  <c r="N86" i="64"/>
  <c r="F86" i="64"/>
  <c r="M77" i="64"/>
  <c r="E77" i="64"/>
  <c r="P76" i="64"/>
  <c r="L75" i="64"/>
  <c r="D75" i="64"/>
  <c r="L74" i="64"/>
  <c r="L73" i="64"/>
  <c r="D73" i="64"/>
  <c r="J68" i="64"/>
  <c r="B68" i="64"/>
  <c r="N60" i="64"/>
  <c r="F60" i="64"/>
  <c r="N59" i="64"/>
  <c r="F59" i="64"/>
  <c r="N57" i="64"/>
  <c r="F57" i="64"/>
  <c r="F55" i="64"/>
  <c r="N54" i="64"/>
  <c r="F54" i="64"/>
  <c r="N53" i="64"/>
  <c r="F53" i="64"/>
  <c r="N47" i="64"/>
  <c r="F47" i="64"/>
  <c r="M44" i="64"/>
  <c r="E44" i="64"/>
  <c r="L42" i="64"/>
  <c r="D42" i="64"/>
  <c r="J35" i="64"/>
  <c r="B35" i="64"/>
  <c r="N27" i="64"/>
  <c r="F27" i="64"/>
  <c r="N26" i="64"/>
  <c r="F26" i="64"/>
  <c r="N24" i="64"/>
  <c r="F24" i="64"/>
  <c r="N23" i="64"/>
  <c r="N22" i="64"/>
  <c r="N21" i="64"/>
  <c r="F21" i="64"/>
  <c r="N20" i="64"/>
  <c r="F20" i="64"/>
  <c r="F14" i="64"/>
  <c r="M11" i="64"/>
  <c r="E11" i="64"/>
  <c r="L9" i="64"/>
  <c r="D9" i="64"/>
  <c r="L7" i="64"/>
  <c r="J2" i="64"/>
  <c r="B2" i="64"/>
  <c r="I67" i="63"/>
  <c r="G67" i="63"/>
  <c r="F67" i="63"/>
  <c r="E67" i="63"/>
  <c r="B65" i="63"/>
  <c r="C64" i="63"/>
  <c r="B61" i="63"/>
  <c r="M60" i="63"/>
  <c r="K60" i="63"/>
  <c r="B60" i="63"/>
  <c r="M59" i="63"/>
  <c r="K59" i="63"/>
  <c r="H59" i="63"/>
  <c r="N56" i="64" s="1"/>
  <c r="M58" i="63"/>
  <c r="H58" i="63"/>
  <c r="F56" i="64" s="1"/>
  <c r="M57" i="63"/>
  <c r="K57" i="63"/>
  <c r="C57" i="63"/>
  <c r="M56" i="63"/>
  <c r="H56" i="63"/>
  <c r="S18" i="5" s="1"/>
  <c r="M43" i="63"/>
  <c r="P39" i="63"/>
  <c r="L60" i="63" s="1"/>
  <c r="M39" i="63"/>
  <c r="P38" i="63"/>
  <c r="L59" i="63" s="1"/>
  <c r="O38" i="63"/>
  <c r="P37" i="63"/>
  <c r="L58" i="63" s="1"/>
  <c r="O37" i="63"/>
  <c r="P34" i="5" s="1"/>
  <c r="P36" i="5" s="1"/>
  <c r="P36" i="63"/>
  <c r="L57" i="63" s="1"/>
  <c r="P35" i="63"/>
  <c r="L56" i="63" s="1"/>
  <c r="O35" i="63"/>
  <c r="K56" i="63" s="1"/>
  <c r="N33" i="63"/>
  <c r="M33" i="63"/>
  <c r="K33" i="63"/>
  <c r="I33" i="63"/>
  <c r="E33" i="63"/>
  <c r="O31" i="63"/>
  <c r="Q27" i="5" s="1"/>
  <c r="L31" i="63"/>
  <c r="M27" i="5" s="1"/>
  <c r="N27" i="5" s="1"/>
  <c r="J31" i="63"/>
  <c r="J27" i="5" s="1"/>
  <c r="C31" i="63"/>
  <c r="C65" i="63" s="1"/>
  <c r="B31" i="63"/>
  <c r="M44" i="63" s="1"/>
  <c r="O30" i="63"/>
  <c r="F154" i="64" s="1"/>
  <c r="L30" i="63"/>
  <c r="F153" i="64" s="1"/>
  <c r="J30" i="63"/>
  <c r="J26" i="5" s="1"/>
  <c r="F30" i="63"/>
  <c r="C30" i="63"/>
  <c r="B30" i="63"/>
  <c r="B64" i="63" s="1"/>
  <c r="O29" i="63"/>
  <c r="N121" i="64" s="1"/>
  <c r="L29" i="63"/>
  <c r="N120" i="64" s="1"/>
  <c r="J29" i="63"/>
  <c r="J25" i="5" s="1"/>
  <c r="H29" i="63"/>
  <c r="F29" i="63"/>
  <c r="N124" i="64" s="1"/>
  <c r="C29" i="63"/>
  <c r="C63" i="63" s="1"/>
  <c r="B29" i="63"/>
  <c r="O28" i="63"/>
  <c r="Q24" i="5" s="1"/>
  <c r="L28" i="63"/>
  <c r="M24" i="5" s="1"/>
  <c r="N24" i="5" s="1"/>
  <c r="J28" i="63"/>
  <c r="J24" i="5" s="1"/>
  <c r="H28" i="63"/>
  <c r="C28" i="63"/>
  <c r="C62" i="63" s="1"/>
  <c r="B28" i="63"/>
  <c r="O27" i="63"/>
  <c r="N88" i="64" s="1"/>
  <c r="L27" i="63"/>
  <c r="N87" i="64" s="1"/>
  <c r="J27" i="63"/>
  <c r="J23" i="5" s="1"/>
  <c r="C27" i="63"/>
  <c r="C61" i="63" s="1"/>
  <c r="B27" i="63"/>
  <c r="M40" i="63" s="1"/>
  <c r="O26" i="63"/>
  <c r="Q22" i="5" s="1"/>
  <c r="J26" i="63"/>
  <c r="J22" i="5" s="1"/>
  <c r="C26" i="63"/>
  <c r="C60" i="63" s="1"/>
  <c r="B26" i="63"/>
  <c r="O25" i="63"/>
  <c r="N55" i="64" s="1"/>
  <c r="J25" i="63"/>
  <c r="J21" i="5" s="1"/>
  <c r="J24" i="63"/>
  <c r="J20" i="5" s="1"/>
  <c r="J23" i="63"/>
  <c r="J19" i="5" s="1"/>
  <c r="C23" i="63"/>
  <c r="B23" i="63"/>
  <c r="O22" i="63"/>
  <c r="K22" i="63"/>
  <c r="J22" i="63"/>
  <c r="J18" i="5" s="1"/>
  <c r="R21" i="63"/>
  <c r="X17" i="63"/>
  <c r="V16" i="63"/>
  <c r="P16" i="63"/>
  <c r="H16" i="63"/>
  <c r="G16" i="63"/>
  <c r="E16" i="63"/>
  <c r="F31" i="63" s="1"/>
  <c r="V15" i="63"/>
  <c r="F149" i="64" s="1"/>
  <c r="P15" i="63"/>
  <c r="F145" i="64" s="1"/>
  <c r="H15" i="63"/>
  <c r="F146" i="64" s="1"/>
  <c r="G15" i="63"/>
  <c r="E15" i="63"/>
  <c r="H30" i="63" s="1"/>
  <c r="V14" i="63"/>
  <c r="N116" i="64" s="1"/>
  <c r="P14" i="63"/>
  <c r="N112" i="64" s="1"/>
  <c r="H14" i="63"/>
  <c r="N113" i="64" s="1"/>
  <c r="G14" i="63"/>
  <c r="P109" i="64" s="1"/>
  <c r="E14" i="63"/>
  <c r="R14" i="63" s="1"/>
  <c r="N114" i="64" s="1"/>
  <c r="V13" i="63"/>
  <c r="F116" i="64" s="1"/>
  <c r="P13" i="63"/>
  <c r="F112" i="64" s="1"/>
  <c r="H13" i="63"/>
  <c r="F113" i="64" s="1"/>
  <c r="G13" i="63"/>
  <c r="H109" i="64" s="1"/>
  <c r="E13" i="63"/>
  <c r="D107" i="64" s="1"/>
  <c r="V12" i="63"/>
  <c r="N83" i="64" s="1"/>
  <c r="P12" i="63"/>
  <c r="N79" i="64" s="1"/>
  <c r="H12" i="63"/>
  <c r="N80" i="64" s="1"/>
  <c r="G12" i="63"/>
  <c r="E12" i="63"/>
  <c r="F27" i="63" s="1"/>
  <c r="H11" i="63"/>
  <c r="F80" i="64" s="1"/>
  <c r="D11" i="63"/>
  <c r="H10" i="63"/>
  <c r="D10" i="63"/>
  <c r="G10" i="63" s="1"/>
  <c r="C10" i="63"/>
  <c r="C25" i="63" s="1"/>
  <c r="C59" i="63" s="1"/>
  <c r="B10" i="63"/>
  <c r="A21" i="5" s="1"/>
  <c r="I9" i="63"/>
  <c r="I18" i="63" s="1"/>
  <c r="H9" i="63"/>
  <c r="D9" i="63"/>
  <c r="G9" i="63" s="1"/>
  <c r="H43" i="64" s="1"/>
  <c r="C9" i="63"/>
  <c r="C24" i="63" s="1"/>
  <c r="C58" i="63" s="1"/>
  <c r="B9" i="63"/>
  <c r="B24" i="63" s="1"/>
  <c r="H8" i="63"/>
  <c r="N14" i="64" s="1"/>
  <c r="D8" i="63"/>
  <c r="H7" i="63"/>
  <c r="E7" i="63"/>
  <c r="P7" i="63" s="1"/>
  <c r="D7" i="63"/>
  <c r="C7" i="63"/>
  <c r="C22" i="63" s="1"/>
  <c r="C56" i="63" s="1"/>
  <c r="B7" i="63"/>
  <c r="A18" i="5" s="1"/>
  <c r="D2" i="63"/>
  <c r="J135" i="64" s="1"/>
  <c r="N159" i="21"/>
  <c r="F159" i="21"/>
  <c r="N158" i="21"/>
  <c r="F158" i="21"/>
  <c r="N157" i="21"/>
  <c r="N156" i="21"/>
  <c r="F156" i="21"/>
  <c r="N155" i="21"/>
  <c r="F155" i="21"/>
  <c r="N154" i="21"/>
  <c r="F154" i="21"/>
  <c r="N153" i="21"/>
  <c r="F153" i="21"/>
  <c r="N152" i="21"/>
  <c r="F152" i="21"/>
  <c r="N151" i="21"/>
  <c r="F151" i="21"/>
  <c r="N149" i="21"/>
  <c r="N148" i="21"/>
  <c r="N147" i="21"/>
  <c r="N146" i="21"/>
  <c r="N145" i="21"/>
  <c r="M143" i="21"/>
  <c r="E143" i="21"/>
  <c r="P142" i="21"/>
  <c r="L142" i="21"/>
  <c r="L141" i="21"/>
  <c r="D141" i="21"/>
  <c r="L140" i="21"/>
  <c r="L139" i="21"/>
  <c r="D139" i="21"/>
  <c r="J135" i="21"/>
  <c r="B135" i="21"/>
  <c r="J134" i="21"/>
  <c r="B134" i="21"/>
  <c r="N126" i="21"/>
  <c r="F126" i="21"/>
  <c r="N125" i="21"/>
  <c r="F125" i="21"/>
  <c r="N123" i="21"/>
  <c r="F123" i="21"/>
  <c r="N122" i="21"/>
  <c r="F122" i="21"/>
  <c r="N121" i="21"/>
  <c r="F121" i="21"/>
  <c r="N120" i="21"/>
  <c r="F120" i="21"/>
  <c r="N119" i="21"/>
  <c r="F119" i="21"/>
  <c r="N118" i="21"/>
  <c r="F118" i="21"/>
  <c r="M110" i="21"/>
  <c r="E110" i="21"/>
  <c r="L108" i="21"/>
  <c r="D108" i="21"/>
  <c r="D106" i="21"/>
  <c r="J102" i="21"/>
  <c r="B102" i="21"/>
  <c r="J101" i="21"/>
  <c r="B101" i="21"/>
  <c r="N93" i="21"/>
  <c r="F93" i="21"/>
  <c r="N92" i="21"/>
  <c r="F92" i="21"/>
  <c r="N90" i="21"/>
  <c r="F90" i="21"/>
  <c r="N89" i="21"/>
  <c r="F89" i="21"/>
  <c r="N88" i="21"/>
  <c r="F88" i="21"/>
  <c r="N87" i="21"/>
  <c r="F87" i="21"/>
  <c r="N86" i="21"/>
  <c r="F86" i="21"/>
  <c r="N85" i="21"/>
  <c r="F85" i="21"/>
  <c r="F80" i="21"/>
  <c r="M77" i="21"/>
  <c r="E77" i="21"/>
  <c r="L75" i="21"/>
  <c r="D75" i="21"/>
  <c r="L73" i="21"/>
  <c r="D73" i="21"/>
  <c r="J69" i="21"/>
  <c r="B69" i="21"/>
  <c r="J68" i="21"/>
  <c r="B68" i="21"/>
  <c r="N60" i="21"/>
  <c r="F60" i="21"/>
  <c r="N59" i="21"/>
  <c r="F59" i="21"/>
  <c r="N57" i="21"/>
  <c r="F57" i="21"/>
  <c r="N55" i="21"/>
  <c r="F55" i="21"/>
  <c r="N54" i="21"/>
  <c r="F54" i="21"/>
  <c r="N53" i="21"/>
  <c r="F53" i="21"/>
  <c r="N52" i="21"/>
  <c r="F52" i="21"/>
  <c r="M44" i="21"/>
  <c r="E44" i="21"/>
  <c r="L42" i="21"/>
  <c r="D42" i="21"/>
  <c r="L40" i="21"/>
  <c r="J36" i="21"/>
  <c r="B36" i="21"/>
  <c r="J35" i="21"/>
  <c r="B35" i="21"/>
  <c r="N27" i="21"/>
  <c r="F27" i="21"/>
  <c r="N26" i="21"/>
  <c r="F26" i="21"/>
  <c r="N24" i="21"/>
  <c r="F24" i="21"/>
  <c r="N23" i="21"/>
  <c r="F23" i="21"/>
  <c r="N22" i="21"/>
  <c r="F22" i="21"/>
  <c r="N21" i="21"/>
  <c r="F21" i="21"/>
  <c r="N20" i="21"/>
  <c r="F20" i="21"/>
  <c r="N19" i="21"/>
  <c r="F19" i="21"/>
  <c r="M11" i="21"/>
  <c r="E11" i="21"/>
  <c r="L9" i="21"/>
  <c r="D9" i="21"/>
  <c r="L7" i="21"/>
  <c r="D7" i="21"/>
  <c r="J3" i="21"/>
  <c r="B3" i="21"/>
  <c r="J2" i="21"/>
  <c r="B2" i="21"/>
  <c r="H67" i="20"/>
  <c r="F67" i="20"/>
  <c r="E67" i="20"/>
  <c r="D67" i="20"/>
  <c r="L60" i="20"/>
  <c r="K60" i="20"/>
  <c r="J60" i="20"/>
  <c r="L59" i="20"/>
  <c r="L58" i="20"/>
  <c r="K58" i="20"/>
  <c r="G67" i="20"/>
  <c r="L57" i="20"/>
  <c r="J57" i="20"/>
  <c r="L56" i="20"/>
  <c r="K59" i="20"/>
  <c r="O38" i="20"/>
  <c r="P39" i="5" s="1"/>
  <c r="O35" i="20"/>
  <c r="J56" i="20" s="1"/>
  <c r="O33" i="20"/>
  <c r="N33" i="20"/>
  <c r="M33" i="20"/>
  <c r="L33" i="20"/>
  <c r="K33" i="20"/>
  <c r="J33" i="20"/>
  <c r="I33" i="20"/>
  <c r="C31" i="20"/>
  <c r="C65" i="20" s="1"/>
  <c r="B31" i="20"/>
  <c r="B65" i="20" s="1"/>
  <c r="C30" i="20"/>
  <c r="C64" i="20" s="1"/>
  <c r="B30" i="20"/>
  <c r="M43" i="20" s="1"/>
  <c r="C29" i="20"/>
  <c r="C63" i="20" s="1"/>
  <c r="B29" i="20"/>
  <c r="L106" i="21" s="1"/>
  <c r="C28" i="20"/>
  <c r="C62" i="20" s="1"/>
  <c r="B28" i="20"/>
  <c r="M41" i="20" s="1"/>
  <c r="C27" i="20"/>
  <c r="C61" i="20" s="1"/>
  <c r="B27" i="20"/>
  <c r="B61" i="20" s="1"/>
  <c r="C26" i="20"/>
  <c r="C60" i="20" s="1"/>
  <c r="B26" i="20"/>
  <c r="B60" i="20" s="1"/>
  <c r="C25" i="20"/>
  <c r="C59" i="20" s="1"/>
  <c r="B25" i="20"/>
  <c r="B59" i="20" s="1"/>
  <c r="C24" i="20"/>
  <c r="C58" i="20" s="1"/>
  <c r="B24" i="20"/>
  <c r="D40" i="21" s="1"/>
  <c r="C23" i="20"/>
  <c r="C57" i="20" s="1"/>
  <c r="B23" i="20"/>
  <c r="B57" i="20" s="1"/>
  <c r="C22" i="20"/>
  <c r="C56" i="20" s="1"/>
  <c r="B22" i="20"/>
  <c r="B56" i="20" s="1"/>
  <c r="R21" i="20"/>
  <c r="X17" i="20"/>
  <c r="H16" i="20"/>
  <c r="G16" i="20"/>
  <c r="E16" i="20"/>
  <c r="H31" i="20" s="1"/>
  <c r="H15" i="20"/>
  <c r="F146" i="21" s="1"/>
  <c r="G15" i="20"/>
  <c r="E15" i="20"/>
  <c r="F30" i="20" s="1"/>
  <c r="H14" i="20"/>
  <c r="N113" i="21" s="1"/>
  <c r="G14" i="20"/>
  <c r="P109" i="21" s="1"/>
  <c r="E14" i="20"/>
  <c r="H29" i="20" s="1"/>
  <c r="O13" i="20"/>
  <c r="N13" i="20"/>
  <c r="K13" i="20"/>
  <c r="H13" i="20" s="1"/>
  <c r="E13" i="20"/>
  <c r="G13" i="20" s="1"/>
  <c r="O12" i="20"/>
  <c r="N12" i="20"/>
  <c r="L12" i="20"/>
  <c r="K12" i="20"/>
  <c r="E12" i="20"/>
  <c r="E11" i="20"/>
  <c r="G11" i="20" s="1"/>
  <c r="N10" i="20"/>
  <c r="H10" i="20"/>
  <c r="G10" i="20"/>
  <c r="B39" i="5" s="1"/>
  <c r="E10" i="20"/>
  <c r="H25" i="20" s="1"/>
  <c r="N58" i="79" s="1"/>
  <c r="H9" i="20"/>
  <c r="G34" i="5"/>
  <c r="G36" i="5" s="1"/>
  <c r="D9" i="20"/>
  <c r="D18" i="20" s="1"/>
  <c r="S8" i="20"/>
  <c r="K8" i="20"/>
  <c r="G8" i="20"/>
  <c r="P10" i="21" s="1"/>
  <c r="E8" i="20"/>
  <c r="H23" i="20" s="1"/>
  <c r="N25" i="79" s="1"/>
  <c r="N7" i="20"/>
  <c r="K7" i="20"/>
  <c r="H7" i="20" s="1"/>
  <c r="G7" i="20"/>
  <c r="H10" i="21" s="1"/>
  <c r="E7" i="20"/>
  <c r="D8" i="21" s="1"/>
  <c r="X68" i="77"/>
  <c r="W68" i="77"/>
  <c r="V68" i="77"/>
  <c r="U68" i="77"/>
  <c r="T68" i="77"/>
  <c r="S68" i="77"/>
  <c r="R68" i="77"/>
  <c r="Q68" i="77"/>
  <c r="P68" i="77"/>
  <c r="O68" i="77"/>
  <c r="N68" i="77"/>
  <c r="M68" i="77"/>
  <c r="L68" i="77"/>
  <c r="K68" i="77"/>
  <c r="J68" i="77"/>
  <c r="I68" i="77"/>
  <c r="H68" i="77"/>
  <c r="M59" i="77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39" i="77"/>
  <c r="M33" i="77"/>
  <c r="M32" i="77"/>
  <c r="M48" i="77" s="1"/>
  <c r="X28" i="77"/>
  <c r="W28" i="77"/>
  <c r="V28" i="77"/>
  <c r="U28" i="77"/>
  <c r="T28" i="77"/>
  <c r="S28" i="77"/>
  <c r="R28" i="77"/>
  <c r="Q28" i="77"/>
  <c r="P28" i="77"/>
  <c r="N11" i="20" s="1"/>
  <c r="O28" i="77"/>
  <c r="N28" i="77"/>
  <c r="L28" i="77"/>
  <c r="K28" i="77"/>
  <c r="J28" i="77"/>
  <c r="I28" i="77"/>
  <c r="H28" i="77"/>
  <c r="M13" i="77"/>
  <c r="M11" i="77"/>
  <c r="M28" i="77" s="1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S10" i="20" s="1"/>
  <c r="V250" i="76"/>
  <c r="U250" i="76"/>
  <c r="T250" i="76"/>
  <c r="S250" i="76"/>
  <c r="R250" i="76"/>
  <c r="Q250" i="76"/>
  <c r="O10" i="20" s="1"/>
  <c r="P250" i="76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E23" i="20" s="1"/>
  <c r="Q229" i="76"/>
  <c r="O8" i="20" s="1"/>
  <c r="P229" i="76"/>
  <c r="N8" i="20" s="1"/>
  <c r="O229" i="76"/>
  <c r="N229" i="76"/>
  <c r="M229" i="76"/>
  <c r="L229" i="76"/>
  <c r="K229" i="76"/>
  <c r="J229" i="76"/>
  <c r="I229" i="76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M201" i="76"/>
  <c r="L201" i="76"/>
  <c r="K201" i="76"/>
  <c r="J201" i="76"/>
  <c r="I201" i="76"/>
  <c r="H201" i="76"/>
  <c r="M197" i="76"/>
  <c r="M192" i="76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19" i="76" s="1"/>
  <c r="M102" i="76"/>
  <c r="X98" i="76"/>
  <c r="W98" i="76"/>
  <c r="V98" i="76"/>
  <c r="U98" i="76"/>
  <c r="T98" i="76"/>
  <c r="S98" i="76"/>
  <c r="R98" i="76"/>
  <c r="Q98" i="76"/>
  <c r="P98" i="76"/>
  <c r="O98" i="76"/>
  <c r="N98" i="76"/>
  <c r="L98" i="76"/>
  <c r="K98" i="76"/>
  <c r="J98" i="76"/>
  <c r="I98" i="76"/>
  <c r="H98" i="76"/>
  <c r="M90" i="76"/>
  <c r="M98" i="76" s="1"/>
  <c r="X71" i="76"/>
  <c r="W71" i="76"/>
  <c r="S9" i="20" s="1"/>
  <c r="V71" i="76"/>
  <c r="U71" i="76"/>
  <c r="T71" i="76"/>
  <c r="S71" i="76"/>
  <c r="R71" i="76"/>
  <c r="Q71" i="76"/>
  <c r="O9" i="20" s="1"/>
  <c r="P71" i="76"/>
  <c r="N9" i="20" s="1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M51" i="76"/>
  <c r="L51" i="76"/>
  <c r="K51" i="76"/>
  <c r="J51" i="76"/>
  <c r="I51" i="76"/>
  <c r="H51" i="76"/>
  <c r="M46" i="76"/>
  <c r="X25" i="76"/>
  <c r="W25" i="76"/>
  <c r="V25" i="76"/>
  <c r="U25" i="76"/>
  <c r="T25" i="76"/>
  <c r="S25" i="76"/>
  <c r="R25" i="76"/>
  <c r="Q25" i="76"/>
  <c r="P25" i="76"/>
  <c r="O25" i="76"/>
  <c r="M7" i="20" s="1"/>
  <c r="N25" i="76"/>
  <c r="M25" i="76"/>
  <c r="L25" i="76"/>
  <c r="K25" i="76"/>
  <c r="J25" i="76"/>
  <c r="I25" i="76"/>
  <c r="H25" i="76"/>
  <c r="F13" i="64" l="1"/>
  <c r="N91" i="64"/>
  <c r="H18" i="63"/>
  <c r="E8" i="63"/>
  <c r="G8" i="63"/>
  <c r="E9" i="63"/>
  <c r="P43" i="64"/>
  <c r="H116" i="64"/>
  <c r="X14" i="63"/>
  <c r="D29" i="63" s="1"/>
  <c r="P29" i="63" s="1"/>
  <c r="H22" i="63"/>
  <c r="B62" i="63"/>
  <c r="M41" i="63"/>
  <c r="M173" i="76"/>
  <c r="E10" i="63"/>
  <c r="M36" i="63"/>
  <c r="B57" i="63"/>
  <c r="K58" i="63"/>
  <c r="T7" i="63"/>
  <c r="D8" i="64"/>
  <c r="F22" i="63"/>
  <c r="V7" i="63"/>
  <c r="L106" i="64"/>
  <c r="B63" i="63"/>
  <c r="M42" i="63"/>
  <c r="S21" i="5"/>
  <c r="G7" i="63"/>
  <c r="D18" i="63"/>
  <c r="R7" i="63"/>
  <c r="E11" i="63"/>
  <c r="G11" i="63"/>
  <c r="X13" i="63"/>
  <c r="D28" i="63" s="1"/>
  <c r="J62" i="63" s="1"/>
  <c r="P116" i="64"/>
  <c r="E18" i="63"/>
  <c r="F157" i="64"/>
  <c r="T12" i="63"/>
  <c r="N82" i="64" s="1"/>
  <c r="T13" i="63"/>
  <c r="F115" i="64" s="1"/>
  <c r="T14" i="63"/>
  <c r="N115" i="64" s="1"/>
  <c r="T15" i="63"/>
  <c r="F148" i="64" s="1"/>
  <c r="H149" i="64" s="1"/>
  <c r="T16" i="63"/>
  <c r="H27" i="63"/>
  <c r="F28" i="63"/>
  <c r="F124" i="64" s="1"/>
  <c r="H31" i="63"/>
  <c r="L107" i="64"/>
  <c r="H159" i="79"/>
  <c r="H27" i="20"/>
  <c r="N91" i="79" s="1"/>
  <c r="G12" i="20"/>
  <c r="R12" i="63"/>
  <c r="R13" i="63"/>
  <c r="F114" i="64" s="1"/>
  <c r="R15" i="63"/>
  <c r="F147" i="64" s="1"/>
  <c r="R16" i="63"/>
  <c r="H67" i="63"/>
  <c r="F23" i="64"/>
  <c r="P149" i="64"/>
  <c r="P159" i="79"/>
  <c r="D107" i="21"/>
  <c r="H8" i="20"/>
  <c r="H38" i="5" s="1"/>
  <c r="H12" i="20"/>
  <c r="N80" i="79" s="1"/>
  <c r="D74" i="21"/>
  <c r="O33" i="63"/>
  <c r="P93" i="79"/>
  <c r="H37" i="5"/>
  <c r="F14" i="79"/>
  <c r="F47" i="21"/>
  <c r="F47" i="79"/>
  <c r="H39" i="5"/>
  <c r="N14" i="79"/>
  <c r="N47" i="79"/>
  <c r="P149" i="21"/>
  <c r="P159" i="21"/>
  <c r="J29" i="5"/>
  <c r="P159" i="64"/>
  <c r="P160" i="64" s="1"/>
  <c r="K29" i="5"/>
  <c r="U29" i="5"/>
  <c r="P126" i="79"/>
  <c r="O29" i="5"/>
  <c r="D44" i="5"/>
  <c r="F44" i="5"/>
  <c r="P60" i="79"/>
  <c r="R7" i="20"/>
  <c r="F15" i="21" s="1"/>
  <c r="G9" i="20"/>
  <c r="R10" i="20"/>
  <c r="P14" i="20"/>
  <c r="N112" i="21" s="1"/>
  <c r="P116" i="21" s="1"/>
  <c r="T14" i="20"/>
  <c r="N115" i="21" s="1"/>
  <c r="R15" i="20"/>
  <c r="F147" i="21" s="1"/>
  <c r="V15" i="20"/>
  <c r="F149" i="21" s="1"/>
  <c r="R16" i="20"/>
  <c r="V16" i="20"/>
  <c r="I18" i="20"/>
  <c r="F29" i="20"/>
  <c r="N124" i="21" s="1"/>
  <c r="P126" i="21" s="1"/>
  <c r="H30" i="20"/>
  <c r="F157" i="21" s="1"/>
  <c r="H159" i="21" s="1"/>
  <c r="F31" i="20"/>
  <c r="A37" i="20"/>
  <c r="M37" i="20"/>
  <c r="M38" i="20"/>
  <c r="M40" i="20"/>
  <c r="M42" i="20"/>
  <c r="J59" i="20"/>
  <c r="B62" i="20"/>
  <c r="B63" i="20"/>
  <c r="B64" i="20"/>
  <c r="F56" i="21"/>
  <c r="L107" i="21"/>
  <c r="D140" i="21"/>
  <c r="H142" i="21"/>
  <c r="R29" i="5"/>
  <c r="T29" i="5"/>
  <c r="S20" i="5"/>
  <c r="E9" i="20"/>
  <c r="H24" i="20" s="1"/>
  <c r="T10" i="20"/>
  <c r="R14" i="20"/>
  <c r="N114" i="21" s="1"/>
  <c r="V14" i="20"/>
  <c r="N116" i="21" s="1"/>
  <c r="P15" i="20"/>
  <c r="F145" i="21" s="1"/>
  <c r="T15" i="20"/>
  <c r="F148" i="21" s="1"/>
  <c r="P16" i="20"/>
  <c r="T16" i="20"/>
  <c r="M35" i="20"/>
  <c r="M36" i="20"/>
  <c r="D37" i="20"/>
  <c r="M39" i="20"/>
  <c r="M44" i="20"/>
  <c r="B58" i="20"/>
  <c r="N56" i="21"/>
  <c r="S29" i="5"/>
  <c r="P29" i="5"/>
  <c r="O44" i="5"/>
  <c r="C44" i="5"/>
  <c r="E44" i="5"/>
  <c r="L29" i="5"/>
  <c r="P10" i="20"/>
  <c r="V10" i="20"/>
  <c r="N50" i="79" s="1"/>
  <c r="T11" i="20"/>
  <c r="F82" i="21" s="1"/>
  <c r="T12" i="20"/>
  <c r="N82" i="21" s="1"/>
  <c r="T13" i="20"/>
  <c r="F115" i="21" s="1"/>
  <c r="F25" i="20"/>
  <c r="F26" i="20"/>
  <c r="F27" i="20"/>
  <c r="N91" i="21" s="1"/>
  <c r="P93" i="21" s="1"/>
  <c r="F28" i="20"/>
  <c r="L41" i="21"/>
  <c r="P43" i="21"/>
  <c r="L74" i="21"/>
  <c r="P76" i="21"/>
  <c r="P11" i="20"/>
  <c r="R11" i="20"/>
  <c r="V11" i="20"/>
  <c r="F83" i="79" s="1"/>
  <c r="P12" i="20"/>
  <c r="N79" i="79" s="1"/>
  <c r="R12" i="20"/>
  <c r="V12" i="20"/>
  <c r="N83" i="79" s="1"/>
  <c r="H109" i="21"/>
  <c r="P13" i="20"/>
  <c r="F112" i="79" s="1"/>
  <c r="R13" i="20"/>
  <c r="V13" i="20"/>
  <c r="H26" i="20"/>
  <c r="F91" i="79" s="1"/>
  <c r="H93" i="79" s="1"/>
  <c r="H28" i="20"/>
  <c r="P8" i="20"/>
  <c r="R8" i="20"/>
  <c r="V8" i="20"/>
  <c r="N17" i="79" s="1"/>
  <c r="L8" i="21"/>
  <c r="B38" i="5"/>
  <c r="T8" i="20"/>
  <c r="P7" i="20"/>
  <c r="I37" i="5" s="1"/>
  <c r="V7" i="20"/>
  <c r="E18" i="20"/>
  <c r="B37" i="5"/>
  <c r="T7" i="20"/>
  <c r="F16" i="21" s="1"/>
  <c r="H22" i="20"/>
  <c r="L33" i="63"/>
  <c r="F85" i="64"/>
  <c r="F120" i="64"/>
  <c r="M23" i="5"/>
  <c r="N23" i="5" s="1"/>
  <c r="P116" i="79"/>
  <c r="P160" i="79"/>
  <c r="V160" i="79" s="1"/>
  <c r="Q21" i="5"/>
  <c r="M25" i="5"/>
  <c r="N25" i="5" s="1"/>
  <c r="M26" i="5"/>
  <c r="N26" i="5" s="1"/>
  <c r="P27" i="79"/>
  <c r="H160" i="79"/>
  <c r="T160" i="79" s="1"/>
  <c r="P37" i="5"/>
  <c r="P38" i="5"/>
  <c r="K57" i="20"/>
  <c r="B58" i="63"/>
  <c r="M37" i="63"/>
  <c r="D40" i="64"/>
  <c r="D37" i="63"/>
  <c r="M44" i="5"/>
  <c r="F22" i="20"/>
  <c r="F23" i="20"/>
  <c r="E33" i="20"/>
  <c r="N47" i="21"/>
  <c r="B25" i="63"/>
  <c r="J3" i="64"/>
  <c r="B36" i="64"/>
  <c r="J69" i="64"/>
  <c r="J102" i="64"/>
  <c r="B135" i="64"/>
  <c r="A11" i="5"/>
  <c r="A20" i="5"/>
  <c r="H34" i="5"/>
  <c r="H36" i="5" s="1"/>
  <c r="F14" i="21"/>
  <c r="B22" i="63"/>
  <c r="B3" i="64"/>
  <c r="D7" i="64"/>
  <c r="J36" i="64"/>
  <c r="L40" i="64"/>
  <c r="B69" i="64"/>
  <c r="B102" i="64"/>
  <c r="J33" i="63"/>
  <c r="F19" i="64"/>
  <c r="F22" i="64"/>
  <c r="F52" i="64"/>
  <c r="F88" i="64"/>
  <c r="F118" i="64"/>
  <c r="F121" i="64"/>
  <c r="Q18" i="5"/>
  <c r="Q23" i="5"/>
  <c r="Q25" i="5"/>
  <c r="Q26" i="5"/>
  <c r="J63" i="63"/>
  <c r="N19" i="64"/>
  <c r="N52" i="64"/>
  <c r="N85" i="64"/>
  <c r="P93" i="64" s="1"/>
  <c r="N118" i="64"/>
  <c r="P126" i="64" s="1"/>
  <c r="P127" i="64" s="1"/>
  <c r="F151" i="64"/>
  <c r="H159" i="64" s="1"/>
  <c r="N81" i="64" l="1"/>
  <c r="P83" i="64" s="1"/>
  <c r="X12" i="63"/>
  <c r="D27" i="63" s="1"/>
  <c r="F15" i="64"/>
  <c r="H17" i="64" s="1"/>
  <c r="J39" i="5"/>
  <c r="X16" i="63"/>
  <c r="D31" i="63" s="1"/>
  <c r="X15" i="63"/>
  <c r="D30" i="63" s="1"/>
  <c r="F25" i="64"/>
  <c r="D41" i="64"/>
  <c r="H24" i="63"/>
  <c r="R9" i="63"/>
  <c r="F48" i="64" s="1"/>
  <c r="T9" i="63"/>
  <c r="F49" i="64" s="1"/>
  <c r="F24" i="63"/>
  <c r="P9" i="63"/>
  <c r="V9" i="63"/>
  <c r="F50" i="64" s="1"/>
  <c r="P28" i="63"/>
  <c r="D62" i="63" s="1"/>
  <c r="N46" i="21"/>
  <c r="K38" i="5"/>
  <c r="R29" i="63"/>
  <c r="H25" i="5" s="1"/>
  <c r="R30" i="63"/>
  <c r="H26" i="5" s="1"/>
  <c r="H76" i="64"/>
  <c r="H10" i="64"/>
  <c r="X7" i="63"/>
  <c r="R22" i="63"/>
  <c r="H18" i="5" s="1"/>
  <c r="G18" i="63"/>
  <c r="F16" i="64"/>
  <c r="R31" i="63"/>
  <c r="H27" i="5" s="1"/>
  <c r="R27" i="63"/>
  <c r="H23" i="5" s="1"/>
  <c r="P10" i="64"/>
  <c r="F25" i="63"/>
  <c r="T10" i="63"/>
  <c r="N49" i="64" s="1"/>
  <c r="L41" i="64"/>
  <c r="H25" i="63"/>
  <c r="N39" i="5" s="1"/>
  <c r="V10" i="63"/>
  <c r="N50" i="64" s="1"/>
  <c r="P10" i="63"/>
  <c r="R10" i="63"/>
  <c r="N48" i="64" s="1"/>
  <c r="H160" i="64"/>
  <c r="J37" i="5"/>
  <c r="P94" i="64"/>
  <c r="R28" i="63"/>
  <c r="H24" i="5" s="1"/>
  <c r="F26" i="63"/>
  <c r="R11" i="63"/>
  <c r="F81" i="64" s="1"/>
  <c r="D74" i="64"/>
  <c r="H26" i="63"/>
  <c r="T11" i="63"/>
  <c r="F82" i="64" s="1"/>
  <c r="V11" i="63"/>
  <c r="F83" i="64" s="1"/>
  <c r="P11" i="63"/>
  <c r="F79" i="64" s="1"/>
  <c r="F17" i="64"/>
  <c r="R8" i="63"/>
  <c r="N15" i="64" s="1"/>
  <c r="L8" i="64"/>
  <c r="T8" i="63"/>
  <c r="N16" i="64" s="1"/>
  <c r="P8" i="63"/>
  <c r="F23" i="63"/>
  <c r="N25" i="64" s="1"/>
  <c r="P27" i="64" s="1"/>
  <c r="V8" i="63"/>
  <c r="N17" i="64" s="1"/>
  <c r="H23" i="63"/>
  <c r="H33" i="63" s="1"/>
  <c r="N13" i="21"/>
  <c r="N13" i="79"/>
  <c r="R22" i="20"/>
  <c r="N14" i="21"/>
  <c r="N80" i="21"/>
  <c r="F124" i="79"/>
  <c r="H126" i="79" s="1"/>
  <c r="F58" i="79"/>
  <c r="H60" i="79" s="1"/>
  <c r="N49" i="21"/>
  <c r="R31" i="20"/>
  <c r="G27" i="5" s="1"/>
  <c r="I27" i="5" s="1"/>
  <c r="F13" i="21"/>
  <c r="N48" i="21"/>
  <c r="X16" i="20"/>
  <c r="D31" i="20" s="1"/>
  <c r="P31" i="20" s="1"/>
  <c r="S44" i="20" s="1"/>
  <c r="T9" i="20"/>
  <c r="T18" i="20" s="1"/>
  <c r="P160" i="21"/>
  <c r="O31" i="5"/>
  <c r="K31" i="5"/>
  <c r="F25" i="79"/>
  <c r="H27" i="79" s="1"/>
  <c r="P127" i="21"/>
  <c r="H41" i="5"/>
  <c r="H44" i="5" s="1"/>
  <c r="P127" i="79"/>
  <c r="V127" i="79" s="1"/>
  <c r="L38" i="5"/>
  <c r="P17" i="79"/>
  <c r="P28" i="79" s="1"/>
  <c r="V28" i="79" s="1"/>
  <c r="F83" i="21"/>
  <c r="L39" i="5"/>
  <c r="P50" i="79"/>
  <c r="P61" i="79" s="1"/>
  <c r="V61" i="79" s="1"/>
  <c r="L37" i="5"/>
  <c r="F17" i="79"/>
  <c r="H17" i="79" s="1"/>
  <c r="F116" i="21"/>
  <c r="F116" i="79"/>
  <c r="N83" i="21"/>
  <c r="F81" i="21"/>
  <c r="F81" i="79"/>
  <c r="F114" i="21"/>
  <c r="F114" i="79"/>
  <c r="N81" i="21"/>
  <c r="N81" i="79"/>
  <c r="F79" i="21"/>
  <c r="F79" i="79"/>
  <c r="F113" i="21"/>
  <c r="F113" i="79"/>
  <c r="K37" i="5"/>
  <c r="R25" i="20"/>
  <c r="G21" i="5" s="1"/>
  <c r="N16" i="21"/>
  <c r="H18" i="20"/>
  <c r="H76" i="21"/>
  <c r="X11" i="20"/>
  <c r="D26" i="20" s="1"/>
  <c r="P26" i="20" s="1"/>
  <c r="M29" i="5"/>
  <c r="G18" i="5"/>
  <c r="I18" i="5" s="1"/>
  <c r="X8" i="20"/>
  <c r="D23" i="20" s="1"/>
  <c r="I57" i="20" s="1"/>
  <c r="N57" i="20" s="1"/>
  <c r="I38" i="5"/>
  <c r="I65" i="20"/>
  <c r="D41" i="21"/>
  <c r="V9" i="20"/>
  <c r="F50" i="79" s="1"/>
  <c r="R9" i="20"/>
  <c r="R18" i="20" s="1"/>
  <c r="F24" i="20"/>
  <c r="R23" i="20"/>
  <c r="G19" i="5" s="1"/>
  <c r="N17" i="21"/>
  <c r="X14" i="20"/>
  <c r="D29" i="20" s="1"/>
  <c r="P29" i="20" s="1"/>
  <c r="S42" i="20" s="1"/>
  <c r="R29" i="20"/>
  <c r="G25" i="5" s="1"/>
  <c r="I25" i="5" s="1"/>
  <c r="B41" i="5"/>
  <c r="H149" i="21"/>
  <c r="H160" i="21" s="1"/>
  <c r="R30" i="20"/>
  <c r="G26" i="5" s="1"/>
  <c r="I26" i="5" s="1"/>
  <c r="P9" i="20"/>
  <c r="P18" i="20" s="1"/>
  <c r="X15" i="20"/>
  <c r="D30" i="20" s="1"/>
  <c r="B34" i="5"/>
  <c r="B36" i="5" s="1"/>
  <c r="H43" i="21"/>
  <c r="X12" i="20"/>
  <c r="D27" i="20" s="1"/>
  <c r="X7" i="20"/>
  <c r="D22" i="20" s="1"/>
  <c r="F17" i="21"/>
  <c r="H17" i="21" s="1"/>
  <c r="R27" i="20"/>
  <c r="G23" i="5" s="1"/>
  <c r="I23" i="5" s="1"/>
  <c r="N79" i="21"/>
  <c r="N29" i="5"/>
  <c r="X13" i="20"/>
  <c r="D28" i="20" s="1"/>
  <c r="F112" i="21"/>
  <c r="F124" i="21"/>
  <c r="H126" i="21" s="1"/>
  <c r="R26" i="20"/>
  <c r="G22" i="5" s="1"/>
  <c r="N58" i="21"/>
  <c r="P60" i="21" s="1"/>
  <c r="F91" i="21"/>
  <c r="H93" i="21" s="1"/>
  <c r="X10" i="20"/>
  <c r="D25" i="20" s="1"/>
  <c r="P25" i="20" s="1"/>
  <c r="R28" i="20"/>
  <c r="G24" i="5" s="1"/>
  <c r="G18" i="20"/>
  <c r="N50" i="21"/>
  <c r="H33" i="20"/>
  <c r="N15" i="21"/>
  <c r="B56" i="63"/>
  <c r="M35" i="63"/>
  <c r="B59" i="63"/>
  <c r="A37" i="63"/>
  <c r="M38" i="63"/>
  <c r="N38" i="5"/>
  <c r="N25" i="21"/>
  <c r="P27" i="21" s="1"/>
  <c r="N37" i="5"/>
  <c r="F25" i="21"/>
  <c r="H27" i="21" s="1"/>
  <c r="H126" i="64"/>
  <c r="H127" i="64" s="1"/>
  <c r="H27" i="64"/>
  <c r="P41" i="5"/>
  <c r="P44" i="5" s="1"/>
  <c r="S41" i="63"/>
  <c r="D63" i="63"/>
  <c r="S42" i="63"/>
  <c r="V127" i="64"/>
  <c r="Q29" i="5"/>
  <c r="K41" i="5" l="1"/>
  <c r="F33" i="63"/>
  <c r="T18" i="63"/>
  <c r="H28" i="64"/>
  <c r="J38" i="5"/>
  <c r="J41" i="5" s="1"/>
  <c r="I24" i="5"/>
  <c r="H83" i="64"/>
  <c r="X11" i="63"/>
  <c r="D26" i="63" s="1"/>
  <c r="K39" i="5"/>
  <c r="P27" i="63"/>
  <c r="J61" i="63"/>
  <c r="O61" i="63" s="1"/>
  <c r="N46" i="64"/>
  <c r="P50" i="64" s="1"/>
  <c r="X10" i="63"/>
  <c r="D25" i="63" s="1"/>
  <c r="R25" i="63"/>
  <c r="H21" i="5" s="1"/>
  <c r="I21" i="5" s="1"/>
  <c r="X8" i="63"/>
  <c r="D23" i="63" s="1"/>
  <c r="F46" i="64"/>
  <c r="H50" i="64" s="1"/>
  <c r="X9" i="63"/>
  <c r="D24" i="63" s="1"/>
  <c r="R24" i="63"/>
  <c r="H20" i="5" s="1"/>
  <c r="J64" i="63"/>
  <c r="P30" i="63"/>
  <c r="N34" i="5"/>
  <c r="N36" i="5" s="1"/>
  <c r="N13" i="64"/>
  <c r="P17" i="64" s="1"/>
  <c r="P28" i="64" s="1"/>
  <c r="P18" i="63"/>
  <c r="V18" i="63"/>
  <c r="F91" i="64"/>
  <c r="H93" i="64" s="1"/>
  <c r="H94" i="64" s="1"/>
  <c r="N58" i="64"/>
  <c r="P60" i="64" s="1"/>
  <c r="R23" i="63"/>
  <c r="H19" i="5" s="1"/>
  <c r="H29" i="5" s="1"/>
  <c r="D22" i="63"/>
  <c r="R26" i="63"/>
  <c r="H22" i="5" s="1"/>
  <c r="I22" i="5" s="1"/>
  <c r="F58" i="64"/>
  <c r="H60" i="64" s="1"/>
  <c r="H61" i="64" s="1"/>
  <c r="P31" i="63"/>
  <c r="J65" i="63"/>
  <c r="R18" i="63"/>
  <c r="I39" i="5"/>
  <c r="I41" i="5" s="1"/>
  <c r="L41" i="5"/>
  <c r="P50" i="21"/>
  <c r="P61" i="21" s="1"/>
  <c r="V160" i="21"/>
  <c r="K34" i="5"/>
  <c r="K36" i="5" s="1"/>
  <c r="K44" i="5" s="1"/>
  <c r="F49" i="21"/>
  <c r="F33" i="20"/>
  <c r="V127" i="21"/>
  <c r="H83" i="21"/>
  <c r="H94" i="21" s="1"/>
  <c r="H116" i="21"/>
  <c r="H127" i="21" s="1"/>
  <c r="P83" i="21"/>
  <c r="P94" i="21" s="1"/>
  <c r="H28" i="79"/>
  <c r="T28" i="79" s="1"/>
  <c r="V18" i="20"/>
  <c r="H50" i="79"/>
  <c r="H61" i="79" s="1"/>
  <c r="T61" i="79" s="1"/>
  <c r="P83" i="79"/>
  <c r="P94" i="79" s="1"/>
  <c r="V94" i="79" s="1"/>
  <c r="H116" i="79"/>
  <c r="H127" i="79" s="1"/>
  <c r="T127" i="79" s="1"/>
  <c r="H83" i="79"/>
  <c r="H94" i="79" s="1"/>
  <c r="T94" i="79" s="1"/>
  <c r="P28" i="20"/>
  <c r="S41" i="20" s="1"/>
  <c r="I62" i="20"/>
  <c r="N62" i="20" s="1"/>
  <c r="P27" i="20"/>
  <c r="S40" i="20" s="1"/>
  <c r="I61" i="20"/>
  <c r="N61" i="20" s="1"/>
  <c r="I60" i="20"/>
  <c r="N60" i="20" s="1"/>
  <c r="S39" i="20"/>
  <c r="L51" i="5"/>
  <c r="M51" i="5" s="1"/>
  <c r="N51" i="5" s="1"/>
  <c r="M31" i="5"/>
  <c r="P17" i="21"/>
  <c r="P28" i="21" s="1"/>
  <c r="P23" i="20"/>
  <c r="S36" i="20" s="1"/>
  <c r="S38" i="20"/>
  <c r="I59" i="20"/>
  <c r="N59" i="20" s="1"/>
  <c r="T127" i="64"/>
  <c r="P30" i="20"/>
  <c r="S43" i="20" s="1"/>
  <c r="T160" i="21" s="1"/>
  <c r="I64" i="20"/>
  <c r="L34" i="5"/>
  <c r="L36" i="5" s="1"/>
  <c r="L44" i="5" s="1"/>
  <c r="F50" i="21"/>
  <c r="F58" i="21"/>
  <c r="H60" i="21" s="1"/>
  <c r="R24" i="20"/>
  <c r="G20" i="5" s="1"/>
  <c r="I20" i="5" s="1"/>
  <c r="I34" i="5"/>
  <c r="X9" i="20"/>
  <c r="D24" i="20" s="1"/>
  <c r="F46" i="21"/>
  <c r="J34" i="5"/>
  <c r="J36" i="5" s="1"/>
  <c r="F48" i="21"/>
  <c r="B44" i="5"/>
  <c r="N41" i="5"/>
  <c r="N44" i="5" s="1"/>
  <c r="I56" i="20"/>
  <c r="P22" i="20"/>
  <c r="S35" i="20" s="1"/>
  <c r="H28" i="21"/>
  <c r="Q31" i="5"/>
  <c r="L54" i="5"/>
  <c r="L56" i="5" s="1"/>
  <c r="L50" i="5" l="1"/>
  <c r="M50" i="5" s="1"/>
  <c r="N50" i="5" s="1"/>
  <c r="X18" i="63"/>
  <c r="P24" i="63"/>
  <c r="J58" i="63"/>
  <c r="O58" i="63" s="1"/>
  <c r="D61" i="63"/>
  <c r="S40" i="63"/>
  <c r="V94" i="64" s="1"/>
  <c r="I19" i="5"/>
  <c r="I29" i="5" s="1"/>
  <c r="M48" i="5" s="1"/>
  <c r="J44" i="5"/>
  <c r="D65" i="63"/>
  <c r="S44" i="63"/>
  <c r="V160" i="64" s="1"/>
  <c r="D33" i="63"/>
  <c r="P22" i="63"/>
  <c r="J56" i="63"/>
  <c r="D64" i="63"/>
  <c r="S43" i="63"/>
  <c r="T160" i="64" s="1"/>
  <c r="P25" i="63"/>
  <c r="J59" i="63"/>
  <c r="O59" i="63" s="1"/>
  <c r="J60" i="63"/>
  <c r="O60" i="63" s="1"/>
  <c r="P26" i="63"/>
  <c r="P61" i="64"/>
  <c r="J57" i="63"/>
  <c r="O57" i="63" s="1"/>
  <c r="P23" i="63"/>
  <c r="V94" i="21"/>
  <c r="T127" i="21"/>
  <c r="V28" i="21"/>
  <c r="T94" i="21"/>
  <c r="X18" i="20"/>
  <c r="V61" i="21"/>
  <c r="I58" i="20"/>
  <c r="N58" i="20" s="1"/>
  <c r="P24" i="20"/>
  <c r="S37" i="20" s="1"/>
  <c r="I36" i="5"/>
  <c r="I44" i="5" s="1"/>
  <c r="Q44" i="5" s="1"/>
  <c r="L52" i="5"/>
  <c r="D33" i="20"/>
  <c r="G29" i="5"/>
  <c r="H50" i="21"/>
  <c r="H61" i="21" s="1"/>
  <c r="T28" i="21"/>
  <c r="N56" i="20"/>
  <c r="D58" i="63" l="1"/>
  <c r="S37" i="63"/>
  <c r="T61" i="64" s="1"/>
  <c r="L49" i="5"/>
  <c r="M49" i="5" s="1"/>
  <c r="M52" i="5" s="1"/>
  <c r="O56" i="63"/>
  <c r="O67" i="63" s="1"/>
  <c r="J67" i="63"/>
  <c r="D60" i="63"/>
  <c r="S39" i="63"/>
  <c r="T94" i="64" s="1"/>
  <c r="S38" i="63"/>
  <c r="V61" i="64" s="1"/>
  <c r="D59" i="63"/>
  <c r="D56" i="63"/>
  <c r="D67" i="63" s="1"/>
  <c r="P33" i="63"/>
  <c r="P46" i="63" s="1"/>
  <c r="S35" i="63"/>
  <c r="T28" i="64" s="1"/>
  <c r="D57" i="63"/>
  <c r="S36" i="63"/>
  <c r="V28" i="64" s="1"/>
  <c r="T61" i="21"/>
  <c r="N67" i="20"/>
  <c r="I67" i="20"/>
  <c r="P33" i="20"/>
  <c r="P46" i="20" s="1"/>
  <c r="N52" i="5"/>
  <c r="L48" i="5"/>
  <c r="N48" i="5" s="1"/>
  <c r="N49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0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58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9th Loan payment</t>
        </r>
      </text>
    </comment>
  </commentList>
</comments>
</file>

<file path=xl/sharedStrings.xml><?xml version="1.0" encoding="utf-8"?>
<sst xmlns="http://schemas.openxmlformats.org/spreadsheetml/2006/main" count="2082" uniqueCount="298">
  <si>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</si>
  <si>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</si>
  <si>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</si>
  <si>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</si>
  <si>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</si>
  <si>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</si>
  <si>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</si>
  <si>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</si>
  <si>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</si>
  <si>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</si>
  <si>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</si>
  <si>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</si>
  <si>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</si>
  <si>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</si>
  <si>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</si>
  <si>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</si>
  <si>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</si>
  <si>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</si>
  <si>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</si>
  <si>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</si>
  <si>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</si>
  <si>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</si>
  <si>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</si>
  <si>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</si>
  <si>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</si>
  <si>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</si>
  <si>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</si>
  <si>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</si>
  <si>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</si>
  <si>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</si>
  <si>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</si>
  <si>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</si>
  <si>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</si>
  <si>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</si>
  <si>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</si>
  <si>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</si>
  <si>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</si>
  <si>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</si>
  <si>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</si>
  <si>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</si>
  <si>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</si>
  <si>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</si>
  <si>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</si>
  <si>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</si>
  <si>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</si>
  <si>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</si>
  <si>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</si>
  <si>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</si>
  <si>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</si>
  <si>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</si>
  <si>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</si>
  <si>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</si>
  <si>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</si>
  <si>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</si>
  <si>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</si>
  <si>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</si>
  <si>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</si>
  <si>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</si>
  <si>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</si>
  <si>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</si>
  <si>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</si>
  <si>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</si>
  <si>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</si>
  <si>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</si>
  <si>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</si>
  <si>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</si>
  <si>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</si>
  <si>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</si>
  <si>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</si>
  <si>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</si>
  <si>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</si>
  <si>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</si>
  <si>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</si>
  <si>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</si>
  <si>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</si>
  <si>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</si>
  <si>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</si>
  <si>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</si>
  <si>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</si>
  <si>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</si>
  <si>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</si>
  <si>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</si>
  <si>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</si>
  <si>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</si>
  <si>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</si>
  <si>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</si>
  <si>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</si>
  <si>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</si>
  <si>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</si>
  <si>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</si>
  <si>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</si>
  <si>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</si>
  <si>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</si>
  <si>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</si>
  <si>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</si>
  <si>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</si>
  <si>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</si>
  <si>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</si>
  <si>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</si>
  <si>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</si>
  <si>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</si>
  <si>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</si>
  <si>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</si>
  <si>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</si>
  <si>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</si>
  <si>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</si>
  <si>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</si>
  <si>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</si>
  <si>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</si>
  <si>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</si>
  <si>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</si>
  <si>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</si>
  <si>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</si>
  <si>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</si>
  <si>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</si>
  <si>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</si>
  <si>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</si>
  <si>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</si>
  <si>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</si>
  <si>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</si>
  <si>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</si>
  <si>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</si>
  <si>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</si>
  <si>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</si>
  <si>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</si>
  <si>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</si>
  <si>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</si>
  <si>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</si>
  <si>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</si>
  <si>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</si>
  <si>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</si>
  <si>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</si>
  <si>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</si>
  <si>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</si>
  <si>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</si>
  <si>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</si>
  <si>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</si>
  <si>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</si>
  <si>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</si>
  <si>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</si>
  <si>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</si>
  <si>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</si>
  <si>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</si>
  <si>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</si>
  <si>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</si>
  <si>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</si>
  <si>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</si>
  <si>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</si>
  <si>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</si>
  <si>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</si>
  <si>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</si>
  <si>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</si>
  <si>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</si>
  <si>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</si>
  <si>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</si>
  <si>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</si>
  <si>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</si>
  <si>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</si>
  <si>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</si>
  <si>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</si>
  <si>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</si>
  <si>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</si>
  <si>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</si>
  <si>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</si>
  <si>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</si>
  <si>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</si>
  <si>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</si>
  <si>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</si>
  <si>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</si>
  <si>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</si>
  <si>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</si>
  <si>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</si>
  <si>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</si>
  <si>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</si>
  <si>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</si>
  <si>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</si>
  <si>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</si>
  <si>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</si>
  <si>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</si>
  <si>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</si>
  <si>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</si>
  <si>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</si>
  <si>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</si>
  <si>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</si>
  <si>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</si>
  <si>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</si>
  <si>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</si>
  <si>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</si>
  <si>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</si>
  <si>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</si>
  <si>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</si>
  <si>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</si>
  <si>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</si>
  <si>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</si>
  <si>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</si>
  <si>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</si>
  <si>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</si>
  <si>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</si>
  <si>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</si>
  <si>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</si>
  <si>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</si>
  <si>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</si>
  <si>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</si>
  <si>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</si>
  <si>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</si>
  <si>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</si>
  <si>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</si>
  <si>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</si>
  <si>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</si>
  <si>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</si>
  <si>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</si>
  <si>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</si>
  <si>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</si>
  <si>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</si>
  <si>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</si>
  <si>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</si>
  <si>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</si>
  <si>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</si>
  <si>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</si>
  <si>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</si>
  <si>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</si>
  <si>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</si>
  <si>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</si>
  <si>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</si>
  <si>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</si>
  <si>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</si>
  <si>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</si>
  <si>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</si>
  <si>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</si>
  <si>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</si>
  <si>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</si>
  <si>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</si>
  <si>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</si>
  <si>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</si>
  <si>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</si>
  <si>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</si>
  <si>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</si>
  <si>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</si>
  <si>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</si>
  <si>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</si>
  <si>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</si>
  <si>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</si>
  <si>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</si>
  <si>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</si>
  <si>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</si>
  <si>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</si>
  <si>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</si>
  <si>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</si>
  <si>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</si>
  <si>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</si>
  <si>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</si>
  <si>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</si>
  <si>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</si>
  <si>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</si>
  <si>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</si>
  <si>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</si>
  <si>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</si>
  <si>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</si>
  <si>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</si>
  <si>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</si>
  <si>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</si>
  <si>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</si>
  <si>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</si>
  <si>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</si>
  <si>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</si>
  <si>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</si>
  <si>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</si>
  <si>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</si>
  <si>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</si>
  <si>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</si>
  <si>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</si>
  <si>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</si>
  <si>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</si>
  <si>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</si>
  <si>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</si>
  <si>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</si>
  <si>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</si>
  <si>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</si>
  <si>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</si>
  <si>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</si>
  <si>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</si>
  <si>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</si>
  <si>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</si>
  <si>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</si>
  <si>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</si>
  <si>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</si>
  <si>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</si>
  <si>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</si>
  <si>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</si>
  <si>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</si>
  <si>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</si>
  <si>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VL</t>
  </si>
  <si>
    <t>Amaphil</t>
  </si>
  <si>
    <t>q</t>
  </si>
  <si>
    <t>HDMF Deduction</t>
  </si>
  <si>
    <t>Others</t>
  </si>
  <si>
    <t>February 11-25,2020</t>
  </si>
  <si>
    <t>APE    2 of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</si>
</sst>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_);_(* \(#,##0.00\);_(* \-??_);_(@_)"/>
    <numFmt numFmtId="166" formatCode="_(* #,##0_);_(* \(#,##0\);_(* \-??_);_(@_)"/>
    <numFmt numFmtId="167" formatCode="mmmm\ dd\,\ yyyy"/>
    <numFmt numFmtId="168" formatCode="0.0"/>
    <numFmt numFmtId="169" formatCode="0.00_)"/>
    <numFmt numFmtId="170" formatCode="[$-409]mmmm\ d\,\ yyyy;@"/>
    <numFmt numFmtId="171" formatCode="[$-F800]dddd\,\ mmmm\ dd\,\ yyyy"/>
    <numFmt numFmtId="172" formatCode="0.00;[Red]0.00"/>
  </numFmts>
  <fonts count="8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u val="singleAccounting"/>
      <sz val="10"/>
      <color indexed="8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/>
    <xf numFmtId="165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8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9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23" fillId="0" borderId="1" applyNumberFormat="0" applyAlignment="0">
      <alignment horizontal="right" vertical="center" wrapText="1"/>
    </xf>
  </cellStyleXfs>
  <cellXfs count="469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6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70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70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70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5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5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5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5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1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1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2" fontId="57" fillId="6" borderId="84" xfId="2" applyNumberFormat="1" applyFont="1" applyFill="1" applyBorder="1" applyAlignment="1">
      <alignment horizontal="center" vertical="center" wrapText="1"/>
    </xf>
    <xf numFmtId="172" fontId="57" fillId="6" borderId="85" xfId="2" applyNumberFormat="1" applyFont="1" applyFill="1" applyBorder="1" applyAlignment="1">
      <alignment horizontal="center" vertical="center" wrapText="1"/>
    </xf>
    <xf numFmtId="172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10" fillId="4" borderId="5" xfId="1" applyFont="1" applyFill="1" applyBorder="1"/>
    <xf numFmtId="43" fontId="6" fillId="0" borderId="100" xfId="1" applyFont="1" applyFill="1" applyBorder="1" applyAlignment="1" applyProtection="1">
      <alignment horizontal="center"/>
    </xf>
    <xf numFmtId="43" fontId="6" fillId="0" borderId="101" xfId="1" applyFont="1" applyFill="1" applyBorder="1" applyAlignment="1" applyProtection="1">
      <alignment horizontal="center"/>
    </xf>
    <xf numFmtId="43" fontId="6" fillId="0" borderId="102" xfId="1" applyFont="1" applyFill="1" applyBorder="1" applyAlignment="1" applyProtection="1">
      <alignment horizontal="center"/>
    </xf>
    <xf numFmtId="0" fontId="2" fillId="8" borderId="26" xfId="59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Protection="1">
      <protection locked="0"/>
    </xf>
    <xf numFmtId="43" fontId="2" fillId="8" borderId="22" xfId="1" applyFont="1" applyFill="1" applyBorder="1" applyAlignment="1" applyProtection="1">
      <alignment horizontal="left"/>
      <protection locked="0"/>
    </xf>
    <xf numFmtId="43" fontId="2" fillId="8" borderId="22" xfId="1" applyFont="1" applyFill="1" applyBorder="1" applyAlignment="1" applyProtection="1">
      <protection locked="0"/>
    </xf>
    <xf numFmtId="165" fontId="2" fillId="8" borderId="31" xfId="59" applyNumberFormat="1" applyFont="1" applyFill="1" applyBorder="1" applyProtection="1"/>
    <xf numFmtId="43" fontId="2" fillId="8" borderId="0" xfId="59" applyNumberFormat="1" applyFont="1" applyFill="1" applyProtection="1">
      <protection locked="0"/>
    </xf>
    <xf numFmtId="43" fontId="1" fillId="8" borderId="0" xfId="59" applyNumberFormat="1" applyFont="1" applyFill="1" applyProtection="1">
      <protection locked="0"/>
    </xf>
    <xf numFmtId="43" fontId="78" fillId="8" borderId="0" xfId="1" applyFont="1" applyFill="1" applyBorder="1"/>
    <xf numFmtId="43" fontId="52" fillId="0" borderId="8" xfId="59" applyNumberFormat="1" applyFont="1" applyFill="1" applyBorder="1" applyProtection="1">
      <protection locked="0"/>
    </xf>
    <xf numFmtId="43" fontId="52" fillId="0" borderId="2" xfId="1" applyFont="1" applyFill="1" applyBorder="1" applyAlignment="1" applyProtection="1">
      <protection locked="0"/>
    </xf>
    <xf numFmtId="43" fontId="2" fillId="8" borderId="2" xfId="1" applyFont="1" applyFill="1" applyBorder="1" applyAlignment="1" applyProtection="1">
      <protection locked="0"/>
    </xf>
    <xf numFmtId="43" fontId="2" fillId="8" borderId="8" xfId="1" applyFont="1" applyFill="1" applyBorder="1" applyAlignment="1" applyProtection="1">
      <protection locked="0"/>
    </xf>
    <xf numFmtId="172" fontId="73" fillId="6" borderId="88" xfId="2" applyNumberFormat="1" applyFont="1" applyFill="1" applyBorder="1" applyAlignment="1">
      <alignment horizontal="center" vertical="center" wrapText="1"/>
    </xf>
    <xf numFmtId="172" fontId="73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5" fillId="0" borderId="0" xfId="34" applyFont="1" applyBorder="1" applyAlignment="1">
      <alignment horizontal="center" vertical="center"/>
    </xf>
    <xf numFmtId="172" fontId="34" fillId="6" borderId="87" xfId="2" applyNumberFormat="1" applyFont="1" applyFill="1" applyBorder="1" applyAlignment="1">
      <alignment horizontal="center" vertical="center"/>
    </xf>
    <xf numFmtId="172" fontId="74" fillId="6" borderId="92" xfId="2" applyNumberFormat="1" applyFont="1" applyFill="1" applyBorder="1" applyAlignment="1">
      <alignment horizontal="center" vertical="center" wrapText="1"/>
    </xf>
    <xf numFmtId="172" fontId="74" fillId="6" borderId="93" xfId="2" applyNumberFormat="1" applyFont="1" applyFill="1" applyBorder="1" applyAlignment="1">
      <alignment horizontal="center" vertical="center" wrapText="1"/>
    </xf>
    <xf numFmtId="172" fontId="74" fillId="6" borderId="85" xfId="2" applyNumberFormat="1" applyFont="1" applyFill="1" applyBorder="1" applyAlignment="1">
      <alignment horizontal="center" vertical="center" wrapText="1"/>
    </xf>
    <xf numFmtId="172" fontId="58" fillId="6" borderId="90" xfId="2" applyNumberFormat="1" applyFont="1" applyFill="1" applyBorder="1" applyAlignment="1">
      <alignment horizontal="center" vertical="center" wrapText="1"/>
    </xf>
    <xf numFmtId="172" fontId="58" fillId="6" borderId="91" xfId="2" applyNumberFormat="1" applyFont="1" applyFill="1" applyBorder="1" applyAlignment="1">
      <alignment horizontal="center" vertical="center" wrapText="1"/>
    </xf>
    <xf numFmtId="172" fontId="58" fillId="6" borderId="86" xfId="2" applyNumberFormat="1" applyFont="1" applyFill="1" applyBorder="1" applyAlignment="1">
      <alignment horizontal="center" vertical="center" wrapText="1"/>
    </xf>
    <xf numFmtId="172" fontId="58" fillId="6" borderId="87" xfId="2" applyNumberFormat="1" applyFont="1" applyFill="1" applyBorder="1" applyAlignment="1">
      <alignment horizontal="center" vertical="center" wrapText="1"/>
    </xf>
    <xf numFmtId="172" fontId="58" fillId="6" borderId="92" xfId="2" applyNumberFormat="1" applyFont="1" applyFill="1" applyBorder="1" applyAlignment="1">
      <alignment horizontal="center" vertical="center" wrapText="1"/>
    </xf>
    <xf numFmtId="172" fontId="58" fillId="6" borderId="93" xfId="2" applyNumberFormat="1" applyFont="1" applyFill="1" applyBorder="1" applyAlignment="1">
      <alignment horizontal="center" vertical="center" wrapText="1"/>
    </xf>
    <xf numFmtId="172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7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 xr:uid="{00000000-0005-0000-0000-000001000000}"/>
    <cellStyle name="Comma 2" xfId="3" xr:uid="{00000000-0005-0000-0000-000002000000}"/>
    <cellStyle name="Comma 2 2" xfId="4" xr:uid="{00000000-0005-0000-0000-000003000000}"/>
    <cellStyle name="Comma 2 2 2" xfId="5" xr:uid="{00000000-0005-0000-0000-000004000000}"/>
    <cellStyle name="Comma 2 3" xfId="6" xr:uid="{00000000-0005-0000-0000-000005000000}"/>
    <cellStyle name="Comma 2 4" xfId="7" xr:uid="{00000000-0005-0000-0000-000006000000}"/>
    <cellStyle name="Comma 2 5" xfId="8" xr:uid="{00000000-0005-0000-0000-000007000000}"/>
    <cellStyle name="Comma 2_Antipolo Payroll November '12" xfId="9" xr:uid="{00000000-0005-0000-0000-000008000000}"/>
    <cellStyle name="Comma 3" xfId="10" xr:uid="{00000000-0005-0000-0000-000009000000}"/>
    <cellStyle name="Comma 4" xfId="11" xr:uid="{00000000-0005-0000-0000-00000A000000}"/>
    <cellStyle name="Comma 4 2" xfId="12" xr:uid="{00000000-0005-0000-0000-00000B000000}"/>
    <cellStyle name="Comma 4 2 2" xfId="13" xr:uid="{00000000-0005-0000-0000-00000C000000}"/>
    <cellStyle name="Comma 5" xfId="14" xr:uid="{00000000-0005-0000-0000-00000D000000}"/>
    <cellStyle name="Comma 5 2" xfId="15" xr:uid="{00000000-0005-0000-0000-00000E000000}"/>
    <cellStyle name="Comma 5 2 2" xfId="16" xr:uid="{00000000-0005-0000-0000-00000F000000}"/>
    <cellStyle name="Comma 5 2 3" xfId="17" xr:uid="{00000000-0005-0000-0000-000010000000}"/>
    <cellStyle name="Comma 5 2 3 2" xfId="18" xr:uid="{00000000-0005-0000-0000-000011000000}"/>
    <cellStyle name="Comma 5 2 3 4" xfId="19" xr:uid="{00000000-0005-0000-0000-000012000000}"/>
    <cellStyle name="Comma 5 2 3 6" xfId="20" xr:uid="{00000000-0005-0000-0000-000013000000}"/>
    <cellStyle name="Comma 5 2 3 6 2" xfId="21" xr:uid="{00000000-0005-0000-0000-000014000000}"/>
    <cellStyle name="Comma 5 2 4" xfId="22" xr:uid="{00000000-0005-0000-0000-000015000000}"/>
    <cellStyle name="Comma 5 3" xfId="23" xr:uid="{00000000-0005-0000-0000-000016000000}"/>
    <cellStyle name="Comma 7" xfId="24" xr:uid="{00000000-0005-0000-0000-000017000000}"/>
    <cellStyle name="Currency 2" xfId="25" xr:uid="{00000000-0005-0000-0000-000018000000}"/>
    <cellStyle name="Excel Built-in Comma" xfId="26" xr:uid="{00000000-0005-0000-0000-000019000000}"/>
    <cellStyle name="Excel Built-in Comma 2" xfId="27" xr:uid="{00000000-0005-0000-0000-00001A000000}"/>
    <cellStyle name="Excel Built-in Normal" xfId="28" xr:uid="{00000000-0005-0000-0000-00001B000000}"/>
    <cellStyle name="Grey" xfId="29" xr:uid="{00000000-0005-0000-0000-00001C000000}"/>
    <cellStyle name="Input [yellow]" xfId="30" xr:uid="{00000000-0005-0000-0000-00001D000000}"/>
    <cellStyle name="ITEM" xfId="31" xr:uid="{00000000-0005-0000-0000-00001E000000}"/>
    <cellStyle name="ITEM DETAILS" xfId="32" xr:uid="{00000000-0005-0000-0000-00001F000000}"/>
    <cellStyle name="Normal" xfId="0" builtinId="0"/>
    <cellStyle name="Normal - Style1" xfId="33" xr:uid="{00000000-0005-0000-0000-000021000000}"/>
    <cellStyle name="Normal 10" xfId="34" xr:uid="{00000000-0005-0000-0000-000022000000}"/>
    <cellStyle name="Normal 11" xfId="35" xr:uid="{00000000-0005-0000-0000-000023000000}"/>
    <cellStyle name="Normal 12" xfId="36" xr:uid="{00000000-0005-0000-0000-000024000000}"/>
    <cellStyle name="Normal 12 2" xfId="37" xr:uid="{00000000-0005-0000-0000-000025000000}"/>
    <cellStyle name="Normal 12 4" xfId="38" xr:uid="{00000000-0005-0000-0000-000026000000}"/>
    <cellStyle name="Normal 12 4 2" xfId="39" xr:uid="{00000000-0005-0000-0000-000027000000}"/>
    <cellStyle name="Normal 12 4 3" xfId="40" xr:uid="{00000000-0005-0000-0000-000028000000}"/>
    <cellStyle name="Normal 13" xfId="41" xr:uid="{00000000-0005-0000-0000-000029000000}"/>
    <cellStyle name="Normal 14" xfId="42" xr:uid="{00000000-0005-0000-0000-00002A000000}"/>
    <cellStyle name="Normal 15" xfId="43" xr:uid="{00000000-0005-0000-0000-00002B000000}"/>
    <cellStyle name="Normal 16" xfId="44" xr:uid="{00000000-0005-0000-0000-00002C000000}"/>
    <cellStyle name="Normal 16 2" xfId="45" xr:uid="{00000000-0005-0000-0000-00002D000000}"/>
    <cellStyle name="Normal 17" xfId="46" xr:uid="{00000000-0005-0000-0000-00002E000000}"/>
    <cellStyle name="Normal 18" xfId="47" xr:uid="{00000000-0005-0000-0000-00002F000000}"/>
    <cellStyle name="Normal 19" xfId="48" xr:uid="{00000000-0005-0000-0000-000030000000}"/>
    <cellStyle name="Normal 19 2" xfId="49" xr:uid="{00000000-0005-0000-0000-000031000000}"/>
    <cellStyle name="Normal 19 3" xfId="50" xr:uid="{00000000-0005-0000-0000-000032000000}"/>
    <cellStyle name="Normal 19 4" xfId="51" xr:uid="{00000000-0005-0000-0000-000033000000}"/>
    <cellStyle name="Normal 19 5" xfId="52" xr:uid="{00000000-0005-0000-0000-000034000000}"/>
    <cellStyle name="Normal 19 6" xfId="53" xr:uid="{00000000-0005-0000-0000-000035000000}"/>
    <cellStyle name="Normal 2" xfId="54" xr:uid="{00000000-0005-0000-0000-000036000000}"/>
    <cellStyle name="Normal 2 2" xfId="55" xr:uid="{00000000-0005-0000-0000-000037000000}"/>
    <cellStyle name="Normal 2 3" xfId="56" xr:uid="{00000000-0005-0000-0000-000038000000}"/>
    <cellStyle name="Normal 2 4" xfId="57" xr:uid="{00000000-0005-0000-0000-000039000000}"/>
    <cellStyle name="Normal 2 5" xfId="58" xr:uid="{00000000-0005-0000-0000-00003A000000}"/>
    <cellStyle name="Normal 2 6" xfId="59" xr:uid="{00000000-0005-0000-0000-00003B000000}"/>
    <cellStyle name="Normal 2_Antipolo Payroll November '12" xfId="60" xr:uid="{00000000-0005-0000-0000-00003C000000}"/>
    <cellStyle name="Normal 20" xfId="61" xr:uid="{00000000-0005-0000-0000-00003D000000}"/>
    <cellStyle name="Normal 21" xfId="62" xr:uid="{00000000-0005-0000-0000-00003E000000}"/>
    <cellStyle name="Normal 21 2" xfId="63" xr:uid="{00000000-0005-0000-0000-00003F000000}"/>
    <cellStyle name="Normal 21 3" xfId="64" xr:uid="{00000000-0005-0000-0000-000040000000}"/>
    <cellStyle name="Normal 21 4" xfId="65" xr:uid="{00000000-0005-0000-0000-000041000000}"/>
    <cellStyle name="Normal 22" xfId="66" xr:uid="{00000000-0005-0000-0000-000042000000}"/>
    <cellStyle name="Normal 23" xfId="67" xr:uid="{00000000-0005-0000-0000-000043000000}"/>
    <cellStyle name="Normal 24" xfId="68" xr:uid="{00000000-0005-0000-0000-000044000000}"/>
    <cellStyle name="Normal 25" xfId="69" xr:uid="{00000000-0005-0000-0000-000045000000}"/>
    <cellStyle name="Normal 26" xfId="70" xr:uid="{00000000-0005-0000-0000-000046000000}"/>
    <cellStyle name="Normal 27" xfId="71" xr:uid="{00000000-0005-0000-0000-000047000000}"/>
    <cellStyle name="Normal 28" xfId="72" xr:uid="{00000000-0005-0000-0000-000048000000}"/>
    <cellStyle name="Normal 29" xfId="73" xr:uid="{00000000-0005-0000-0000-000049000000}"/>
    <cellStyle name="Normal 3" xfId="74" xr:uid="{00000000-0005-0000-0000-00004A000000}"/>
    <cellStyle name="Normal 3 2" xfId="75" xr:uid="{00000000-0005-0000-0000-00004B000000}"/>
    <cellStyle name="Normal 3 2 2" xfId="76" xr:uid="{00000000-0005-0000-0000-00004C000000}"/>
    <cellStyle name="Normal 3 3" xfId="77" xr:uid="{00000000-0005-0000-0000-00004D000000}"/>
    <cellStyle name="Normal 30" xfId="78" xr:uid="{00000000-0005-0000-0000-00004E000000}"/>
    <cellStyle name="Normal 31" xfId="79" xr:uid="{00000000-0005-0000-0000-00004F000000}"/>
    <cellStyle name="Normal 32" xfId="80" xr:uid="{00000000-0005-0000-0000-000050000000}"/>
    <cellStyle name="Normal 33" xfId="81" xr:uid="{00000000-0005-0000-0000-000051000000}"/>
    <cellStyle name="Normal 34" xfId="82" xr:uid="{00000000-0005-0000-0000-000052000000}"/>
    <cellStyle name="Normal 35" xfId="83" xr:uid="{00000000-0005-0000-0000-000053000000}"/>
    <cellStyle name="Normal 36" xfId="84" xr:uid="{00000000-0005-0000-0000-000054000000}"/>
    <cellStyle name="Normal 37" xfId="85" xr:uid="{00000000-0005-0000-0000-000055000000}"/>
    <cellStyle name="Normal 38" xfId="86" xr:uid="{00000000-0005-0000-0000-000056000000}"/>
    <cellStyle name="Normal 39" xfId="87" xr:uid="{00000000-0005-0000-0000-000057000000}"/>
    <cellStyle name="Normal 4" xfId="88" xr:uid="{00000000-0005-0000-0000-000058000000}"/>
    <cellStyle name="Normal 40" xfId="89" xr:uid="{00000000-0005-0000-0000-000059000000}"/>
    <cellStyle name="Normal 41" xfId="90" xr:uid="{00000000-0005-0000-0000-00005A000000}"/>
    <cellStyle name="Normal 42" xfId="91" xr:uid="{00000000-0005-0000-0000-00005B000000}"/>
    <cellStyle name="Normal 43" xfId="92" xr:uid="{00000000-0005-0000-0000-00005C000000}"/>
    <cellStyle name="Normal 44" xfId="93" xr:uid="{00000000-0005-0000-0000-00005D000000}"/>
    <cellStyle name="Normal 45" xfId="94" xr:uid="{00000000-0005-0000-0000-00005E000000}"/>
    <cellStyle name="Normal 46" xfId="95" xr:uid="{00000000-0005-0000-0000-00005F000000}"/>
    <cellStyle name="Normal 47" xfId="96" xr:uid="{00000000-0005-0000-0000-000060000000}"/>
    <cellStyle name="Normal 5" xfId="97" xr:uid="{00000000-0005-0000-0000-000061000000}"/>
    <cellStyle name="Normal 5 2" xfId="98" xr:uid="{00000000-0005-0000-0000-000062000000}"/>
    <cellStyle name="Normal 52" xfId="99" xr:uid="{00000000-0005-0000-0000-000063000000}"/>
    <cellStyle name="Normal 6" xfId="100" xr:uid="{00000000-0005-0000-0000-000064000000}"/>
    <cellStyle name="Normal 7" xfId="101" xr:uid="{00000000-0005-0000-0000-000065000000}"/>
    <cellStyle name="Normal 8" xfId="102" xr:uid="{00000000-0005-0000-0000-000066000000}"/>
    <cellStyle name="Normal 8 2" xfId="103" xr:uid="{00000000-0005-0000-0000-000067000000}"/>
    <cellStyle name="Normal 9" xfId="104" xr:uid="{00000000-0005-0000-0000-000068000000}"/>
    <cellStyle name="Normal_Antipolo Payroll November '12" xfId="105" xr:uid="{00000000-0005-0000-0000-000069000000}"/>
    <cellStyle name="Percent [2]" xfId="106" xr:uid="{00000000-0005-0000-0000-00006A000000}"/>
    <cellStyle name="Percent 2" xfId="107" xr:uid="{00000000-0005-0000-0000-00006B000000}"/>
    <cellStyle name="SUB ITEM" xfId="108" xr:uid="{00000000-0005-0000-0000-00006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35</xdr:row>
      <xdr:rowOff>0</xdr:rowOff>
    </xdr:from>
    <xdr:to>
      <xdr:col>8</xdr:col>
      <xdr:colOff>419100</xdr:colOff>
      <xdr:row>39</xdr:row>
      <xdr:rowOff>42862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A99C25-D6B9-495E-BE8C-EA0265F1C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5715000"/>
          <a:ext cx="1104900" cy="690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>
          <a:extLst>
            <a:ext uri="{FF2B5EF4-FFF2-40B4-BE49-F238E27FC236}">
              <a16:creationId xmlns:a16="http://schemas.microsoft.com/office/drawing/2014/main" id="{00000000-0008-0000-0300-00001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>
          <a:extLst>
            <a:ext uri="{FF2B5EF4-FFF2-40B4-BE49-F238E27FC236}">
              <a16:creationId xmlns:a16="http://schemas.microsoft.com/office/drawing/2014/main" id="{00000000-0008-0000-0300-00001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>
          <a:extLst>
            <a:ext uri="{FF2B5EF4-FFF2-40B4-BE49-F238E27FC236}">
              <a16:creationId xmlns:a16="http://schemas.microsoft.com/office/drawing/2014/main" id="{00000000-0008-0000-0300-00001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>
          <a:extLst>
            <a:ext uri="{FF2B5EF4-FFF2-40B4-BE49-F238E27FC236}">
              <a16:creationId xmlns:a16="http://schemas.microsoft.com/office/drawing/2014/main" id="{00000000-0008-0000-0300-00001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>
          <a:extLst>
            <a:ext uri="{FF2B5EF4-FFF2-40B4-BE49-F238E27FC236}">
              <a16:creationId xmlns:a16="http://schemas.microsoft.com/office/drawing/2014/main" id="{00000000-0008-0000-0300-00001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>
          <a:extLst>
            <a:ext uri="{FF2B5EF4-FFF2-40B4-BE49-F238E27FC236}">
              <a16:creationId xmlns:a16="http://schemas.microsoft.com/office/drawing/2014/main" id="{00000000-0008-0000-0300-00001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>
          <a:extLst>
            <a:ext uri="{FF2B5EF4-FFF2-40B4-BE49-F238E27FC236}">
              <a16:creationId xmlns:a16="http://schemas.microsoft.com/office/drawing/2014/main" id="{00000000-0008-0000-0300-00001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>
          <a:extLst>
            <a:ext uri="{FF2B5EF4-FFF2-40B4-BE49-F238E27FC236}">
              <a16:creationId xmlns:a16="http://schemas.microsoft.com/office/drawing/2014/main" id="{00000000-0008-0000-0300-00002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>
          <a:extLst>
            <a:ext uri="{FF2B5EF4-FFF2-40B4-BE49-F238E27FC236}">
              <a16:creationId xmlns:a16="http://schemas.microsoft.com/office/drawing/2014/main" id="{00000000-0008-0000-0300-00002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>
          <a:extLst>
            <a:ext uri="{FF2B5EF4-FFF2-40B4-BE49-F238E27FC236}">
              <a16:creationId xmlns:a16="http://schemas.microsoft.com/office/drawing/2014/main" id="{00000000-0008-0000-0300-00002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>
          <a:extLst>
            <a:ext uri="{FF2B5EF4-FFF2-40B4-BE49-F238E27FC236}">
              <a16:creationId xmlns:a16="http://schemas.microsoft.com/office/drawing/2014/main" id="{00000000-0008-0000-0300-00002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>
          <a:extLst>
            <a:ext uri="{FF2B5EF4-FFF2-40B4-BE49-F238E27FC236}">
              <a16:creationId xmlns:a16="http://schemas.microsoft.com/office/drawing/2014/main" id="{00000000-0008-0000-0300-00002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>
          <a:extLst>
            <a:ext uri="{FF2B5EF4-FFF2-40B4-BE49-F238E27FC236}">
              <a16:creationId xmlns:a16="http://schemas.microsoft.com/office/drawing/2014/main" id="{00000000-0008-0000-0300-00002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>
          <a:extLst>
            <a:ext uri="{FF2B5EF4-FFF2-40B4-BE49-F238E27FC236}">
              <a16:creationId xmlns:a16="http://schemas.microsoft.com/office/drawing/2014/main" id="{00000000-0008-0000-0300-00002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>
          <a:extLst>
            <a:ext uri="{FF2B5EF4-FFF2-40B4-BE49-F238E27FC236}">
              <a16:creationId xmlns:a16="http://schemas.microsoft.com/office/drawing/2014/main" id="{00000000-0008-0000-0300-00002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>
          <a:extLst>
            <a:ext uri="{FF2B5EF4-FFF2-40B4-BE49-F238E27FC236}">
              <a16:creationId xmlns:a16="http://schemas.microsoft.com/office/drawing/2014/main" id="{00000000-0008-0000-0300-00002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>
          <a:extLst>
            <a:ext uri="{FF2B5EF4-FFF2-40B4-BE49-F238E27FC236}">
              <a16:creationId xmlns:a16="http://schemas.microsoft.com/office/drawing/2014/main" id="{00000000-0008-0000-0300-00002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>
          <a:extLst>
            <a:ext uri="{FF2B5EF4-FFF2-40B4-BE49-F238E27FC236}">
              <a16:creationId xmlns:a16="http://schemas.microsoft.com/office/drawing/2014/main" id="{00000000-0008-0000-0300-00002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>
          <a:extLst>
            <a:ext uri="{FF2B5EF4-FFF2-40B4-BE49-F238E27FC236}">
              <a16:creationId xmlns:a16="http://schemas.microsoft.com/office/drawing/2014/main" id="{00000000-0008-0000-0300-00002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>
          <a:extLst>
            <a:ext uri="{FF2B5EF4-FFF2-40B4-BE49-F238E27FC236}">
              <a16:creationId xmlns:a16="http://schemas.microsoft.com/office/drawing/2014/main" id="{00000000-0008-0000-0300-00002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>
          <a:extLst>
            <a:ext uri="{FF2B5EF4-FFF2-40B4-BE49-F238E27FC236}">
              <a16:creationId xmlns:a16="http://schemas.microsoft.com/office/drawing/2014/main" id="{00000000-0008-0000-0300-00002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>
          <a:extLst>
            <a:ext uri="{FF2B5EF4-FFF2-40B4-BE49-F238E27FC236}">
              <a16:creationId xmlns:a16="http://schemas.microsoft.com/office/drawing/2014/main" id="{00000000-0008-0000-0300-00002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>
          <a:extLst>
            <a:ext uri="{FF2B5EF4-FFF2-40B4-BE49-F238E27FC236}">
              <a16:creationId xmlns:a16="http://schemas.microsoft.com/office/drawing/2014/main" id="{00000000-0008-0000-0300-00002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>
          <a:extLst>
            <a:ext uri="{FF2B5EF4-FFF2-40B4-BE49-F238E27FC236}">
              <a16:creationId xmlns:a16="http://schemas.microsoft.com/office/drawing/2014/main" id="{00000000-0008-0000-0300-00003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>
          <a:extLst>
            <a:ext uri="{FF2B5EF4-FFF2-40B4-BE49-F238E27FC236}">
              <a16:creationId xmlns:a16="http://schemas.microsoft.com/office/drawing/2014/main" id="{00000000-0008-0000-0300-00003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>
          <a:extLst>
            <a:ext uri="{FF2B5EF4-FFF2-40B4-BE49-F238E27FC236}">
              <a16:creationId xmlns:a16="http://schemas.microsoft.com/office/drawing/2014/main" id="{00000000-0008-0000-0300-00003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>
          <a:extLst>
            <a:ext uri="{FF2B5EF4-FFF2-40B4-BE49-F238E27FC236}">
              <a16:creationId xmlns:a16="http://schemas.microsoft.com/office/drawing/2014/main" id="{00000000-0008-0000-0300-00003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>
          <a:extLst>
            <a:ext uri="{FF2B5EF4-FFF2-40B4-BE49-F238E27FC236}">
              <a16:creationId xmlns:a16="http://schemas.microsoft.com/office/drawing/2014/main" id="{00000000-0008-0000-0300-00003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>
          <a:extLst>
            <a:ext uri="{FF2B5EF4-FFF2-40B4-BE49-F238E27FC236}">
              <a16:creationId xmlns:a16="http://schemas.microsoft.com/office/drawing/2014/main" id="{00000000-0008-0000-0300-00003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>
          <a:extLst>
            <a:ext uri="{FF2B5EF4-FFF2-40B4-BE49-F238E27FC236}">
              <a16:creationId xmlns:a16="http://schemas.microsoft.com/office/drawing/2014/main" id="{00000000-0008-0000-0300-00003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>
          <a:extLst>
            <a:ext uri="{FF2B5EF4-FFF2-40B4-BE49-F238E27FC236}">
              <a16:creationId xmlns:a16="http://schemas.microsoft.com/office/drawing/2014/main" id="{00000000-0008-0000-0300-00003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>
          <a:extLst>
            <a:ext uri="{FF2B5EF4-FFF2-40B4-BE49-F238E27FC236}">
              <a16:creationId xmlns:a16="http://schemas.microsoft.com/office/drawing/2014/main" id="{00000000-0008-0000-0300-00003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>
          <a:extLst>
            <a:ext uri="{FF2B5EF4-FFF2-40B4-BE49-F238E27FC236}">
              <a16:creationId xmlns:a16="http://schemas.microsoft.com/office/drawing/2014/main" id="{00000000-0008-0000-0300-00003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>
          <a:extLst>
            <a:ext uri="{FF2B5EF4-FFF2-40B4-BE49-F238E27FC236}">
              <a16:creationId xmlns:a16="http://schemas.microsoft.com/office/drawing/2014/main" id="{00000000-0008-0000-0300-00003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>
          <a:extLst>
            <a:ext uri="{FF2B5EF4-FFF2-40B4-BE49-F238E27FC236}">
              <a16:creationId xmlns:a16="http://schemas.microsoft.com/office/drawing/2014/main" id="{00000000-0008-0000-0300-00003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>
          <a:extLst>
            <a:ext uri="{FF2B5EF4-FFF2-40B4-BE49-F238E27FC236}">
              <a16:creationId xmlns:a16="http://schemas.microsoft.com/office/drawing/2014/main" id="{00000000-0008-0000-0300-00003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>
          <a:extLst>
            <a:ext uri="{FF2B5EF4-FFF2-40B4-BE49-F238E27FC236}">
              <a16:creationId xmlns:a16="http://schemas.microsoft.com/office/drawing/2014/main" id="{00000000-0008-0000-0300-00003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>
          <a:extLst>
            <a:ext uri="{FF2B5EF4-FFF2-40B4-BE49-F238E27FC236}">
              <a16:creationId xmlns:a16="http://schemas.microsoft.com/office/drawing/2014/main" id="{00000000-0008-0000-0300-00003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>
          <a:extLst>
            <a:ext uri="{FF2B5EF4-FFF2-40B4-BE49-F238E27FC236}">
              <a16:creationId xmlns:a16="http://schemas.microsoft.com/office/drawing/2014/main" id="{00000000-0008-0000-0300-00003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>
          <a:extLst>
            <a:ext uri="{FF2B5EF4-FFF2-40B4-BE49-F238E27FC236}">
              <a16:creationId xmlns:a16="http://schemas.microsoft.com/office/drawing/2014/main" id="{00000000-0008-0000-0300-00004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>
          <a:extLst>
            <a:ext uri="{FF2B5EF4-FFF2-40B4-BE49-F238E27FC236}">
              <a16:creationId xmlns:a16="http://schemas.microsoft.com/office/drawing/2014/main" id="{00000000-0008-0000-0300-00004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>
          <a:extLst>
            <a:ext uri="{FF2B5EF4-FFF2-40B4-BE49-F238E27FC236}">
              <a16:creationId xmlns:a16="http://schemas.microsoft.com/office/drawing/2014/main" id="{00000000-0008-0000-0300-00004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>
          <a:extLst>
            <a:ext uri="{FF2B5EF4-FFF2-40B4-BE49-F238E27FC236}">
              <a16:creationId xmlns:a16="http://schemas.microsoft.com/office/drawing/2014/main" id="{00000000-0008-0000-0300-00004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>
          <a:extLst>
            <a:ext uri="{FF2B5EF4-FFF2-40B4-BE49-F238E27FC236}">
              <a16:creationId xmlns:a16="http://schemas.microsoft.com/office/drawing/2014/main" id="{00000000-0008-0000-0300-00004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>
          <a:extLst>
            <a:ext uri="{FF2B5EF4-FFF2-40B4-BE49-F238E27FC236}">
              <a16:creationId xmlns:a16="http://schemas.microsoft.com/office/drawing/2014/main" id="{00000000-0008-0000-0300-00004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>
          <a:extLst>
            <a:ext uri="{FF2B5EF4-FFF2-40B4-BE49-F238E27FC236}">
              <a16:creationId xmlns:a16="http://schemas.microsoft.com/office/drawing/2014/main" id="{00000000-0008-0000-0300-00004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>
          <a:extLst>
            <a:ext uri="{FF2B5EF4-FFF2-40B4-BE49-F238E27FC236}">
              <a16:creationId xmlns:a16="http://schemas.microsoft.com/office/drawing/2014/main" id="{00000000-0008-0000-0300-00004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>
          <a:extLst>
            <a:ext uri="{FF2B5EF4-FFF2-40B4-BE49-F238E27FC236}">
              <a16:creationId xmlns:a16="http://schemas.microsoft.com/office/drawing/2014/main" id="{00000000-0008-0000-0300-00004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>
          <a:extLst>
            <a:ext uri="{FF2B5EF4-FFF2-40B4-BE49-F238E27FC236}">
              <a16:creationId xmlns:a16="http://schemas.microsoft.com/office/drawing/2014/main" id="{00000000-0008-0000-0300-00004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>
          <a:extLst>
            <a:ext uri="{FF2B5EF4-FFF2-40B4-BE49-F238E27FC236}">
              <a16:creationId xmlns:a16="http://schemas.microsoft.com/office/drawing/2014/main" id="{00000000-0008-0000-0300-00004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>
          <a:extLst>
            <a:ext uri="{FF2B5EF4-FFF2-40B4-BE49-F238E27FC236}">
              <a16:creationId xmlns:a16="http://schemas.microsoft.com/office/drawing/2014/main" id="{00000000-0008-0000-0300-00004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>
          <a:extLst>
            <a:ext uri="{FF2B5EF4-FFF2-40B4-BE49-F238E27FC236}">
              <a16:creationId xmlns:a16="http://schemas.microsoft.com/office/drawing/2014/main" id="{00000000-0008-0000-0300-00004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>
          <a:extLst>
            <a:ext uri="{FF2B5EF4-FFF2-40B4-BE49-F238E27FC236}">
              <a16:creationId xmlns:a16="http://schemas.microsoft.com/office/drawing/2014/main" id="{00000000-0008-0000-0300-00004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>
          <a:extLst>
            <a:ext uri="{FF2B5EF4-FFF2-40B4-BE49-F238E27FC236}">
              <a16:creationId xmlns:a16="http://schemas.microsoft.com/office/drawing/2014/main" id="{00000000-0008-0000-0300-00004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>
          <a:extLst>
            <a:ext uri="{FF2B5EF4-FFF2-40B4-BE49-F238E27FC236}">
              <a16:creationId xmlns:a16="http://schemas.microsoft.com/office/drawing/2014/main" id="{00000000-0008-0000-0300-00004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>
          <a:extLst>
            <a:ext uri="{FF2B5EF4-FFF2-40B4-BE49-F238E27FC236}">
              <a16:creationId xmlns:a16="http://schemas.microsoft.com/office/drawing/2014/main" id="{00000000-0008-0000-0300-00005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>
          <a:extLst>
            <a:ext uri="{FF2B5EF4-FFF2-40B4-BE49-F238E27FC236}">
              <a16:creationId xmlns:a16="http://schemas.microsoft.com/office/drawing/2014/main" id="{00000000-0008-0000-0300-00005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>
          <a:extLst>
            <a:ext uri="{FF2B5EF4-FFF2-40B4-BE49-F238E27FC236}">
              <a16:creationId xmlns:a16="http://schemas.microsoft.com/office/drawing/2014/main" id="{00000000-0008-0000-0300-00005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>
          <a:extLst>
            <a:ext uri="{FF2B5EF4-FFF2-40B4-BE49-F238E27FC236}">
              <a16:creationId xmlns:a16="http://schemas.microsoft.com/office/drawing/2014/main" id="{00000000-0008-0000-0300-00005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>
          <a:extLst>
            <a:ext uri="{FF2B5EF4-FFF2-40B4-BE49-F238E27FC236}">
              <a16:creationId xmlns:a16="http://schemas.microsoft.com/office/drawing/2014/main" id="{00000000-0008-0000-0300-00005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>
          <a:extLst>
            <a:ext uri="{FF2B5EF4-FFF2-40B4-BE49-F238E27FC236}">
              <a16:creationId xmlns:a16="http://schemas.microsoft.com/office/drawing/2014/main" id="{00000000-0008-0000-0300-00005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>
          <a:extLst>
            <a:ext uri="{FF2B5EF4-FFF2-40B4-BE49-F238E27FC236}">
              <a16:creationId xmlns:a16="http://schemas.microsoft.com/office/drawing/2014/main" id="{00000000-0008-0000-0300-00005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>
          <a:extLst>
            <a:ext uri="{FF2B5EF4-FFF2-40B4-BE49-F238E27FC236}">
              <a16:creationId xmlns:a16="http://schemas.microsoft.com/office/drawing/2014/main" id="{00000000-0008-0000-0300-00005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>
          <a:extLst>
            <a:ext uri="{FF2B5EF4-FFF2-40B4-BE49-F238E27FC236}">
              <a16:creationId xmlns:a16="http://schemas.microsoft.com/office/drawing/2014/main" id="{00000000-0008-0000-0300-00005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>
          <a:extLst>
            <a:ext uri="{FF2B5EF4-FFF2-40B4-BE49-F238E27FC236}">
              <a16:creationId xmlns:a16="http://schemas.microsoft.com/office/drawing/2014/main" id="{00000000-0008-0000-0300-00005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>
          <a:extLst>
            <a:ext uri="{FF2B5EF4-FFF2-40B4-BE49-F238E27FC236}">
              <a16:creationId xmlns:a16="http://schemas.microsoft.com/office/drawing/2014/main" id="{00000000-0008-0000-0300-00005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>
          <a:extLst>
            <a:ext uri="{FF2B5EF4-FFF2-40B4-BE49-F238E27FC236}">
              <a16:creationId xmlns:a16="http://schemas.microsoft.com/office/drawing/2014/main" id="{00000000-0008-0000-0300-00005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>
          <a:extLst>
            <a:ext uri="{FF2B5EF4-FFF2-40B4-BE49-F238E27FC236}">
              <a16:creationId xmlns:a16="http://schemas.microsoft.com/office/drawing/2014/main" id="{00000000-0008-0000-0300-00005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>
          <a:extLst>
            <a:ext uri="{FF2B5EF4-FFF2-40B4-BE49-F238E27FC236}">
              <a16:creationId xmlns:a16="http://schemas.microsoft.com/office/drawing/2014/main" id="{00000000-0008-0000-0300-00005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>
          <a:extLst>
            <a:ext uri="{FF2B5EF4-FFF2-40B4-BE49-F238E27FC236}">
              <a16:creationId xmlns:a16="http://schemas.microsoft.com/office/drawing/2014/main" id="{00000000-0008-0000-0300-00005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>
          <a:extLst>
            <a:ext uri="{FF2B5EF4-FFF2-40B4-BE49-F238E27FC236}">
              <a16:creationId xmlns:a16="http://schemas.microsoft.com/office/drawing/2014/main" id="{00000000-0008-0000-0300-00005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>
          <a:extLst>
            <a:ext uri="{FF2B5EF4-FFF2-40B4-BE49-F238E27FC236}">
              <a16:creationId xmlns:a16="http://schemas.microsoft.com/office/drawing/2014/main" id="{00000000-0008-0000-0300-00006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>
          <a:extLst>
            <a:ext uri="{FF2B5EF4-FFF2-40B4-BE49-F238E27FC236}">
              <a16:creationId xmlns:a16="http://schemas.microsoft.com/office/drawing/2014/main" id="{00000000-0008-0000-0300-00006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>
          <a:extLst>
            <a:ext uri="{FF2B5EF4-FFF2-40B4-BE49-F238E27FC236}">
              <a16:creationId xmlns:a16="http://schemas.microsoft.com/office/drawing/2014/main" id="{00000000-0008-0000-0300-00006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>
          <a:extLst>
            <a:ext uri="{FF2B5EF4-FFF2-40B4-BE49-F238E27FC236}">
              <a16:creationId xmlns:a16="http://schemas.microsoft.com/office/drawing/2014/main" id="{00000000-0008-0000-0300-00006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>
          <a:extLst>
            <a:ext uri="{FF2B5EF4-FFF2-40B4-BE49-F238E27FC236}">
              <a16:creationId xmlns:a16="http://schemas.microsoft.com/office/drawing/2014/main" id="{00000000-0008-0000-0300-00006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>
          <a:extLst>
            <a:ext uri="{FF2B5EF4-FFF2-40B4-BE49-F238E27FC236}">
              <a16:creationId xmlns:a16="http://schemas.microsoft.com/office/drawing/2014/main" id="{00000000-0008-0000-0300-00006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>
          <a:extLst>
            <a:ext uri="{FF2B5EF4-FFF2-40B4-BE49-F238E27FC236}">
              <a16:creationId xmlns:a16="http://schemas.microsoft.com/office/drawing/2014/main" id="{00000000-0008-0000-0300-00006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>
          <a:extLst>
            <a:ext uri="{FF2B5EF4-FFF2-40B4-BE49-F238E27FC236}">
              <a16:creationId xmlns:a16="http://schemas.microsoft.com/office/drawing/2014/main" id="{00000000-0008-0000-0300-00006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>
          <a:extLst>
            <a:ext uri="{FF2B5EF4-FFF2-40B4-BE49-F238E27FC236}">
              <a16:creationId xmlns:a16="http://schemas.microsoft.com/office/drawing/2014/main" id="{00000000-0008-0000-0300-00006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>
          <a:extLst>
            <a:ext uri="{FF2B5EF4-FFF2-40B4-BE49-F238E27FC236}">
              <a16:creationId xmlns:a16="http://schemas.microsoft.com/office/drawing/2014/main" id="{00000000-0008-0000-0300-00006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>
          <a:extLst>
            <a:ext uri="{FF2B5EF4-FFF2-40B4-BE49-F238E27FC236}">
              <a16:creationId xmlns:a16="http://schemas.microsoft.com/office/drawing/2014/main" id="{00000000-0008-0000-0300-00006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>
          <a:extLst>
            <a:ext uri="{FF2B5EF4-FFF2-40B4-BE49-F238E27FC236}">
              <a16:creationId xmlns:a16="http://schemas.microsoft.com/office/drawing/2014/main" id="{00000000-0008-0000-0300-00006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>
          <a:extLst>
            <a:ext uri="{FF2B5EF4-FFF2-40B4-BE49-F238E27FC236}">
              <a16:creationId xmlns:a16="http://schemas.microsoft.com/office/drawing/2014/main" id="{00000000-0008-0000-0300-00006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>
          <a:extLst>
            <a:ext uri="{FF2B5EF4-FFF2-40B4-BE49-F238E27FC236}">
              <a16:creationId xmlns:a16="http://schemas.microsoft.com/office/drawing/2014/main" id="{00000000-0008-0000-0300-00006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>
          <a:extLst>
            <a:ext uri="{FF2B5EF4-FFF2-40B4-BE49-F238E27FC236}">
              <a16:creationId xmlns:a16="http://schemas.microsoft.com/office/drawing/2014/main" id="{00000000-0008-0000-0300-00006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>
          <a:extLst>
            <a:ext uri="{FF2B5EF4-FFF2-40B4-BE49-F238E27FC236}">
              <a16:creationId xmlns:a16="http://schemas.microsoft.com/office/drawing/2014/main" id="{00000000-0008-0000-0300-00006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>
          <a:extLst>
            <a:ext uri="{FF2B5EF4-FFF2-40B4-BE49-F238E27FC236}">
              <a16:creationId xmlns:a16="http://schemas.microsoft.com/office/drawing/2014/main" id="{00000000-0008-0000-0300-00007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>
          <a:extLst>
            <a:ext uri="{FF2B5EF4-FFF2-40B4-BE49-F238E27FC236}">
              <a16:creationId xmlns:a16="http://schemas.microsoft.com/office/drawing/2014/main" id="{00000000-0008-0000-0300-00007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>
          <a:extLst>
            <a:ext uri="{FF2B5EF4-FFF2-40B4-BE49-F238E27FC236}">
              <a16:creationId xmlns:a16="http://schemas.microsoft.com/office/drawing/2014/main" id="{00000000-0008-0000-0300-00007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>
          <a:extLst>
            <a:ext uri="{FF2B5EF4-FFF2-40B4-BE49-F238E27FC236}">
              <a16:creationId xmlns:a16="http://schemas.microsoft.com/office/drawing/2014/main" id="{00000000-0008-0000-0300-00007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>
          <a:extLst>
            <a:ext uri="{FF2B5EF4-FFF2-40B4-BE49-F238E27FC236}">
              <a16:creationId xmlns:a16="http://schemas.microsoft.com/office/drawing/2014/main" id="{00000000-0008-0000-0300-00007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>
          <a:extLst>
            <a:ext uri="{FF2B5EF4-FFF2-40B4-BE49-F238E27FC236}">
              <a16:creationId xmlns:a16="http://schemas.microsoft.com/office/drawing/2014/main" id="{00000000-0008-0000-0300-00007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>
          <a:extLst>
            <a:ext uri="{FF2B5EF4-FFF2-40B4-BE49-F238E27FC236}">
              <a16:creationId xmlns:a16="http://schemas.microsoft.com/office/drawing/2014/main" id="{00000000-0008-0000-0300-00007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>
          <a:extLst>
            <a:ext uri="{FF2B5EF4-FFF2-40B4-BE49-F238E27FC236}">
              <a16:creationId xmlns:a16="http://schemas.microsoft.com/office/drawing/2014/main" id="{00000000-0008-0000-0300-00007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>
          <a:extLst>
            <a:ext uri="{FF2B5EF4-FFF2-40B4-BE49-F238E27FC236}">
              <a16:creationId xmlns:a16="http://schemas.microsoft.com/office/drawing/2014/main" id="{00000000-0008-0000-0300-00007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>
          <a:extLst>
            <a:ext uri="{FF2B5EF4-FFF2-40B4-BE49-F238E27FC236}">
              <a16:creationId xmlns:a16="http://schemas.microsoft.com/office/drawing/2014/main" id="{00000000-0008-0000-0300-00007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>
          <a:extLst>
            <a:ext uri="{FF2B5EF4-FFF2-40B4-BE49-F238E27FC236}">
              <a16:creationId xmlns:a16="http://schemas.microsoft.com/office/drawing/2014/main" id="{00000000-0008-0000-0300-00007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>
          <a:extLst>
            <a:ext uri="{FF2B5EF4-FFF2-40B4-BE49-F238E27FC236}">
              <a16:creationId xmlns:a16="http://schemas.microsoft.com/office/drawing/2014/main" id="{00000000-0008-0000-0300-00007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>
          <a:extLst>
            <a:ext uri="{FF2B5EF4-FFF2-40B4-BE49-F238E27FC236}">
              <a16:creationId xmlns:a16="http://schemas.microsoft.com/office/drawing/2014/main" id="{00000000-0008-0000-0300-00007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>
          <a:extLst>
            <a:ext uri="{FF2B5EF4-FFF2-40B4-BE49-F238E27FC236}">
              <a16:creationId xmlns:a16="http://schemas.microsoft.com/office/drawing/2014/main" id="{00000000-0008-0000-0300-00007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>
          <a:extLst>
            <a:ext uri="{FF2B5EF4-FFF2-40B4-BE49-F238E27FC236}">
              <a16:creationId xmlns:a16="http://schemas.microsoft.com/office/drawing/2014/main" id="{00000000-0008-0000-0300-00007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>
          <a:extLst>
            <a:ext uri="{FF2B5EF4-FFF2-40B4-BE49-F238E27FC236}">
              <a16:creationId xmlns:a16="http://schemas.microsoft.com/office/drawing/2014/main" id="{00000000-0008-0000-0300-00007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>
          <a:extLst>
            <a:ext uri="{FF2B5EF4-FFF2-40B4-BE49-F238E27FC236}">
              <a16:creationId xmlns:a16="http://schemas.microsoft.com/office/drawing/2014/main" id="{00000000-0008-0000-0300-00008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>
          <a:extLst>
            <a:ext uri="{FF2B5EF4-FFF2-40B4-BE49-F238E27FC236}">
              <a16:creationId xmlns:a16="http://schemas.microsoft.com/office/drawing/2014/main" id="{00000000-0008-0000-0300-00008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>
          <a:extLst>
            <a:ext uri="{FF2B5EF4-FFF2-40B4-BE49-F238E27FC236}">
              <a16:creationId xmlns:a16="http://schemas.microsoft.com/office/drawing/2014/main" id="{00000000-0008-0000-0300-00008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>
          <a:extLst>
            <a:ext uri="{FF2B5EF4-FFF2-40B4-BE49-F238E27FC236}">
              <a16:creationId xmlns:a16="http://schemas.microsoft.com/office/drawing/2014/main" id="{00000000-0008-0000-0300-00008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>
          <a:extLst>
            <a:ext uri="{FF2B5EF4-FFF2-40B4-BE49-F238E27FC236}">
              <a16:creationId xmlns:a16="http://schemas.microsoft.com/office/drawing/2014/main" id="{00000000-0008-0000-0300-00008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>
          <a:extLst>
            <a:ext uri="{FF2B5EF4-FFF2-40B4-BE49-F238E27FC236}">
              <a16:creationId xmlns:a16="http://schemas.microsoft.com/office/drawing/2014/main" id="{00000000-0008-0000-0300-00008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>
          <a:extLst>
            <a:ext uri="{FF2B5EF4-FFF2-40B4-BE49-F238E27FC236}">
              <a16:creationId xmlns:a16="http://schemas.microsoft.com/office/drawing/2014/main" id="{00000000-0008-0000-0300-00008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>
          <a:extLst>
            <a:ext uri="{FF2B5EF4-FFF2-40B4-BE49-F238E27FC236}">
              <a16:creationId xmlns:a16="http://schemas.microsoft.com/office/drawing/2014/main" id="{00000000-0008-0000-0300-00008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>
          <a:extLst>
            <a:ext uri="{FF2B5EF4-FFF2-40B4-BE49-F238E27FC236}">
              <a16:creationId xmlns:a16="http://schemas.microsoft.com/office/drawing/2014/main" id="{00000000-0008-0000-0300-00008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>
          <a:extLst>
            <a:ext uri="{FF2B5EF4-FFF2-40B4-BE49-F238E27FC236}">
              <a16:creationId xmlns:a16="http://schemas.microsoft.com/office/drawing/2014/main" id="{00000000-0008-0000-0300-00008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>
          <a:extLst>
            <a:ext uri="{FF2B5EF4-FFF2-40B4-BE49-F238E27FC236}">
              <a16:creationId xmlns:a16="http://schemas.microsoft.com/office/drawing/2014/main" id="{00000000-0008-0000-0300-00008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>
          <a:extLst>
            <a:ext uri="{FF2B5EF4-FFF2-40B4-BE49-F238E27FC236}">
              <a16:creationId xmlns:a16="http://schemas.microsoft.com/office/drawing/2014/main" id="{00000000-0008-0000-0300-00008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>
          <a:extLst>
            <a:ext uri="{FF2B5EF4-FFF2-40B4-BE49-F238E27FC236}">
              <a16:creationId xmlns:a16="http://schemas.microsoft.com/office/drawing/2014/main" id="{00000000-0008-0000-0300-00008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>
          <a:extLst>
            <a:ext uri="{FF2B5EF4-FFF2-40B4-BE49-F238E27FC236}">
              <a16:creationId xmlns:a16="http://schemas.microsoft.com/office/drawing/2014/main" id="{00000000-0008-0000-0300-00008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>
          <a:extLst>
            <a:ext uri="{FF2B5EF4-FFF2-40B4-BE49-F238E27FC236}">
              <a16:creationId xmlns:a16="http://schemas.microsoft.com/office/drawing/2014/main" id="{00000000-0008-0000-0300-00008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>
          <a:extLst>
            <a:ext uri="{FF2B5EF4-FFF2-40B4-BE49-F238E27FC236}">
              <a16:creationId xmlns:a16="http://schemas.microsoft.com/office/drawing/2014/main" id="{00000000-0008-0000-0300-00008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>
          <a:extLst>
            <a:ext uri="{FF2B5EF4-FFF2-40B4-BE49-F238E27FC236}">
              <a16:creationId xmlns:a16="http://schemas.microsoft.com/office/drawing/2014/main" id="{00000000-0008-0000-0300-00009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>
          <a:extLst>
            <a:ext uri="{FF2B5EF4-FFF2-40B4-BE49-F238E27FC236}">
              <a16:creationId xmlns:a16="http://schemas.microsoft.com/office/drawing/2014/main" id="{00000000-0008-0000-0300-00009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>
          <a:extLst>
            <a:ext uri="{FF2B5EF4-FFF2-40B4-BE49-F238E27FC236}">
              <a16:creationId xmlns:a16="http://schemas.microsoft.com/office/drawing/2014/main" id="{00000000-0008-0000-0300-00009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>
          <a:extLst>
            <a:ext uri="{FF2B5EF4-FFF2-40B4-BE49-F238E27FC236}">
              <a16:creationId xmlns:a16="http://schemas.microsoft.com/office/drawing/2014/main" id="{00000000-0008-0000-0300-00009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>
          <a:extLst>
            <a:ext uri="{FF2B5EF4-FFF2-40B4-BE49-F238E27FC236}">
              <a16:creationId xmlns:a16="http://schemas.microsoft.com/office/drawing/2014/main" id="{00000000-0008-0000-0300-00009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>
          <a:extLst>
            <a:ext uri="{FF2B5EF4-FFF2-40B4-BE49-F238E27FC236}">
              <a16:creationId xmlns:a16="http://schemas.microsoft.com/office/drawing/2014/main" id="{00000000-0008-0000-0300-00009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>
          <a:extLst>
            <a:ext uri="{FF2B5EF4-FFF2-40B4-BE49-F238E27FC236}">
              <a16:creationId xmlns:a16="http://schemas.microsoft.com/office/drawing/2014/main" id="{00000000-0008-0000-0300-00009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>
          <a:extLst>
            <a:ext uri="{FF2B5EF4-FFF2-40B4-BE49-F238E27FC236}">
              <a16:creationId xmlns:a16="http://schemas.microsoft.com/office/drawing/2014/main" id="{00000000-0008-0000-0300-00009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>
          <a:extLst>
            <a:ext uri="{FF2B5EF4-FFF2-40B4-BE49-F238E27FC236}">
              <a16:creationId xmlns:a16="http://schemas.microsoft.com/office/drawing/2014/main" id="{00000000-0008-0000-0300-00009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>
          <a:extLst>
            <a:ext uri="{FF2B5EF4-FFF2-40B4-BE49-F238E27FC236}">
              <a16:creationId xmlns:a16="http://schemas.microsoft.com/office/drawing/2014/main" id="{00000000-0008-0000-0300-00009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>
          <a:extLst>
            <a:ext uri="{FF2B5EF4-FFF2-40B4-BE49-F238E27FC236}">
              <a16:creationId xmlns:a16="http://schemas.microsoft.com/office/drawing/2014/main" id="{00000000-0008-0000-0300-00009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>
          <a:extLst>
            <a:ext uri="{FF2B5EF4-FFF2-40B4-BE49-F238E27FC236}">
              <a16:creationId xmlns:a16="http://schemas.microsoft.com/office/drawing/2014/main" id="{00000000-0008-0000-0300-00009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>
          <a:extLst>
            <a:ext uri="{FF2B5EF4-FFF2-40B4-BE49-F238E27FC236}">
              <a16:creationId xmlns:a16="http://schemas.microsoft.com/office/drawing/2014/main" id="{00000000-0008-0000-0300-00009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>
          <a:extLst>
            <a:ext uri="{FF2B5EF4-FFF2-40B4-BE49-F238E27FC236}">
              <a16:creationId xmlns:a16="http://schemas.microsoft.com/office/drawing/2014/main" id="{00000000-0008-0000-0300-00009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>
          <a:extLst>
            <a:ext uri="{FF2B5EF4-FFF2-40B4-BE49-F238E27FC236}">
              <a16:creationId xmlns:a16="http://schemas.microsoft.com/office/drawing/2014/main" id="{00000000-0008-0000-0300-00009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>
          <a:extLst>
            <a:ext uri="{FF2B5EF4-FFF2-40B4-BE49-F238E27FC236}">
              <a16:creationId xmlns:a16="http://schemas.microsoft.com/office/drawing/2014/main" id="{00000000-0008-0000-0300-00009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>
          <a:extLst>
            <a:ext uri="{FF2B5EF4-FFF2-40B4-BE49-F238E27FC236}">
              <a16:creationId xmlns:a16="http://schemas.microsoft.com/office/drawing/2014/main" id="{00000000-0008-0000-0300-0000A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>
          <a:extLst>
            <a:ext uri="{FF2B5EF4-FFF2-40B4-BE49-F238E27FC236}">
              <a16:creationId xmlns:a16="http://schemas.microsoft.com/office/drawing/2014/main" id="{00000000-0008-0000-0300-0000A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>
          <a:extLst>
            <a:ext uri="{FF2B5EF4-FFF2-40B4-BE49-F238E27FC236}">
              <a16:creationId xmlns:a16="http://schemas.microsoft.com/office/drawing/2014/main" id="{00000000-0008-0000-0300-0000A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>
          <a:extLst>
            <a:ext uri="{FF2B5EF4-FFF2-40B4-BE49-F238E27FC236}">
              <a16:creationId xmlns:a16="http://schemas.microsoft.com/office/drawing/2014/main" id="{00000000-0008-0000-0300-0000A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>
          <a:extLst>
            <a:ext uri="{FF2B5EF4-FFF2-40B4-BE49-F238E27FC236}">
              <a16:creationId xmlns:a16="http://schemas.microsoft.com/office/drawing/2014/main" id="{00000000-0008-0000-0300-0000A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>
          <a:extLst>
            <a:ext uri="{FF2B5EF4-FFF2-40B4-BE49-F238E27FC236}">
              <a16:creationId xmlns:a16="http://schemas.microsoft.com/office/drawing/2014/main" id="{00000000-0008-0000-0300-0000A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>
          <a:extLst>
            <a:ext uri="{FF2B5EF4-FFF2-40B4-BE49-F238E27FC236}">
              <a16:creationId xmlns:a16="http://schemas.microsoft.com/office/drawing/2014/main" id="{00000000-0008-0000-0300-0000A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>
          <a:extLst>
            <a:ext uri="{FF2B5EF4-FFF2-40B4-BE49-F238E27FC236}">
              <a16:creationId xmlns:a16="http://schemas.microsoft.com/office/drawing/2014/main" id="{00000000-0008-0000-0300-0000A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>
          <a:extLst>
            <a:ext uri="{FF2B5EF4-FFF2-40B4-BE49-F238E27FC236}">
              <a16:creationId xmlns:a16="http://schemas.microsoft.com/office/drawing/2014/main" id="{00000000-0008-0000-0300-0000A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>
          <a:extLst>
            <a:ext uri="{FF2B5EF4-FFF2-40B4-BE49-F238E27FC236}">
              <a16:creationId xmlns:a16="http://schemas.microsoft.com/office/drawing/2014/main" id="{00000000-0008-0000-0300-0000A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>
          <a:extLst>
            <a:ext uri="{FF2B5EF4-FFF2-40B4-BE49-F238E27FC236}">
              <a16:creationId xmlns:a16="http://schemas.microsoft.com/office/drawing/2014/main" id="{00000000-0008-0000-0300-0000A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>
          <a:extLst>
            <a:ext uri="{FF2B5EF4-FFF2-40B4-BE49-F238E27FC236}">
              <a16:creationId xmlns:a16="http://schemas.microsoft.com/office/drawing/2014/main" id="{00000000-0008-0000-0300-0000A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>
          <a:extLst>
            <a:ext uri="{FF2B5EF4-FFF2-40B4-BE49-F238E27FC236}">
              <a16:creationId xmlns:a16="http://schemas.microsoft.com/office/drawing/2014/main" id="{00000000-0008-0000-0300-0000A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>
          <a:extLst>
            <a:ext uri="{FF2B5EF4-FFF2-40B4-BE49-F238E27FC236}">
              <a16:creationId xmlns:a16="http://schemas.microsoft.com/office/drawing/2014/main" id="{00000000-0008-0000-0300-0000A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>
          <a:extLst>
            <a:ext uri="{FF2B5EF4-FFF2-40B4-BE49-F238E27FC236}">
              <a16:creationId xmlns:a16="http://schemas.microsoft.com/office/drawing/2014/main" id="{00000000-0008-0000-0300-0000A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>
          <a:extLst>
            <a:ext uri="{FF2B5EF4-FFF2-40B4-BE49-F238E27FC236}">
              <a16:creationId xmlns:a16="http://schemas.microsoft.com/office/drawing/2014/main" id="{00000000-0008-0000-0300-0000A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>
          <a:extLst>
            <a:ext uri="{FF2B5EF4-FFF2-40B4-BE49-F238E27FC236}">
              <a16:creationId xmlns:a16="http://schemas.microsoft.com/office/drawing/2014/main" id="{00000000-0008-0000-0300-0000B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>
          <a:extLst>
            <a:ext uri="{FF2B5EF4-FFF2-40B4-BE49-F238E27FC236}">
              <a16:creationId xmlns:a16="http://schemas.microsoft.com/office/drawing/2014/main" id="{00000000-0008-0000-0300-0000B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>
          <a:extLst>
            <a:ext uri="{FF2B5EF4-FFF2-40B4-BE49-F238E27FC236}">
              <a16:creationId xmlns:a16="http://schemas.microsoft.com/office/drawing/2014/main" id="{00000000-0008-0000-0300-0000B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>
          <a:extLst>
            <a:ext uri="{FF2B5EF4-FFF2-40B4-BE49-F238E27FC236}">
              <a16:creationId xmlns:a16="http://schemas.microsoft.com/office/drawing/2014/main" id="{00000000-0008-0000-0300-0000B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>
          <a:extLst>
            <a:ext uri="{FF2B5EF4-FFF2-40B4-BE49-F238E27FC236}">
              <a16:creationId xmlns:a16="http://schemas.microsoft.com/office/drawing/2014/main" id="{00000000-0008-0000-0300-0000B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>
          <a:extLst>
            <a:ext uri="{FF2B5EF4-FFF2-40B4-BE49-F238E27FC236}">
              <a16:creationId xmlns:a16="http://schemas.microsoft.com/office/drawing/2014/main" id="{00000000-0008-0000-0300-0000B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>
          <a:extLst>
            <a:ext uri="{FF2B5EF4-FFF2-40B4-BE49-F238E27FC236}">
              <a16:creationId xmlns:a16="http://schemas.microsoft.com/office/drawing/2014/main" id="{00000000-0008-0000-0300-0000B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>
          <a:extLst>
            <a:ext uri="{FF2B5EF4-FFF2-40B4-BE49-F238E27FC236}">
              <a16:creationId xmlns:a16="http://schemas.microsoft.com/office/drawing/2014/main" id="{00000000-0008-0000-0300-0000B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>
          <a:extLst>
            <a:ext uri="{FF2B5EF4-FFF2-40B4-BE49-F238E27FC236}">
              <a16:creationId xmlns:a16="http://schemas.microsoft.com/office/drawing/2014/main" id="{00000000-0008-0000-0300-0000B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>
          <a:extLst>
            <a:ext uri="{FF2B5EF4-FFF2-40B4-BE49-F238E27FC236}">
              <a16:creationId xmlns:a16="http://schemas.microsoft.com/office/drawing/2014/main" id="{00000000-0008-0000-0300-0000B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>
          <a:extLst>
            <a:ext uri="{FF2B5EF4-FFF2-40B4-BE49-F238E27FC236}">
              <a16:creationId xmlns:a16="http://schemas.microsoft.com/office/drawing/2014/main" id="{00000000-0008-0000-0300-0000B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>
          <a:extLst>
            <a:ext uri="{FF2B5EF4-FFF2-40B4-BE49-F238E27FC236}">
              <a16:creationId xmlns:a16="http://schemas.microsoft.com/office/drawing/2014/main" id="{00000000-0008-0000-0300-0000B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>
          <a:extLst>
            <a:ext uri="{FF2B5EF4-FFF2-40B4-BE49-F238E27FC236}">
              <a16:creationId xmlns:a16="http://schemas.microsoft.com/office/drawing/2014/main" id="{00000000-0008-0000-0300-0000B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>
          <a:extLst>
            <a:ext uri="{FF2B5EF4-FFF2-40B4-BE49-F238E27FC236}">
              <a16:creationId xmlns:a16="http://schemas.microsoft.com/office/drawing/2014/main" id="{00000000-0008-0000-0300-0000B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>
          <a:extLst>
            <a:ext uri="{FF2B5EF4-FFF2-40B4-BE49-F238E27FC236}">
              <a16:creationId xmlns:a16="http://schemas.microsoft.com/office/drawing/2014/main" id="{00000000-0008-0000-0300-0000B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>
          <a:extLst>
            <a:ext uri="{FF2B5EF4-FFF2-40B4-BE49-F238E27FC236}">
              <a16:creationId xmlns:a16="http://schemas.microsoft.com/office/drawing/2014/main" id="{00000000-0008-0000-0300-0000B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>
          <a:extLst>
            <a:ext uri="{FF2B5EF4-FFF2-40B4-BE49-F238E27FC236}">
              <a16:creationId xmlns:a16="http://schemas.microsoft.com/office/drawing/2014/main" id="{00000000-0008-0000-0300-0000C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>
          <a:extLst>
            <a:ext uri="{FF2B5EF4-FFF2-40B4-BE49-F238E27FC236}">
              <a16:creationId xmlns:a16="http://schemas.microsoft.com/office/drawing/2014/main" id="{00000000-0008-0000-0300-0000C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>
          <a:extLst>
            <a:ext uri="{FF2B5EF4-FFF2-40B4-BE49-F238E27FC236}">
              <a16:creationId xmlns:a16="http://schemas.microsoft.com/office/drawing/2014/main" id="{00000000-0008-0000-0300-0000C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>
          <a:extLst>
            <a:ext uri="{FF2B5EF4-FFF2-40B4-BE49-F238E27FC236}">
              <a16:creationId xmlns:a16="http://schemas.microsoft.com/office/drawing/2014/main" id="{00000000-0008-0000-0500-00008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>
          <a:extLst>
            <a:ext uri="{FF2B5EF4-FFF2-40B4-BE49-F238E27FC236}">
              <a16:creationId xmlns:a16="http://schemas.microsoft.com/office/drawing/2014/main" id="{00000000-0008-0000-0500-00008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>
          <a:extLst>
            <a:ext uri="{FF2B5EF4-FFF2-40B4-BE49-F238E27FC236}">
              <a16:creationId xmlns:a16="http://schemas.microsoft.com/office/drawing/2014/main" id="{00000000-0008-0000-0500-00008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>
          <a:extLst>
            <a:ext uri="{FF2B5EF4-FFF2-40B4-BE49-F238E27FC236}">
              <a16:creationId xmlns:a16="http://schemas.microsoft.com/office/drawing/2014/main" id="{00000000-0008-0000-0500-00008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>
          <a:extLst>
            <a:ext uri="{FF2B5EF4-FFF2-40B4-BE49-F238E27FC236}">
              <a16:creationId xmlns:a16="http://schemas.microsoft.com/office/drawing/2014/main" id="{00000000-0008-0000-0500-00008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>
          <a:extLst>
            <a:ext uri="{FF2B5EF4-FFF2-40B4-BE49-F238E27FC236}">
              <a16:creationId xmlns:a16="http://schemas.microsoft.com/office/drawing/2014/main" id="{00000000-0008-0000-0500-00008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>
          <a:extLst>
            <a:ext uri="{FF2B5EF4-FFF2-40B4-BE49-F238E27FC236}">
              <a16:creationId xmlns:a16="http://schemas.microsoft.com/office/drawing/2014/main" id="{00000000-0008-0000-0500-00008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>
          <a:extLst>
            <a:ext uri="{FF2B5EF4-FFF2-40B4-BE49-F238E27FC236}">
              <a16:creationId xmlns:a16="http://schemas.microsoft.com/office/drawing/2014/main" id="{00000000-0008-0000-0500-00009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>
          <a:extLst>
            <a:ext uri="{FF2B5EF4-FFF2-40B4-BE49-F238E27FC236}">
              <a16:creationId xmlns:a16="http://schemas.microsoft.com/office/drawing/2014/main" id="{00000000-0008-0000-0500-00009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>
          <a:extLst>
            <a:ext uri="{FF2B5EF4-FFF2-40B4-BE49-F238E27FC236}">
              <a16:creationId xmlns:a16="http://schemas.microsoft.com/office/drawing/2014/main" id="{00000000-0008-0000-0500-00009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>
          <a:extLst>
            <a:ext uri="{FF2B5EF4-FFF2-40B4-BE49-F238E27FC236}">
              <a16:creationId xmlns:a16="http://schemas.microsoft.com/office/drawing/2014/main" id="{00000000-0008-0000-0500-00009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>
          <a:extLst>
            <a:ext uri="{FF2B5EF4-FFF2-40B4-BE49-F238E27FC236}">
              <a16:creationId xmlns:a16="http://schemas.microsoft.com/office/drawing/2014/main" id="{00000000-0008-0000-0500-00009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>
          <a:extLst>
            <a:ext uri="{FF2B5EF4-FFF2-40B4-BE49-F238E27FC236}">
              <a16:creationId xmlns:a16="http://schemas.microsoft.com/office/drawing/2014/main" id="{00000000-0008-0000-0500-00009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>
          <a:extLst>
            <a:ext uri="{FF2B5EF4-FFF2-40B4-BE49-F238E27FC236}">
              <a16:creationId xmlns:a16="http://schemas.microsoft.com/office/drawing/2014/main" id="{00000000-0008-0000-0500-00009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>
          <a:extLst>
            <a:ext uri="{FF2B5EF4-FFF2-40B4-BE49-F238E27FC236}">
              <a16:creationId xmlns:a16="http://schemas.microsoft.com/office/drawing/2014/main" id="{00000000-0008-0000-0500-00009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>
          <a:extLst>
            <a:ext uri="{FF2B5EF4-FFF2-40B4-BE49-F238E27FC236}">
              <a16:creationId xmlns:a16="http://schemas.microsoft.com/office/drawing/2014/main" id="{00000000-0008-0000-0500-00009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>
          <a:extLst>
            <a:ext uri="{FF2B5EF4-FFF2-40B4-BE49-F238E27FC236}">
              <a16:creationId xmlns:a16="http://schemas.microsoft.com/office/drawing/2014/main" id="{00000000-0008-0000-0500-00009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>
          <a:extLst>
            <a:ext uri="{FF2B5EF4-FFF2-40B4-BE49-F238E27FC236}">
              <a16:creationId xmlns:a16="http://schemas.microsoft.com/office/drawing/2014/main" id="{00000000-0008-0000-0500-00009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>
          <a:extLst>
            <a:ext uri="{FF2B5EF4-FFF2-40B4-BE49-F238E27FC236}">
              <a16:creationId xmlns:a16="http://schemas.microsoft.com/office/drawing/2014/main" id="{00000000-0008-0000-0500-00009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>
          <a:extLst>
            <a:ext uri="{FF2B5EF4-FFF2-40B4-BE49-F238E27FC236}">
              <a16:creationId xmlns:a16="http://schemas.microsoft.com/office/drawing/2014/main" id="{00000000-0008-0000-0500-00009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>
          <a:extLst>
            <a:ext uri="{FF2B5EF4-FFF2-40B4-BE49-F238E27FC236}">
              <a16:creationId xmlns:a16="http://schemas.microsoft.com/office/drawing/2014/main" id="{00000000-0008-0000-0500-00009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>
          <a:extLst>
            <a:ext uri="{FF2B5EF4-FFF2-40B4-BE49-F238E27FC236}">
              <a16:creationId xmlns:a16="http://schemas.microsoft.com/office/drawing/2014/main" id="{00000000-0008-0000-0500-00009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>
          <a:extLst>
            <a:ext uri="{FF2B5EF4-FFF2-40B4-BE49-F238E27FC236}">
              <a16:creationId xmlns:a16="http://schemas.microsoft.com/office/drawing/2014/main" id="{00000000-0008-0000-0500-00009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>
          <a:extLst>
            <a:ext uri="{FF2B5EF4-FFF2-40B4-BE49-F238E27FC236}">
              <a16:creationId xmlns:a16="http://schemas.microsoft.com/office/drawing/2014/main" id="{00000000-0008-0000-0500-0000A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>
          <a:extLst>
            <a:ext uri="{FF2B5EF4-FFF2-40B4-BE49-F238E27FC236}">
              <a16:creationId xmlns:a16="http://schemas.microsoft.com/office/drawing/2014/main" id="{00000000-0008-0000-0500-0000A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>
          <a:extLst>
            <a:ext uri="{FF2B5EF4-FFF2-40B4-BE49-F238E27FC236}">
              <a16:creationId xmlns:a16="http://schemas.microsoft.com/office/drawing/2014/main" id="{00000000-0008-0000-0500-0000A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>
          <a:extLst>
            <a:ext uri="{FF2B5EF4-FFF2-40B4-BE49-F238E27FC236}">
              <a16:creationId xmlns:a16="http://schemas.microsoft.com/office/drawing/2014/main" id="{00000000-0008-0000-0500-0000A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>
          <a:extLst>
            <a:ext uri="{FF2B5EF4-FFF2-40B4-BE49-F238E27FC236}">
              <a16:creationId xmlns:a16="http://schemas.microsoft.com/office/drawing/2014/main" id="{00000000-0008-0000-0500-0000A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>
          <a:extLst>
            <a:ext uri="{FF2B5EF4-FFF2-40B4-BE49-F238E27FC236}">
              <a16:creationId xmlns:a16="http://schemas.microsoft.com/office/drawing/2014/main" id="{00000000-0008-0000-0500-0000A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>
          <a:extLst>
            <a:ext uri="{FF2B5EF4-FFF2-40B4-BE49-F238E27FC236}">
              <a16:creationId xmlns:a16="http://schemas.microsoft.com/office/drawing/2014/main" id="{00000000-0008-0000-0500-0000A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>
          <a:extLst>
            <a:ext uri="{FF2B5EF4-FFF2-40B4-BE49-F238E27FC236}">
              <a16:creationId xmlns:a16="http://schemas.microsoft.com/office/drawing/2014/main" id="{00000000-0008-0000-0500-0000A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>
          <a:extLst>
            <a:ext uri="{FF2B5EF4-FFF2-40B4-BE49-F238E27FC236}">
              <a16:creationId xmlns:a16="http://schemas.microsoft.com/office/drawing/2014/main" id="{00000000-0008-0000-0500-0000A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>
          <a:extLst>
            <a:ext uri="{FF2B5EF4-FFF2-40B4-BE49-F238E27FC236}">
              <a16:creationId xmlns:a16="http://schemas.microsoft.com/office/drawing/2014/main" id="{00000000-0008-0000-0500-0000A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>
          <a:extLst>
            <a:ext uri="{FF2B5EF4-FFF2-40B4-BE49-F238E27FC236}">
              <a16:creationId xmlns:a16="http://schemas.microsoft.com/office/drawing/2014/main" id="{00000000-0008-0000-0500-0000A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>
          <a:extLst>
            <a:ext uri="{FF2B5EF4-FFF2-40B4-BE49-F238E27FC236}">
              <a16:creationId xmlns:a16="http://schemas.microsoft.com/office/drawing/2014/main" id="{00000000-0008-0000-0500-0000A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>
          <a:extLst>
            <a:ext uri="{FF2B5EF4-FFF2-40B4-BE49-F238E27FC236}">
              <a16:creationId xmlns:a16="http://schemas.microsoft.com/office/drawing/2014/main" id="{00000000-0008-0000-0500-0000A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>
          <a:extLst>
            <a:ext uri="{FF2B5EF4-FFF2-40B4-BE49-F238E27FC236}">
              <a16:creationId xmlns:a16="http://schemas.microsoft.com/office/drawing/2014/main" id="{00000000-0008-0000-0500-0000A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>
          <a:extLst>
            <a:ext uri="{FF2B5EF4-FFF2-40B4-BE49-F238E27FC236}">
              <a16:creationId xmlns:a16="http://schemas.microsoft.com/office/drawing/2014/main" id="{00000000-0008-0000-0500-0000A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>
          <a:extLst>
            <a:ext uri="{FF2B5EF4-FFF2-40B4-BE49-F238E27FC236}">
              <a16:creationId xmlns:a16="http://schemas.microsoft.com/office/drawing/2014/main" id="{00000000-0008-0000-0500-0000A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>
          <a:extLst>
            <a:ext uri="{FF2B5EF4-FFF2-40B4-BE49-F238E27FC236}">
              <a16:creationId xmlns:a16="http://schemas.microsoft.com/office/drawing/2014/main" id="{00000000-0008-0000-0500-0000B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>
          <a:extLst>
            <a:ext uri="{FF2B5EF4-FFF2-40B4-BE49-F238E27FC236}">
              <a16:creationId xmlns:a16="http://schemas.microsoft.com/office/drawing/2014/main" id="{00000000-0008-0000-0500-0000B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>
          <a:extLst>
            <a:ext uri="{FF2B5EF4-FFF2-40B4-BE49-F238E27FC236}">
              <a16:creationId xmlns:a16="http://schemas.microsoft.com/office/drawing/2014/main" id="{00000000-0008-0000-0500-0000B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>
          <a:extLst>
            <a:ext uri="{FF2B5EF4-FFF2-40B4-BE49-F238E27FC236}">
              <a16:creationId xmlns:a16="http://schemas.microsoft.com/office/drawing/2014/main" id="{00000000-0008-0000-0500-0000B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>
          <a:extLst>
            <a:ext uri="{FF2B5EF4-FFF2-40B4-BE49-F238E27FC236}">
              <a16:creationId xmlns:a16="http://schemas.microsoft.com/office/drawing/2014/main" id="{00000000-0008-0000-0500-0000B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>
          <a:extLst>
            <a:ext uri="{FF2B5EF4-FFF2-40B4-BE49-F238E27FC236}">
              <a16:creationId xmlns:a16="http://schemas.microsoft.com/office/drawing/2014/main" id="{00000000-0008-0000-0500-0000B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>
          <a:extLst>
            <a:ext uri="{FF2B5EF4-FFF2-40B4-BE49-F238E27FC236}">
              <a16:creationId xmlns:a16="http://schemas.microsoft.com/office/drawing/2014/main" id="{00000000-0008-0000-0500-0000B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>
          <a:extLst>
            <a:ext uri="{FF2B5EF4-FFF2-40B4-BE49-F238E27FC236}">
              <a16:creationId xmlns:a16="http://schemas.microsoft.com/office/drawing/2014/main" id="{00000000-0008-0000-0500-0000B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>
          <a:extLst>
            <a:ext uri="{FF2B5EF4-FFF2-40B4-BE49-F238E27FC236}">
              <a16:creationId xmlns:a16="http://schemas.microsoft.com/office/drawing/2014/main" id="{00000000-0008-0000-0500-0000B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>
          <a:extLst>
            <a:ext uri="{FF2B5EF4-FFF2-40B4-BE49-F238E27FC236}">
              <a16:creationId xmlns:a16="http://schemas.microsoft.com/office/drawing/2014/main" id="{00000000-0008-0000-0500-0000B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>
          <a:extLst>
            <a:ext uri="{FF2B5EF4-FFF2-40B4-BE49-F238E27FC236}">
              <a16:creationId xmlns:a16="http://schemas.microsoft.com/office/drawing/2014/main" id="{00000000-0008-0000-0500-0000B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>
          <a:extLst>
            <a:ext uri="{FF2B5EF4-FFF2-40B4-BE49-F238E27FC236}">
              <a16:creationId xmlns:a16="http://schemas.microsoft.com/office/drawing/2014/main" id="{00000000-0008-0000-0500-0000B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>
          <a:extLst>
            <a:ext uri="{FF2B5EF4-FFF2-40B4-BE49-F238E27FC236}">
              <a16:creationId xmlns:a16="http://schemas.microsoft.com/office/drawing/2014/main" id="{00000000-0008-0000-0500-0000B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>
          <a:extLst>
            <a:ext uri="{FF2B5EF4-FFF2-40B4-BE49-F238E27FC236}">
              <a16:creationId xmlns:a16="http://schemas.microsoft.com/office/drawing/2014/main" id="{00000000-0008-0000-0500-0000B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>
          <a:extLst>
            <a:ext uri="{FF2B5EF4-FFF2-40B4-BE49-F238E27FC236}">
              <a16:creationId xmlns:a16="http://schemas.microsoft.com/office/drawing/2014/main" id="{00000000-0008-0000-0500-0000B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>
          <a:extLst>
            <a:ext uri="{FF2B5EF4-FFF2-40B4-BE49-F238E27FC236}">
              <a16:creationId xmlns:a16="http://schemas.microsoft.com/office/drawing/2014/main" id="{00000000-0008-0000-0500-0000B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>
          <a:extLst>
            <a:ext uri="{FF2B5EF4-FFF2-40B4-BE49-F238E27FC236}">
              <a16:creationId xmlns:a16="http://schemas.microsoft.com/office/drawing/2014/main" id="{00000000-0008-0000-0500-0000C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>
          <a:extLst>
            <a:ext uri="{FF2B5EF4-FFF2-40B4-BE49-F238E27FC236}">
              <a16:creationId xmlns:a16="http://schemas.microsoft.com/office/drawing/2014/main" id="{00000000-0008-0000-0500-0000C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>
          <a:extLst>
            <a:ext uri="{FF2B5EF4-FFF2-40B4-BE49-F238E27FC236}">
              <a16:creationId xmlns:a16="http://schemas.microsoft.com/office/drawing/2014/main" id="{00000000-0008-0000-0500-0000C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>
          <a:extLst>
            <a:ext uri="{FF2B5EF4-FFF2-40B4-BE49-F238E27FC236}">
              <a16:creationId xmlns:a16="http://schemas.microsoft.com/office/drawing/2014/main" id="{00000000-0008-0000-0500-0000C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>
          <a:extLst>
            <a:ext uri="{FF2B5EF4-FFF2-40B4-BE49-F238E27FC236}">
              <a16:creationId xmlns:a16="http://schemas.microsoft.com/office/drawing/2014/main" id="{00000000-0008-0000-0500-0000C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>
          <a:extLst>
            <a:ext uri="{FF2B5EF4-FFF2-40B4-BE49-F238E27FC236}">
              <a16:creationId xmlns:a16="http://schemas.microsoft.com/office/drawing/2014/main" id="{00000000-0008-0000-0500-0000C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>
          <a:extLst>
            <a:ext uri="{FF2B5EF4-FFF2-40B4-BE49-F238E27FC236}">
              <a16:creationId xmlns:a16="http://schemas.microsoft.com/office/drawing/2014/main" id="{00000000-0008-0000-0500-0000C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>
          <a:extLst>
            <a:ext uri="{FF2B5EF4-FFF2-40B4-BE49-F238E27FC236}">
              <a16:creationId xmlns:a16="http://schemas.microsoft.com/office/drawing/2014/main" id="{00000000-0008-0000-0500-0000C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>
          <a:extLst>
            <a:ext uri="{FF2B5EF4-FFF2-40B4-BE49-F238E27FC236}">
              <a16:creationId xmlns:a16="http://schemas.microsoft.com/office/drawing/2014/main" id="{00000000-0008-0000-0500-0000C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>
          <a:extLst>
            <a:ext uri="{FF2B5EF4-FFF2-40B4-BE49-F238E27FC236}">
              <a16:creationId xmlns:a16="http://schemas.microsoft.com/office/drawing/2014/main" id="{00000000-0008-0000-0500-0000C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>
          <a:extLst>
            <a:ext uri="{FF2B5EF4-FFF2-40B4-BE49-F238E27FC236}">
              <a16:creationId xmlns:a16="http://schemas.microsoft.com/office/drawing/2014/main" id="{00000000-0008-0000-0500-0000C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>
          <a:extLst>
            <a:ext uri="{FF2B5EF4-FFF2-40B4-BE49-F238E27FC236}">
              <a16:creationId xmlns:a16="http://schemas.microsoft.com/office/drawing/2014/main" id="{00000000-0008-0000-0500-0000C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>
          <a:extLst>
            <a:ext uri="{FF2B5EF4-FFF2-40B4-BE49-F238E27FC236}">
              <a16:creationId xmlns:a16="http://schemas.microsoft.com/office/drawing/2014/main" id="{00000000-0008-0000-0500-0000C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>
          <a:extLst>
            <a:ext uri="{FF2B5EF4-FFF2-40B4-BE49-F238E27FC236}">
              <a16:creationId xmlns:a16="http://schemas.microsoft.com/office/drawing/2014/main" id="{00000000-0008-0000-0500-0000C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>
          <a:extLst>
            <a:ext uri="{FF2B5EF4-FFF2-40B4-BE49-F238E27FC236}">
              <a16:creationId xmlns:a16="http://schemas.microsoft.com/office/drawing/2014/main" id="{00000000-0008-0000-0500-0000C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>
          <a:extLst>
            <a:ext uri="{FF2B5EF4-FFF2-40B4-BE49-F238E27FC236}">
              <a16:creationId xmlns:a16="http://schemas.microsoft.com/office/drawing/2014/main" id="{00000000-0008-0000-0500-0000C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>
          <a:extLst>
            <a:ext uri="{FF2B5EF4-FFF2-40B4-BE49-F238E27FC236}">
              <a16:creationId xmlns:a16="http://schemas.microsoft.com/office/drawing/2014/main" id="{00000000-0008-0000-0500-0000D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>
          <a:extLst>
            <a:ext uri="{FF2B5EF4-FFF2-40B4-BE49-F238E27FC236}">
              <a16:creationId xmlns:a16="http://schemas.microsoft.com/office/drawing/2014/main" id="{00000000-0008-0000-0500-0000D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>
          <a:extLst>
            <a:ext uri="{FF2B5EF4-FFF2-40B4-BE49-F238E27FC236}">
              <a16:creationId xmlns:a16="http://schemas.microsoft.com/office/drawing/2014/main" id="{00000000-0008-0000-0500-0000D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>
          <a:extLst>
            <a:ext uri="{FF2B5EF4-FFF2-40B4-BE49-F238E27FC236}">
              <a16:creationId xmlns:a16="http://schemas.microsoft.com/office/drawing/2014/main" id="{00000000-0008-0000-0500-0000D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>
          <a:extLst>
            <a:ext uri="{FF2B5EF4-FFF2-40B4-BE49-F238E27FC236}">
              <a16:creationId xmlns:a16="http://schemas.microsoft.com/office/drawing/2014/main" id="{00000000-0008-0000-0500-0000D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>
          <a:extLst>
            <a:ext uri="{FF2B5EF4-FFF2-40B4-BE49-F238E27FC236}">
              <a16:creationId xmlns:a16="http://schemas.microsoft.com/office/drawing/2014/main" id="{00000000-0008-0000-0500-0000D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>
          <a:extLst>
            <a:ext uri="{FF2B5EF4-FFF2-40B4-BE49-F238E27FC236}">
              <a16:creationId xmlns:a16="http://schemas.microsoft.com/office/drawing/2014/main" id="{00000000-0008-0000-0500-0000D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>
          <a:extLst>
            <a:ext uri="{FF2B5EF4-FFF2-40B4-BE49-F238E27FC236}">
              <a16:creationId xmlns:a16="http://schemas.microsoft.com/office/drawing/2014/main" id="{00000000-0008-0000-0500-0000D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>
          <a:extLst>
            <a:ext uri="{FF2B5EF4-FFF2-40B4-BE49-F238E27FC236}">
              <a16:creationId xmlns:a16="http://schemas.microsoft.com/office/drawing/2014/main" id="{00000000-0008-0000-0500-0000D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>
          <a:extLst>
            <a:ext uri="{FF2B5EF4-FFF2-40B4-BE49-F238E27FC236}">
              <a16:creationId xmlns:a16="http://schemas.microsoft.com/office/drawing/2014/main" id="{00000000-0008-0000-0500-0000D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>
          <a:extLst>
            <a:ext uri="{FF2B5EF4-FFF2-40B4-BE49-F238E27FC236}">
              <a16:creationId xmlns:a16="http://schemas.microsoft.com/office/drawing/2014/main" id="{00000000-0008-0000-0500-0000D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>
          <a:extLst>
            <a:ext uri="{FF2B5EF4-FFF2-40B4-BE49-F238E27FC236}">
              <a16:creationId xmlns:a16="http://schemas.microsoft.com/office/drawing/2014/main" id="{00000000-0008-0000-0500-0000D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>
          <a:extLst>
            <a:ext uri="{FF2B5EF4-FFF2-40B4-BE49-F238E27FC236}">
              <a16:creationId xmlns:a16="http://schemas.microsoft.com/office/drawing/2014/main" id="{00000000-0008-0000-0500-0000D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>
          <a:extLst>
            <a:ext uri="{FF2B5EF4-FFF2-40B4-BE49-F238E27FC236}">
              <a16:creationId xmlns:a16="http://schemas.microsoft.com/office/drawing/2014/main" id="{00000000-0008-0000-0500-0000D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>
          <a:extLst>
            <a:ext uri="{FF2B5EF4-FFF2-40B4-BE49-F238E27FC236}">
              <a16:creationId xmlns:a16="http://schemas.microsoft.com/office/drawing/2014/main" id="{00000000-0008-0000-0500-0000D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>
          <a:extLst>
            <a:ext uri="{FF2B5EF4-FFF2-40B4-BE49-F238E27FC236}">
              <a16:creationId xmlns:a16="http://schemas.microsoft.com/office/drawing/2014/main" id="{00000000-0008-0000-0500-0000D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>
          <a:extLst>
            <a:ext uri="{FF2B5EF4-FFF2-40B4-BE49-F238E27FC236}">
              <a16:creationId xmlns:a16="http://schemas.microsoft.com/office/drawing/2014/main" id="{00000000-0008-0000-0500-0000E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>
          <a:extLst>
            <a:ext uri="{FF2B5EF4-FFF2-40B4-BE49-F238E27FC236}">
              <a16:creationId xmlns:a16="http://schemas.microsoft.com/office/drawing/2014/main" id="{00000000-0008-0000-0500-0000E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>
          <a:extLst>
            <a:ext uri="{FF2B5EF4-FFF2-40B4-BE49-F238E27FC236}">
              <a16:creationId xmlns:a16="http://schemas.microsoft.com/office/drawing/2014/main" id="{00000000-0008-0000-0500-0000E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>
          <a:extLst>
            <a:ext uri="{FF2B5EF4-FFF2-40B4-BE49-F238E27FC236}">
              <a16:creationId xmlns:a16="http://schemas.microsoft.com/office/drawing/2014/main" id="{00000000-0008-0000-0500-0000E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>
          <a:extLst>
            <a:ext uri="{FF2B5EF4-FFF2-40B4-BE49-F238E27FC236}">
              <a16:creationId xmlns:a16="http://schemas.microsoft.com/office/drawing/2014/main" id="{00000000-0008-0000-0500-0000E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>
          <a:extLst>
            <a:ext uri="{FF2B5EF4-FFF2-40B4-BE49-F238E27FC236}">
              <a16:creationId xmlns:a16="http://schemas.microsoft.com/office/drawing/2014/main" id="{00000000-0008-0000-0500-0000E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>
          <a:extLst>
            <a:ext uri="{FF2B5EF4-FFF2-40B4-BE49-F238E27FC236}">
              <a16:creationId xmlns:a16="http://schemas.microsoft.com/office/drawing/2014/main" id="{00000000-0008-0000-0500-0000E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>
          <a:extLst>
            <a:ext uri="{FF2B5EF4-FFF2-40B4-BE49-F238E27FC236}">
              <a16:creationId xmlns:a16="http://schemas.microsoft.com/office/drawing/2014/main" id="{00000000-0008-0000-0500-0000E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>
          <a:extLst>
            <a:ext uri="{FF2B5EF4-FFF2-40B4-BE49-F238E27FC236}">
              <a16:creationId xmlns:a16="http://schemas.microsoft.com/office/drawing/2014/main" id="{00000000-0008-0000-0500-0000E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>
          <a:extLst>
            <a:ext uri="{FF2B5EF4-FFF2-40B4-BE49-F238E27FC236}">
              <a16:creationId xmlns:a16="http://schemas.microsoft.com/office/drawing/2014/main" id="{00000000-0008-0000-0500-0000E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>
          <a:extLst>
            <a:ext uri="{FF2B5EF4-FFF2-40B4-BE49-F238E27FC236}">
              <a16:creationId xmlns:a16="http://schemas.microsoft.com/office/drawing/2014/main" id="{00000000-0008-0000-0500-0000E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>
          <a:extLst>
            <a:ext uri="{FF2B5EF4-FFF2-40B4-BE49-F238E27FC236}">
              <a16:creationId xmlns:a16="http://schemas.microsoft.com/office/drawing/2014/main" id="{00000000-0008-0000-0500-0000E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>
          <a:extLst>
            <a:ext uri="{FF2B5EF4-FFF2-40B4-BE49-F238E27FC236}">
              <a16:creationId xmlns:a16="http://schemas.microsoft.com/office/drawing/2014/main" id="{00000000-0008-0000-0500-0000E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>
          <a:extLst>
            <a:ext uri="{FF2B5EF4-FFF2-40B4-BE49-F238E27FC236}">
              <a16:creationId xmlns:a16="http://schemas.microsoft.com/office/drawing/2014/main" id="{00000000-0008-0000-0500-0000E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>
          <a:extLst>
            <a:ext uri="{FF2B5EF4-FFF2-40B4-BE49-F238E27FC236}">
              <a16:creationId xmlns:a16="http://schemas.microsoft.com/office/drawing/2014/main" id="{00000000-0008-0000-0500-0000E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>
          <a:extLst>
            <a:ext uri="{FF2B5EF4-FFF2-40B4-BE49-F238E27FC236}">
              <a16:creationId xmlns:a16="http://schemas.microsoft.com/office/drawing/2014/main" id="{00000000-0008-0000-0500-0000E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>
          <a:extLst>
            <a:ext uri="{FF2B5EF4-FFF2-40B4-BE49-F238E27FC236}">
              <a16:creationId xmlns:a16="http://schemas.microsoft.com/office/drawing/2014/main" id="{00000000-0008-0000-0500-0000F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>
          <a:extLst>
            <a:ext uri="{FF2B5EF4-FFF2-40B4-BE49-F238E27FC236}">
              <a16:creationId xmlns:a16="http://schemas.microsoft.com/office/drawing/2014/main" id="{00000000-0008-0000-0500-0000F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>
          <a:extLst>
            <a:ext uri="{FF2B5EF4-FFF2-40B4-BE49-F238E27FC236}">
              <a16:creationId xmlns:a16="http://schemas.microsoft.com/office/drawing/2014/main" id="{00000000-0008-0000-0500-0000F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>
          <a:extLst>
            <a:ext uri="{FF2B5EF4-FFF2-40B4-BE49-F238E27FC236}">
              <a16:creationId xmlns:a16="http://schemas.microsoft.com/office/drawing/2014/main" id="{00000000-0008-0000-0500-0000F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>
          <a:extLst>
            <a:ext uri="{FF2B5EF4-FFF2-40B4-BE49-F238E27FC236}">
              <a16:creationId xmlns:a16="http://schemas.microsoft.com/office/drawing/2014/main" id="{00000000-0008-0000-0500-0000F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>
          <a:extLst>
            <a:ext uri="{FF2B5EF4-FFF2-40B4-BE49-F238E27FC236}">
              <a16:creationId xmlns:a16="http://schemas.microsoft.com/office/drawing/2014/main" id="{00000000-0008-0000-0500-0000F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>
          <a:extLst>
            <a:ext uri="{FF2B5EF4-FFF2-40B4-BE49-F238E27FC236}">
              <a16:creationId xmlns:a16="http://schemas.microsoft.com/office/drawing/2014/main" id="{00000000-0008-0000-0500-0000F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>
          <a:extLst>
            <a:ext uri="{FF2B5EF4-FFF2-40B4-BE49-F238E27FC236}">
              <a16:creationId xmlns:a16="http://schemas.microsoft.com/office/drawing/2014/main" id="{00000000-0008-0000-0500-0000F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>
          <a:extLst>
            <a:ext uri="{FF2B5EF4-FFF2-40B4-BE49-F238E27FC236}">
              <a16:creationId xmlns:a16="http://schemas.microsoft.com/office/drawing/2014/main" id="{00000000-0008-0000-0500-0000F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>
          <a:extLst>
            <a:ext uri="{FF2B5EF4-FFF2-40B4-BE49-F238E27FC236}">
              <a16:creationId xmlns:a16="http://schemas.microsoft.com/office/drawing/2014/main" id="{00000000-0008-0000-0500-0000F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>
          <a:extLst>
            <a:ext uri="{FF2B5EF4-FFF2-40B4-BE49-F238E27FC236}">
              <a16:creationId xmlns:a16="http://schemas.microsoft.com/office/drawing/2014/main" id="{00000000-0008-0000-0500-0000F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>
          <a:extLst>
            <a:ext uri="{FF2B5EF4-FFF2-40B4-BE49-F238E27FC236}">
              <a16:creationId xmlns:a16="http://schemas.microsoft.com/office/drawing/2014/main" id="{00000000-0008-0000-0500-0000F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>
          <a:extLst>
            <a:ext uri="{FF2B5EF4-FFF2-40B4-BE49-F238E27FC236}">
              <a16:creationId xmlns:a16="http://schemas.microsoft.com/office/drawing/2014/main" id="{00000000-0008-0000-0500-0000F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>
          <a:extLst>
            <a:ext uri="{FF2B5EF4-FFF2-40B4-BE49-F238E27FC236}">
              <a16:creationId xmlns:a16="http://schemas.microsoft.com/office/drawing/2014/main" id="{00000000-0008-0000-0500-0000F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>
          <a:extLst>
            <a:ext uri="{FF2B5EF4-FFF2-40B4-BE49-F238E27FC236}">
              <a16:creationId xmlns:a16="http://schemas.microsoft.com/office/drawing/2014/main" id="{00000000-0008-0000-0500-0000F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>
          <a:extLst>
            <a:ext uri="{FF2B5EF4-FFF2-40B4-BE49-F238E27FC236}">
              <a16:creationId xmlns:a16="http://schemas.microsoft.com/office/drawing/2014/main" id="{00000000-0008-0000-0500-0000F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>
          <a:extLst>
            <a:ext uri="{FF2B5EF4-FFF2-40B4-BE49-F238E27FC236}">
              <a16:creationId xmlns:a16="http://schemas.microsoft.com/office/drawing/2014/main" id="{00000000-0008-0000-0500-00000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>
          <a:extLst>
            <a:ext uri="{FF2B5EF4-FFF2-40B4-BE49-F238E27FC236}">
              <a16:creationId xmlns:a16="http://schemas.microsoft.com/office/drawing/2014/main" id="{00000000-0008-0000-0500-00000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>
          <a:extLst>
            <a:ext uri="{FF2B5EF4-FFF2-40B4-BE49-F238E27FC236}">
              <a16:creationId xmlns:a16="http://schemas.microsoft.com/office/drawing/2014/main" id="{00000000-0008-0000-0500-00000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>
          <a:extLst>
            <a:ext uri="{FF2B5EF4-FFF2-40B4-BE49-F238E27FC236}">
              <a16:creationId xmlns:a16="http://schemas.microsoft.com/office/drawing/2014/main" id="{00000000-0008-0000-0500-00000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>
          <a:extLst>
            <a:ext uri="{FF2B5EF4-FFF2-40B4-BE49-F238E27FC236}">
              <a16:creationId xmlns:a16="http://schemas.microsoft.com/office/drawing/2014/main" id="{00000000-0008-0000-0500-00000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>
          <a:extLst>
            <a:ext uri="{FF2B5EF4-FFF2-40B4-BE49-F238E27FC236}">
              <a16:creationId xmlns:a16="http://schemas.microsoft.com/office/drawing/2014/main" id="{00000000-0008-0000-0500-00000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>
          <a:extLst>
            <a:ext uri="{FF2B5EF4-FFF2-40B4-BE49-F238E27FC236}">
              <a16:creationId xmlns:a16="http://schemas.microsoft.com/office/drawing/2014/main" id="{00000000-0008-0000-0500-00000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>
          <a:extLst>
            <a:ext uri="{FF2B5EF4-FFF2-40B4-BE49-F238E27FC236}">
              <a16:creationId xmlns:a16="http://schemas.microsoft.com/office/drawing/2014/main" id="{00000000-0008-0000-0500-00000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>
          <a:extLst>
            <a:ext uri="{FF2B5EF4-FFF2-40B4-BE49-F238E27FC236}">
              <a16:creationId xmlns:a16="http://schemas.microsoft.com/office/drawing/2014/main" id="{00000000-0008-0000-0500-00000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>
          <a:extLst>
            <a:ext uri="{FF2B5EF4-FFF2-40B4-BE49-F238E27FC236}">
              <a16:creationId xmlns:a16="http://schemas.microsoft.com/office/drawing/2014/main" id="{00000000-0008-0000-0500-00000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>
          <a:extLst>
            <a:ext uri="{FF2B5EF4-FFF2-40B4-BE49-F238E27FC236}">
              <a16:creationId xmlns:a16="http://schemas.microsoft.com/office/drawing/2014/main" id="{00000000-0008-0000-0500-00000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>
          <a:extLst>
            <a:ext uri="{FF2B5EF4-FFF2-40B4-BE49-F238E27FC236}">
              <a16:creationId xmlns:a16="http://schemas.microsoft.com/office/drawing/2014/main" id="{00000000-0008-0000-0500-00000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>
          <a:extLst>
            <a:ext uri="{FF2B5EF4-FFF2-40B4-BE49-F238E27FC236}">
              <a16:creationId xmlns:a16="http://schemas.microsoft.com/office/drawing/2014/main" id="{00000000-0008-0000-0500-00000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>
          <a:extLst>
            <a:ext uri="{FF2B5EF4-FFF2-40B4-BE49-F238E27FC236}">
              <a16:creationId xmlns:a16="http://schemas.microsoft.com/office/drawing/2014/main" id="{00000000-0008-0000-0500-00000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>
          <a:extLst>
            <a:ext uri="{FF2B5EF4-FFF2-40B4-BE49-F238E27FC236}">
              <a16:creationId xmlns:a16="http://schemas.microsoft.com/office/drawing/2014/main" id="{00000000-0008-0000-0500-00000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>
          <a:extLst>
            <a:ext uri="{FF2B5EF4-FFF2-40B4-BE49-F238E27FC236}">
              <a16:creationId xmlns:a16="http://schemas.microsoft.com/office/drawing/2014/main" id="{00000000-0008-0000-0500-00000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>
          <a:extLst>
            <a:ext uri="{FF2B5EF4-FFF2-40B4-BE49-F238E27FC236}">
              <a16:creationId xmlns:a16="http://schemas.microsoft.com/office/drawing/2014/main" id="{00000000-0008-0000-0500-00001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>
          <a:extLst>
            <a:ext uri="{FF2B5EF4-FFF2-40B4-BE49-F238E27FC236}">
              <a16:creationId xmlns:a16="http://schemas.microsoft.com/office/drawing/2014/main" id="{00000000-0008-0000-0500-00001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>
          <a:extLst>
            <a:ext uri="{FF2B5EF4-FFF2-40B4-BE49-F238E27FC236}">
              <a16:creationId xmlns:a16="http://schemas.microsoft.com/office/drawing/2014/main" id="{00000000-0008-0000-0500-00001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>
          <a:extLst>
            <a:ext uri="{FF2B5EF4-FFF2-40B4-BE49-F238E27FC236}">
              <a16:creationId xmlns:a16="http://schemas.microsoft.com/office/drawing/2014/main" id="{00000000-0008-0000-0500-00001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>
          <a:extLst>
            <a:ext uri="{FF2B5EF4-FFF2-40B4-BE49-F238E27FC236}">
              <a16:creationId xmlns:a16="http://schemas.microsoft.com/office/drawing/2014/main" id="{00000000-0008-0000-0500-00001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>
          <a:extLst>
            <a:ext uri="{FF2B5EF4-FFF2-40B4-BE49-F238E27FC236}">
              <a16:creationId xmlns:a16="http://schemas.microsoft.com/office/drawing/2014/main" id="{00000000-0008-0000-0500-00001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>
          <a:extLst>
            <a:ext uri="{FF2B5EF4-FFF2-40B4-BE49-F238E27FC236}">
              <a16:creationId xmlns:a16="http://schemas.microsoft.com/office/drawing/2014/main" id="{00000000-0008-0000-0500-00001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>
          <a:extLst>
            <a:ext uri="{FF2B5EF4-FFF2-40B4-BE49-F238E27FC236}">
              <a16:creationId xmlns:a16="http://schemas.microsoft.com/office/drawing/2014/main" id="{00000000-0008-0000-0500-00001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>
          <a:extLst>
            <a:ext uri="{FF2B5EF4-FFF2-40B4-BE49-F238E27FC236}">
              <a16:creationId xmlns:a16="http://schemas.microsoft.com/office/drawing/2014/main" id="{00000000-0008-0000-0500-00001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>
          <a:extLst>
            <a:ext uri="{FF2B5EF4-FFF2-40B4-BE49-F238E27FC236}">
              <a16:creationId xmlns:a16="http://schemas.microsoft.com/office/drawing/2014/main" id="{00000000-0008-0000-0500-00001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>
          <a:extLst>
            <a:ext uri="{FF2B5EF4-FFF2-40B4-BE49-F238E27FC236}">
              <a16:creationId xmlns:a16="http://schemas.microsoft.com/office/drawing/2014/main" id="{00000000-0008-0000-0500-00001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>
          <a:extLst>
            <a:ext uri="{FF2B5EF4-FFF2-40B4-BE49-F238E27FC236}">
              <a16:creationId xmlns:a16="http://schemas.microsoft.com/office/drawing/2014/main" id="{00000000-0008-0000-0500-00001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>
          <a:extLst>
            <a:ext uri="{FF2B5EF4-FFF2-40B4-BE49-F238E27FC236}">
              <a16:creationId xmlns:a16="http://schemas.microsoft.com/office/drawing/2014/main" id="{00000000-0008-0000-0500-00001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>
          <a:extLst>
            <a:ext uri="{FF2B5EF4-FFF2-40B4-BE49-F238E27FC236}">
              <a16:creationId xmlns:a16="http://schemas.microsoft.com/office/drawing/2014/main" id="{00000000-0008-0000-0500-00001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>
          <a:extLst>
            <a:ext uri="{FF2B5EF4-FFF2-40B4-BE49-F238E27FC236}">
              <a16:creationId xmlns:a16="http://schemas.microsoft.com/office/drawing/2014/main" id="{00000000-0008-0000-0500-00001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>
          <a:extLst>
            <a:ext uri="{FF2B5EF4-FFF2-40B4-BE49-F238E27FC236}">
              <a16:creationId xmlns:a16="http://schemas.microsoft.com/office/drawing/2014/main" id="{00000000-0008-0000-0500-00001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>
          <a:extLst>
            <a:ext uri="{FF2B5EF4-FFF2-40B4-BE49-F238E27FC236}">
              <a16:creationId xmlns:a16="http://schemas.microsoft.com/office/drawing/2014/main" id="{00000000-0008-0000-0500-00002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>
          <a:extLst>
            <a:ext uri="{FF2B5EF4-FFF2-40B4-BE49-F238E27FC236}">
              <a16:creationId xmlns:a16="http://schemas.microsoft.com/office/drawing/2014/main" id="{00000000-0008-0000-0500-00002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>
          <a:extLst>
            <a:ext uri="{FF2B5EF4-FFF2-40B4-BE49-F238E27FC236}">
              <a16:creationId xmlns:a16="http://schemas.microsoft.com/office/drawing/2014/main" id="{00000000-0008-0000-0500-00002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>
          <a:extLst>
            <a:ext uri="{FF2B5EF4-FFF2-40B4-BE49-F238E27FC236}">
              <a16:creationId xmlns:a16="http://schemas.microsoft.com/office/drawing/2014/main" id="{00000000-0008-0000-0500-00002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>
          <a:extLst>
            <a:ext uri="{FF2B5EF4-FFF2-40B4-BE49-F238E27FC236}">
              <a16:creationId xmlns:a16="http://schemas.microsoft.com/office/drawing/2014/main" id="{00000000-0008-0000-0500-00002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>
          <a:extLst>
            <a:ext uri="{FF2B5EF4-FFF2-40B4-BE49-F238E27FC236}">
              <a16:creationId xmlns:a16="http://schemas.microsoft.com/office/drawing/2014/main" id="{00000000-0008-0000-0500-00002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>
          <a:extLst>
            <a:ext uri="{FF2B5EF4-FFF2-40B4-BE49-F238E27FC236}">
              <a16:creationId xmlns:a16="http://schemas.microsoft.com/office/drawing/2014/main" id="{00000000-0008-0000-0500-00002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>
          <a:extLst>
            <a:ext uri="{FF2B5EF4-FFF2-40B4-BE49-F238E27FC236}">
              <a16:creationId xmlns:a16="http://schemas.microsoft.com/office/drawing/2014/main" id="{00000000-0008-0000-0500-00002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>
          <a:extLst>
            <a:ext uri="{FF2B5EF4-FFF2-40B4-BE49-F238E27FC236}">
              <a16:creationId xmlns:a16="http://schemas.microsoft.com/office/drawing/2014/main" id="{00000000-0008-0000-0500-00002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>
          <a:extLst>
            <a:ext uri="{FF2B5EF4-FFF2-40B4-BE49-F238E27FC236}">
              <a16:creationId xmlns:a16="http://schemas.microsoft.com/office/drawing/2014/main" id="{00000000-0008-0000-0500-00002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>
          <a:extLst>
            <a:ext uri="{FF2B5EF4-FFF2-40B4-BE49-F238E27FC236}">
              <a16:creationId xmlns:a16="http://schemas.microsoft.com/office/drawing/2014/main" id="{00000000-0008-0000-0500-00002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>
          <a:extLst>
            <a:ext uri="{FF2B5EF4-FFF2-40B4-BE49-F238E27FC236}">
              <a16:creationId xmlns:a16="http://schemas.microsoft.com/office/drawing/2014/main" id="{00000000-0008-0000-0500-00002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>
          <a:extLst>
            <a:ext uri="{FF2B5EF4-FFF2-40B4-BE49-F238E27FC236}">
              <a16:creationId xmlns:a16="http://schemas.microsoft.com/office/drawing/2014/main" id="{00000000-0008-0000-0500-00002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>
          <a:extLst>
            <a:ext uri="{FF2B5EF4-FFF2-40B4-BE49-F238E27FC236}">
              <a16:creationId xmlns:a16="http://schemas.microsoft.com/office/drawing/2014/main" id="{00000000-0008-0000-0500-00002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>
          <a:extLst>
            <a:ext uri="{FF2B5EF4-FFF2-40B4-BE49-F238E27FC236}">
              <a16:creationId xmlns:a16="http://schemas.microsoft.com/office/drawing/2014/main" id="{00000000-0008-0000-0500-00002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>
          <a:extLst>
            <a:ext uri="{FF2B5EF4-FFF2-40B4-BE49-F238E27FC236}">
              <a16:creationId xmlns:a16="http://schemas.microsoft.com/office/drawing/2014/main" id="{00000000-0008-0000-0500-00002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>
          <a:extLst>
            <a:ext uri="{FF2B5EF4-FFF2-40B4-BE49-F238E27FC236}">
              <a16:creationId xmlns:a16="http://schemas.microsoft.com/office/drawing/2014/main" id="{00000000-0008-0000-0500-00003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>
          <a:extLst>
            <a:ext uri="{FF2B5EF4-FFF2-40B4-BE49-F238E27FC236}">
              <a16:creationId xmlns:a16="http://schemas.microsoft.com/office/drawing/2014/main" id="{00000000-0008-0000-0500-00003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>
          <a:extLst>
            <a:ext uri="{FF2B5EF4-FFF2-40B4-BE49-F238E27FC236}">
              <a16:creationId xmlns:a16="http://schemas.microsoft.com/office/drawing/2014/main" id="{00000000-0008-0000-0500-00003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  <cell r="T8">
            <v>0</v>
          </cell>
        </row>
        <row r="9">
          <cell r="E9">
            <v>790.23076923076928</v>
          </cell>
          <cell r="G9">
            <v>10273</v>
          </cell>
          <cell r="P9">
            <v>0</v>
          </cell>
          <cell r="R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B15"/>
          <cell r="E15">
            <v>0</v>
          </cell>
          <cell r="G15">
            <v>0</v>
          </cell>
          <cell r="H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2">
          <cell r="M22"/>
          <cell r="O22"/>
        </row>
        <row r="23">
          <cell r="M23"/>
          <cell r="O23"/>
        </row>
        <row r="24">
          <cell r="B24" t="str">
            <v>Dino, Joyce</v>
          </cell>
          <cell r="M24"/>
        </row>
        <row r="25">
          <cell r="M25"/>
        </row>
        <row r="26">
          <cell r="M26"/>
          <cell r="N26"/>
          <cell r="O26"/>
        </row>
        <row r="27">
          <cell r="M27">
            <v>0</v>
          </cell>
          <cell r="O27"/>
        </row>
        <row r="28">
          <cell r="M28">
            <v>0</v>
          </cell>
          <cell r="O28"/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K30"/>
          <cell r="L30">
            <v>0</v>
          </cell>
          <cell r="M30"/>
          <cell r="N30"/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  <cell r="F64"/>
          <cell r="G64"/>
          <cell r="H64"/>
          <cell r="I64">
            <v>0</v>
          </cell>
        </row>
        <row r="65">
          <cell r="F65"/>
          <cell r="G65"/>
          <cell r="H65"/>
          <cell r="I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77" t="s">
        <v>152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</row>
    <row r="2" spans="1:27" s="276" customFormat="1" ht="26.25" x14ac:dyDescent="0.2">
      <c r="A2" s="377" t="s">
        <v>214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</row>
    <row r="3" spans="1:27" s="276" customFormat="1" ht="26.25" x14ac:dyDescent="0.2">
      <c r="A3" s="377" t="s">
        <v>215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377"/>
      <c r="Z3" s="377"/>
      <c r="AA3" s="377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78" t="s">
        <v>153</v>
      </c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X4" s="378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79" t="s">
        <v>91</v>
      </c>
      <c r="I5" s="380"/>
      <c r="J5" s="380"/>
      <c r="K5" s="381"/>
      <c r="L5" s="382" t="s">
        <v>90</v>
      </c>
      <c r="M5" s="384" t="s">
        <v>157</v>
      </c>
      <c r="N5" s="384" t="s">
        <v>158</v>
      </c>
      <c r="O5" s="386" t="s">
        <v>159</v>
      </c>
      <c r="P5" s="387"/>
      <c r="Q5" s="388"/>
      <c r="R5" s="384" t="s">
        <v>160</v>
      </c>
      <c r="S5" s="386" t="s">
        <v>19</v>
      </c>
      <c r="T5" s="387"/>
      <c r="U5" s="388"/>
      <c r="V5" s="384" t="s">
        <v>124</v>
      </c>
      <c r="W5" s="384" t="s">
        <v>125</v>
      </c>
      <c r="X5" s="373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83"/>
      <c r="M6" s="385"/>
      <c r="N6" s="385"/>
      <c r="O6" s="284" t="s">
        <v>167</v>
      </c>
      <c r="P6" s="284" t="s">
        <v>168</v>
      </c>
      <c r="Q6" s="315" t="s">
        <v>125</v>
      </c>
      <c r="R6" s="385"/>
      <c r="S6" s="284" t="s">
        <v>167</v>
      </c>
      <c r="T6" s="284" t="s">
        <v>168</v>
      </c>
      <c r="U6" s="315" t="s">
        <v>125</v>
      </c>
      <c r="V6" s="385"/>
      <c r="W6" s="385"/>
      <c r="X6" s="374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75" t="s">
        <v>174</v>
      </c>
      <c r="G11" s="375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76" t="s">
        <v>221</v>
      </c>
      <c r="G12" s="376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76" t="s">
        <v>224</v>
      </c>
      <c r="G14" s="37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75" t="s">
        <v>224</v>
      </c>
      <c r="G15" s="375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75" t="s">
        <v>173</v>
      </c>
      <c r="G19" s="375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76" t="s">
        <v>235</v>
      </c>
      <c r="G22" s="376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75" t="s">
        <v>235</v>
      </c>
      <c r="G23" s="375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76" t="s">
        <v>235</v>
      </c>
      <c r="G24" s="376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79" t="s">
        <v>91</v>
      </c>
      <c r="I27" s="380"/>
      <c r="J27" s="380"/>
      <c r="K27" s="381"/>
      <c r="L27" s="382" t="s">
        <v>90</v>
      </c>
      <c r="M27" s="384" t="s">
        <v>157</v>
      </c>
      <c r="N27" s="384" t="s">
        <v>158</v>
      </c>
      <c r="O27" s="386" t="s">
        <v>159</v>
      </c>
      <c r="P27" s="387"/>
      <c r="Q27" s="388"/>
      <c r="R27" s="384" t="s">
        <v>160</v>
      </c>
      <c r="S27" s="386" t="s">
        <v>19</v>
      </c>
      <c r="T27" s="387"/>
      <c r="U27" s="388"/>
      <c r="V27" s="384" t="s">
        <v>124</v>
      </c>
      <c r="W27" s="384" t="s">
        <v>125</v>
      </c>
      <c r="X27" s="373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83"/>
      <c r="M28" s="385"/>
      <c r="N28" s="385"/>
      <c r="O28" s="284" t="s">
        <v>167</v>
      </c>
      <c r="P28" s="284" t="s">
        <v>168</v>
      </c>
      <c r="Q28" s="315" t="s">
        <v>125</v>
      </c>
      <c r="R28" s="385"/>
      <c r="S28" s="284" t="s">
        <v>167</v>
      </c>
      <c r="T28" s="284" t="s">
        <v>168</v>
      </c>
      <c r="U28" s="315" t="s">
        <v>125</v>
      </c>
      <c r="V28" s="385"/>
      <c r="W28" s="385"/>
      <c r="X28" s="374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75" t="s">
        <v>173</v>
      </c>
      <c r="G33" s="375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76" t="s">
        <v>173</v>
      </c>
      <c r="G34" s="376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75" t="s">
        <v>224</v>
      </c>
      <c r="G37" s="375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76" t="s">
        <v>224</v>
      </c>
      <c r="G38" s="376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75" t="s">
        <v>173</v>
      </c>
      <c r="G43" s="375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76" t="s">
        <v>173</v>
      </c>
      <c r="G44" s="376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89" t="s">
        <v>238</v>
      </c>
      <c r="G47" s="389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76" t="s">
        <v>239</v>
      </c>
      <c r="G48" s="376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75" t="s">
        <v>239</v>
      </c>
      <c r="G49" s="375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76" t="s">
        <v>239</v>
      </c>
      <c r="G50" s="376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79" t="s">
        <v>91</v>
      </c>
      <c r="I53" s="380"/>
      <c r="J53" s="380"/>
      <c r="K53" s="381"/>
      <c r="L53" s="382" t="s">
        <v>90</v>
      </c>
      <c r="M53" s="384" t="s">
        <v>157</v>
      </c>
      <c r="N53" s="384" t="s">
        <v>158</v>
      </c>
      <c r="O53" s="386" t="s">
        <v>159</v>
      </c>
      <c r="P53" s="387"/>
      <c r="Q53" s="388"/>
      <c r="R53" s="384" t="s">
        <v>160</v>
      </c>
      <c r="S53" s="386" t="s">
        <v>19</v>
      </c>
      <c r="T53" s="387"/>
      <c r="U53" s="388"/>
      <c r="V53" s="384" t="s">
        <v>124</v>
      </c>
      <c r="W53" s="384" t="s">
        <v>125</v>
      </c>
      <c r="X53" s="373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83"/>
      <c r="M54" s="385"/>
      <c r="N54" s="385"/>
      <c r="O54" s="284" t="s">
        <v>167</v>
      </c>
      <c r="P54" s="284" t="s">
        <v>168</v>
      </c>
      <c r="Q54" s="315" t="s">
        <v>125</v>
      </c>
      <c r="R54" s="385"/>
      <c r="S54" s="284" t="s">
        <v>167</v>
      </c>
      <c r="T54" s="284" t="s">
        <v>168</v>
      </c>
      <c r="U54" s="315" t="s">
        <v>125</v>
      </c>
      <c r="V54" s="385"/>
      <c r="W54" s="385"/>
      <c r="X54" s="374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90" t="s">
        <v>177</v>
      </c>
      <c r="G56" s="376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75" t="s">
        <v>173</v>
      </c>
      <c r="G57" s="375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76" t="s">
        <v>224</v>
      </c>
      <c r="G60" s="376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75" t="s">
        <v>224</v>
      </c>
      <c r="G61" s="375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76" t="s">
        <v>174</v>
      </c>
      <c r="G64" s="376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75" t="s">
        <v>173</v>
      </c>
      <c r="G65" s="375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75" t="s">
        <v>165</v>
      </c>
      <c r="G67" s="375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76" t="s">
        <v>244</v>
      </c>
      <c r="G68" s="376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75" t="s">
        <v>244</v>
      </c>
      <c r="G69" s="375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76" t="s">
        <v>244</v>
      </c>
      <c r="G70" s="376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79" t="s">
        <v>91</v>
      </c>
      <c r="I73" s="380"/>
      <c r="J73" s="380"/>
      <c r="K73" s="381"/>
      <c r="L73" s="382" t="s">
        <v>90</v>
      </c>
      <c r="M73" s="384" t="s">
        <v>157</v>
      </c>
      <c r="N73" s="384" t="s">
        <v>158</v>
      </c>
      <c r="O73" s="386" t="s">
        <v>159</v>
      </c>
      <c r="P73" s="387"/>
      <c r="Q73" s="388"/>
      <c r="R73" s="384" t="s">
        <v>160</v>
      </c>
      <c r="S73" s="386" t="s">
        <v>19</v>
      </c>
      <c r="T73" s="387"/>
      <c r="U73" s="388"/>
      <c r="V73" s="384" t="s">
        <v>124</v>
      </c>
      <c r="W73" s="384" t="s">
        <v>125</v>
      </c>
      <c r="X73" s="373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83"/>
      <c r="M74" s="385"/>
      <c r="N74" s="385"/>
      <c r="O74" s="284" t="s">
        <v>167</v>
      </c>
      <c r="P74" s="284" t="s">
        <v>168</v>
      </c>
      <c r="Q74" s="315" t="s">
        <v>125</v>
      </c>
      <c r="R74" s="385"/>
      <c r="S74" s="284" t="s">
        <v>167</v>
      </c>
      <c r="T74" s="284" t="s">
        <v>168</v>
      </c>
      <c r="U74" s="315" t="s">
        <v>125</v>
      </c>
      <c r="V74" s="385"/>
      <c r="W74" s="385"/>
      <c r="X74" s="374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75" t="s">
        <v>173</v>
      </c>
      <c r="G79" s="375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76" t="s">
        <v>173</v>
      </c>
      <c r="G80" s="376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75" t="s">
        <v>224</v>
      </c>
      <c r="G83" s="375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76" t="s">
        <v>224</v>
      </c>
      <c r="G84" s="376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75"/>
      <c r="G91" s="375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75" t="s">
        <v>239</v>
      </c>
      <c r="G95" s="375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75" t="s">
        <v>239</v>
      </c>
      <c r="G96" s="375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75" t="s">
        <v>239</v>
      </c>
      <c r="G97" s="375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79" t="s">
        <v>91</v>
      </c>
      <c r="I100" s="380"/>
      <c r="J100" s="380"/>
      <c r="K100" s="381"/>
      <c r="L100" s="382" t="s">
        <v>90</v>
      </c>
      <c r="M100" s="384" t="s">
        <v>157</v>
      </c>
      <c r="N100" s="384" t="s">
        <v>158</v>
      </c>
      <c r="O100" s="386" t="s">
        <v>159</v>
      </c>
      <c r="P100" s="387"/>
      <c r="Q100" s="388"/>
      <c r="R100" s="384" t="s">
        <v>160</v>
      </c>
      <c r="S100" s="386" t="s">
        <v>19</v>
      </c>
      <c r="T100" s="387"/>
      <c r="U100" s="388"/>
      <c r="V100" s="384" t="s">
        <v>124</v>
      </c>
      <c r="W100" s="384" t="s">
        <v>125</v>
      </c>
      <c r="X100" s="373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83"/>
      <c r="M101" s="385"/>
      <c r="N101" s="385"/>
      <c r="O101" s="284" t="s">
        <v>167</v>
      </c>
      <c r="P101" s="284" t="s">
        <v>168</v>
      </c>
      <c r="Q101" s="315" t="s">
        <v>125</v>
      </c>
      <c r="R101" s="385"/>
      <c r="S101" s="284" t="s">
        <v>167</v>
      </c>
      <c r="T101" s="284" t="s">
        <v>168</v>
      </c>
      <c r="U101" s="315" t="s">
        <v>125</v>
      </c>
      <c r="V101" s="385"/>
      <c r="W101" s="385"/>
      <c r="X101" s="374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76" t="s">
        <v>173</v>
      </c>
      <c r="G105" s="376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75" t="s">
        <v>173</v>
      </c>
      <c r="G106" s="375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75" t="s">
        <v>224</v>
      </c>
      <c r="G108" s="375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76" t="s">
        <v>224</v>
      </c>
      <c r="G109" s="376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75" t="s">
        <v>173</v>
      </c>
      <c r="G112" s="375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76" t="s">
        <v>173</v>
      </c>
      <c r="G113" s="376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91" t="s">
        <v>235</v>
      </c>
      <c r="G115" s="391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75" t="s">
        <v>248</v>
      </c>
      <c r="G116" s="375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91" t="s">
        <v>235</v>
      </c>
      <c r="G117" s="391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75" t="s">
        <v>248</v>
      </c>
      <c r="G118" s="375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79" t="s">
        <v>91</v>
      </c>
      <c r="I121" s="380"/>
      <c r="J121" s="380"/>
      <c r="K121" s="381"/>
      <c r="L121" s="382" t="s">
        <v>90</v>
      </c>
      <c r="M121" s="384" t="s">
        <v>157</v>
      </c>
      <c r="N121" s="384" t="s">
        <v>158</v>
      </c>
      <c r="O121" s="386" t="s">
        <v>159</v>
      </c>
      <c r="P121" s="387"/>
      <c r="Q121" s="388"/>
      <c r="R121" s="384" t="s">
        <v>160</v>
      </c>
      <c r="S121" s="386" t="s">
        <v>19</v>
      </c>
      <c r="T121" s="387"/>
      <c r="U121" s="388"/>
      <c r="V121" s="384" t="s">
        <v>124</v>
      </c>
      <c r="W121" s="384" t="s">
        <v>125</v>
      </c>
      <c r="X121" s="373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83"/>
      <c r="M122" s="385"/>
      <c r="N122" s="385"/>
      <c r="O122" s="284" t="s">
        <v>167</v>
      </c>
      <c r="P122" s="284" t="s">
        <v>168</v>
      </c>
      <c r="Q122" s="315" t="s">
        <v>125</v>
      </c>
      <c r="R122" s="385"/>
      <c r="S122" s="284" t="s">
        <v>167</v>
      </c>
      <c r="T122" s="284" t="s">
        <v>168</v>
      </c>
      <c r="U122" s="315" t="s">
        <v>125</v>
      </c>
      <c r="V122" s="385"/>
      <c r="W122" s="385"/>
      <c r="X122" s="374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75" t="s">
        <v>173</v>
      </c>
      <c r="G129" s="375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75" t="s">
        <v>224</v>
      </c>
      <c r="G132" s="375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76" t="s">
        <v>224</v>
      </c>
      <c r="G133" s="376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76" t="s">
        <v>173</v>
      </c>
      <c r="G138" s="376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75" t="s">
        <v>173</v>
      </c>
      <c r="G139" s="375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76" t="s">
        <v>239</v>
      </c>
      <c r="G142" s="376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75" t="s">
        <v>249</v>
      </c>
      <c r="G143" s="375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76" t="s">
        <v>239</v>
      </c>
      <c r="G144" s="376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75" t="s">
        <v>249</v>
      </c>
      <c r="G145" s="375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79" t="s">
        <v>91</v>
      </c>
      <c r="I148" s="380"/>
      <c r="J148" s="380"/>
      <c r="K148" s="381"/>
      <c r="L148" s="382" t="s">
        <v>90</v>
      </c>
      <c r="M148" s="384" t="s">
        <v>157</v>
      </c>
      <c r="N148" s="384" t="s">
        <v>158</v>
      </c>
      <c r="O148" s="386" t="s">
        <v>159</v>
      </c>
      <c r="P148" s="387"/>
      <c r="Q148" s="388"/>
      <c r="R148" s="384" t="s">
        <v>160</v>
      </c>
      <c r="S148" s="386" t="s">
        <v>19</v>
      </c>
      <c r="T148" s="387"/>
      <c r="U148" s="388"/>
      <c r="V148" s="384" t="s">
        <v>124</v>
      </c>
      <c r="W148" s="384" t="s">
        <v>125</v>
      </c>
      <c r="X148" s="373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83"/>
      <c r="M149" s="385"/>
      <c r="N149" s="385"/>
      <c r="O149" s="284" t="s">
        <v>167</v>
      </c>
      <c r="P149" s="284" t="s">
        <v>168</v>
      </c>
      <c r="Q149" s="315" t="s">
        <v>125</v>
      </c>
      <c r="R149" s="385"/>
      <c r="S149" s="284" t="s">
        <v>167</v>
      </c>
      <c r="T149" s="284" t="s">
        <v>168</v>
      </c>
      <c r="U149" s="315" t="s">
        <v>125</v>
      </c>
      <c r="V149" s="385"/>
      <c r="W149" s="385"/>
      <c r="X149" s="374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76" t="s">
        <v>173</v>
      </c>
      <c r="G157" s="376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75" t="s">
        <v>224</v>
      </c>
      <c r="G160" s="375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76" t="s">
        <v>224</v>
      </c>
      <c r="G161" s="376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75" t="s">
        <v>22</v>
      </c>
      <c r="G164" s="375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76" t="s">
        <v>173</v>
      </c>
      <c r="G165" s="376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75" t="s">
        <v>173</v>
      </c>
      <c r="G166" s="375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91" t="s">
        <v>239</v>
      </c>
      <c r="G169" s="391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75" t="s">
        <v>239</v>
      </c>
      <c r="G170" s="375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91" t="s">
        <v>239</v>
      </c>
      <c r="G171" s="391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75" t="s">
        <v>239</v>
      </c>
      <c r="G172" s="375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79" t="s">
        <v>91</v>
      </c>
      <c r="I175" s="380"/>
      <c r="J175" s="380"/>
      <c r="K175" s="381"/>
      <c r="L175" s="382" t="s">
        <v>90</v>
      </c>
      <c r="M175" s="384" t="s">
        <v>157</v>
      </c>
      <c r="N175" s="384" t="s">
        <v>158</v>
      </c>
      <c r="O175" s="386" t="s">
        <v>159</v>
      </c>
      <c r="P175" s="387"/>
      <c r="Q175" s="388"/>
      <c r="R175" s="384" t="s">
        <v>160</v>
      </c>
      <c r="S175" s="386" t="s">
        <v>19</v>
      </c>
      <c r="T175" s="387"/>
      <c r="U175" s="388"/>
      <c r="V175" s="384" t="s">
        <v>124</v>
      </c>
      <c r="W175" s="384" t="s">
        <v>125</v>
      </c>
      <c r="X175" s="373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83"/>
      <c r="M176" s="385"/>
      <c r="N176" s="385"/>
      <c r="O176" s="284" t="s">
        <v>167</v>
      </c>
      <c r="P176" s="284" t="s">
        <v>168</v>
      </c>
      <c r="Q176" s="315" t="s">
        <v>125</v>
      </c>
      <c r="R176" s="385"/>
      <c r="S176" s="284" t="s">
        <v>167</v>
      </c>
      <c r="T176" s="284" t="s">
        <v>168</v>
      </c>
      <c r="U176" s="315" t="s">
        <v>125</v>
      </c>
      <c r="V176" s="385"/>
      <c r="W176" s="385"/>
      <c r="X176" s="374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76" t="s">
        <v>173</v>
      </c>
      <c r="G182" s="376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75" t="s">
        <v>224</v>
      </c>
      <c r="G185" s="375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76" t="s">
        <v>224</v>
      </c>
      <c r="G186" s="376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75" t="s">
        <v>173</v>
      </c>
      <c r="G193" s="375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89"/>
      <c r="G196" s="389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92" t="s">
        <v>251</v>
      </c>
      <c r="G197" s="391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90" t="s">
        <v>251</v>
      </c>
      <c r="G198" s="376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93" t="s">
        <v>251</v>
      </c>
      <c r="G199" s="375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90" t="s">
        <v>251</v>
      </c>
      <c r="G200" s="376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79" t="s">
        <v>91</v>
      </c>
      <c r="I203" s="380"/>
      <c r="J203" s="380"/>
      <c r="K203" s="381"/>
      <c r="L203" s="382" t="s">
        <v>90</v>
      </c>
      <c r="M203" s="384" t="s">
        <v>157</v>
      </c>
      <c r="N203" s="384" t="s">
        <v>158</v>
      </c>
      <c r="O203" s="386" t="s">
        <v>159</v>
      </c>
      <c r="P203" s="387"/>
      <c r="Q203" s="388"/>
      <c r="R203" s="384" t="s">
        <v>160</v>
      </c>
      <c r="S203" s="386" t="s">
        <v>19</v>
      </c>
      <c r="T203" s="387"/>
      <c r="U203" s="388"/>
      <c r="V203" s="384" t="s">
        <v>124</v>
      </c>
      <c r="W203" s="384" t="s">
        <v>125</v>
      </c>
      <c r="X203" s="373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83"/>
      <c r="M204" s="385"/>
      <c r="N204" s="385"/>
      <c r="O204" s="284" t="s">
        <v>167</v>
      </c>
      <c r="P204" s="284" t="s">
        <v>168</v>
      </c>
      <c r="Q204" s="315" t="s">
        <v>125</v>
      </c>
      <c r="R204" s="385"/>
      <c r="S204" s="284" t="s">
        <v>167</v>
      </c>
      <c r="T204" s="284" t="s">
        <v>168</v>
      </c>
      <c r="U204" s="315" t="s">
        <v>125</v>
      </c>
      <c r="V204" s="385"/>
      <c r="W204" s="385"/>
      <c r="X204" s="374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76" t="s">
        <v>173</v>
      </c>
      <c r="G210" s="376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75" t="s">
        <v>224</v>
      </c>
      <c r="G213" s="375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76" t="s">
        <v>224</v>
      </c>
      <c r="G214" s="376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75" t="s">
        <v>173</v>
      </c>
      <c r="G221" s="375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89"/>
      <c r="G224" s="389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92" t="s">
        <v>177</v>
      </c>
      <c r="G225" s="391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90" t="s">
        <v>177</v>
      </c>
      <c r="G226" s="376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93" t="s">
        <v>177</v>
      </c>
      <c r="G227" s="375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90" t="s">
        <v>177</v>
      </c>
      <c r="G228" s="376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79" t="s">
        <v>91</v>
      </c>
      <c r="I231" s="380"/>
      <c r="J231" s="380"/>
      <c r="K231" s="381"/>
      <c r="L231" s="382" t="s">
        <v>90</v>
      </c>
      <c r="M231" s="384" t="s">
        <v>157</v>
      </c>
      <c r="N231" s="384" t="s">
        <v>158</v>
      </c>
      <c r="O231" s="386" t="s">
        <v>159</v>
      </c>
      <c r="P231" s="387"/>
      <c r="Q231" s="388"/>
      <c r="R231" s="384" t="s">
        <v>160</v>
      </c>
      <c r="S231" s="386" t="s">
        <v>19</v>
      </c>
      <c r="T231" s="387"/>
      <c r="U231" s="388"/>
      <c r="V231" s="384" t="s">
        <v>124</v>
      </c>
      <c r="W231" s="384" t="s">
        <v>125</v>
      </c>
      <c r="X231" s="373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83"/>
      <c r="M232" s="385"/>
      <c r="N232" s="385"/>
      <c r="O232" s="284" t="s">
        <v>167</v>
      </c>
      <c r="P232" s="284" t="s">
        <v>168</v>
      </c>
      <c r="Q232" s="315" t="s">
        <v>125</v>
      </c>
      <c r="R232" s="385"/>
      <c r="S232" s="284" t="s">
        <v>167</v>
      </c>
      <c r="T232" s="284" t="s">
        <v>168</v>
      </c>
      <c r="U232" s="315" t="s">
        <v>125</v>
      </c>
      <c r="V232" s="385"/>
      <c r="W232" s="385"/>
      <c r="X232" s="374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75" t="s">
        <v>173</v>
      </c>
      <c r="G237" s="375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75" t="s">
        <v>224</v>
      </c>
      <c r="G239" s="375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76" t="s">
        <v>224</v>
      </c>
      <c r="G240" s="376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75" t="s">
        <v>165</v>
      </c>
      <c r="G241" s="375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75" t="s">
        <v>174</v>
      </c>
      <c r="G243" s="375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76" t="s">
        <v>173</v>
      </c>
      <c r="G244" s="376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89" t="s">
        <v>255</v>
      </c>
      <c r="G245" s="389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91" t="s">
        <v>255</v>
      </c>
      <c r="G246" s="391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89" t="s">
        <v>255</v>
      </c>
      <c r="G247" s="389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91" t="s">
        <v>255</v>
      </c>
      <c r="G248" s="391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89" t="s">
        <v>255</v>
      </c>
      <c r="G249" s="389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79" t="s">
        <v>91</v>
      </c>
      <c r="I252" s="380"/>
      <c r="J252" s="380"/>
      <c r="K252" s="381"/>
      <c r="L252" s="382" t="s">
        <v>90</v>
      </c>
      <c r="M252" s="384" t="s">
        <v>157</v>
      </c>
      <c r="N252" s="384" t="s">
        <v>158</v>
      </c>
      <c r="O252" s="386" t="s">
        <v>159</v>
      </c>
      <c r="P252" s="387"/>
      <c r="Q252" s="388"/>
      <c r="R252" s="384" t="s">
        <v>160</v>
      </c>
      <c r="S252" s="386" t="s">
        <v>19</v>
      </c>
      <c r="T252" s="387"/>
      <c r="U252" s="388"/>
      <c r="V252" s="384" t="s">
        <v>124</v>
      </c>
      <c r="W252" s="384" t="s">
        <v>125</v>
      </c>
      <c r="X252" s="373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83"/>
      <c r="M253" s="385"/>
      <c r="N253" s="385"/>
      <c r="O253" s="284" t="s">
        <v>167</v>
      </c>
      <c r="P253" s="284" t="s">
        <v>168</v>
      </c>
      <c r="Q253" s="315" t="s">
        <v>125</v>
      </c>
      <c r="R253" s="385"/>
      <c r="S253" s="284" t="s">
        <v>167</v>
      </c>
      <c r="T253" s="284" t="s">
        <v>168</v>
      </c>
      <c r="U253" s="315" t="s">
        <v>125</v>
      </c>
      <c r="V253" s="385"/>
      <c r="W253" s="385"/>
      <c r="X253" s="374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75" t="s">
        <v>173</v>
      </c>
      <c r="G258" s="375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76" t="s">
        <v>173</v>
      </c>
      <c r="G259" s="376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75" t="s">
        <v>224</v>
      </c>
      <c r="G262" s="375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76" t="s">
        <v>224</v>
      </c>
      <c r="G263" s="376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75" t="s">
        <v>173</v>
      </c>
      <c r="G268" s="375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76" t="s">
        <v>173</v>
      </c>
      <c r="G269" s="376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91"/>
      <c r="G272" s="391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94" t="s">
        <v>177</v>
      </c>
      <c r="G273" s="389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93" t="s">
        <v>177</v>
      </c>
      <c r="G274" s="375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90" t="s">
        <v>177</v>
      </c>
      <c r="G275" s="376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93" t="s">
        <v>177</v>
      </c>
      <c r="G276" s="375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79" t="s">
        <v>91</v>
      </c>
      <c r="I279" s="380"/>
      <c r="J279" s="380"/>
      <c r="K279" s="381"/>
      <c r="L279" s="382" t="s">
        <v>90</v>
      </c>
      <c r="M279" s="384" t="s">
        <v>157</v>
      </c>
      <c r="N279" s="384" t="s">
        <v>158</v>
      </c>
      <c r="O279" s="386" t="s">
        <v>159</v>
      </c>
      <c r="P279" s="387"/>
      <c r="Q279" s="388"/>
      <c r="R279" s="384" t="s">
        <v>160</v>
      </c>
      <c r="S279" s="386" t="s">
        <v>19</v>
      </c>
      <c r="T279" s="387"/>
      <c r="U279" s="388"/>
      <c r="V279" s="384" t="s">
        <v>124</v>
      </c>
      <c r="W279" s="384" t="s">
        <v>125</v>
      </c>
      <c r="X279" s="373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83"/>
      <c r="M280" s="385"/>
      <c r="N280" s="385"/>
      <c r="O280" s="284" t="s">
        <v>167</v>
      </c>
      <c r="P280" s="284" t="s">
        <v>168</v>
      </c>
      <c r="Q280" s="315" t="s">
        <v>125</v>
      </c>
      <c r="R280" s="385"/>
      <c r="S280" s="284" t="s">
        <v>167</v>
      </c>
      <c r="T280" s="284" t="s">
        <v>168</v>
      </c>
      <c r="U280" s="315" t="s">
        <v>125</v>
      </c>
      <c r="V280" s="385"/>
      <c r="W280" s="385"/>
      <c r="X280" s="374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76" t="s">
        <v>173</v>
      </c>
      <c r="G284" s="376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75" t="s">
        <v>173</v>
      </c>
      <c r="G285" s="375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89"/>
      <c r="G288" s="389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75" t="s">
        <v>224</v>
      </c>
      <c r="G289" s="375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76" t="s">
        <v>224</v>
      </c>
      <c r="G290" s="376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75" t="s">
        <v>173</v>
      </c>
      <c r="G297" s="375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89"/>
      <c r="G298" s="389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92" t="s">
        <v>257</v>
      </c>
      <c r="G299" s="391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92" t="s">
        <v>257</v>
      </c>
      <c r="G300" s="391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93" t="s">
        <v>257</v>
      </c>
      <c r="G301" s="375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92" t="s">
        <v>257</v>
      </c>
      <c r="G302" s="391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93" t="s">
        <v>257</v>
      </c>
      <c r="G303" s="375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77" t="s">
        <v>258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</row>
    <row r="2" spans="1:27" s="276" customFormat="1" ht="26.25" x14ac:dyDescent="0.2">
      <c r="A2" s="377" t="s">
        <v>214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</row>
    <row r="3" spans="1:27" s="276" customFormat="1" ht="26.25" x14ac:dyDescent="0.2">
      <c r="A3" s="377" t="s">
        <v>215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377"/>
      <c r="Z3" s="377"/>
      <c r="AA3" s="377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78" t="s">
        <v>153</v>
      </c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X4" s="378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79" t="s">
        <v>91</v>
      </c>
      <c r="I5" s="380"/>
      <c r="J5" s="380"/>
      <c r="K5" s="381"/>
      <c r="L5" s="382" t="s">
        <v>90</v>
      </c>
      <c r="M5" s="384" t="s">
        <v>157</v>
      </c>
      <c r="N5" s="384" t="s">
        <v>158</v>
      </c>
      <c r="O5" s="386" t="s">
        <v>159</v>
      </c>
      <c r="P5" s="387"/>
      <c r="Q5" s="388"/>
      <c r="R5" s="384" t="s">
        <v>160</v>
      </c>
      <c r="S5" s="386" t="s">
        <v>19</v>
      </c>
      <c r="T5" s="387"/>
      <c r="U5" s="388"/>
      <c r="V5" s="384" t="s">
        <v>124</v>
      </c>
      <c r="W5" s="384" t="s">
        <v>125</v>
      </c>
      <c r="X5" s="373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83"/>
      <c r="M6" s="385"/>
      <c r="N6" s="385"/>
      <c r="O6" s="284" t="s">
        <v>167</v>
      </c>
      <c r="P6" s="284" t="s">
        <v>168</v>
      </c>
      <c r="Q6" s="315" t="s">
        <v>125</v>
      </c>
      <c r="R6" s="385"/>
      <c r="S6" s="284" t="s">
        <v>167</v>
      </c>
      <c r="T6" s="284" t="s">
        <v>168</v>
      </c>
      <c r="U6" s="315" t="s">
        <v>125</v>
      </c>
      <c r="V6" s="385"/>
      <c r="W6" s="385"/>
      <c r="X6" s="374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76"/>
      <c r="G14" s="37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76" t="s">
        <v>224</v>
      </c>
      <c r="G16" s="376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75" t="s">
        <v>224</v>
      </c>
      <c r="G17" s="375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76" t="s">
        <v>173</v>
      </c>
      <c r="G22" s="376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75" t="s">
        <v>235</v>
      </c>
      <c r="G25" s="375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76" t="s">
        <v>235</v>
      </c>
      <c r="G26" s="376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75" t="s">
        <v>235</v>
      </c>
      <c r="G27" s="375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79" t="s">
        <v>91</v>
      </c>
      <c r="I30" s="380"/>
      <c r="J30" s="380"/>
      <c r="K30" s="381"/>
      <c r="L30" s="382" t="s">
        <v>90</v>
      </c>
      <c r="M30" s="384" t="s">
        <v>157</v>
      </c>
      <c r="N30" s="384" t="s">
        <v>158</v>
      </c>
      <c r="O30" s="386" t="s">
        <v>159</v>
      </c>
      <c r="P30" s="387"/>
      <c r="Q30" s="388"/>
      <c r="R30" s="384" t="s">
        <v>160</v>
      </c>
      <c r="S30" s="386" t="s">
        <v>19</v>
      </c>
      <c r="T30" s="387"/>
      <c r="U30" s="388"/>
      <c r="V30" s="384" t="s">
        <v>124</v>
      </c>
      <c r="W30" s="384" t="s">
        <v>125</v>
      </c>
      <c r="X30" s="373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83"/>
      <c r="M31" s="385"/>
      <c r="N31" s="385"/>
      <c r="O31" s="284" t="s">
        <v>167</v>
      </c>
      <c r="P31" s="284" t="s">
        <v>168</v>
      </c>
      <c r="Q31" s="315" t="s">
        <v>125</v>
      </c>
      <c r="R31" s="385"/>
      <c r="S31" s="284" t="s">
        <v>167</v>
      </c>
      <c r="T31" s="284" t="s">
        <v>168</v>
      </c>
      <c r="U31" s="315" t="s">
        <v>125</v>
      </c>
      <c r="V31" s="385"/>
      <c r="W31" s="385"/>
      <c r="X31" s="374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75" t="s">
        <v>263</v>
      </c>
      <c r="G32" s="375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90" t="s">
        <v>207</v>
      </c>
      <c r="G33" s="390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75" t="s">
        <v>173</v>
      </c>
      <c r="G34" s="375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76" t="s">
        <v>173</v>
      </c>
      <c r="G35" s="376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93" t="s">
        <v>201</v>
      </c>
      <c r="G36" s="375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76" t="s">
        <v>224</v>
      </c>
      <c r="G37" s="376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76" t="s">
        <v>224</v>
      </c>
      <c r="G38" s="376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90" t="s">
        <v>201</v>
      </c>
      <c r="G39" s="376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93" t="s">
        <v>201</v>
      </c>
      <c r="G40" s="375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76" t="s">
        <v>173</v>
      </c>
      <c r="G41" s="376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75" t="s">
        <v>173</v>
      </c>
      <c r="G42" s="375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90" t="s">
        <v>201</v>
      </c>
      <c r="G43" s="376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93" t="s">
        <v>201</v>
      </c>
      <c r="G44" s="375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90" t="s">
        <v>201</v>
      </c>
      <c r="G45" s="376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93" t="s">
        <v>201</v>
      </c>
      <c r="G46" s="375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90" t="s">
        <v>201</v>
      </c>
      <c r="G47" s="376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79" t="s">
        <v>91</v>
      </c>
      <c r="I50" s="380"/>
      <c r="J50" s="380"/>
      <c r="K50" s="381"/>
      <c r="L50" s="382" t="s">
        <v>90</v>
      </c>
      <c r="M50" s="384" t="s">
        <v>157</v>
      </c>
      <c r="N50" s="384" t="s">
        <v>158</v>
      </c>
      <c r="O50" s="386" t="s">
        <v>159</v>
      </c>
      <c r="P50" s="387"/>
      <c r="Q50" s="388"/>
      <c r="R50" s="384" t="s">
        <v>160</v>
      </c>
      <c r="S50" s="386" t="s">
        <v>19</v>
      </c>
      <c r="T50" s="387"/>
      <c r="U50" s="388"/>
      <c r="V50" s="384" t="s">
        <v>124</v>
      </c>
      <c r="W50" s="384" t="s">
        <v>125</v>
      </c>
      <c r="X50" s="373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83"/>
      <c r="M51" s="385"/>
      <c r="N51" s="385"/>
      <c r="O51" s="284" t="s">
        <v>167</v>
      </c>
      <c r="P51" s="284" t="s">
        <v>168</v>
      </c>
      <c r="Q51" s="315" t="s">
        <v>125</v>
      </c>
      <c r="R51" s="385"/>
      <c r="S51" s="284" t="s">
        <v>167</v>
      </c>
      <c r="T51" s="284" t="s">
        <v>168</v>
      </c>
      <c r="U51" s="315" t="s">
        <v>125</v>
      </c>
      <c r="V51" s="385"/>
      <c r="W51" s="385"/>
      <c r="X51" s="374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93" t="s">
        <v>201</v>
      </c>
      <c r="G52" s="375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90" t="s">
        <v>201</v>
      </c>
      <c r="G53" s="390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75" t="s">
        <v>173</v>
      </c>
      <c r="G54" s="375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76" t="s">
        <v>173</v>
      </c>
      <c r="G55" s="376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93" t="s">
        <v>201</v>
      </c>
      <c r="G56" s="375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76" t="s">
        <v>224</v>
      </c>
      <c r="G57" s="376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75" t="s">
        <v>224</v>
      </c>
      <c r="G58" s="375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90" t="s">
        <v>201</v>
      </c>
      <c r="G59" s="376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93" t="s">
        <v>201</v>
      </c>
      <c r="G60" s="375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76" t="s">
        <v>173</v>
      </c>
      <c r="G61" s="376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75" t="s">
        <v>173</v>
      </c>
      <c r="G62" s="375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90" t="s">
        <v>201</v>
      </c>
      <c r="G63" s="376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93" t="s">
        <v>201</v>
      </c>
      <c r="G64" s="375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90" t="s">
        <v>201</v>
      </c>
      <c r="G65" s="376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93" t="s">
        <v>201</v>
      </c>
      <c r="G66" s="375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90" t="s">
        <v>201</v>
      </c>
      <c r="G67" s="376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6600"/>
  </sheetPr>
  <dimension ref="A1:Z70"/>
  <sheetViews>
    <sheetView tabSelected="1" workbookViewId="0">
      <pane ySplit="6" topLeftCell="A19" activePane="bottomLeft" state="frozen"/>
      <selection pane="bottomLeft" activeCell="M45" sqref="M45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7" t="s">
        <v>106</v>
      </c>
      <c r="B1" s="237"/>
      <c r="C1" s="238"/>
    </row>
    <row r="2" spans="1:26" s="124" customFormat="1" ht="15.75" x14ac:dyDescent="0.25">
      <c r="A2" s="239" t="s">
        <v>12</v>
      </c>
      <c r="B2" s="239"/>
      <c r="C2" s="240"/>
      <c r="D2" s="125" t="s">
        <v>119</v>
      </c>
      <c r="E2" s="125"/>
      <c r="F2" s="125"/>
    </row>
    <row r="3" spans="1:26" s="124" customFormat="1" ht="15.75" x14ac:dyDescent="0.25">
      <c r="A3" s="237" t="s">
        <v>11</v>
      </c>
      <c r="B3" s="237"/>
      <c r="C3" s="240"/>
      <c r="D3" s="125" t="s">
        <v>296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x14ac:dyDescent="0.2">
      <c r="A5" s="443"/>
      <c r="B5" s="445" t="s">
        <v>0</v>
      </c>
      <c r="C5" s="416" t="s">
        <v>1</v>
      </c>
      <c r="D5" s="395" t="s">
        <v>13</v>
      </c>
      <c r="E5" s="416" t="s">
        <v>14</v>
      </c>
      <c r="F5" s="395"/>
      <c r="G5" s="416" t="s">
        <v>16</v>
      </c>
      <c r="H5" s="395" t="s">
        <v>44</v>
      </c>
      <c r="I5" s="412" t="s">
        <v>118</v>
      </c>
      <c r="J5" s="420" t="s">
        <v>91</v>
      </c>
      <c r="K5" s="421"/>
      <c r="L5" s="422"/>
      <c r="M5" s="432" t="s">
        <v>108</v>
      </c>
      <c r="N5" s="433"/>
      <c r="O5" s="433"/>
      <c r="P5" s="416" t="s">
        <v>2</v>
      </c>
      <c r="Q5" s="395" t="s">
        <v>17</v>
      </c>
      <c r="R5" s="416" t="s">
        <v>2</v>
      </c>
      <c r="S5" s="395" t="s">
        <v>18</v>
      </c>
      <c r="T5" s="416" t="s">
        <v>2</v>
      </c>
      <c r="U5" s="395" t="s">
        <v>19</v>
      </c>
      <c r="V5" s="416" t="s">
        <v>2</v>
      </c>
      <c r="W5" s="395" t="s">
        <v>20</v>
      </c>
      <c r="X5" s="397" t="s">
        <v>3</v>
      </c>
    </row>
    <row r="6" spans="1:26" s="138" customFormat="1" ht="27" customHeight="1" thickBot="1" x14ac:dyDescent="0.25">
      <c r="A6" s="444"/>
      <c r="B6" s="417"/>
      <c r="C6" s="417"/>
      <c r="D6" s="431"/>
      <c r="E6" s="436"/>
      <c r="F6" s="431"/>
      <c r="G6" s="436"/>
      <c r="H6" s="396"/>
      <c r="I6" s="413"/>
      <c r="J6" s="241" t="s">
        <v>92</v>
      </c>
      <c r="K6" s="241" t="s">
        <v>93</v>
      </c>
      <c r="L6" s="241" t="s">
        <v>94</v>
      </c>
      <c r="M6" s="242" t="s">
        <v>109</v>
      </c>
      <c r="N6" s="242" t="s">
        <v>17</v>
      </c>
      <c r="O6" s="242" t="s">
        <v>18</v>
      </c>
      <c r="P6" s="417"/>
      <c r="Q6" s="431"/>
      <c r="R6" s="417"/>
      <c r="S6" s="431"/>
      <c r="T6" s="417"/>
      <c r="U6" s="431"/>
      <c r="V6" s="417"/>
      <c r="W6" s="396"/>
      <c r="X6" s="398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f>+D7/13</f>
        <v>527</v>
      </c>
      <c r="F7" s="351">
        <v>11</v>
      </c>
      <c r="G7" s="132">
        <f>+D7</f>
        <v>6851</v>
      </c>
      <c r="H7" s="20">
        <f>(F7+J7+K7+L7+Q7)*10</f>
        <v>130</v>
      </c>
      <c r="I7" s="20"/>
      <c r="J7" s="133">
        <v>2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v>1</v>
      </c>
      <c r="P7" s="232">
        <f>(((E7/8)*1.25)*M7)+((((E7/8)*N7)*200%)*130%)+((((E7/8)*130%)*130%)*O7)</f>
        <v>111.32875000000001</v>
      </c>
      <c r="Q7" s="134"/>
      <c r="R7" s="135">
        <f>+Q7*E7</f>
        <v>0</v>
      </c>
      <c r="S7" s="134">
        <v>0</v>
      </c>
      <c r="T7" s="135">
        <f>(+S7*E7)*0.3</f>
        <v>0</v>
      </c>
      <c r="U7" s="353">
        <v>2</v>
      </c>
      <c r="V7" s="21">
        <f>(E7/8/10)*U7</f>
        <v>13.175000000000001</v>
      </c>
      <c r="W7" s="136"/>
      <c r="X7" s="137">
        <f>+G7+H7+P7+R7+T7+V7+W7+I7</f>
        <v>7105.5037499999999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f>+D8/13</f>
        <v>527</v>
      </c>
      <c r="F8" s="352">
        <v>12</v>
      </c>
      <c r="G8" s="141">
        <f>+D8</f>
        <v>6851</v>
      </c>
      <c r="H8" s="20">
        <f t="shared" ref="H8:H13" si="0">(F8+J8+K8+L8+Q8)*10</f>
        <v>130</v>
      </c>
      <c r="I8" s="21"/>
      <c r="J8" s="352">
        <v>0</v>
      </c>
      <c r="K8" s="73">
        <f>+'10.26-11.10'!I229</f>
        <v>0</v>
      </c>
      <c r="L8" s="73">
        <v>1</v>
      </c>
      <c r="M8" s="73">
        <v>0</v>
      </c>
      <c r="N8" s="73">
        <f>+'10.26-11.10'!P229</f>
        <v>0</v>
      </c>
      <c r="O8" s="73">
        <f>+'10.26-11.10'!Q229</f>
        <v>0</v>
      </c>
      <c r="P8" s="232">
        <f t="shared" ref="P8:P16" si="1">(((E8/8)*1.25)*M8)+((((E8/8)*N8)*200%)*130%)+((((E8/8)*130%)*130%)*O8)</f>
        <v>0</v>
      </c>
      <c r="Q8" s="73"/>
      <c r="R8" s="21">
        <f t="shared" ref="R8:R16" si="2">+Q8*E8</f>
        <v>0</v>
      </c>
      <c r="S8" s="73">
        <f>+'10.26-11.10'!W229</f>
        <v>0</v>
      </c>
      <c r="T8" s="21">
        <f t="shared" ref="T8:T16" si="3">(+S8*E8)*0.3</f>
        <v>0</v>
      </c>
      <c r="U8" s="352">
        <v>2</v>
      </c>
      <c r="V8" s="21">
        <f t="shared" ref="V8:V16" si="4">(E8/8/10)*U8</f>
        <v>13.175000000000001</v>
      </c>
      <c r="W8" s="15"/>
      <c r="X8" s="137">
        <f t="shared" ref="X8:X16" si="5">+G8+H8+P8+R8+T8+V8+W8+I8</f>
        <v>6994.1750000000002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12</v>
      </c>
      <c r="G9" s="141">
        <f>D9</f>
        <v>10273</v>
      </c>
      <c r="H9" s="20">
        <f t="shared" si="0"/>
        <v>130</v>
      </c>
      <c r="I9" s="21"/>
      <c r="J9" s="73">
        <v>1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2">
        <f t="shared" si="1"/>
        <v>0</v>
      </c>
      <c r="Q9" s="73"/>
      <c r="R9" s="21">
        <f t="shared" si="2"/>
        <v>0</v>
      </c>
      <c r="S9" s="73">
        <f>+'10.26-11.10'!W71</f>
        <v>0</v>
      </c>
      <c r="T9" s="21">
        <f t="shared" si="3"/>
        <v>0</v>
      </c>
      <c r="U9" s="352">
        <v>7</v>
      </c>
      <c r="V9" s="21">
        <f t="shared" si="4"/>
        <v>69.145192307692312</v>
      </c>
      <c r="W9" s="15"/>
      <c r="X9" s="137">
        <f t="shared" si="5"/>
        <v>10472.145192307693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f>+D10/13</f>
        <v>527</v>
      </c>
      <c r="F10" s="352">
        <v>12</v>
      </c>
      <c r="G10" s="141">
        <f t="shared" ref="G10:G16" si="6">+D10</f>
        <v>6851</v>
      </c>
      <c r="H10" s="20">
        <f t="shared" si="0"/>
        <v>130</v>
      </c>
      <c r="I10" s="21"/>
      <c r="J10" s="73">
        <v>1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2">
        <f t="shared" si="1"/>
        <v>0</v>
      </c>
      <c r="Q10" s="73"/>
      <c r="R10" s="21">
        <f t="shared" si="2"/>
        <v>0</v>
      </c>
      <c r="S10" s="73">
        <f>+'10.26-11.10'!W250</f>
        <v>0</v>
      </c>
      <c r="T10" s="21">
        <f t="shared" si="3"/>
        <v>0</v>
      </c>
      <c r="U10" s="352">
        <v>3</v>
      </c>
      <c r="V10" s="21">
        <f t="shared" si="4"/>
        <v>19.762500000000003</v>
      </c>
      <c r="W10" s="15"/>
      <c r="X10" s="137">
        <f t="shared" si="5"/>
        <v>7000.7624999999998</v>
      </c>
      <c r="Y10" s="142"/>
      <c r="Z10" s="142"/>
    </row>
    <row r="11" spans="1:26" s="138" customFormat="1" ht="12" customHeight="1" thickBot="1" x14ac:dyDescent="0.25">
      <c r="A11" s="139" t="s">
        <v>293</v>
      </c>
      <c r="B11" s="22" t="s">
        <v>272</v>
      </c>
      <c r="C11" s="72" t="s">
        <v>204</v>
      </c>
      <c r="D11" s="73">
        <v>6851</v>
      </c>
      <c r="E11" s="130">
        <f t="shared" ref="E11:E16" si="7">+D11/13</f>
        <v>527</v>
      </c>
      <c r="F11" s="352">
        <v>9.5</v>
      </c>
      <c r="G11" s="141">
        <f>E11*F11+1054</f>
        <v>6060.5</v>
      </c>
      <c r="H11" s="20">
        <f t="shared" si="0"/>
        <v>115</v>
      </c>
      <c r="I11" s="21"/>
      <c r="J11" s="73">
        <v>2</v>
      </c>
      <c r="K11" s="73">
        <v>0</v>
      </c>
      <c r="L11" s="73">
        <v>0</v>
      </c>
      <c r="M11" s="352">
        <v>1</v>
      </c>
      <c r="N11" s="73">
        <f>+'10.26-11.10(SI)'!P28</f>
        <v>0</v>
      </c>
      <c r="O11" s="73">
        <v>0</v>
      </c>
      <c r="P11" s="232">
        <f t="shared" si="1"/>
        <v>82.34375</v>
      </c>
      <c r="Q11" s="73"/>
      <c r="R11" s="21">
        <f t="shared" si="2"/>
        <v>0</v>
      </c>
      <c r="S11" s="73">
        <v>1</v>
      </c>
      <c r="T11" s="21">
        <f t="shared" si="3"/>
        <v>158.1</v>
      </c>
      <c r="U11" s="352">
        <v>5</v>
      </c>
      <c r="V11" s="21">
        <f t="shared" si="4"/>
        <v>32.9375</v>
      </c>
      <c r="W11" s="15"/>
      <c r="X11" s="137">
        <f>+G11+H11+P11+R11+T11+V11+W11+I11</f>
        <v>6448.8812500000004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f t="shared" si="7"/>
        <v>527</v>
      </c>
      <c r="F12" s="352">
        <v>11</v>
      </c>
      <c r="G12" s="141">
        <f>E12*F12+527</f>
        <v>6324</v>
      </c>
      <c r="H12" s="20">
        <f t="shared" si="0"/>
        <v>120</v>
      </c>
      <c r="I12" s="21"/>
      <c r="J12" s="73">
        <v>1</v>
      </c>
      <c r="K12" s="73">
        <f>+'10.26-11.10(SI)'!I29</f>
        <v>0</v>
      </c>
      <c r="L12" s="73">
        <f>+'10.26-11.10(SI)'!J29</f>
        <v>0</v>
      </c>
      <c r="M12" s="352">
        <v>1</v>
      </c>
      <c r="N12" s="73">
        <f>+'10.26-11.10(SI)'!P29</f>
        <v>0</v>
      </c>
      <c r="O12" s="73">
        <f>+'10.26-11.10(SI)'!Q29</f>
        <v>0</v>
      </c>
      <c r="P12" s="232">
        <f>(((E12/8)*1.25)*M12)+((((E12/8)*N12)*200%)*130%)+((((E12/8)*130%)*130%)*O12)</f>
        <v>82.34375</v>
      </c>
      <c r="Q12" s="73"/>
      <c r="R12" s="21">
        <f>+Q12*E12</f>
        <v>0</v>
      </c>
      <c r="S12" s="73"/>
      <c r="T12" s="21">
        <f>(+S12*E12)*0.3</f>
        <v>0</v>
      </c>
      <c r="U12" s="352">
        <v>2</v>
      </c>
      <c r="V12" s="21">
        <f>(E12/8/10)*U12</f>
        <v>13.175000000000001</v>
      </c>
      <c r="W12" s="15"/>
      <c r="X12" s="137">
        <f>+G12+H12+P12+R12+T12+V12+W12+I12</f>
        <v>6539.5187500000002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f t="shared" si="7"/>
        <v>527</v>
      </c>
      <c r="F13" s="352">
        <v>12</v>
      </c>
      <c r="G13" s="141">
        <f>E13*F13+527</f>
        <v>6851</v>
      </c>
      <c r="H13" s="20">
        <f t="shared" si="0"/>
        <v>120</v>
      </c>
      <c r="I13" s="21"/>
      <c r="J13" s="73">
        <v>0</v>
      </c>
      <c r="K13" s="73">
        <f>+'10.26-11.10(SI)'!I30</f>
        <v>0</v>
      </c>
      <c r="L13" s="73">
        <v>0</v>
      </c>
      <c r="M13" s="352">
        <v>3</v>
      </c>
      <c r="N13" s="73">
        <f>+'10.26-11.10(SI)'!P30</f>
        <v>0</v>
      </c>
      <c r="O13" s="73">
        <f>+'10.26-11.10(SI)'!Q30</f>
        <v>0</v>
      </c>
      <c r="P13" s="232">
        <f t="shared" si="1"/>
        <v>247.03125</v>
      </c>
      <c r="Q13" s="73"/>
      <c r="R13" s="21">
        <f t="shared" si="2"/>
        <v>0</v>
      </c>
      <c r="S13" s="73"/>
      <c r="T13" s="21">
        <f t="shared" si="3"/>
        <v>0</v>
      </c>
      <c r="U13" s="352">
        <v>6</v>
      </c>
      <c r="V13" s="21">
        <f t="shared" si="4"/>
        <v>39.525000000000006</v>
      </c>
      <c r="W13" s="15"/>
      <c r="X13" s="137">
        <f t="shared" si="5"/>
        <v>7257.5562499999996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0">
        <f t="shared" ref="H14" si="8">(F14+J14+K14+L14+Q14)*10</f>
        <v>0</v>
      </c>
      <c r="I14" s="1"/>
      <c r="J14" s="73"/>
      <c r="K14" s="73"/>
      <c r="L14" s="73"/>
      <c r="M14" s="73"/>
      <c r="N14" s="73"/>
      <c r="O14" s="73"/>
      <c r="P14" s="232">
        <f t="shared" si="1"/>
        <v>0</v>
      </c>
      <c r="Q14" s="73"/>
      <c r="R14" s="21">
        <f t="shared" si="2"/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ref="H15:H16" si="9">(F15+J15+K15+L15+Q15)*10</f>
        <v>0</v>
      </c>
      <c r="I15" s="1"/>
      <c r="J15" s="73"/>
      <c r="K15" s="73"/>
      <c r="L15" s="73"/>
      <c r="M15" s="73"/>
      <c r="N15" s="73"/>
      <c r="O15" s="73"/>
      <c r="P15" s="232">
        <f t="shared" si="1"/>
        <v>0</v>
      </c>
      <c r="Q15" s="73"/>
      <c r="R15" s="21">
        <f t="shared" si="2"/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9"/>
        <v>0</v>
      </c>
      <c r="I16" s="1"/>
      <c r="J16" s="15"/>
      <c r="K16" s="15"/>
      <c r="L16" s="15"/>
      <c r="M16" s="73"/>
      <c r="N16" s="73"/>
      <c r="O16" s="73"/>
      <c r="P16" s="232">
        <f t="shared" si="1"/>
        <v>0</v>
      </c>
      <c r="Q16" s="73"/>
      <c r="R16" s="21">
        <f t="shared" si="2"/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50061.5</v>
      </c>
      <c r="H18" s="3">
        <f>SUM(H7:H16)</f>
        <v>875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523.04750000000001</v>
      </c>
      <c r="Q18" s="4"/>
      <c r="R18" s="3">
        <f>SUM(R7:R16)</f>
        <v>0</v>
      </c>
      <c r="S18" s="4"/>
      <c r="T18" s="3">
        <f>SUM(T7:T16)</f>
        <v>158.1</v>
      </c>
      <c r="U18" s="6"/>
      <c r="V18" s="3">
        <f>SUM(V7:V16)</f>
        <v>200.89519230769233</v>
      </c>
      <c r="W18" s="4"/>
      <c r="X18" s="3">
        <f>SUM(X7:X16)</f>
        <v>51818.542692307696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9"/>
      <c r="B20" s="401" t="s">
        <v>0</v>
      </c>
      <c r="C20" s="403" t="s">
        <v>1</v>
      </c>
      <c r="D20" s="405" t="s">
        <v>3</v>
      </c>
      <c r="E20" s="407" t="s">
        <v>22</v>
      </c>
      <c r="F20" s="414" t="s">
        <v>2</v>
      </c>
      <c r="G20" s="418" t="s">
        <v>21</v>
      </c>
      <c r="H20" s="405" t="s">
        <v>2</v>
      </c>
      <c r="I20" s="410" t="s">
        <v>126</v>
      </c>
      <c r="J20" s="427" t="s">
        <v>4</v>
      </c>
      <c r="K20" s="429" t="s">
        <v>23</v>
      </c>
      <c r="L20" s="405" t="s">
        <v>5</v>
      </c>
      <c r="M20" s="405" t="s">
        <v>6</v>
      </c>
      <c r="N20" s="405" t="s">
        <v>24</v>
      </c>
      <c r="O20" s="405" t="s">
        <v>7</v>
      </c>
      <c r="P20" s="425" t="s">
        <v>3</v>
      </c>
      <c r="Q20" s="243"/>
      <c r="R20" s="152" t="s">
        <v>103</v>
      </c>
      <c r="S20" s="243"/>
    </row>
    <row r="21" spans="1:24" s="138" customFormat="1" ht="15" customHeight="1" thickBot="1" x14ac:dyDescent="0.25">
      <c r="A21" s="400"/>
      <c r="B21" s="402"/>
      <c r="C21" s="404"/>
      <c r="D21" s="406"/>
      <c r="E21" s="408"/>
      <c r="F21" s="415"/>
      <c r="G21" s="419"/>
      <c r="H21" s="409"/>
      <c r="I21" s="411"/>
      <c r="J21" s="428"/>
      <c r="K21" s="430"/>
      <c r="L21" s="409"/>
      <c r="M21" s="409"/>
      <c r="N21" s="406"/>
      <c r="O21" s="409"/>
      <c r="P21" s="426"/>
      <c r="R21" s="249" t="str">
        <f>D3</f>
        <v>February 11-25,2020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6" t="str">
        <f>+C7</f>
        <v>M.T.Purchaser</v>
      </c>
      <c r="D22" s="154">
        <f t="shared" ref="D22:D31" si="10">+X7</f>
        <v>7105.5037499999999</v>
      </c>
      <c r="E22" s="353">
        <v>0</v>
      </c>
      <c r="F22" s="354">
        <f>+E22*E7</f>
        <v>0</v>
      </c>
      <c r="G22" s="353">
        <v>0</v>
      </c>
      <c r="H22" s="354">
        <f>(+E7/8)*G22</f>
        <v>0</v>
      </c>
      <c r="I22" s="353"/>
      <c r="J22" s="369">
        <v>540</v>
      </c>
      <c r="K22" s="17">
        <v>622.96</v>
      </c>
      <c r="L22" s="15">
        <v>162.5</v>
      </c>
      <c r="M22" s="155"/>
      <c r="N22" s="372">
        <v>765</v>
      </c>
      <c r="O22" s="155"/>
      <c r="P22" s="157">
        <f>+D22-F22-H22-J22-K22-L22-M22-N22-O22-I22</f>
        <v>5015.0437499999998</v>
      </c>
      <c r="R22" s="71">
        <f>G7+H7+P7+R7+T7+V7+W7-F22-H22</f>
        <v>7105.5037499999999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7" t="str">
        <f>+C8</f>
        <v>Head Cook</v>
      </c>
      <c r="D23" s="141">
        <f t="shared" si="10"/>
        <v>6994.1750000000002</v>
      </c>
      <c r="E23" s="352">
        <f>+'10.26-11.10'!R229</f>
        <v>0</v>
      </c>
      <c r="F23" s="355">
        <f t="shared" ref="F23:F31" si="11">+E23*E8</f>
        <v>0</v>
      </c>
      <c r="G23" s="352">
        <v>0</v>
      </c>
      <c r="H23" s="355">
        <f t="shared" ref="H23:H31" si="12">(+E8/8)*G23</f>
        <v>0</v>
      </c>
      <c r="I23" s="352"/>
      <c r="J23" s="370">
        <v>540</v>
      </c>
      <c r="K23" s="15"/>
      <c r="L23" s="15">
        <v>162.5</v>
      </c>
      <c r="M23" s="18"/>
      <c r="N23" s="15">
        <v>540</v>
      </c>
      <c r="O23" s="18"/>
      <c r="P23" s="157">
        <f>+D23-F23-H23-J23-K23-L23-M23-N23-O23-I23</f>
        <v>5751.6750000000002</v>
      </c>
      <c r="R23" s="71">
        <f t="shared" ref="R23:R31" si="13">G8+H8+P8+R8+T8+V8+W8-F23-H23</f>
        <v>6994.1750000000002</v>
      </c>
    </row>
    <row r="24" spans="1:24" s="138" customFormat="1" ht="11.25" x14ac:dyDescent="0.2">
      <c r="A24" s="139">
        <v>3</v>
      </c>
      <c r="B24" s="22" t="str">
        <f>+B9</f>
        <v>Dino, Joyce</v>
      </c>
      <c r="C24" s="247" t="str">
        <f>C9</f>
        <v>Store Manager</v>
      </c>
      <c r="D24" s="141">
        <f t="shared" si="10"/>
        <v>10472.145192307693</v>
      </c>
      <c r="E24" s="352">
        <v>0</v>
      </c>
      <c r="F24" s="355">
        <f t="shared" si="11"/>
        <v>0</v>
      </c>
      <c r="G24" s="352">
        <v>2.5099999999999998</v>
      </c>
      <c r="H24" s="355">
        <f>(+E9/8)*G24</f>
        <v>247.93490384615384</v>
      </c>
      <c r="I24" s="352"/>
      <c r="J24" s="370">
        <v>800</v>
      </c>
      <c r="K24" s="371">
        <v>1476.64</v>
      </c>
      <c r="L24" s="15">
        <v>275</v>
      </c>
      <c r="M24" s="18"/>
      <c r="N24" s="371">
        <v>1161.8499999999999</v>
      </c>
      <c r="O24" s="18"/>
      <c r="P24" s="157">
        <f t="shared" ref="P24" si="14">+D24-F24-H24-J24-K24-L24-M24-N24-O24-I24</f>
        <v>6510.7202884615399</v>
      </c>
      <c r="R24" s="71">
        <f t="shared" si="13"/>
        <v>10224.21028846154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7" t="str">
        <f>C10</f>
        <v>M.T.Bookkeeper</v>
      </c>
      <c r="D25" s="141">
        <f t="shared" si="10"/>
        <v>7000.7624999999998</v>
      </c>
      <c r="E25" s="352">
        <v>0</v>
      </c>
      <c r="F25" s="355">
        <f t="shared" si="11"/>
        <v>0</v>
      </c>
      <c r="G25" s="352">
        <v>1</v>
      </c>
      <c r="H25" s="355">
        <f t="shared" ref="H25" si="15">(+E10/8)*G25</f>
        <v>65.875</v>
      </c>
      <c r="I25" s="352"/>
      <c r="J25" s="370">
        <v>540</v>
      </c>
      <c r="K25" s="371">
        <v>623</v>
      </c>
      <c r="L25" s="15">
        <v>162.5</v>
      </c>
      <c r="M25" s="18"/>
      <c r="N25" s="15">
        <v>692.5</v>
      </c>
      <c r="O25" s="18"/>
      <c r="P25" s="157">
        <f t="shared" ref="P25:P31" si="16">+D25-F25-H25-J25-K25-L25-M25-N25-O25-I25</f>
        <v>4916.8874999999998</v>
      </c>
      <c r="R25" s="71">
        <f t="shared" si="13"/>
        <v>6934.8874999999998</v>
      </c>
    </row>
    <row r="26" spans="1:24" s="138" customFormat="1" ht="12" customHeight="1" x14ac:dyDescent="0.2">
      <c r="A26" s="139">
        <v>5</v>
      </c>
      <c r="B26" s="22" t="str">
        <f t="shared" ref="B26:B31" si="17">+B11</f>
        <v>Briones, Christian Joy</v>
      </c>
      <c r="C26" s="247" t="str">
        <f t="shared" ref="C26:C31" si="18">C11</f>
        <v>Asst. Cook</v>
      </c>
      <c r="D26" s="141">
        <f t="shared" si="10"/>
        <v>6448.8812500000004</v>
      </c>
      <c r="E26" s="352">
        <v>0</v>
      </c>
      <c r="F26" s="355">
        <f t="shared" si="11"/>
        <v>0</v>
      </c>
      <c r="G26" s="352">
        <v>1.35</v>
      </c>
      <c r="H26" s="355">
        <f t="shared" si="12"/>
        <v>88.931250000000006</v>
      </c>
      <c r="I26" s="352"/>
      <c r="J26" s="370">
        <v>480</v>
      </c>
      <c r="K26" s="371"/>
      <c r="L26" s="15">
        <v>150</v>
      </c>
      <c r="M26" s="18"/>
      <c r="N26" s="15"/>
      <c r="O26" s="18"/>
      <c r="P26" s="157">
        <f>+D26-F26-H26-J26-K26-L26-M26-N26-O26-I26</f>
        <v>5729.9500000000007</v>
      </c>
      <c r="R26" s="71">
        <f t="shared" si="13"/>
        <v>6359.9500000000007</v>
      </c>
    </row>
    <row r="27" spans="1:24" s="138" customFormat="1" ht="12" customHeight="1" x14ac:dyDescent="0.2">
      <c r="A27" s="139">
        <v>6</v>
      </c>
      <c r="B27" s="22" t="str">
        <f t="shared" si="17"/>
        <v>Cahilig,Benzen</v>
      </c>
      <c r="C27" s="247" t="str">
        <f t="shared" si="18"/>
        <v>Cook</v>
      </c>
      <c r="D27" s="141">
        <f>+X12</f>
        <v>6539.5187500000002</v>
      </c>
      <c r="E27" s="352">
        <v>0</v>
      </c>
      <c r="F27" s="355">
        <f t="shared" si="11"/>
        <v>0</v>
      </c>
      <c r="G27" s="352">
        <v>0.56999999999999995</v>
      </c>
      <c r="H27" s="355">
        <f t="shared" ref="H27" si="19">(+E12/8)*G27</f>
        <v>37.548749999999998</v>
      </c>
      <c r="I27" s="352"/>
      <c r="J27" s="370">
        <v>480</v>
      </c>
      <c r="K27" s="371">
        <v>507.6</v>
      </c>
      <c r="L27" s="15">
        <v>150</v>
      </c>
      <c r="M27" s="18"/>
      <c r="N27" s="15">
        <v>492.81</v>
      </c>
      <c r="O27" s="18"/>
      <c r="P27" s="157">
        <f t="shared" si="16"/>
        <v>4871.5599999999995</v>
      </c>
      <c r="R27" s="71">
        <f>G12+H12+P12+R12+T12+V12+W12-F27-H27</f>
        <v>6501.97</v>
      </c>
    </row>
    <row r="28" spans="1:24" s="138" customFormat="1" ht="12" customHeight="1" x14ac:dyDescent="0.2">
      <c r="A28" s="139">
        <v>7</v>
      </c>
      <c r="B28" s="22" t="str">
        <f t="shared" si="17"/>
        <v>Pantoja,Nancy</v>
      </c>
      <c r="C28" s="247" t="str">
        <f t="shared" si="18"/>
        <v>Cashier</v>
      </c>
      <c r="D28" s="141">
        <f t="shared" si="10"/>
        <v>7257.5562499999996</v>
      </c>
      <c r="E28" s="352">
        <v>0</v>
      </c>
      <c r="F28" s="355">
        <f t="shared" si="11"/>
        <v>0</v>
      </c>
      <c r="G28" s="352">
        <v>0.44</v>
      </c>
      <c r="H28" s="355">
        <f>(+E13/8)*G28</f>
        <v>28.984999999999999</v>
      </c>
      <c r="I28" s="352"/>
      <c r="J28" s="370">
        <v>480</v>
      </c>
      <c r="K28" s="15"/>
      <c r="L28" s="15">
        <v>150</v>
      </c>
      <c r="M28" s="18"/>
      <c r="N28" s="15">
        <v>383</v>
      </c>
      <c r="O28" s="18"/>
      <c r="P28" s="157">
        <f t="shared" si="16"/>
        <v>6215.57125</v>
      </c>
      <c r="R28" s="71">
        <f t="shared" si="13"/>
        <v>7228.57125</v>
      </c>
    </row>
    <row r="29" spans="1:24" s="138" customFormat="1" ht="12" customHeight="1" x14ac:dyDescent="0.2">
      <c r="A29" s="139">
        <v>8</v>
      </c>
      <c r="B29" s="22">
        <f t="shared" si="17"/>
        <v>0</v>
      </c>
      <c r="C29" s="247">
        <f t="shared" si="18"/>
        <v>0</v>
      </c>
      <c r="D29" s="141">
        <f t="shared" si="10"/>
        <v>0</v>
      </c>
      <c r="E29" s="352"/>
      <c r="F29" s="355">
        <f t="shared" si="11"/>
        <v>0</v>
      </c>
      <c r="G29" s="352">
        <v>0</v>
      </c>
      <c r="H29" s="355">
        <f t="shared" si="12"/>
        <v>0</v>
      </c>
      <c r="I29" s="352"/>
      <c r="J29" s="15"/>
      <c r="K29" s="15"/>
      <c r="L29" s="15"/>
      <c r="M29" s="18"/>
      <c r="N29" s="15"/>
      <c r="O29" s="18"/>
      <c r="P29" s="157">
        <f t="shared" si="16"/>
        <v>0</v>
      </c>
      <c r="R29" s="71">
        <f t="shared" si="13"/>
        <v>0</v>
      </c>
    </row>
    <row r="30" spans="1:24" s="138" customFormat="1" ht="12" customHeight="1" x14ac:dyDescent="0.2">
      <c r="A30" s="139">
        <v>9</v>
      </c>
      <c r="B30" s="22">
        <f t="shared" si="17"/>
        <v>0</v>
      </c>
      <c r="C30" s="247">
        <f t="shared" si="18"/>
        <v>0</v>
      </c>
      <c r="D30" s="141">
        <f t="shared" si="10"/>
        <v>0</v>
      </c>
      <c r="E30" s="352"/>
      <c r="F30" s="355">
        <f t="shared" si="11"/>
        <v>0</v>
      </c>
      <c r="G30" s="352"/>
      <c r="H30" s="355">
        <f t="shared" si="12"/>
        <v>0</v>
      </c>
      <c r="I30" s="352"/>
      <c r="J30" s="15"/>
      <c r="K30" s="15"/>
      <c r="L30" s="15"/>
      <c r="M30" s="18"/>
      <c r="N30" s="15"/>
      <c r="O30" s="18"/>
      <c r="P30" s="157">
        <f t="shared" si="16"/>
        <v>0</v>
      </c>
      <c r="R30" s="71">
        <f t="shared" si="13"/>
        <v>0</v>
      </c>
    </row>
    <row r="31" spans="1:24" s="138" customFormat="1" ht="12" customHeight="1" x14ac:dyDescent="0.2">
      <c r="A31" s="139">
        <v>10</v>
      </c>
      <c r="B31" s="22">
        <f t="shared" si="17"/>
        <v>0</v>
      </c>
      <c r="C31" s="247">
        <f t="shared" si="18"/>
        <v>0</v>
      </c>
      <c r="D31" s="141">
        <f t="shared" si="10"/>
        <v>0</v>
      </c>
      <c r="E31" s="15"/>
      <c r="F31" s="21">
        <f t="shared" si="11"/>
        <v>0</v>
      </c>
      <c r="G31" s="158"/>
      <c r="H31" s="21">
        <f t="shared" si="12"/>
        <v>0</v>
      </c>
      <c r="I31" s="122"/>
      <c r="J31" s="15"/>
      <c r="K31" s="15"/>
      <c r="L31" s="15"/>
      <c r="M31" s="18"/>
      <c r="N31" s="15"/>
      <c r="O31" s="18"/>
      <c r="P31" s="157">
        <f t="shared" si="16"/>
        <v>0</v>
      </c>
      <c r="R31" s="71">
        <f t="shared" si="13"/>
        <v>0</v>
      </c>
    </row>
    <row r="32" spans="1:24" s="138" customFormat="1" ht="12" customHeight="1" x14ac:dyDescent="0.2">
      <c r="A32" s="159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7"/>
      <c r="R32" s="16"/>
    </row>
    <row r="33" spans="1:25" s="161" customFormat="1" ht="12" customHeight="1" thickBot="1" x14ac:dyDescent="0.25">
      <c r="A33" s="160"/>
      <c r="B33" s="147"/>
      <c r="C33" s="148"/>
      <c r="D33" s="3">
        <f>SUM(D22:D32)</f>
        <v>51818.542692307696</v>
      </c>
      <c r="E33" s="4">
        <f>+SUM(E22:E32)</f>
        <v>0</v>
      </c>
      <c r="F33" s="3">
        <f>SUM(F22:F32)</f>
        <v>0</v>
      </c>
      <c r="G33" s="4"/>
      <c r="H33" s="3">
        <f>SUM(H22:H32)</f>
        <v>469.27490384615379</v>
      </c>
      <c r="I33" s="3">
        <f>+SUM(I22:I32)</f>
        <v>0</v>
      </c>
      <c r="J33" s="3">
        <f t="shared" ref="J33:O33" si="20">+SUM(J22:J32)</f>
        <v>3860</v>
      </c>
      <c r="K33" s="3">
        <f>+SUM(K22:K32)</f>
        <v>3230.2000000000003</v>
      </c>
      <c r="L33" s="3">
        <f t="shared" si="20"/>
        <v>1212.5</v>
      </c>
      <c r="M33" s="3">
        <f t="shared" si="20"/>
        <v>0</v>
      </c>
      <c r="N33" s="3">
        <f t="shared" si="20"/>
        <v>4035.16</v>
      </c>
      <c r="O33" s="3">
        <f t="shared" si="20"/>
        <v>0</v>
      </c>
      <c r="P33" s="5">
        <f>+SUM(P22:P32)</f>
        <v>39011.40778846154</v>
      </c>
      <c r="R33" s="51"/>
      <c r="S33" s="248" t="s">
        <v>102</v>
      </c>
      <c r="T33" s="162"/>
    </row>
    <row r="34" spans="1:25" x14ac:dyDescent="0.2">
      <c r="O34" s="19" t="s">
        <v>114</v>
      </c>
      <c r="P34" s="19" t="s">
        <v>115</v>
      </c>
      <c r="Q34" s="19" t="s">
        <v>116</v>
      </c>
      <c r="R34" s="163"/>
      <c r="S34" s="167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1">B22</f>
        <v>Biarcal, Ronald Glenn</v>
      </c>
      <c r="N35" s="164"/>
      <c r="O35" s="16">
        <f>300/2</f>
        <v>150</v>
      </c>
      <c r="P35" s="16">
        <v>884</v>
      </c>
      <c r="Q35" s="16">
        <v>0</v>
      </c>
      <c r="S35" s="165">
        <f>+P22+(SUM(O35:Q35))</f>
        <v>6049.0437499999998</v>
      </c>
    </row>
    <row r="36" spans="1:25" x14ac:dyDescent="0.2">
      <c r="M36" s="16" t="str">
        <f t="shared" si="21"/>
        <v>Sanchez, Angelo</v>
      </c>
      <c r="N36" s="164"/>
      <c r="O36" s="16">
        <v>0</v>
      </c>
      <c r="P36" s="16">
        <v>500</v>
      </c>
      <c r="Q36" s="272">
        <v>0</v>
      </c>
      <c r="S36" s="165">
        <f t="shared" ref="S36:S44" si="22">+P23+(SUM(O36:Q36))</f>
        <v>6251.6750000000002</v>
      </c>
    </row>
    <row r="37" spans="1:25" x14ac:dyDescent="0.2">
      <c r="A37" s="164" t="str">
        <f>+B25</f>
        <v xml:space="preserve">Sosa, Anna Marie </v>
      </c>
      <c r="D37" s="164" t="str">
        <f>B24</f>
        <v>Dino, Joyce</v>
      </c>
      <c r="M37" s="16" t="str">
        <f t="shared" si="21"/>
        <v>Dino, Joyce</v>
      </c>
      <c r="N37" s="164"/>
      <c r="O37" s="16">
        <v>300</v>
      </c>
      <c r="P37" s="16">
        <v>1000</v>
      </c>
      <c r="Q37" s="16">
        <v>0</v>
      </c>
      <c r="S37" s="165">
        <f>+P24+(SUM(O37:Q37))</f>
        <v>7810.7202884615399</v>
      </c>
    </row>
    <row r="38" spans="1:25" x14ac:dyDescent="0.2">
      <c r="A38" s="166" t="s">
        <v>104</v>
      </c>
      <c r="B38" s="166"/>
      <c r="C38" s="166"/>
      <c r="D38" s="166" t="s">
        <v>122</v>
      </c>
      <c r="E38" s="166"/>
      <c r="F38" s="166"/>
      <c r="G38" s="166"/>
      <c r="H38" s="166"/>
      <c r="I38" s="166"/>
      <c r="M38" s="16" t="str">
        <f t="shared" si="21"/>
        <v xml:space="preserve">Sosa, Anna Marie </v>
      </c>
      <c r="N38" s="164"/>
      <c r="O38" s="16">
        <f>300/2</f>
        <v>150</v>
      </c>
      <c r="P38" s="16">
        <v>884</v>
      </c>
      <c r="Q38" s="16">
        <v>0</v>
      </c>
      <c r="S38" s="165">
        <f t="shared" si="22"/>
        <v>5950.8874999999998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1"/>
        <v>Briones, Christian Joy</v>
      </c>
      <c r="O39" s="16">
        <v>0</v>
      </c>
      <c r="P39" s="16">
        <v>0</v>
      </c>
      <c r="Q39" s="16">
        <v>0</v>
      </c>
      <c r="S39" s="165">
        <f t="shared" si="22"/>
        <v>5729.9500000000007</v>
      </c>
      <c r="T39" s="333"/>
      <c r="U39" s="333"/>
      <c r="V39" s="333"/>
      <c r="W39" s="333"/>
      <c r="X39" s="333"/>
      <c r="Y39" s="333"/>
    </row>
    <row r="40" spans="1:25" x14ac:dyDescent="0.2">
      <c r="M40" s="16" t="str">
        <f t="shared" si="21"/>
        <v>Cahilig,Benzen</v>
      </c>
      <c r="O40" s="16">
        <v>0</v>
      </c>
      <c r="P40" s="16">
        <v>0</v>
      </c>
      <c r="Q40" s="16">
        <v>0</v>
      </c>
      <c r="S40" s="165">
        <f t="shared" si="22"/>
        <v>4871.5599999999995</v>
      </c>
    </row>
    <row r="41" spans="1:25" x14ac:dyDescent="0.2">
      <c r="M41" s="16" t="str">
        <f t="shared" si="21"/>
        <v>Pantoja,Nancy</v>
      </c>
      <c r="O41" s="16">
        <v>0</v>
      </c>
      <c r="P41" s="16">
        <v>0</v>
      </c>
      <c r="Q41" s="16">
        <v>0</v>
      </c>
      <c r="S41" s="165">
        <f t="shared" si="22"/>
        <v>6215.57125</v>
      </c>
    </row>
    <row r="42" spans="1:25" x14ac:dyDescent="0.2">
      <c r="M42" s="16">
        <f t="shared" si="21"/>
        <v>0</v>
      </c>
      <c r="O42" s="16">
        <v>0</v>
      </c>
      <c r="P42" s="16">
        <v>0</v>
      </c>
      <c r="Q42" s="16">
        <v>0</v>
      </c>
      <c r="S42" s="165">
        <f t="shared" si="22"/>
        <v>0</v>
      </c>
    </row>
    <row r="43" spans="1:25" x14ac:dyDescent="0.2">
      <c r="M43" s="16">
        <f t="shared" si="21"/>
        <v>0</v>
      </c>
      <c r="O43" s="16">
        <v>0</v>
      </c>
      <c r="P43" s="16">
        <v>0</v>
      </c>
      <c r="Q43" s="16">
        <v>0</v>
      </c>
      <c r="S43" s="165">
        <f t="shared" si="22"/>
        <v>0</v>
      </c>
    </row>
    <row r="44" spans="1:25" x14ac:dyDescent="0.2">
      <c r="M44" s="16">
        <f t="shared" si="21"/>
        <v>0</v>
      </c>
      <c r="O44" s="16">
        <v>0</v>
      </c>
      <c r="P44" s="16">
        <v>0</v>
      </c>
      <c r="Q44" s="16">
        <v>0</v>
      </c>
      <c r="S44" s="165">
        <f t="shared" si="22"/>
        <v>0</v>
      </c>
    </row>
    <row r="46" spans="1:25" x14ac:dyDescent="0.2">
      <c r="P46" s="168">
        <f>+P33+(SUM(O35:Q44))</f>
        <v>42879.40778846154</v>
      </c>
    </row>
    <row r="53" spans="1:14" ht="13.5" thickBot="1" x14ac:dyDescent="0.25"/>
    <row r="54" spans="1:14" ht="13.5" thickBot="1" x14ac:dyDescent="0.25">
      <c r="A54" s="399"/>
      <c r="B54" s="401" t="s">
        <v>0</v>
      </c>
      <c r="C54" s="403" t="s">
        <v>1</v>
      </c>
      <c r="D54" s="405" t="s">
        <v>45</v>
      </c>
      <c r="E54" s="440" t="s">
        <v>151</v>
      </c>
      <c r="F54" s="437"/>
      <c r="G54" s="438"/>
      <c r="H54" s="423" t="s">
        <v>297</v>
      </c>
      <c r="I54" s="425" t="s">
        <v>3</v>
      </c>
      <c r="J54" s="439" t="s">
        <v>114</v>
      </c>
      <c r="K54" s="435" t="s">
        <v>115</v>
      </c>
      <c r="L54" s="435" t="s">
        <v>116</v>
      </c>
      <c r="N54" s="434" t="s">
        <v>102</v>
      </c>
    </row>
    <row r="55" spans="1:14" ht="13.5" thickBot="1" x14ac:dyDescent="0.25">
      <c r="A55" s="400"/>
      <c r="B55" s="402"/>
      <c r="C55" s="404"/>
      <c r="D55" s="442"/>
      <c r="E55" s="441"/>
      <c r="F55" s="244"/>
      <c r="G55" s="245"/>
      <c r="H55" s="424"/>
      <c r="I55" s="426"/>
      <c r="J55" s="439"/>
      <c r="K55" s="435"/>
      <c r="L55" s="435"/>
      <c r="N55" s="434"/>
    </row>
    <row r="56" spans="1:14" ht="13.5" thickBot="1" x14ac:dyDescent="0.25">
      <c r="A56" s="153">
        <v>1</v>
      </c>
      <c r="B56" s="49" t="str">
        <f t="shared" ref="B56:C65" si="23">+B22</f>
        <v>Biarcal, Ronald Glenn</v>
      </c>
      <c r="C56" s="49" t="str">
        <f t="shared" si="23"/>
        <v>M.T.Purchaser</v>
      </c>
      <c r="D56" s="133"/>
      <c r="E56" s="156"/>
      <c r="F56" s="235"/>
      <c r="G56" s="235">
        <v>0</v>
      </c>
      <c r="H56" s="156">
        <v>325</v>
      </c>
      <c r="I56" s="157">
        <f>+D22-F22-H22-D56-J22-K22-L22-M22-N22-O22-E56-H56-F56-G56-I22</f>
        <v>4690.0437499999998</v>
      </c>
      <c r="J56" s="273">
        <f>+O35</f>
        <v>150</v>
      </c>
      <c r="K56" s="273">
        <v>884</v>
      </c>
      <c r="L56" s="273">
        <f t="shared" ref="L56:L60" si="24">+Q35</f>
        <v>0</v>
      </c>
      <c r="N56" s="164">
        <f t="shared" ref="N56:N60" si="25">+I56+J56+K56</f>
        <v>5724.0437499999998</v>
      </c>
    </row>
    <row r="57" spans="1:14" ht="13.5" thickBot="1" x14ac:dyDescent="0.25">
      <c r="A57" s="139">
        <v>2</v>
      </c>
      <c r="B57" s="22" t="str">
        <f t="shared" si="23"/>
        <v>Sanchez, Angelo</v>
      </c>
      <c r="C57" s="247" t="str">
        <f t="shared" si="23"/>
        <v>Head Cook</v>
      </c>
      <c r="D57" s="73"/>
      <c r="E57" s="122"/>
      <c r="F57" s="122"/>
      <c r="G57" s="122"/>
      <c r="H57" s="156">
        <v>325</v>
      </c>
      <c r="I57" s="157">
        <f t="shared" ref="I57:I58" si="26">+D23-F23-H23-D57-J23-K23-L23-M23-N23-O23-E57-H57-F57-G57-I23</f>
        <v>5426.6750000000002</v>
      </c>
      <c r="J57" s="273">
        <f>+O36</f>
        <v>0</v>
      </c>
      <c r="K57" s="273">
        <f>+P36</f>
        <v>500</v>
      </c>
      <c r="L57" s="273">
        <f t="shared" si="24"/>
        <v>0</v>
      </c>
      <c r="N57" s="164">
        <f t="shared" si="25"/>
        <v>5926.6750000000002</v>
      </c>
    </row>
    <row r="58" spans="1:14" ht="13.5" thickBot="1" x14ac:dyDescent="0.25">
      <c r="A58" s="139">
        <v>3</v>
      </c>
      <c r="B58" s="22" t="str">
        <f t="shared" si="23"/>
        <v>Dino, Joyce</v>
      </c>
      <c r="C58" s="247" t="str">
        <f t="shared" si="23"/>
        <v>Store Manager</v>
      </c>
      <c r="D58" s="73"/>
      <c r="E58" s="122">
        <v>4500</v>
      </c>
      <c r="F58" s="122"/>
      <c r="G58" s="18"/>
      <c r="H58" s="156">
        <v>325</v>
      </c>
      <c r="I58" s="157">
        <f t="shared" si="26"/>
        <v>1685.7202884615399</v>
      </c>
      <c r="J58" s="273">
        <f>+O37</f>
        <v>300</v>
      </c>
      <c r="K58" s="273">
        <f>+P37</f>
        <v>1000</v>
      </c>
      <c r="L58" s="273">
        <f t="shared" si="24"/>
        <v>0</v>
      </c>
      <c r="N58" s="164">
        <f>+I58+J58+K58</f>
        <v>2985.7202884615399</v>
      </c>
    </row>
    <row r="59" spans="1:14" ht="13.5" thickBot="1" x14ac:dyDescent="0.25">
      <c r="A59" s="139">
        <v>4</v>
      </c>
      <c r="B59" s="22" t="str">
        <f t="shared" si="23"/>
        <v xml:space="preserve">Sosa, Anna Marie </v>
      </c>
      <c r="C59" s="247" t="str">
        <f t="shared" si="23"/>
        <v>M.T.Bookkeeper</v>
      </c>
      <c r="D59" s="73">
        <v>267.75</v>
      </c>
      <c r="E59" s="122"/>
      <c r="F59" s="122"/>
      <c r="G59" s="122"/>
      <c r="H59" s="156">
        <v>325</v>
      </c>
      <c r="I59" s="157">
        <f>+D25-F25-H25-D59-J25-K25-L25-M25-N25-O25-E59-H59-F59-G59-I25</f>
        <v>4324.1374999999998</v>
      </c>
      <c r="J59" s="273">
        <f>+O38</f>
        <v>150</v>
      </c>
      <c r="K59" s="273">
        <f>+P38</f>
        <v>884</v>
      </c>
      <c r="L59" s="273">
        <f t="shared" si="24"/>
        <v>0</v>
      </c>
      <c r="N59" s="164">
        <f t="shared" si="25"/>
        <v>5358.1374999999998</v>
      </c>
    </row>
    <row r="60" spans="1:14" s="333" customFormat="1" ht="13.5" thickBot="1" x14ac:dyDescent="0.25">
      <c r="A60" s="361">
        <v>5</v>
      </c>
      <c r="B60" s="362" t="str">
        <f t="shared" si="23"/>
        <v>Briones, Christian Joy</v>
      </c>
      <c r="C60" s="363" t="str">
        <f t="shared" si="23"/>
        <v>Asst. Cook</v>
      </c>
      <c r="D60" s="352"/>
      <c r="E60" s="364"/>
      <c r="F60" s="364"/>
      <c r="G60" s="364"/>
      <c r="H60" s="156">
        <v>325</v>
      </c>
      <c r="I60" s="365">
        <f>+D26-F26-H26-D60-J26-K26-L26-M26-N26-O26-E60-H60-F60-G60-I26</f>
        <v>5404.9500000000007</v>
      </c>
      <c r="J60" s="366">
        <f>+O39</f>
        <v>0</v>
      </c>
      <c r="K60" s="366">
        <f>+P39</f>
        <v>0</v>
      </c>
      <c r="L60" s="366">
        <f t="shared" si="24"/>
        <v>0</v>
      </c>
      <c r="N60" s="367">
        <f t="shared" si="25"/>
        <v>5404.9500000000007</v>
      </c>
    </row>
    <row r="61" spans="1:14" ht="13.5" thickBot="1" x14ac:dyDescent="0.25">
      <c r="A61" s="139">
        <v>6</v>
      </c>
      <c r="B61" s="22" t="str">
        <f t="shared" si="23"/>
        <v>Cahilig,Benzen</v>
      </c>
      <c r="C61" s="247" t="str">
        <f t="shared" si="23"/>
        <v>Cook</v>
      </c>
      <c r="D61" s="73"/>
      <c r="E61" s="122"/>
      <c r="F61" s="122">
        <v>0</v>
      </c>
      <c r="G61" s="122"/>
      <c r="H61" s="156">
        <v>325</v>
      </c>
      <c r="I61" s="365">
        <f>+D27-F27-H27-D61-J27-K27-L27-M27-N27-O27-E61-H61-F61-G61-I27</f>
        <v>4546.5599999999995</v>
      </c>
      <c r="N61" s="164">
        <f>+I61+J61+K61</f>
        <v>4546.5599999999995</v>
      </c>
    </row>
    <row r="62" spans="1:14" x14ac:dyDescent="0.2">
      <c r="A62" s="139">
        <v>7</v>
      </c>
      <c r="B62" s="22" t="str">
        <f t="shared" si="23"/>
        <v>Pantoja,Nancy</v>
      </c>
      <c r="C62" s="247" t="str">
        <f t="shared" si="23"/>
        <v>Cashier</v>
      </c>
      <c r="D62" s="73"/>
      <c r="E62" s="122"/>
      <c r="F62" s="122"/>
      <c r="G62" s="122"/>
      <c r="H62" s="156">
        <v>325</v>
      </c>
      <c r="I62" s="365">
        <f>+D28-F28-H28-D62-J28-K28-L28-M28-N28-O28-E62-H62-F62-G62-I28</f>
        <v>5890.57125</v>
      </c>
      <c r="N62" s="164">
        <f>+I62+J62+K62</f>
        <v>5890.57125</v>
      </c>
    </row>
    <row r="63" spans="1:14" x14ac:dyDescent="0.2">
      <c r="A63" s="139">
        <v>8</v>
      </c>
      <c r="B63" s="22">
        <f t="shared" si="23"/>
        <v>0</v>
      </c>
      <c r="C63" s="247">
        <f t="shared" si="23"/>
        <v>0</v>
      </c>
      <c r="D63" s="73"/>
      <c r="E63" s="122"/>
      <c r="F63" s="122"/>
      <c r="G63" s="122"/>
      <c r="H63" s="15">
        <v>0</v>
      </c>
      <c r="I63" s="157">
        <v>0</v>
      </c>
    </row>
    <row r="64" spans="1:14" x14ac:dyDescent="0.2">
      <c r="A64" s="139">
        <v>9</v>
      </c>
      <c r="B64" s="22">
        <f t="shared" si="23"/>
        <v>0</v>
      </c>
      <c r="C64" s="247">
        <f t="shared" si="23"/>
        <v>0</v>
      </c>
      <c r="D64" s="73"/>
      <c r="E64" s="122"/>
      <c r="F64" s="122"/>
      <c r="G64" s="122"/>
      <c r="H64" s="15">
        <v>0</v>
      </c>
      <c r="I64" s="157">
        <f>+D30-F30-H30-D64-J30-K30-L30-M30-N30-O30-E63-H64-F64-G64-I30</f>
        <v>0</v>
      </c>
    </row>
    <row r="65" spans="1:14" x14ac:dyDescent="0.2">
      <c r="A65" s="139">
        <v>10</v>
      </c>
      <c r="B65" s="22">
        <f t="shared" si="23"/>
        <v>0</v>
      </c>
      <c r="C65" s="247">
        <f t="shared" si="23"/>
        <v>0</v>
      </c>
      <c r="D65" s="22"/>
      <c r="E65" s="15"/>
      <c r="F65" s="122"/>
      <c r="G65" s="122"/>
      <c r="H65" s="15">
        <v>0</v>
      </c>
      <c r="I65" s="157">
        <f>+D31-F31-H31-D65-J31-K31-L31-M31-N31-O31-E64-H65-F65-G65-I31</f>
        <v>0</v>
      </c>
    </row>
    <row r="66" spans="1:14" x14ac:dyDescent="0.2">
      <c r="A66" s="159"/>
      <c r="B66" s="143"/>
      <c r="C66" s="144"/>
      <c r="D66" s="22"/>
      <c r="E66" s="360">
        <v>0</v>
      </c>
      <c r="F66" s="15"/>
      <c r="G66" s="15"/>
      <c r="H66" s="15"/>
      <c r="I66" s="157"/>
    </row>
    <row r="67" spans="1:14" ht="13.5" thickBot="1" x14ac:dyDescent="0.25">
      <c r="A67" s="160"/>
      <c r="B67" s="147"/>
      <c r="C67" s="148"/>
      <c r="D67" s="358">
        <f>SUM(D56:D66)</f>
        <v>267.75</v>
      </c>
      <c r="E67" s="358">
        <f>SUM(E56:E66)</f>
        <v>4500</v>
      </c>
      <c r="F67" s="359">
        <f>+SUM(F56:F66)</f>
        <v>0</v>
      </c>
      <c r="G67" s="3">
        <f>+SUM(G56:G66)</f>
        <v>0</v>
      </c>
      <c r="H67" s="3">
        <f>+SUM(H56:H66)</f>
        <v>2275</v>
      </c>
      <c r="I67" s="5">
        <f>+SUM(I56:I66)</f>
        <v>31968.65778846154</v>
      </c>
      <c r="N67" s="274">
        <f>SUM(N56:N66)</f>
        <v>35836.65778846154</v>
      </c>
    </row>
    <row r="70" spans="1:14" x14ac:dyDescent="0.2">
      <c r="G70" s="164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50" t="str">
        <f>'26-10 payroll'!A1</f>
        <v>THE OLD SPAGHETTI HOUSE</v>
      </c>
      <c r="C2" s="451"/>
      <c r="D2" s="451"/>
      <c r="E2" s="451"/>
      <c r="F2" s="451"/>
      <c r="G2" s="451"/>
      <c r="H2" s="452"/>
      <c r="I2" s="177"/>
      <c r="J2" s="450" t="str">
        <f>'26-10 payroll'!A1</f>
        <v>THE OLD SPAGHETTI HOUSE</v>
      </c>
      <c r="K2" s="451"/>
      <c r="L2" s="451"/>
      <c r="M2" s="451"/>
      <c r="N2" s="451"/>
      <c r="O2" s="451"/>
      <c r="P2" s="452"/>
    </row>
    <row r="3" spans="1:22" s="178" customFormat="1" x14ac:dyDescent="0.2">
      <c r="A3" s="169"/>
      <c r="B3" s="453" t="str">
        <f>'26-10 payroll'!D2</f>
        <v>VALERO</v>
      </c>
      <c r="C3" s="454"/>
      <c r="D3" s="454"/>
      <c r="E3" s="454"/>
      <c r="F3" s="454"/>
      <c r="G3" s="454"/>
      <c r="H3" s="455"/>
      <c r="I3" s="177"/>
      <c r="J3" s="453" t="str">
        <f>'26-10 payroll'!D2</f>
        <v>VALERO</v>
      </c>
      <c r="K3" s="454"/>
      <c r="L3" s="454"/>
      <c r="M3" s="454"/>
      <c r="N3" s="454"/>
      <c r="O3" s="454"/>
      <c r="P3" s="455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6" t="s">
        <v>25</v>
      </c>
      <c r="C5" s="457"/>
      <c r="D5" s="457"/>
      <c r="E5" s="457"/>
      <c r="F5" s="457"/>
      <c r="G5" s="457"/>
      <c r="H5" s="458"/>
      <c r="I5" s="177"/>
      <c r="J5" s="456" t="s">
        <v>25</v>
      </c>
      <c r="K5" s="457"/>
      <c r="L5" s="457"/>
      <c r="M5" s="457"/>
      <c r="N5" s="457"/>
      <c r="O5" s="457"/>
      <c r="P5" s="458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47" t="str">
        <f>'26-10 payroll'!B7</f>
        <v>Biarcal, Ronald Glenn</v>
      </c>
      <c r="E7" s="447"/>
      <c r="F7" s="447"/>
      <c r="G7" s="55"/>
      <c r="H7" s="193"/>
      <c r="I7" s="194"/>
      <c r="J7" s="191" t="s">
        <v>26</v>
      </c>
      <c r="K7" s="192" t="s">
        <v>27</v>
      </c>
      <c r="L7" s="447" t="str">
        <f>'26-10 payroll'!B8</f>
        <v>Sanchez, Angelo</v>
      </c>
      <c r="M7" s="447"/>
      <c r="N7" s="447"/>
      <c r="O7" s="9"/>
      <c r="P7" s="193"/>
    </row>
    <row r="8" spans="1:22" x14ac:dyDescent="0.2">
      <c r="B8" s="191" t="s">
        <v>28</v>
      </c>
      <c r="C8" s="192" t="s">
        <v>27</v>
      </c>
      <c r="D8" s="448">
        <f>'26-10 payroll'!E7</f>
        <v>527</v>
      </c>
      <c r="E8" s="448"/>
      <c r="F8" s="448"/>
      <c r="G8" s="55"/>
      <c r="H8" s="195"/>
      <c r="I8" s="194"/>
      <c r="J8" s="191" t="s">
        <v>28</v>
      </c>
      <c r="K8" s="192" t="s">
        <v>27</v>
      </c>
      <c r="L8" s="448">
        <f>'26-10 payroll'!E8</f>
        <v>527</v>
      </c>
      <c r="M8" s="448"/>
      <c r="N8" s="448"/>
      <c r="O8" s="9"/>
      <c r="P8" s="195"/>
    </row>
    <row r="9" spans="1:22" s="186" customFormat="1" x14ac:dyDescent="0.2">
      <c r="A9" s="169"/>
      <c r="B9" s="191" t="s">
        <v>29</v>
      </c>
      <c r="C9" s="192" t="s">
        <v>27</v>
      </c>
      <c r="D9" s="449" t="str">
        <f>'26-10 payroll'!D3</f>
        <v>February 11-25,2020</v>
      </c>
      <c r="E9" s="449"/>
      <c r="F9" s="449"/>
      <c r="G9" s="55"/>
      <c r="H9" s="193"/>
      <c r="I9" s="194"/>
      <c r="J9" s="191" t="s">
        <v>29</v>
      </c>
      <c r="K9" s="192" t="s">
        <v>27</v>
      </c>
      <c r="L9" s="449" t="str">
        <f>'26-10 payroll'!D3</f>
        <v>February 11-25,2020</v>
      </c>
      <c r="M9" s="449"/>
      <c r="N9" s="449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6">
        <f>'26-10 payroll'!G7</f>
        <v>6851</v>
      </c>
      <c r="I10" s="194"/>
      <c r="J10" s="196" t="s">
        <v>16</v>
      </c>
      <c r="K10" s="197"/>
      <c r="L10" s="198"/>
      <c r="M10" s="199"/>
      <c r="N10" s="9"/>
      <c r="O10" s="9"/>
      <c r="P10" s="10">
        <f>'26-10 payroll'!G8</f>
        <v>6851</v>
      </c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'26-10 payroll'!F7</f>
        <v>11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'26-10 payroll'!F8</f>
        <v>12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'26-10 payroll'!P7</f>
        <v>111.32875000000001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'26-10 payroll'!P8</f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'26-10 payroll'!H7</f>
        <v>130</v>
      </c>
      <c r="G14" s="55"/>
      <c r="H14" s="58"/>
      <c r="I14" s="194"/>
      <c r="J14" s="191"/>
      <c r="K14" s="192"/>
      <c r="L14" s="203" t="s">
        <v>95</v>
      </c>
      <c r="M14" s="204"/>
      <c r="N14" s="9">
        <f>'26-10 payroll'!H8</f>
        <v>130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'26-10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'26-10 payroll'!R8</f>
        <v>0</v>
      </c>
      <c r="O15" s="9"/>
      <c r="P15" s="10"/>
    </row>
    <row r="16" spans="1:22" x14ac:dyDescent="0.2">
      <c r="B16" s="191"/>
      <c r="C16" s="192"/>
      <c r="D16" s="203" t="s">
        <v>35</v>
      </c>
      <c r="E16" s="204"/>
      <c r="F16" s="55">
        <f>'26-10 payroll'!T7</f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'26-10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'26-10 payroll'!V7+'26-10 payroll'!W7+'26-10 payroll'!O35+'26-10 payroll'!P35+'26-10 payroll'!Q35</f>
        <v>1047.175</v>
      </c>
      <c r="G17" s="55"/>
      <c r="H17" s="56">
        <f>SUM(F13:F17)</f>
        <v>1288.5037499999999</v>
      </c>
      <c r="I17" s="194"/>
      <c r="J17" s="191"/>
      <c r="K17" s="192"/>
      <c r="L17" s="203" t="s">
        <v>99</v>
      </c>
      <c r="M17" s="204"/>
      <c r="N17" s="11">
        <f>'26-10 payroll'!V8+'26-10 payroll'!W8+'26-10 payroll'!O36+'26-10 payroll'!P36+'26-10 payroll'!Q36</f>
        <v>513.17499999999995</v>
      </c>
      <c r="O17" s="9"/>
      <c r="P17" s="10">
        <f>SUM(N13:N17)</f>
        <v>643.17499999999995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'26-10 payroll'!J22</f>
        <v>540</v>
      </c>
      <c r="G19" s="55"/>
      <c r="H19" s="206"/>
      <c r="I19" s="194"/>
      <c r="J19" s="191"/>
      <c r="K19" s="197"/>
      <c r="L19" s="205" t="s">
        <v>4</v>
      </c>
      <c r="M19" s="204"/>
      <c r="N19" s="9">
        <f>'26-10 payroll'!J23</f>
        <v>540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f>'26-10 payroll'!K22</f>
        <v>622.96</v>
      </c>
      <c r="G20" s="55"/>
      <c r="H20" s="206"/>
      <c r="I20" s="194"/>
      <c r="J20" s="191"/>
      <c r="K20" s="197"/>
      <c r="L20" s="205" t="s">
        <v>96</v>
      </c>
      <c r="M20" s="204"/>
      <c r="N20" s="9">
        <f>'26-10 payroll'!K23</f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'26-10 payroll'!L22</f>
        <v>162.5</v>
      </c>
      <c r="G21" s="55"/>
      <c r="H21" s="206"/>
      <c r="I21" s="194"/>
      <c r="J21" s="191"/>
      <c r="K21" s="197"/>
      <c r="L21" s="205" t="s">
        <v>37</v>
      </c>
      <c r="M21" s="204"/>
      <c r="N21" s="9">
        <f>'26-10 payroll'!L23</f>
        <v>162.5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'26-10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'26-10 payroll'!O23</f>
        <v>0</v>
      </c>
      <c r="O22" s="9"/>
      <c r="P22" s="206"/>
    </row>
    <row r="23" spans="1:22" x14ac:dyDescent="0.2">
      <c r="B23" s="191"/>
      <c r="C23" s="197"/>
      <c r="D23" s="205" t="s">
        <v>98</v>
      </c>
      <c r="E23" s="204"/>
      <c r="F23" s="55">
        <f>+'26-10 payroll'!E56+'26-10 payroll'!F56+'26-10 payroll'!G56+'26-10 payroll'!H56</f>
        <v>325</v>
      </c>
      <c r="G23" s="55"/>
      <c r="H23" s="206"/>
      <c r="I23" s="194"/>
      <c r="J23" s="191"/>
      <c r="K23" s="197"/>
      <c r="L23" s="205" t="s">
        <v>98</v>
      </c>
      <c r="M23" s="204"/>
      <c r="N23" s="9">
        <f>+'26-10 payroll'!E57+'26-10 payroll'!F57+'26-10 payroll'!G57+'26-10 payroll'!H57</f>
        <v>325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f>'26-10 payroll'!D56</f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f>'26-10 payroll'!D57</f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'26-10 payroll'!H22+'26-10 payroll'!F22+'26-10 payroll'!I22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'26-10 payroll'!F23+'26-10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'26-10 payroll'!N22</f>
        <v>765</v>
      </c>
      <c r="G26" s="55"/>
      <c r="H26" s="208"/>
      <c r="I26" s="194"/>
      <c r="J26" s="191"/>
      <c r="K26" s="197"/>
      <c r="L26" s="205" t="s">
        <v>97</v>
      </c>
      <c r="M26" s="204"/>
      <c r="N26" s="9">
        <f>'26-10 payroll'!N23</f>
        <v>540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'26-10 payroll'!M22</f>
        <v>0</v>
      </c>
      <c r="G27" s="55"/>
      <c r="H27" s="210">
        <f>-SUM(F19:F27)</f>
        <v>-2415.46</v>
      </c>
      <c r="I27" s="194"/>
      <c r="J27" s="191"/>
      <c r="K27" s="197"/>
      <c r="L27" s="197" t="s">
        <v>6</v>
      </c>
      <c r="M27" s="204"/>
      <c r="N27" s="9">
        <f>'26-10 payroll'!M23</f>
        <v>0</v>
      </c>
      <c r="O27" s="9"/>
      <c r="P27" s="210">
        <f>-SUM(N19:N27)</f>
        <v>-1567.5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5724.0437499999998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5926.6750000000002</v>
      </c>
      <c r="R28" s="214"/>
      <c r="T28" s="215">
        <f>+H28-'26-10 payroll'!S35</f>
        <v>-325</v>
      </c>
      <c r="U28" s="216"/>
      <c r="V28" s="217">
        <f>+P28-'26-10 payroll'!S36</f>
        <v>-325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50" t="str">
        <f>'26-10 payroll'!A1</f>
        <v>THE OLD SPAGHETTI HOUSE</v>
      </c>
      <c r="C35" s="451"/>
      <c r="D35" s="451"/>
      <c r="E35" s="451"/>
      <c r="F35" s="451"/>
      <c r="G35" s="451"/>
      <c r="H35" s="452"/>
      <c r="I35" s="177"/>
      <c r="J35" s="450" t="str">
        <f>'26-10 payroll'!A1</f>
        <v>THE OLD SPAGHETTI HOUSE</v>
      </c>
      <c r="K35" s="451"/>
      <c r="L35" s="451"/>
      <c r="M35" s="451"/>
      <c r="N35" s="451"/>
      <c r="O35" s="451"/>
      <c r="P35" s="452"/>
    </row>
    <row r="36" spans="2:17" x14ac:dyDescent="0.2">
      <c r="B36" s="453" t="str">
        <f>'26-10 payroll'!D2</f>
        <v>VALERO</v>
      </c>
      <c r="C36" s="454"/>
      <c r="D36" s="454"/>
      <c r="E36" s="454"/>
      <c r="F36" s="454"/>
      <c r="G36" s="454"/>
      <c r="H36" s="455"/>
      <c r="I36" s="177"/>
      <c r="J36" s="453" t="str">
        <f>'26-10 payroll'!D2</f>
        <v>VALERO</v>
      </c>
      <c r="K36" s="454"/>
      <c r="L36" s="454"/>
      <c r="M36" s="454"/>
      <c r="N36" s="454"/>
      <c r="O36" s="454"/>
      <c r="P36" s="455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6" t="s">
        <v>25</v>
      </c>
      <c r="C38" s="457"/>
      <c r="D38" s="457"/>
      <c r="E38" s="457"/>
      <c r="F38" s="457"/>
      <c r="G38" s="457"/>
      <c r="H38" s="458"/>
      <c r="I38" s="177"/>
      <c r="J38" s="456" t="s">
        <v>25</v>
      </c>
      <c r="K38" s="457"/>
      <c r="L38" s="457"/>
      <c r="M38" s="457"/>
      <c r="N38" s="457"/>
      <c r="O38" s="457"/>
      <c r="P38" s="458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47" t="str">
        <f>'26-10 payroll'!B24</f>
        <v>Dino, Joyce</v>
      </c>
      <c r="E40" s="447"/>
      <c r="F40" s="447"/>
      <c r="G40" s="55"/>
      <c r="H40" s="193"/>
      <c r="I40" s="194"/>
      <c r="J40" s="191" t="s">
        <v>26</v>
      </c>
      <c r="K40" s="192" t="s">
        <v>27</v>
      </c>
      <c r="L40" s="446" t="str">
        <f>'26-10 payroll'!B10</f>
        <v xml:space="preserve">Sosa, Anna Marie </v>
      </c>
      <c r="M40" s="447"/>
      <c r="N40" s="447"/>
      <c r="O40" s="9"/>
      <c r="P40" s="193"/>
    </row>
    <row r="41" spans="2:17" x14ac:dyDescent="0.2">
      <c r="B41" s="191" t="s">
        <v>28</v>
      </c>
      <c r="C41" s="192" t="s">
        <v>27</v>
      </c>
      <c r="D41" s="448">
        <f>'26-10 payroll'!E9</f>
        <v>790.23076923076928</v>
      </c>
      <c r="E41" s="448"/>
      <c r="F41" s="448"/>
      <c r="G41" s="55"/>
      <c r="H41" s="195"/>
      <c r="I41" s="194"/>
      <c r="J41" s="191" t="s">
        <v>28</v>
      </c>
      <c r="K41" s="192" t="s">
        <v>27</v>
      </c>
      <c r="L41" s="448">
        <f>'26-10 payroll'!E10</f>
        <v>527</v>
      </c>
      <c r="M41" s="448"/>
      <c r="N41" s="448"/>
      <c r="O41" s="9"/>
      <c r="P41" s="195"/>
    </row>
    <row r="42" spans="2:17" x14ac:dyDescent="0.2">
      <c r="B42" s="191" t="s">
        <v>29</v>
      </c>
      <c r="C42" s="192" t="s">
        <v>27</v>
      </c>
      <c r="D42" s="449" t="str">
        <f>'26-10 payroll'!D3</f>
        <v>February 11-25,2020</v>
      </c>
      <c r="E42" s="449"/>
      <c r="F42" s="449"/>
      <c r="G42" s="55"/>
      <c r="H42" s="193"/>
      <c r="I42" s="194"/>
      <c r="J42" s="191" t="s">
        <v>29</v>
      </c>
      <c r="K42" s="192" t="s">
        <v>27</v>
      </c>
      <c r="L42" s="449" t="str">
        <f>'26-10 payroll'!D3</f>
        <v>February 11-25,2020</v>
      </c>
      <c r="M42" s="449"/>
      <c r="N42" s="449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'26-10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'26-10 payroll'!G10</f>
        <v>6851</v>
      </c>
      <c r="Q43" s="173"/>
    </row>
    <row r="44" spans="2:17" x14ac:dyDescent="0.2">
      <c r="B44" s="191"/>
      <c r="C44" s="197"/>
      <c r="D44" s="199" t="s">
        <v>31</v>
      </c>
      <c r="E44" s="201">
        <f>'26-10 payroll'!F9</f>
        <v>12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'26-10 payroll'!F10</f>
        <v>12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'26-10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'26-10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'26-10 payroll'!H9</f>
        <v>130</v>
      </c>
      <c r="G47" s="55"/>
      <c r="H47" s="58"/>
      <c r="I47" s="194"/>
      <c r="J47" s="191"/>
      <c r="K47" s="192"/>
      <c r="L47" s="203" t="s">
        <v>95</v>
      </c>
      <c r="M47" s="204"/>
      <c r="N47" s="9">
        <f>'26-10 payroll'!H10</f>
        <v>130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'26-10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'26-10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f>'26-10 payroll'!T9</f>
        <v>0</v>
      </c>
      <c r="G49" s="55"/>
      <c r="H49" s="58"/>
      <c r="I49" s="194"/>
      <c r="J49" s="191"/>
      <c r="K49" s="192"/>
      <c r="L49" s="203" t="s">
        <v>35</v>
      </c>
      <c r="M49" s="204"/>
      <c r="N49" s="9">
        <f>'26-10 payroll'!T10</f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'26-10 payroll'!V9+'26-10 payroll'!W9+'26-10 payroll'!O37+'26-10 payroll'!P37+'26-10 payroll'!Q37</f>
        <v>1369.1451923076922</v>
      </c>
      <c r="G50" s="55"/>
      <c r="H50" s="56">
        <f>SUM(F46:F50)</f>
        <v>1499.1451923076922</v>
      </c>
      <c r="I50" s="194"/>
      <c r="J50" s="191"/>
      <c r="K50" s="192"/>
      <c r="L50" s="203" t="s">
        <v>99</v>
      </c>
      <c r="M50" s="204"/>
      <c r="N50" s="11">
        <f>'26-10 payroll'!W10+'26-10 payroll'!V10+'26-10 payroll'!O38+'26-10 payroll'!P38+'26-10 payroll'!Q38</f>
        <v>1053.7625</v>
      </c>
      <c r="O50" s="9"/>
      <c r="P50" s="10">
        <f>SUM(N46:N50)</f>
        <v>1183.7625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'26-10 payroll'!J24</f>
        <v>800</v>
      </c>
      <c r="G52" s="55"/>
      <c r="H52" s="206"/>
      <c r="I52" s="194"/>
      <c r="J52" s="191"/>
      <c r="K52" s="197"/>
      <c r="L52" s="205" t="s">
        <v>4</v>
      </c>
      <c r="M52" s="204"/>
      <c r="N52" s="9">
        <f>'26-10 payroll'!J25</f>
        <v>540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f>'26-10 payroll'!K24</f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'26-10 payroll'!K25</f>
        <v>623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f>'26-10 payroll'!L24</f>
        <v>275</v>
      </c>
      <c r="G54" s="55"/>
      <c r="H54" s="206"/>
      <c r="I54" s="194"/>
      <c r="J54" s="191"/>
      <c r="K54" s="197"/>
      <c r="L54" s="205" t="s">
        <v>37</v>
      </c>
      <c r="M54" s="204"/>
      <c r="N54" s="9">
        <f>'26-10 payroll'!L25</f>
        <v>162.5</v>
      </c>
      <c r="O54" s="9"/>
      <c r="P54" s="206"/>
    </row>
    <row r="55" spans="1:22" x14ac:dyDescent="0.2">
      <c r="B55" s="191"/>
      <c r="C55" s="197"/>
      <c r="D55" s="205" t="s">
        <v>38</v>
      </c>
      <c r="E55" s="204"/>
      <c r="F55" s="55">
        <f>'26-10 payroll'!O24</f>
        <v>0</v>
      </c>
      <c r="G55" s="55"/>
      <c r="H55" s="206"/>
      <c r="I55" s="194"/>
      <c r="J55" s="191"/>
      <c r="K55" s="197"/>
      <c r="L55" s="205" t="s">
        <v>38</v>
      </c>
      <c r="M55" s="204"/>
      <c r="N55" s="207">
        <f>'26-10 payroll'!O25</f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f>+'26-10 payroll'!E58+'26-10 payroll'!F58+'26-10 payroll'!G58+'26-10 payroll'!H58</f>
        <v>4825</v>
      </c>
      <c r="G56" s="55"/>
      <c r="H56" s="206"/>
      <c r="I56" s="194"/>
      <c r="J56" s="191"/>
      <c r="K56" s="197"/>
      <c r="L56" s="205" t="s">
        <v>98</v>
      </c>
      <c r="M56" s="204"/>
      <c r="N56" s="9" t="e">
        <f>+'26-10 payroll'!#REF!+'26-10 payroll'!F59+'26-10 payroll'!G59+'26-10 payroll'!H59</f>
        <v>#REF!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f>'26-10 payroll'!D58</f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f>'26-10 payroll'!D59</f>
        <v>267.75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'26-10 payroll'!F24+'26-10 payroll'!H24</f>
        <v>247.93490384615384</v>
      </c>
      <c r="G58" s="55"/>
      <c r="H58" s="208"/>
      <c r="I58" s="194"/>
      <c r="J58" s="191"/>
      <c r="K58" s="197"/>
      <c r="L58" s="205" t="s">
        <v>39</v>
      </c>
      <c r="M58" s="204"/>
      <c r="N58" s="9">
        <f>'26-10 payroll'!F25+'26-10 payroll'!H25</f>
        <v>65.875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f>'26-10 payroll'!N24</f>
        <v>1161.8499999999999</v>
      </c>
      <c r="G59" s="55"/>
      <c r="H59" s="208"/>
      <c r="I59" s="194"/>
      <c r="J59" s="191"/>
      <c r="K59" s="197"/>
      <c r="L59" s="205" t="s">
        <v>97</v>
      </c>
      <c r="M59" s="204"/>
      <c r="N59" s="9">
        <f>'26-10 payroll'!N25</f>
        <v>692.5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'26-10 payroll'!M24</f>
        <v>0</v>
      </c>
      <c r="G60" s="55"/>
      <c r="H60" s="210">
        <f>-SUM(F52:F60)</f>
        <v>-8786.4249038461548</v>
      </c>
      <c r="I60" s="194"/>
      <c r="J60" s="191"/>
      <c r="K60" s="197"/>
      <c r="L60" s="197" t="s">
        <v>6</v>
      </c>
      <c r="M60" s="204"/>
      <c r="N60" s="9">
        <f>'26-10 payroll'!M25</f>
        <v>0</v>
      </c>
      <c r="O60" s="9"/>
      <c r="P60" s="210" t="e">
        <f>-SUM(N52:N60)</f>
        <v>#REF!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2985.7202884615381</v>
      </c>
      <c r="I61" s="213"/>
      <c r="J61" s="196" t="s">
        <v>40</v>
      </c>
      <c r="K61" s="211"/>
      <c r="L61" s="211"/>
      <c r="M61" s="211"/>
      <c r="N61" s="12"/>
      <c r="O61" s="12"/>
      <c r="P61" s="212" t="e">
        <f>SUM(P43:P60)</f>
        <v>#REF!</v>
      </c>
      <c r="Q61" s="173"/>
      <c r="T61" s="215">
        <f>+H61-'26-10 payroll'!S37</f>
        <v>-4825.0000000000018</v>
      </c>
      <c r="V61" s="236" t="e">
        <f>+P61-'26-10 payroll'!S38</f>
        <v>#REF!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50" t="str">
        <f>'26-10 payroll'!A1</f>
        <v>THE OLD SPAGHETTI HOUSE</v>
      </c>
      <c r="C68" s="451"/>
      <c r="D68" s="451"/>
      <c r="E68" s="451"/>
      <c r="F68" s="451"/>
      <c r="G68" s="451"/>
      <c r="H68" s="452"/>
      <c r="I68" s="177"/>
      <c r="J68" s="450" t="str">
        <f>'26-10 payroll'!A1</f>
        <v>THE OLD SPAGHETTI HOUSE</v>
      </c>
      <c r="K68" s="451"/>
      <c r="L68" s="451"/>
      <c r="M68" s="451"/>
      <c r="N68" s="451"/>
      <c r="O68" s="451"/>
      <c r="P68" s="452"/>
    </row>
    <row r="69" spans="2:17" x14ac:dyDescent="0.2">
      <c r="B69" s="453" t="str">
        <f>'26-10 payroll'!D2</f>
        <v>VALERO</v>
      </c>
      <c r="C69" s="454"/>
      <c r="D69" s="454"/>
      <c r="E69" s="454"/>
      <c r="F69" s="454"/>
      <c r="G69" s="454"/>
      <c r="H69" s="455"/>
      <c r="I69" s="177"/>
      <c r="J69" s="453" t="str">
        <f>'26-10 payroll'!D2</f>
        <v>VALERO</v>
      </c>
      <c r="K69" s="454"/>
      <c r="L69" s="454"/>
      <c r="M69" s="454"/>
      <c r="N69" s="454"/>
      <c r="O69" s="454"/>
      <c r="P69" s="455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6" t="s">
        <v>25</v>
      </c>
      <c r="C71" s="457"/>
      <c r="D71" s="457"/>
      <c r="E71" s="457"/>
      <c r="F71" s="457"/>
      <c r="G71" s="457"/>
      <c r="H71" s="458"/>
      <c r="I71" s="177"/>
      <c r="J71" s="456" t="s">
        <v>25</v>
      </c>
      <c r="K71" s="457"/>
      <c r="L71" s="457"/>
      <c r="M71" s="457"/>
      <c r="N71" s="457"/>
      <c r="O71" s="457"/>
      <c r="P71" s="458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46" t="str">
        <f>'26-10 payroll'!B11</f>
        <v>Briones, Christian Joy</v>
      </c>
      <c r="E73" s="447"/>
      <c r="F73" s="447"/>
      <c r="G73" s="55"/>
      <c r="H73" s="193"/>
      <c r="I73" s="194"/>
      <c r="J73" s="191" t="s">
        <v>26</v>
      </c>
      <c r="K73" s="192" t="s">
        <v>27</v>
      </c>
      <c r="L73" s="446" t="str">
        <f>'26-10 payroll'!B12</f>
        <v>Cahilig,Benzen</v>
      </c>
      <c r="M73" s="447"/>
      <c r="N73" s="447"/>
      <c r="O73" s="9"/>
      <c r="P73" s="193"/>
    </row>
    <row r="74" spans="2:17" x14ac:dyDescent="0.2">
      <c r="B74" s="191" t="s">
        <v>28</v>
      </c>
      <c r="C74" s="192" t="s">
        <v>27</v>
      </c>
      <c r="D74" s="448">
        <f>'26-10 payroll'!E11</f>
        <v>527</v>
      </c>
      <c r="E74" s="448"/>
      <c r="F74" s="448"/>
      <c r="G74" s="55"/>
      <c r="H74" s="195"/>
      <c r="I74" s="194"/>
      <c r="J74" s="191" t="s">
        <v>28</v>
      </c>
      <c r="K74" s="192" t="s">
        <v>27</v>
      </c>
      <c r="L74" s="448">
        <f>'26-10 payroll'!E12</f>
        <v>527</v>
      </c>
      <c r="M74" s="448"/>
      <c r="N74" s="448"/>
      <c r="O74" s="9"/>
      <c r="P74" s="195"/>
    </row>
    <row r="75" spans="2:17" x14ac:dyDescent="0.2">
      <c r="B75" s="191" t="s">
        <v>29</v>
      </c>
      <c r="C75" s="192" t="s">
        <v>27</v>
      </c>
      <c r="D75" s="449" t="str">
        <f>'26-10 payroll'!D3</f>
        <v>February 11-25,2020</v>
      </c>
      <c r="E75" s="449"/>
      <c r="F75" s="449"/>
      <c r="G75" s="55"/>
      <c r="H75" s="193"/>
      <c r="I75" s="194"/>
      <c r="J75" s="191" t="s">
        <v>29</v>
      </c>
      <c r="K75" s="192" t="s">
        <v>27</v>
      </c>
      <c r="L75" s="449" t="str">
        <f>'26-10 payroll'!D3</f>
        <v>February 11-25,2020</v>
      </c>
      <c r="M75" s="449"/>
      <c r="N75" s="449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'26-10 payroll'!G11</f>
        <v>6060.5</v>
      </c>
      <c r="I76" s="194"/>
      <c r="J76" s="196" t="s">
        <v>16</v>
      </c>
      <c r="K76" s="197"/>
      <c r="L76" s="198"/>
      <c r="M76" s="199"/>
      <c r="N76" s="9"/>
      <c r="O76" s="9"/>
      <c r="P76" s="10">
        <f>'26-10 payroll'!G12</f>
        <v>6324</v>
      </c>
      <c r="Q76" s="173"/>
    </row>
    <row r="77" spans="2:17" x14ac:dyDescent="0.2">
      <c r="B77" s="191"/>
      <c r="C77" s="197"/>
      <c r="D77" s="199" t="s">
        <v>31</v>
      </c>
      <c r="E77" s="201">
        <f>'26-10 payroll'!F11</f>
        <v>9.5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'26-10 payroll'!F12</f>
        <v>11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'26-10 payroll'!P11</f>
        <v>82.34375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'26-10 payroll'!P12</f>
        <v>82.34375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'26-10 payroll'!H11</f>
        <v>115</v>
      </c>
      <c r="G80" s="55"/>
      <c r="H80" s="58"/>
      <c r="I80" s="194"/>
      <c r="J80" s="191"/>
      <c r="K80" s="192"/>
      <c r="L80" s="203" t="s">
        <v>95</v>
      </c>
      <c r="M80" s="204"/>
      <c r="N80" s="9">
        <f>'26-10 payroll'!H12</f>
        <v>120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'26-10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'26-10 payroll'!R12</f>
        <v>0</v>
      </c>
      <c r="O81" s="9"/>
      <c r="P81" s="10"/>
    </row>
    <row r="82" spans="1:22" x14ac:dyDescent="0.2">
      <c r="B82" s="191"/>
      <c r="C82" s="192"/>
      <c r="D82" s="203" t="s">
        <v>35</v>
      </c>
      <c r="E82" s="204"/>
      <c r="F82" s="55">
        <f>'26-10 payroll'!T11</f>
        <v>158.1</v>
      </c>
      <c r="G82" s="55"/>
      <c r="H82" s="58"/>
      <c r="I82" s="194"/>
      <c r="J82" s="191"/>
      <c r="K82" s="192"/>
      <c r="L82" s="203" t="s">
        <v>35</v>
      </c>
      <c r="M82" s="204"/>
      <c r="N82" s="9">
        <f>'26-10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'26-10 payroll'!V11+'26-10 payroll'!W11+'26-10 payroll'!O39+'26-10 payroll'!P39+'26-10 payroll'!Q39</f>
        <v>32.9375</v>
      </c>
      <c r="G83" s="55"/>
      <c r="H83" s="56">
        <f>SUM(F79:F83)</f>
        <v>388.38125000000002</v>
      </c>
      <c r="I83" s="194"/>
      <c r="J83" s="191"/>
      <c r="K83" s="192"/>
      <c r="L83" s="203" t="s">
        <v>99</v>
      </c>
      <c r="M83" s="204"/>
      <c r="N83" s="11">
        <f>'26-10 payroll'!V12+'26-10 payroll'!W12+'26-10 payroll'!O40+'26-10 payroll'!P40+'26-10 payroll'!Q40</f>
        <v>13.175000000000001</v>
      </c>
      <c r="O83" s="9"/>
      <c r="P83" s="10">
        <f>SUM(N79:N83)</f>
        <v>215.51875000000001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'26-10 payroll'!J26</f>
        <v>480</v>
      </c>
      <c r="G85" s="55"/>
      <c r="H85" s="206"/>
      <c r="I85" s="194"/>
      <c r="J85" s="191"/>
      <c r="K85" s="197"/>
      <c r="L85" s="205" t="s">
        <v>4</v>
      </c>
      <c r="M85" s="204"/>
      <c r="N85" s="9">
        <f>'26-10 payroll'!J27</f>
        <v>480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f>'26-10 payroll'!K26</f>
        <v>0</v>
      </c>
      <c r="G86" s="55"/>
      <c r="H86" s="206"/>
      <c r="I86" s="194"/>
      <c r="J86" s="191"/>
      <c r="K86" s="197"/>
      <c r="L86" s="205" t="s">
        <v>96</v>
      </c>
      <c r="M86" s="204"/>
      <c r="N86" s="9">
        <f>'26-10 payroll'!K27</f>
        <v>507.6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f>'26-10 payroll'!L26</f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f>'26-10 payroll'!L27</f>
        <v>150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'26-10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'26-10 payroll'!O27</f>
        <v>0</v>
      </c>
      <c r="O88" s="9"/>
      <c r="P88" s="206"/>
    </row>
    <row r="89" spans="1:22" x14ac:dyDescent="0.2">
      <c r="B89" s="191"/>
      <c r="C89" s="197"/>
      <c r="D89" s="205" t="s">
        <v>98</v>
      </c>
      <c r="E89" s="204"/>
      <c r="F89" s="55">
        <f>+'26-10 payroll'!E59+'26-10 payroll'!F60+'26-10 payroll'!G60+'26-10 payroll'!H60</f>
        <v>325</v>
      </c>
      <c r="G89" s="55"/>
      <c r="H89" s="206"/>
      <c r="I89" s="194"/>
      <c r="J89" s="191"/>
      <c r="K89" s="197"/>
      <c r="L89" s="205" t="s">
        <v>98</v>
      </c>
      <c r="M89" s="204"/>
      <c r="N89" s="9">
        <f>+'26-10 payroll'!E60+'26-10 payroll'!F61+'26-10 payroll'!G61+'26-10 payroll'!H61</f>
        <v>325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f>'26-10 payroll'!D60</f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f>'26-10 payroll'!D61</f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'26-10 payroll'!F26+'26-10 payroll'!H26</f>
        <v>88.931250000000006</v>
      </c>
      <c r="G91" s="55"/>
      <c r="H91" s="208"/>
      <c r="I91" s="194"/>
      <c r="J91" s="191"/>
      <c r="K91" s="197"/>
      <c r="L91" s="205" t="s">
        <v>39</v>
      </c>
      <c r="M91" s="204"/>
      <c r="N91" s="9">
        <f>'26-10 payroll'!F27+'26-10 payroll'!H27</f>
        <v>37.548749999999998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'26-10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'26-10 payroll'!N27</f>
        <v>492.81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'26-10 payroll'!M26</f>
        <v>0</v>
      </c>
      <c r="G93" s="55"/>
      <c r="H93" s="210">
        <f>-SUM(F85:F93)</f>
        <v>-1043.9312500000001</v>
      </c>
      <c r="I93" s="194"/>
      <c r="J93" s="191"/>
      <c r="K93" s="197"/>
      <c r="L93" s="197" t="s">
        <v>6</v>
      </c>
      <c r="M93" s="204"/>
      <c r="N93" s="9">
        <f>'26-10 payroll'!M27</f>
        <v>0</v>
      </c>
      <c r="O93" s="9"/>
      <c r="P93" s="210">
        <f>-SUM(N85:N93)</f>
        <v>-1992.9587499999998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5404.9500000000007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4546.5600000000004</v>
      </c>
      <c r="Q94" s="173"/>
      <c r="T94" s="215">
        <f>+H94-'26-10 payroll'!S39</f>
        <v>-325</v>
      </c>
      <c r="V94" s="236">
        <f>+P94-'26-10 payroll'!S40</f>
        <v>-324.99999999999909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50" t="str">
        <f>'26-10 payroll'!A1</f>
        <v>THE OLD SPAGHETTI HOUSE</v>
      </c>
      <c r="C101" s="451"/>
      <c r="D101" s="451"/>
      <c r="E101" s="451"/>
      <c r="F101" s="451"/>
      <c r="G101" s="451"/>
      <c r="H101" s="452"/>
      <c r="I101" s="177"/>
      <c r="J101" s="450" t="str">
        <f>'26-10 payroll'!A1</f>
        <v>THE OLD SPAGHETTI HOUSE</v>
      </c>
      <c r="K101" s="451"/>
      <c r="L101" s="451"/>
      <c r="M101" s="451"/>
      <c r="N101" s="451"/>
      <c r="O101" s="451"/>
      <c r="P101" s="452"/>
    </row>
    <row r="102" spans="2:17" x14ac:dyDescent="0.2">
      <c r="B102" s="453" t="str">
        <f>'26-10 payroll'!D2</f>
        <v>VALERO</v>
      </c>
      <c r="C102" s="454"/>
      <c r="D102" s="454"/>
      <c r="E102" s="454"/>
      <c r="F102" s="454"/>
      <c r="G102" s="454"/>
      <c r="H102" s="455"/>
      <c r="I102" s="177"/>
      <c r="J102" s="453" t="str">
        <f>'26-10 payroll'!D2</f>
        <v>VALERO</v>
      </c>
      <c r="K102" s="454"/>
      <c r="L102" s="454"/>
      <c r="M102" s="454"/>
      <c r="N102" s="454"/>
      <c r="O102" s="454"/>
      <c r="P102" s="455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6" t="s">
        <v>25</v>
      </c>
      <c r="C104" s="457"/>
      <c r="D104" s="457"/>
      <c r="E104" s="457"/>
      <c r="F104" s="457"/>
      <c r="G104" s="457"/>
      <c r="H104" s="458"/>
      <c r="I104" s="177"/>
      <c r="J104" s="456" t="s">
        <v>25</v>
      </c>
      <c r="K104" s="457"/>
      <c r="L104" s="457"/>
      <c r="M104" s="457"/>
      <c r="N104" s="457"/>
      <c r="O104" s="457"/>
      <c r="P104" s="458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46" t="str">
        <f>'26-10 payroll'!B13</f>
        <v>Pantoja,Nancy</v>
      </c>
      <c r="E106" s="447"/>
      <c r="F106" s="447"/>
      <c r="G106" s="55"/>
      <c r="H106" s="193"/>
      <c r="I106" s="194"/>
      <c r="J106" s="191" t="s">
        <v>26</v>
      </c>
      <c r="K106" s="192" t="s">
        <v>27</v>
      </c>
      <c r="L106" s="446">
        <f>'26-10 payroll'!B29</f>
        <v>0</v>
      </c>
      <c r="M106" s="447"/>
      <c r="N106" s="447"/>
      <c r="O106" s="9"/>
      <c r="P106" s="193"/>
    </row>
    <row r="107" spans="2:17" x14ac:dyDescent="0.2">
      <c r="B107" s="191" t="s">
        <v>28</v>
      </c>
      <c r="C107" s="192" t="s">
        <v>27</v>
      </c>
      <c r="D107" s="448">
        <f>'26-10 payroll'!E13</f>
        <v>527</v>
      </c>
      <c r="E107" s="448"/>
      <c r="F107" s="448"/>
      <c r="G107" s="55"/>
      <c r="H107" s="195"/>
      <c r="I107" s="194"/>
      <c r="J107" s="191" t="s">
        <v>28</v>
      </c>
      <c r="K107" s="192" t="s">
        <v>27</v>
      </c>
      <c r="L107" s="448">
        <f>'26-10 payroll'!E14</f>
        <v>0</v>
      </c>
      <c r="M107" s="448"/>
      <c r="N107" s="448"/>
      <c r="O107" s="9"/>
      <c r="P107" s="195"/>
    </row>
    <row r="108" spans="2:17" x14ac:dyDescent="0.2">
      <c r="B108" s="191" t="s">
        <v>29</v>
      </c>
      <c r="C108" s="192" t="s">
        <v>27</v>
      </c>
      <c r="D108" s="449" t="str">
        <f>'26-10 payroll'!D3</f>
        <v>February 11-25,2020</v>
      </c>
      <c r="E108" s="449"/>
      <c r="F108" s="449"/>
      <c r="G108" s="55"/>
      <c r="H108" s="193"/>
      <c r="I108" s="194"/>
      <c r="J108" s="191" t="s">
        <v>29</v>
      </c>
      <c r="K108" s="192" t="s">
        <v>27</v>
      </c>
      <c r="L108" s="449" t="str">
        <f>'26-10 payroll'!D3</f>
        <v>February 11-25,2020</v>
      </c>
      <c r="M108" s="449"/>
      <c r="N108" s="449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'26-10 payroll'!G13</f>
        <v>6851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'26-10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>
        <f>'26-10 payroll'!F77</f>
        <v>0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>
        <f>'26-10 payroll'!F78</f>
        <v>0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'26-10 payroll'!P13</f>
        <v>247.03125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'26-10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'26-10 payroll'!H13</f>
        <v>120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'26-10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'26-10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'26-10 payroll'!R14</f>
        <v>0</v>
      </c>
      <c r="O114" s="9"/>
      <c r="P114" s="10"/>
    </row>
    <row r="115" spans="1:22" x14ac:dyDescent="0.2">
      <c r="B115" s="191"/>
      <c r="C115" s="192"/>
      <c r="D115" s="203" t="s">
        <v>35</v>
      </c>
      <c r="E115" s="204"/>
      <c r="F115" s="55">
        <f>'26-10 payroll'!T13</f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'26-10 payroll'!T14</f>
        <v>0</v>
      </c>
      <c r="O115" s="9"/>
      <c r="P115" s="10"/>
    </row>
    <row r="116" spans="1:22" x14ac:dyDescent="0.2">
      <c r="B116" s="191"/>
      <c r="C116" s="192"/>
      <c r="D116" s="203" t="s">
        <v>99</v>
      </c>
      <c r="E116" s="204"/>
      <c r="F116" s="59">
        <f>'26-10 payroll'!V13+'26-10 payroll'!W13+'26-10 payroll'!O41+'26-10 payroll'!P41+'26-10 payroll'!Q41</f>
        <v>39.525000000000006</v>
      </c>
      <c r="G116" s="55"/>
      <c r="H116" s="56">
        <f>SUM(F112:F116)</f>
        <v>406.55624999999998</v>
      </c>
      <c r="I116" s="194"/>
      <c r="J116" s="191"/>
      <c r="K116" s="192"/>
      <c r="L116" s="203" t="s">
        <v>99</v>
      </c>
      <c r="M116" s="204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'26-10 payroll'!J28</f>
        <v>480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'26-10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f>'26-10 payroll'!K28</f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'26-10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f>'26-10 payroll'!L28</f>
        <v>150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'26-10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'26-10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'26-10 payroll'!O29</f>
        <v>0</v>
      </c>
      <c r="O121" s="9"/>
      <c r="P121" s="206"/>
    </row>
    <row r="122" spans="1:22" x14ac:dyDescent="0.2">
      <c r="B122" s="191"/>
      <c r="C122" s="197"/>
      <c r="D122" s="205" t="s">
        <v>98</v>
      </c>
      <c r="E122" s="204"/>
      <c r="F122" s="55">
        <f>+'26-10 payroll'!E61+'26-10 payroll'!F62+'26-10 payroll'!G62+'26-10 payroll'!H62</f>
        <v>325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+'26-10 payroll'!E62+'26-10 payroll'!F63+'26-10 payroll'!G63+'26-10 payroll'!H63</f>
        <v>0</v>
      </c>
      <c r="O122" s="9"/>
      <c r="P122" s="206"/>
    </row>
    <row r="123" spans="1:22" x14ac:dyDescent="0.2">
      <c r="B123" s="191"/>
      <c r="C123" s="197"/>
      <c r="D123" s="197" t="s">
        <v>43</v>
      </c>
      <c r="E123" s="204"/>
      <c r="F123" s="55">
        <f>'26-10 payroll'!D62</f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'26-10 payroll'!D63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'26-10 payroll'!F28+'26-10 payroll'!H28</f>
        <v>28.984999999999999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'26-10 payroll'!F29+'26-10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f>'26-10 payroll'!N28</f>
        <v>383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'26-10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'26-10 payroll'!M28</f>
        <v>0</v>
      </c>
      <c r="G126" s="55"/>
      <c r="H126" s="210">
        <f>-SUM(F118:F126)</f>
        <v>-1366.9850000000001</v>
      </c>
      <c r="I126" s="194"/>
      <c r="J126" s="191"/>
      <c r="K126" s="197"/>
      <c r="L126" s="197" t="s">
        <v>6</v>
      </c>
      <c r="M126" s="204"/>
      <c r="N126" s="9">
        <f>'26-10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5890.5712499999991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+H127-'26-10 payroll'!S41</f>
        <v>-325.00000000000091</v>
      </c>
      <c r="V127" s="236">
        <f>+P127-'26-10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50" t="str">
        <f>'26-10 payroll'!A1</f>
        <v>THE OLD SPAGHETTI HOUSE</v>
      </c>
      <c r="C134" s="451"/>
      <c r="D134" s="451"/>
      <c r="E134" s="451"/>
      <c r="F134" s="451"/>
      <c r="G134" s="451"/>
      <c r="H134" s="452"/>
      <c r="I134" s="177"/>
      <c r="J134" s="450" t="str">
        <f>'26-10 payroll'!A1</f>
        <v>THE OLD SPAGHETTI HOUSE</v>
      </c>
      <c r="K134" s="451"/>
      <c r="L134" s="451"/>
      <c r="M134" s="451"/>
      <c r="N134" s="451"/>
      <c r="O134" s="451"/>
      <c r="P134" s="452"/>
    </row>
    <row r="135" spans="2:17" x14ac:dyDescent="0.2">
      <c r="B135" s="453" t="str">
        <f>'26-10 payroll'!D2</f>
        <v>VALERO</v>
      </c>
      <c r="C135" s="454"/>
      <c r="D135" s="454"/>
      <c r="E135" s="454"/>
      <c r="F135" s="454"/>
      <c r="G135" s="454"/>
      <c r="H135" s="455"/>
      <c r="I135" s="177"/>
      <c r="J135" s="453" t="str">
        <f>'26-10 payroll'!D2</f>
        <v>VALERO</v>
      </c>
      <c r="K135" s="454"/>
      <c r="L135" s="454"/>
      <c r="M135" s="454"/>
      <c r="N135" s="454"/>
      <c r="O135" s="454"/>
      <c r="P135" s="455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6" t="s">
        <v>25</v>
      </c>
      <c r="C137" s="457"/>
      <c r="D137" s="457"/>
      <c r="E137" s="457"/>
      <c r="F137" s="457"/>
      <c r="G137" s="457"/>
      <c r="H137" s="458"/>
      <c r="I137" s="177"/>
      <c r="J137" s="456" t="s">
        <v>25</v>
      </c>
      <c r="K137" s="457"/>
      <c r="L137" s="457"/>
      <c r="M137" s="457"/>
      <c r="N137" s="457"/>
      <c r="O137" s="457"/>
      <c r="P137" s="458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46">
        <f>'26-10 payroll'!B15</f>
        <v>0</v>
      </c>
      <c r="E139" s="447"/>
      <c r="F139" s="447"/>
      <c r="G139" s="55"/>
      <c r="H139" s="193"/>
      <c r="I139" s="194"/>
      <c r="J139" s="191" t="s">
        <v>26</v>
      </c>
      <c r="K139" s="192" t="s">
        <v>27</v>
      </c>
      <c r="L139" s="447">
        <f>'26-10 payroll'!C112</f>
        <v>0</v>
      </c>
      <c r="M139" s="447"/>
      <c r="N139" s="447"/>
      <c r="O139" s="9"/>
      <c r="P139" s="193"/>
    </row>
    <row r="140" spans="2:17" x14ac:dyDescent="0.2">
      <c r="B140" s="191" t="s">
        <v>28</v>
      </c>
      <c r="C140" s="192" t="s">
        <v>27</v>
      </c>
      <c r="D140" s="448">
        <f>'26-10 payroll'!E15</f>
        <v>0</v>
      </c>
      <c r="E140" s="448"/>
      <c r="F140" s="448"/>
      <c r="G140" s="55"/>
      <c r="H140" s="195"/>
      <c r="I140" s="194"/>
      <c r="J140" s="191" t="s">
        <v>28</v>
      </c>
      <c r="K140" s="192" t="s">
        <v>27</v>
      </c>
      <c r="L140" s="448">
        <f>'26-10 payroll'!E111</f>
        <v>0</v>
      </c>
      <c r="M140" s="448"/>
      <c r="N140" s="448"/>
      <c r="O140" s="9"/>
      <c r="P140" s="195"/>
    </row>
    <row r="141" spans="2:17" x14ac:dyDescent="0.2">
      <c r="B141" s="191" t="s">
        <v>29</v>
      </c>
      <c r="C141" s="192" t="s">
        <v>27</v>
      </c>
      <c r="D141" s="449" t="str">
        <f>'26-10 payroll'!D3</f>
        <v>February 11-25,2020</v>
      </c>
      <c r="E141" s="449"/>
      <c r="F141" s="449"/>
      <c r="G141" s="55"/>
      <c r="H141" s="193"/>
      <c r="I141" s="194"/>
      <c r="J141" s="191" t="s">
        <v>29</v>
      </c>
      <c r="K141" s="192" t="s">
        <v>27</v>
      </c>
      <c r="L141" s="449">
        <f>'26-10 payroll'!D105</f>
        <v>0</v>
      </c>
      <c r="M141" s="449"/>
      <c r="N141" s="449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'26-10 payroll'!G15</f>
        <v>0</v>
      </c>
      <c r="I142" s="194"/>
      <c r="J142" s="196" t="s">
        <v>16</v>
      </c>
      <c r="K142" s="197"/>
      <c r="L142" s="198">
        <f>'26-10 payroll'!D139</f>
        <v>0</v>
      </c>
      <c r="M142" s="199"/>
      <c r="N142" s="9"/>
      <c r="O142" s="9"/>
      <c r="P142" s="10">
        <f>'26-10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'26-10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'26-10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'26-10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'26-10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'26-10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'26-10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'26-10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'26-10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'26-10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'26-10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'26-10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'26-10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'26-10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'26-10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'26-10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'26-10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'26-10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'26-10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+'26-10 payroll'!E63+'26-10 payroll'!F64+'26-10 payroll'!G64+'26-10 payroll'!H64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+'26-10 payroll'!E64+'26-10 payroll'!F65+'26-10 payroll'!G65+'26-10 payroll'!H65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'26-10 payroll'!D64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'26-10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'26-10 payroll'!F30+'26-10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'26-10 payroll'!F127+'26-10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'26-10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'26-10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'26-10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'26-10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+H160-'26-10 payroll'!S43</f>
        <v>0</v>
      </c>
      <c r="V160" s="236">
        <f>+P160-'26-10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7" t="s">
        <v>106</v>
      </c>
      <c r="B1" s="237"/>
      <c r="C1" s="238"/>
    </row>
    <row r="2" spans="1:26" s="124" customFormat="1" ht="15.75" x14ac:dyDescent="0.25">
      <c r="A2" s="239" t="s">
        <v>12</v>
      </c>
      <c r="B2" s="239"/>
      <c r="C2" s="240"/>
      <c r="D2" s="125" t="str">
        <f>+'26-10 payroll'!D2</f>
        <v>VALERO</v>
      </c>
      <c r="E2" s="125"/>
      <c r="F2" s="125"/>
      <c r="I2" s="271"/>
      <c r="J2" s="271"/>
    </row>
    <row r="3" spans="1:26" s="124" customFormat="1" ht="15.75" x14ac:dyDescent="0.25">
      <c r="A3" s="237" t="s">
        <v>11</v>
      </c>
      <c r="B3" s="237"/>
      <c r="C3" s="240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43"/>
      <c r="B5" s="445" t="s">
        <v>0</v>
      </c>
      <c r="C5" s="416" t="s">
        <v>1</v>
      </c>
      <c r="D5" s="395" t="s">
        <v>13</v>
      </c>
      <c r="E5" s="416" t="s">
        <v>14</v>
      </c>
      <c r="F5" s="395" t="s">
        <v>15</v>
      </c>
      <c r="G5" s="416" t="s">
        <v>16</v>
      </c>
      <c r="H5" s="395" t="s">
        <v>44</v>
      </c>
      <c r="I5" s="412" t="s">
        <v>118</v>
      </c>
      <c r="J5" s="420" t="s">
        <v>91</v>
      </c>
      <c r="K5" s="421"/>
      <c r="L5" s="422"/>
      <c r="M5" s="432" t="s">
        <v>108</v>
      </c>
      <c r="N5" s="433"/>
      <c r="O5" s="433"/>
      <c r="P5" s="416" t="s">
        <v>2</v>
      </c>
      <c r="Q5" s="395" t="s">
        <v>17</v>
      </c>
      <c r="R5" s="416" t="s">
        <v>2</v>
      </c>
      <c r="S5" s="395" t="s">
        <v>18</v>
      </c>
      <c r="T5" s="416" t="s">
        <v>2</v>
      </c>
      <c r="U5" s="395" t="s">
        <v>19</v>
      </c>
      <c r="V5" s="416" t="s">
        <v>2</v>
      </c>
      <c r="W5" s="395" t="s">
        <v>20</v>
      </c>
      <c r="X5" s="397" t="s">
        <v>3</v>
      </c>
    </row>
    <row r="6" spans="1:26" s="138" customFormat="1" ht="27" customHeight="1" thickBot="1" x14ac:dyDescent="0.25">
      <c r="A6" s="444"/>
      <c r="B6" s="417"/>
      <c r="C6" s="417"/>
      <c r="D6" s="431"/>
      <c r="E6" s="436"/>
      <c r="F6" s="431"/>
      <c r="G6" s="436"/>
      <c r="H6" s="396"/>
      <c r="I6" s="413"/>
      <c r="J6" s="241" t="s">
        <v>92</v>
      </c>
      <c r="K6" s="241" t="s">
        <v>93</v>
      </c>
      <c r="L6" s="241" t="s">
        <v>94</v>
      </c>
      <c r="M6" s="242" t="s">
        <v>109</v>
      </c>
      <c r="N6" s="242" t="s">
        <v>17</v>
      </c>
      <c r="O6" s="242" t="s">
        <v>18</v>
      </c>
      <c r="P6" s="417"/>
      <c r="Q6" s="431"/>
      <c r="R6" s="417"/>
      <c r="S6" s="431"/>
      <c r="T6" s="417"/>
      <c r="U6" s="431"/>
      <c r="V6" s="417"/>
      <c r="W6" s="396"/>
      <c r="X6" s="398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2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2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2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2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2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2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2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2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2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2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9"/>
      <c r="B20" s="401" t="s">
        <v>0</v>
      </c>
      <c r="C20" s="403" t="s">
        <v>1</v>
      </c>
      <c r="D20" s="405" t="s">
        <v>3</v>
      </c>
      <c r="E20" s="407" t="s">
        <v>22</v>
      </c>
      <c r="F20" s="414" t="s">
        <v>2</v>
      </c>
      <c r="G20" s="403" t="s">
        <v>21</v>
      </c>
      <c r="H20" s="405" t="s">
        <v>2</v>
      </c>
      <c r="I20" s="410" t="s">
        <v>126</v>
      </c>
      <c r="J20" s="427" t="s">
        <v>4</v>
      </c>
      <c r="K20" s="429" t="s">
        <v>23</v>
      </c>
      <c r="L20" s="405" t="s">
        <v>5</v>
      </c>
      <c r="M20" s="405" t="s">
        <v>6</v>
      </c>
      <c r="N20" s="405" t="s">
        <v>24</v>
      </c>
      <c r="O20" s="405" t="s">
        <v>7</v>
      </c>
      <c r="P20" s="425" t="s">
        <v>3</v>
      </c>
      <c r="Q20" s="243"/>
      <c r="R20" s="152" t="s">
        <v>103</v>
      </c>
      <c r="S20" s="243"/>
    </row>
    <row r="21" spans="1:24" s="138" customFormat="1" ht="15" customHeight="1" thickBot="1" x14ac:dyDescent="0.25">
      <c r="A21" s="400"/>
      <c r="B21" s="402"/>
      <c r="C21" s="404"/>
      <c r="D21" s="406"/>
      <c r="E21" s="408"/>
      <c r="F21" s="415"/>
      <c r="G21" s="459"/>
      <c r="H21" s="409"/>
      <c r="I21" s="411"/>
      <c r="J21" s="428"/>
      <c r="K21" s="430"/>
      <c r="L21" s="409"/>
      <c r="M21" s="409"/>
      <c r="N21" s="406"/>
      <c r="O21" s="409"/>
      <c r="P21" s="426"/>
      <c r="R21" s="249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6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7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7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7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7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7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7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7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7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7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7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7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7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7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7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8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7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7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8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7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7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8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7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59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7"/>
      <c r="R32" s="16"/>
    </row>
    <row r="33" spans="1:20" s="161" customFormat="1" ht="12" customHeight="1" thickBot="1" x14ac:dyDescent="0.25">
      <c r="A33" s="160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8" t="s">
        <v>102</v>
      </c>
      <c r="T33" s="162"/>
    </row>
    <row r="34" spans="1:20" x14ac:dyDescent="0.2">
      <c r="K34" s="164"/>
      <c r="O34" s="19" t="s">
        <v>114</v>
      </c>
      <c r="P34" s="19" t="s">
        <v>115</v>
      </c>
      <c r="Q34" s="19" t="s">
        <v>116</v>
      </c>
      <c r="R34" s="163"/>
      <c r="S34" s="167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4"/>
      <c r="O35" s="16">
        <f>300/2</f>
        <v>150</v>
      </c>
      <c r="P35" s="16">
        <f>((1768/2)/13)*(13-E22)</f>
        <v>884</v>
      </c>
      <c r="Q35" s="16">
        <v>0</v>
      </c>
      <c r="S35" s="165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4"/>
      <c r="O36" s="16">
        <v>0</v>
      </c>
      <c r="P36" s="16">
        <f>((1000/2)/13)*(13-E23)</f>
        <v>500</v>
      </c>
      <c r="Q36" s="16">
        <v>0</v>
      </c>
      <c r="S36" s="165">
        <f t="shared" si="17"/>
        <v>6403.7</v>
      </c>
    </row>
    <row r="37" spans="1:20" x14ac:dyDescent="0.2">
      <c r="A37" s="164" t="str">
        <f>B25</f>
        <v xml:space="preserve">Sosa, Anna Marie </v>
      </c>
      <c r="D37" s="164" t="str">
        <f>B24</f>
        <v>Dino, Joyce</v>
      </c>
      <c r="H37" s="126" t="s">
        <v>100</v>
      </c>
      <c r="M37" s="16" t="str">
        <f t="shared" si="16"/>
        <v>Dino, Joyce</v>
      </c>
      <c r="N37" s="164"/>
      <c r="O37" s="16">
        <f>500/2</f>
        <v>250</v>
      </c>
      <c r="P37" s="16">
        <f>((2000/2)/13)*(13-E24)</f>
        <v>1000</v>
      </c>
      <c r="Q37" s="16">
        <v>0</v>
      </c>
      <c r="S37" s="165">
        <f t="shared" si="17"/>
        <v>9315.0600000000013</v>
      </c>
    </row>
    <row r="38" spans="1:20" x14ac:dyDescent="0.2">
      <c r="A38" s="166" t="s">
        <v>104</v>
      </c>
      <c r="B38" s="166"/>
      <c r="C38" s="166"/>
      <c r="D38" s="166" t="s">
        <v>107</v>
      </c>
      <c r="E38" s="166"/>
      <c r="F38" s="166"/>
      <c r="G38" s="166"/>
      <c r="H38" s="166" t="s">
        <v>101</v>
      </c>
      <c r="I38" s="166"/>
      <c r="M38" s="16" t="str">
        <f t="shared" si="16"/>
        <v xml:space="preserve">Sosa, Anna Marie </v>
      </c>
      <c r="N38" s="164"/>
      <c r="O38" s="16">
        <f>300/2</f>
        <v>150</v>
      </c>
      <c r="P38" s="16">
        <f>((1768/2)/13)*(13-E25)</f>
        <v>884</v>
      </c>
      <c r="Q38" s="16">
        <v>0</v>
      </c>
      <c r="S38" s="165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5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5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5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5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5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5">
        <f t="shared" si="17"/>
        <v>0</v>
      </c>
    </row>
    <row r="46" spans="1:20" x14ac:dyDescent="0.2">
      <c r="P46" s="168">
        <f>+P33+(SUM(O35:Q44))</f>
        <v>34282.86</v>
      </c>
    </row>
    <row r="53" spans="1:15" ht="13.5" thickBot="1" x14ac:dyDescent="0.25"/>
    <row r="54" spans="1:15" ht="13.5" customHeight="1" thickBot="1" x14ac:dyDescent="0.25">
      <c r="A54" s="399"/>
      <c r="B54" s="401" t="s">
        <v>0</v>
      </c>
      <c r="C54" s="403" t="s">
        <v>1</v>
      </c>
      <c r="D54" s="405" t="s">
        <v>3</v>
      </c>
      <c r="E54" s="405" t="s">
        <v>45</v>
      </c>
      <c r="F54" s="440" t="s">
        <v>151</v>
      </c>
      <c r="G54" s="437" t="s">
        <v>112</v>
      </c>
      <c r="H54" s="438"/>
      <c r="I54" s="423"/>
      <c r="J54" s="425" t="s">
        <v>3</v>
      </c>
      <c r="K54" s="439" t="s">
        <v>114</v>
      </c>
      <c r="L54" s="435" t="s">
        <v>115</v>
      </c>
      <c r="M54" s="435" t="s">
        <v>116</v>
      </c>
      <c r="O54" s="434" t="s">
        <v>102</v>
      </c>
    </row>
    <row r="55" spans="1:15" ht="13.5" thickBot="1" x14ac:dyDescent="0.25">
      <c r="A55" s="400"/>
      <c r="B55" s="402"/>
      <c r="C55" s="404"/>
      <c r="D55" s="406"/>
      <c r="E55" s="442"/>
      <c r="F55" s="441"/>
      <c r="G55" s="244" t="s">
        <v>113</v>
      </c>
      <c r="H55" s="245" t="s">
        <v>148</v>
      </c>
      <c r="I55" s="424"/>
      <c r="J55" s="426"/>
      <c r="K55" s="439"/>
      <c r="L55" s="435"/>
      <c r="M55" s="435"/>
      <c r="O55" s="434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6"/>
      <c r="G56" s="235"/>
      <c r="H56" s="235">
        <f>2775/2</f>
        <v>1387.5</v>
      </c>
      <c r="I56" s="156"/>
      <c r="J56" s="157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4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7" t="str">
        <f t="shared" si="18"/>
        <v>Head Cook</v>
      </c>
      <c r="D57" s="247">
        <f t="shared" ref="D57:D65" si="22">+P23</f>
        <v>5903.7</v>
      </c>
      <c r="E57" s="22"/>
      <c r="F57" s="122"/>
      <c r="G57" s="122"/>
      <c r="H57" s="122"/>
      <c r="I57" s="122"/>
      <c r="J57" s="157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4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7" t="str">
        <f t="shared" si="18"/>
        <v>Store Manager</v>
      </c>
      <c r="D58" s="247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7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4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7" t="str">
        <f t="shared" si="18"/>
        <v>M.T.Bookkeeper</v>
      </c>
      <c r="D59" s="247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7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4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7" t="str">
        <f t="shared" si="18"/>
        <v>Asst. Cook</v>
      </c>
      <c r="D60" s="247">
        <f t="shared" si="22"/>
        <v>4934.66</v>
      </c>
      <c r="E60" s="22"/>
      <c r="F60" s="122"/>
      <c r="G60" s="122"/>
      <c r="H60" s="122"/>
      <c r="I60" s="122"/>
      <c r="J60" s="157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4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7">
        <f t="shared" si="18"/>
        <v>0</v>
      </c>
      <c r="D61" s="247">
        <f t="shared" si="22"/>
        <v>0</v>
      </c>
      <c r="E61" s="22"/>
      <c r="F61" s="122"/>
      <c r="G61" s="122"/>
      <c r="H61" s="122"/>
      <c r="I61" s="122"/>
      <c r="J61" s="157">
        <f t="shared" si="19"/>
        <v>0</v>
      </c>
      <c r="O61" s="164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7">
        <f t="shared" si="18"/>
        <v>0</v>
      </c>
      <c r="D62" s="247">
        <f t="shared" si="22"/>
        <v>0</v>
      </c>
      <c r="E62" s="22"/>
      <c r="F62" s="122"/>
      <c r="G62" s="122"/>
      <c r="H62" s="122"/>
      <c r="I62" s="122"/>
      <c r="J62" s="157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7">
        <f t="shared" si="18"/>
        <v>0</v>
      </c>
      <c r="D63" s="247">
        <f t="shared" si="22"/>
        <v>0</v>
      </c>
      <c r="E63" s="22"/>
      <c r="F63" s="122"/>
      <c r="G63" s="122"/>
      <c r="H63" s="122"/>
      <c r="I63" s="122"/>
      <c r="J63" s="157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7">
        <f t="shared" si="18"/>
        <v>0</v>
      </c>
      <c r="D64" s="247">
        <f t="shared" si="22"/>
        <v>0</v>
      </c>
      <c r="E64" s="22"/>
      <c r="F64" s="122"/>
      <c r="G64" s="122"/>
      <c r="H64" s="122"/>
      <c r="I64" s="15">
        <v>0</v>
      </c>
      <c r="J64" s="157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7">
        <f t="shared" si="18"/>
        <v>0</v>
      </c>
      <c r="D65" s="247">
        <f t="shared" si="22"/>
        <v>0</v>
      </c>
      <c r="E65" s="22"/>
      <c r="F65" s="122"/>
      <c r="G65" s="122"/>
      <c r="H65" s="122"/>
      <c r="I65" s="15">
        <v>0</v>
      </c>
      <c r="J65" s="157">
        <f t="shared" si="19"/>
        <v>0</v>
      </c>
    </row>
    <row r="66" spans="1:16" x14ac:dyDescent="0.2">
      <c r="A66" s="159"/>
      <c r="B66" s="143"/>
      <c r="C66" s="144"/>
      <c r="D66" s="144"/>
      <c r="E66" s="22"/>
      <c r="F66" s="15"/>
      <c r="G66" s="15"/>
      <c r="H66" s="15"/>
      <c r="I66" s="15"/>
      <c r="J66" s="157"/>
    </row>
    <row r="67" spans="1:16" ht="13.5" thickBot="1" x14ac:dyDescent="0.25">
      <c r="A67" s="160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4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50" t="str">
        <f>'11-25 payroll'!A1</f>
        <v>THE OLD SPAGHETTI HOUSE</v>
      </c>
      <c r="C2" s="451"/>
      <c r="D2" s="451"/>
      <c r="E2" s="451"/>
      <c r="F2" s="451"/>
      <c r="G2" s="451"/>
      <c r="H2" s="452"/>
      <c r="I2" s="177"/>
      <c r="J2" s="450" t="str">
        <f>'11-25 payroll'!A1</f>
        <v>THE OLD SPAGHETTI HOUSE</v>
      </c>
      <c r="K2" s="451"/>
      <c r="L2" s="451"/>
      <c r="M2" s="451"/>
      <c r="N2" s="451"/>
      <c r="O2" s="451"/>
      <c r="P2" s="452"/>
    </row>
    <row r="3" spans="1:22" s="178" customFormat="1" x14ac:dyDescent="0.2">
      <c r="A3" s="169"/>
      <c r="B3" s="453" t="str">
        <f>'11-25 payroll'!D2</f>
        <v>VALERO</v>
      </c>
      <c r="C3" s="454"/>
      <c r="D3" s="454"/>
      <c r="E3" s="454"/>
      <c r="F3" s="454"/>
      <c r="G3" s="454"/>
      <c r="H3" s="455"/>
      <c r="I3" s="177"/>
      <c r="J3" s="453" t="str">
        <f>'11-25 payroll'!D2</f>
        <v>VALERO</v>
      </c>
      <c r="K3" s="454"/>
      <c r="L3" s="454"/>
      <c r="M3" s="454"/>
      <c r="N3" s="454"/>
      <c r="O3" s="454"/>
      <c r="P3" s="455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6" t="s">
        <v>25</v>
      </c>
      <c r="C5" s="457"/>
      <c r="D5" s="457"/>
      <c r="E5" s="457"/>
      <c r="F5" s="457"/>
      <c r="G5" s="457"/>
      <c r="H5" s="458"/>
      <c r="I5" s="177"/>
      <c r="J5" s="456" t="s">
        <v>25</v>
      </c>
      <c r="K5" s="457"/>
      <c r="L5" s="457"/>
      <c r="M5" s="457"/>
      <c r="N5" s="457"/>
      <c r="O5" s="457"/>
      <c r="P5" s="458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47" t="str">
        <f>'11-25 payroll'!B7</f>
        <v>Biarcal, Ronald Glenn</v>
      </c>
      <c r="E7" s="447"/>
      <c r="F7" s="447"/>
      <c r="G7" s="55"/>
      <c r="H7" s="193"/>
      <c r="I7" s="194"/>
      <c r="J7" s="191" t="s">
        <v>26</v>
      </c>
      <c r="K7" s="192" t="s">
        <v>27</v>
      </c>
      <c r="L7" s="447" t="str">
        <f>'11-25 payroll'!B8</f>
        <v>Sanchez, Angelo</v>
      </c>
      <c r="M7" s="447"/>
      <c r="N7" s="447"/>
      <c r="O7" s="9"/>
      <c r="P7" s="193"/>
    </row>
    <row r="8" spans="1:22" x14ac:dyDescent="0.2">
      <c r="B8" s="191" t="s">
        <v>28</v>
      </c>
      <c r="C8" s="192" t="s">
        <v>27</v>
      </c>
      <c r="D8" s="448">
        <f>'11-25 payroll'!E7</f>
        <v>502</v>
      </c>
      <c r="E8" s="448"/>
      <c r="F8" s="448"/>
      <c r="G8" s="55"/>
      <c r="H8" s="234"/>
      <c r="I8" s="194"/>
      <c r="J8" s="191" t="s">
        <v>28</v>
      </c>
      <c r="K8" s="192" t="s">
        <v>27</v>
      </c>
      <c r="L8" s="448">
        <f>'11-25 payroll'!E8</f>
        <v>502</v>
      </c>
      <c r="M8" s="448"/>
      <c r="N8" s="448"/>
      <c r="O8" s="9"/>
      <c r="P8" s="234"/>
    </row>
    <row r="9" spans="1:22" s="186" customFormat="1" x14ac:dyDescent="0.2">
      <c r="A9" s="169"/>
      <c r="B9" s="191" t="s">
        <v>29</v>
      </c>
      <c r="C9" s="192" t="s">
        <v>27</v>
      </c>
      <c r="D9" s="449" t="str">
        <f>'11-25 payroll'!D3</f>
        <v>August 11-25</v>
      </c>
      <c r="E9" s="449"/>
      <c r="F9" s="449"/>
      <c r="G9" s="55"/>
      <c r="H9" s="193"/>
      <c r="I9" s="194"/>
      <c r="J9" s="191" t="s">
        <v>29</v>
      </c>
      <c r="K9" s="192" t="s">
        <v>27</v>
      </c>
      <c r="L9" s="449" t="str">
        <f>'11-25 payroll'!D3</f>
        <v>August 11-25</v>
      </c>
      <c r="M9" s="449"/>
      <c r="N9" s="449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6">
        <f>'11-25 payroll'!G7</f>
        <v>6526</v>
      </c>
      <c r="I10" s="194"/>
      <c r="J10" s="196" t="s">
        <v>16</v>
      </c>
      <c r="K10" s="197"/>
      <c r="L10" s="198"/>
      <c r="M10" s="199"/>
      <c r="N10" s="9"/>
      <c r="O10" s="9"/>
      <c r="P10" s="10">
        <f>'11-25 payroll'!G8</f>
        <v>6526</v>
      </c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'11-25 payroll'!F7</f>
        <v>0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'11-25 payroll'!F8</f>
        <v>0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'11-25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'11-25 payroll'!P8</f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'11-25 payroll'!H7</f>
        <v>0</v>
      </c>
      <c r="G14" s="55"/>
      <c r="H14" s="58"/>
      <c r="I14" s="194"/>
      <c r="J14" s="191"/>
      <c r="K14" s="192"/>
      <c r="L14" s="203" t="s">
        <v>95</v>
      </c>
      <c r="M14" s="204"/>
      <c r="N14" s="9">
        <f>'11-25 payroll'!H8</f>
        <v>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'11-25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'11-25 payroll'!R8</f>
        <v>0</v>
      </c>
      <c r="O15" s="9"/>
      <c r="P15" s="10"/>
    </row>
    <row r="16" spans="1:22" x14ac:dyDescent="0.2">
      <c r="B16" s="191"/>
      <c r="C16" s="192"/>
      <c r="D16" s="203" t="s">
        <v>35</v>
      </c>
      <c r="E16" s="204"/>
      <c r="F16" s="55">
        <f>'11-25 payroll'!T7</f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'11-25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4"/>
      <c r="J17" s="191"/>
      <c r="K17" s="192"/>
      <c r="L17" s="203" t="s">
        <v>99</v>
      </c>
      <c r="M17" s="204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'11-25 payroll'!J22</f>
        <v>472.3</v>
      </c>
      <c r="G19" s="55"/>
      <c r="H19" s="206"/>
      <c r="I19" s="194"/>
      <c r="J19" s="191"/>
      <c r="K19" s="197"/>
      <c r="L19" s="205" t="s">
        <v>4</v>
      </c>
      <c r="M19" s="204"/>
      <c r="N19" s="9">
        <f>'11-25 payroll'!J23</f>
        <v>472.3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f>'11-25 payroll'!K22</f>
        <v>699.77</v>
      </c>
      <c r="G20" s="55"/>
      <c r="H20" s="206"/>
      <c r="I20" s="194"/>
      <c r="J20" s="191"/>
      <c r="K20" s="197"/>
      <c r="L20" s="205" t="s">
        <v>96</v>
      </c>
      <c r="M20" s="204"/>
      <c r="N20" s="9">
        <f>'11-25 payroll'!K23</f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'11-25 payroll'!L22</f>
        <v>150</v>
      </c>
      <c r="G21" s="55"/>
      <c r="H21" s="206"/>
      <c r="I21" s="194"/>
      <c r="J21" s="191"/>
      <c r="K21" s="197"/>
      <c r="L21" s="205" t="s">
        <v>37</v>
      </c>
      <c r="M21" s="204"/>
      <c r="N21" s="9">
        <f>'11-25 payroll'!L23</f>
        <v>150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'11-25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'11-25 payroll'!O23</f>
        <v>0</v>
      </c>
      <c r="O22" s="9"/>
      <c r="P22" s="206"/>
    </row>
    <row r="23" spans="1:22" x14ac:dyDescent="0.2">
      <c r="B23" s="191"/>
      <c r="C23" s="197"/>
      <c r="D23" s="205" t="s">
        <v>98</v>
      </c>
      <c r="E23" s="204"/>
      <c r="F23" s="55">
        <f>+'11-25 payroll'!F56+'11-25 payroll'!G56+'11-25 payroll'!H56+'11-25 payroll'!I56</f>
        <v>1387.5</v>
      </c>
      <c r="G23" s="55"/>
      <c r="H23" s="206"/>
      <c r="I23" s="194"/>
      <c r="J23" s="191"/>
      <c r="K23" s="197"/>
      <c r="L23" s="205" t="s">
        <v>98</v>
      </c>
      <c r="M23" s="204"/>
      <c r="N23" s="9">
        <f>+'11-25 payroll'!F57+'11-25 payroll'!G57+'11-25 payroll'!H57+'11-25 payroll'!I57</f>
        <v>0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f>'11-25 payroll'!E56</f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f>'11-25 payroll'!E57</f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'11-25 payroll'!H22+'11-25 payroll'!F22+'11-25 payroll'!I22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'11-25 payroll'!F23+'11-25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'11-25 payroll'!N22</f>
        <v>579.26</v>
      </c>
      <c r="G26" s="55"/>
      <c r="H26" s="208"/>
      <c r="I26" s="194"/>
      <c r="J26" s="191"/>
      <c r="K26" s="197"/>
      <c r="L26" s="205" t="s">
        <v>97</v>
      </c>
      <c r="M26" s="204"/>
      <c r="N26" s="9">
        <f>'11-25 payroll'!N23</f>
        <v>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'11-25 payroll'!M22</f>
        <v>0</v>
      </c>
      <c r="G27" s="55"/>
      <c r="H27" s="210">
        <f>-SUM(F19:F27)</f>
        <v>-3288.83</v>
      </c>
      <c r="I27" s="194"/>
      <c r="J27" s="191"/>
      <c r="K27" s="197"/>
      <c r="L27" s="197" t="s">
        <v>6</v>
      </c>
      <c r="M27" s="204"/>
      <c r="N27" s="9">
        <f>'11-25 payroll'!M23</f>
        <v>0</v>
      </c>
      <c r="O27" s="9"/>
      <c r="P27" s="210">
        <f>-SUM(N19:N27)</f>
        <v>-622.29999999999995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4271.17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6403.7</v>
      </c>
      <c r="R28" s="214"/>
      <c r="T28" s="215">
        <f>+H28-'11-25 payroll'!S35</f>
        <v>-1387.5</v>
      </c>
      <c r="U28" s="216"/>
      <c r="V28" s="217">
        <f>+P28-'11-25 payroll'!S36</f>
        <v>0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50" t="str">
        <f>'11-25 payroll'!A1</f>
        <v>THE OLD SPAGHETTI HOUSE</v>
      </c>
      <c r="C35" s="451"/>
      <c r="D35" s="451"/>
      <c r="E35" s="451"/>
      <c r="F35" s="451"/>
      <c r="G35" s="451"/>
      <c r="H35" s="452"/>
      <c r="I35" s="177"/>
      <c r="J35" s="450" t="str">
        <f>'11-25 payroll'!A1</f>
        <v>THE OLD SPAGHETTI HOUSE</v>
      </c>
      <c r="K35" s="451"/>
      <c r="L35" s="451"/>
      <c r="M35" s="451"/>
      <c r="N35" s="451"/>
      <c r="O35" s="451"/>
      <c r="P35" s="452"/>
    </row>
    <row r="36" spans="2:17" x14ac:dyDescent="0.2">
      <c r="B36" s="453" t="str">
        <f>'11-25 payroll'!D2</f>
        <v>VALERO</v>
      </c>
      <c r="C36" s="454"/>
      <c r="D36" s="454"/>
      <c r="E36" s="454"/>
      <c r="F36" s="454"/>
      <c r="G36" s="454"/>
      <c r="H36" s="455"/>
      <c r="I36" s="177"/>
      <c r="J36" s="453" t="str">
        <f>'11-25 payroll'!D2</f>
        <v>VALERO</v>
      </c>
      <c r="K36" s="454"/>
      <c r="L36" s="454"/>
      <c r="M36" s="454"/>
      <c r="N36" s="454"/>
      <c r="O36" s="454"/>
      <c r="P36" s="455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6" t="s">
        <v>25</v>
      </c>
      <c r="C38" s="457"/>
      <c r="D38" s="457"/>
      <c r="E38" s="457"/>
      <c r="F38" s="457"/>
      <c r="G38" s="457"/>
      <c r="H38" s="458"/>
      <c r="I38" s="177"/>
      <c r="J38" s="456" t="s">
        <v>25</v>
      </c>
      <c r="K38" s="457"/>
      <c r="L38" s="457"/>
      <c r="M38" s="457"/>
      <c r="N38" s="457"/>
      <c r="O38" s="457"/>
      <c r="P38" s="458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47" t="str">
        <f>'11-25 payroll'!B24</f>
        <v>Dino, Joyce</v>
      </c>
      <c r="E40" s="447"/>
      <c r="F40" s="447"/>
      <c r="G40" s="55"/>
      <c r="H40" s="193"/>
      <c r="I40" s="194"/>
      <c r="J40" s="191" t="s">
        <v>26</v>
      </c>
      <c r="K40" s="192" t="s">
        <v>27</v>
      </c>
      <c r="L40" s="446" t="str">
        <f>'11-25 payroll'!B10</f>
        <v xml:space="preserve">Sosa, Anna Marie </v>
      </c>
      <c r="M40" s="447"/>
      <c r="N40" s="447"/>
      <c r="O40" s="9"/>
      <c r="P40" s="193"/>
    </row>
    <row r="41" spans="2:17" x14ac:dyDescent="0.2">
      <c r="B41" s="191" t="s">
        <v>28</v>
      </c>
      <c r="C41" s="192" t="s">
        <v>27</v>
      </c>
      <c r="D41" s="448">
        <f>'11-25 payroll'!E9</f>
        <v>790.23076923076928</v>
      </c>
      <c r="E41" s="448"/>
      <c r="F41" s="448"/>
      <c r="G41" s="55"/>
      <c r="H41" s="234"/>
      <c r="I41" s="194"/>
      <c r="J41" s="191" t="s">
        <v>28</v>
      </c>
      <c r="K41" s="192" t="s">
        <v>27</v>
      </c>
      <c r="L41" s="448">
        <f>'11-25 payroll'!E10</f>
        <v>502</v>
      </c>
      <c r="M41" s="448"/>
      <c r="N41" s="448"/>
      <c r="O41" s="9"/>
      <c r="P41" s="234"/>
    </row>
    <row r="42" spans="2:17" x14ac:dyDescent="0.2">
      <c r="B42" s="191" t="s">
        <v>29</v>
      </c>
      <c r="C42" s="192" t="s">
        <v>27</v>
      </c>
      <c r="D42" s="449" t="str">
        <f>'11-25 payroll'!D3</f>
        <v>August 11-25</v>
      </c>
      <c r="E42" s="449"/>
      <c r="F42" s="449"/>
      <c r="G42" s="55"/>
      <c r="H42" s="193"/>
      <c r="I42" s="194"/>
      <c r="J42" s="191" t="s">
        <v>29</v>
      </c>
      <c r="K42" s="192" t="s">
        <v>27</v>
      </c>
      <c r="L42" s="449" t="str">
        <f>'11-25 payroll'!D3</f>
        <v>August 11-25</v>
      </c>
      <c r="M42" s="449"/>
      <c r="N42" s="449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'11-25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'11-25 payroll'!G10</f>
        <v>6526</v>
      </c>
      <c r="Q43" s="173"/>
    </row>
    <row r="44" spans="2:17" x14ac:dyDescent="0.2">
      <c r="B44" s="191"/>
      <c r="C44" s="197"/>
      <c r="D44" s="199" t="s">
        <v>31</v>
      </c>
      <c r="E44" s="201">
        <f>'11-25 payroll'!F9</f>
        <v>0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'11-25 payroll'!F10</f>
        <v>0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'11-25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'11-25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'11-25 payroll'!H9</f>
        <v>0</v>
      </c>
      <c r="G47" s="55"/>
      <c r="H47" s="58"/>
      <c r="I47" s="194"/>
      <c r="J47" s="191"/>
      <c r="K47" s="192"/>
      <c r="L47" s="203" t="s">
        <v>95</v>
      </c>
      <c r="M47" s="204"/>
      <c r="N47" s="9">
        <f>'11-25 payroll'!H10</f>
        <v>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'11-25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'11-25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f>'11-25 payroll'!T9</f>
        <v>0</v>
      </c>
      <c r="G49" s="55"/>
      <c r="H49" s="58"/>
      <c r="I49" s="194"/>
      <c r="J49" s="191"/>
      <c r="K49" s="192"/>
      <c r="L49" s="203" t="s">
        <v>35</v>
      </c>
      <c r="M49" s="204"/>
      <c r="N49" s="9">
        <f>'11-25 payroll'!T10</f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4"/>
      <c r="J50" s="191"/>
      <c r="K50" s="192"/>
      <c r="L50" s="203" t="s">
        <v>99</v>
      </c>
      <c r="M50" s="204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'11-25 payroll'!J24</f>
        <v>581.29999999999995</v>
      </c>
      <c r="G52" s="55"/>
      <c r="H52" s="206"/>
      <c r="I52" s="194"/>
      <c r="J52" s="191"/>
      <c r="K52" s="197"/>
      <c r="L52" s="205" t="s">
        <v>4</v>
      </c>
      <c r="M52" s="204"/>
      <c r="N52" s="9">
        <f>'11-25 payroll'!J25</f>
        <v>490.5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f>'11-25 payroll'!K24</f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'11-25 payroll'!K25</f>
        <v>0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f>'11-25 payroll'!L24</f>
        <v>200</v>
      </c>
      <c r="G54" s="55"/>
      <c r="H54" s="206"/>
      <c r="I54" s="194"/>
      <c r="J54" s="191"/>
      <c r="K54" s="197"/>
      <c r="L54" s="205" t="s">
        <v>37</v>
      </c>
      <c r="M54" s="204"/>
      <c r="N54" s="9">
        <f>'11-25 payroll'!L25</f>
        <v>150</v>
      </c>
      <c r="O54" s="9"/>
      <c r="P54" s="206"/>
    </row>
    <row r="55" spans="1:22" x14ac:dyDescent="0.2">
      <c r="B55" s="191"/>
      <c r="C55" s="197"/>
      <c r="D55" s="205" t="s">
        <v>38</v>
      </c>
      <c r="E55" s="204"/>
      <c r="F55" s="55">
        <f>'11-25 payroll'!O24</f>
        <v>0</v>
      </c>
      <c r="G55" s="55"/>
      <c r="H55" s="206"/>
      <c r="I55" s="194"/>
      <c r="J55" s="191"/>
      <c r="K55" s="197"/>
      <c r="L55" s="205" t="s">
        <v>38</v>
      </c>
      <c r="M55" s="204"/>
      <c r="N55" s="207">
        <f>'11-25 payroll'!O25</f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f>+'11-25 payroll'!F58+'11-25 payroll'!G58+'11-25 payroll'!H58+'11-25 payroll'!I58</f>
        <v>1601.39</v>
      </c>
      <c r="G56" s="55"/>
      <c r="H56" s="206"/>
      <c r="I56" s="194"/>
      <c r="J56" s="191"/>
      <c r="K56" s="197"/>
      <c r="L56" s="205" t="s">
        <v>98</v>
      </c>
      <c r="M56" s="204"/>
      <c r="N56" s="9">
        <f>+'11-25 payroll'!F59+'11-25 payroll'!G59+'11-25 payroll'!H59+'11-25 payroll'!I59</f>
        <v>1537.335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f>'11-25 payroll'!E58</f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f>'11-25 payroll'!E59</f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'11-25 payroll'!F24+'11-25 payroll'!H24</f>
        <v>0</v>
      </c>
      <c r="G58" s="55"/>
      <c r="H58" s="208"/>
      <c r="I58" s="194"/>
      <c r="J58" s="191"/>
      <c r="K58" s="197"/>
      <c r="L58" s="205" t="s">
        <v>39</v>
      </c>
      <c r="M58" s="204"/>
      <c r="N58" s="9">
        <f>'11-25 payroll'!F25+'11-25 payroll'!H25</f>
        <v>0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f>'11-25 payroll'!N24</f>
        <v>0</v>
      </c>
      <c r="G59" s="55"/>
      <c r="H59" s="208"/>
      <c r="I59" s="194"/>
      <c r="J59" s="191"/>
      <c r="K59" s="197"/>
      <c r="L59" s="205" t="s">
        <v>97</v>
      </c>
      <c r="M59" s="204"/>
      <c r="N59" s="9">
        <f>'11-25 payroll'!N25</f>
        <v>448.73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'11-25 payroll'!M24</f>
        <v>0</v>
      </c>
      <c r="G60" s="55"/>
      <c r="H60" s="210">
        <f>-SUM(F52:F60)</f>
        <v>-3859.33</v>
      </c>
      <c r="I60" s="194"/>
      <c r="J60" s="191"/>
      <c r="K60" s="197"/>
      <c r="L60" s="197" t="s">
        <v>6</v>
      </c>
      <c r="M60" s="204"/>
      <c r="N60" s="9">
        <f>'11-25 payroll'!M25</f>
        <v>0</v>
      </c>
      <c r="O60" s="9"/>
      <c r="P60" s="210">
        <f>-SUM(N52:N60)</f>
        <v>-2626.5650000000001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7663.67</v>
      </c>
      <c r="I61" s="213"/>
      <c r="J61" s="196" t="s">
        <v>40</v>
      </c>
      <c r="K61" s="211"/>
      <c r="L61" s="211"/>
      <c r="M61" s="211"/>
      <c r="N61" s="12"/>
      <c r="O61" s="12"/>
      <c r="P61" s="212">
        <f>SUM(P43:P60)</f>
        <v>4933.4349999999995</v>
      </c>
      <c r="Q61" s="173"/>
      <c r="T61" s="215">
        <f>+H61-'11-25 payroll'!S37</f>
        <v>-1651.3900000000012</v>
      </c>
      <c r="V61" s="236">
        <f>+P61-'11-25 payroll'!S38</f>
        <v>-1537.3350000000009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50" t="str">
        <f>'11-25 payroll'!A1</f>
        <v>THE OLD SPAGHETTI HOUSE</v>
      </c>
      <c r="C68" s="451"/>
      <c r="D68" s="451"/>
      <c r="E68" s="451"/>
      <c r="F68" s="451"/>
      <c r="G68" s="451"/>
      <c r="H68" s="452"/>
      <c r="I68" s="177"/>
      <c r="J68" s="450" t="str">
        <f>'11-25 payroll'!A1</f>
        <v>THE OLD SPAGHETTI HOUSE</v>
      </c>
      <c r="K68" s="451"/>
      <c r="L68" s="451"/>
      <c r="M68" s="451"/>
      <c r="N68" s="451"/>
      <c r="O68" s="451"/>
      <c r="P68" s="452"/>
    </row>
    <row r="69" spans="2:17" x14ac:dyDescent="0.2">
      <c r="B69" s="453" t="str">
        <f>'11-25 payroll'!D2</f>
        <v>VALERO</v>
      </c>
      <c r="C69" s="454"/>
      <c r="D69" s="454"/>
      <c r="E69" s="454"/>
      <c r="F69" s="454"/>
      <c r="G69" s="454"/>
      <c r="H69" s="455"/>
      <c r="I69" s="177"/>
      <c r="J69" s="453" t="str">
        <f>'11-25 payroll'!D2</f>
        <v>VALERO</v>
      </c>
      <c r="K69" s="454"/>
      <c r="L69" s="454"/>
      <c r="M69" s="454"/>
      <c r="N69" s="454"/>
      <c r="O69" s="454"/>
      <c r="P69" s="455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6" t="s">
        <v>25</v>
      </c>
      <c r="C71" s="457"/>
      <c r="D71" s="457"/>
      <c r="E71" s="457"/>
      <c r="F71" s="457"/>
      <c r="G71" s="457"/>
      <c r="H71" s="458"/>
      <c r="I71" s="177"/>
      <c r="J71" s="456" t="s">
        <v>25</v>
      </c>
      <c r="K71" s="457"/>
      <c r="L71" s="457"/>
      <c r="M71" s="457"/>
      <c r="N71" s="457"/>
      <c r="O71" s="457"/>
      <c r="P71" s="458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46" t="str">
        <f>'11-25 payroll'!B11</f>
        <v>Briones, Christain Joy</v>
      </c>
      <c r="E73" s="447"/>
      <c r="F73" s="447"/>
      <c r="G73" s="55"/>
      <c r="H73" s="193"/>
      <c r="I73" s="194"/>
      <c r="J73" s="191" t="s">
        <v>26</v>
      </c>
      <c r="K73" s="192" t="s">
        <v>27</v>
      </c>
      <c r="L73" s="446">
        <f>'11-25 payroll'!B12</f>
        <v>0</v>
      </c>
      <c r="M73" s="447"/>
      <c r="N73" s="447"/>
      <c r="O73" s="9"/>
      <c r="P73" s="193"/>
    </row>
    <row r="74" spans="2:17" x14ac:dyDescent="0.2">
      <c r="B74" s="191" t="s">
        <v>28</v>
      </c>
      <c r="C74" s="192" t="s">
        <v>27</v>
      </c>
      <c r="D74" s="448">
        <f>'11-25 payroll'!E11</f>
        <v>502</v>
      </c>
      <c r="E74" s="448"/>
      <c r="F74" s="448"/>
      <c r="G74" s="55"/>
      <c r="H74" s="234"/>
      <c r="I74" s="194"/>
      <c r="J74" s="191" t="s">
        <v>28</v>
      </c>
      <c r="K74" s="192" t="s">
        <v>27</v>
      </c>
      <c r="L74" s="448">
        <f>'11-25 payroll'!E12</f>
        <v>0</v>
      </c>
      <c r="M74" s="448"/>
      <c r="N74" s="448"/>
      <c r="O74" s="9"/>
      <c r="P74" s="234"/>
    </row>
    <row r="75" spans="2:17" x14ac:dyDescent="0.2">
      <c r="B75" s="191" t="s">
        <v>29</v>
      </c>
      <c r="C75" s="192" t="s">
        <v>27</v>
      </c>
      <c r="D75" s="449" t="str">
        <f>'11-25 payroll'!D3</f>
        <v>August 11-25</v>
      </c>
      <c r="E75" s="449"/>
      <c r="F75" s="449"/>
      <c r="G75" s="55"/>
      <c r="H75" s="193"/>
      <c r="I75" s="194"/>
      <c r="J75" s="191" t="s">
        <v>29</v>
      </c>
      <c r="K75" s="192" t="s">
        <v>27</v>
      </c>
      <c r="L75" s="449" t="str">
        <f>'11-25 payroll'!D3</f>
        <v>August 11-25</v>
      </c>
      <c r="M75" s="449"/>
      <c r="N75" s="449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'11-25 payroll'!G11</f>
        <v>6526</v>
      </c>
      <c r="I76" s="194"/>
      <c r="J76" s="196" t="s">
        <v>16</v>
      </c>
      <c r="K76" s="197"/>
      <c r="L76" s="198"/>
      <c r="M76" s="199"/>
      <c r="N76" s="9"/>
      <c r="O76" s="9"/>
      <c r="P76" s="10">
        <f>'11-25 payroll'!G12</f>
        <v>0</v>
      </c>
      <c r="Q76" s="173"/>
    </row>
    <row r="77" spans="2:17" x14ac:dyDescent="0.2">
      <c r="B77" s="191"/>
      <c r="C77" s="197"/>
      <c r="D77" s="199" t="s">
        <v>31</v>
      </c>
      <c r="E77" s="201">
        <f>'11-25 payroll'!F11</f>
        <v>0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'11-25 payroll'!F12</f>
        <v>0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'11-25 payroll'!P11</f>
        <v>0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'11-25 payroll'!P12</f>
        <v>0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'11-25 payroll'!H11</f>
        <v>0</v>
      </c>
      <c r="G80" s="55"/>
      <c r="H80" s="58"/>
      <c r="I80" s="194"/>
      <c r="J80" s="191"/>
      <c r="K80" s="192"/>
      <c r="L80" s="203" t="s">
        <v>95</v>
      </c>
      <c r="M80" s="204"/>
      <c r="N80" s="9">
        <f>'11-25 payroll'!H12</f>
        <v>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'11-25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'11-25 payroll'!R12</f>
        <v>0</v>
      </c>
      <c r="O81" s="9"/>
      <c r="P81" s="10"/>
    </row>
    <row r="82" spans="1:22" x14ac:dyDescent="0.2">
      <c r="B82" s="191"/>
      <c r="C82" s="192"/>
      <c r="D82" s="203" t="s">
        <v>35</v>
      </c>
      <c r="E82" s="204"/>
      <c r="F82" s="55">
        <f>'11-25 payroll'!T11</f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'11-25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4"/>
      <c r="J83" s="191"/>
      <c r="K83" s="192"/>
      <c r="L83" s="203" t="s">
        <v>99</v>
      </c>
      <c r="M83" s="204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'11-25 payroll'!J26</f>
        <v>472.3</v>
      </c>
      <c r="G85" s="55"/>
      <c r="H85" s="206"/>
      <c r="I85" s="194"/>
      <c r="J85" s="191"/>
      <c r="K85" s="197"/>
      <c r="L85" s="205" t="s">
        <v>4</v>
      </c>
      <c r="M85" s="204"/>
      <c r="N85" s="9">
        <f>'11-25 payroll'!J27</f>
        <v>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f>'11-25 payroll'!K26</f>
        <v>969.04</v>
      </c>
      <c r="G86" s="55"/>
      <c r="H86" s="206"/>
      <c r="I86" s="194"/>
      <c r="J86" s="191"/>
      <c r="K86" s="197"/>
      <c r="L86" s="205" t="s">
        <v>96</v>
      </c>
      <c r="M86" s="204"/>
      <c r="N86" s="9">
        <f>'11-25 payroll'!K27</f>
        <v>0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f>'11-25 payroll'!L26</f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f>'11-25 payroll'!L27</f>
        <v>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'11-25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'11-25 payroll'!O27</f>
        <v>0</v>
      </c>
      <c r="O88" s="9"/>
      <c r="P88" s="206"/>
    </row>
    <row r="89" spans="1:22" x14ac:dyDescent="0.2">
      <c r="B89" s="191"/>
      <c r="C89" s="197"/>
      <c r="D89" s="205" t="s">
        <v>98</v>
      </c>
      <c r="E89" s="204"/>
      <c r="F89" s="55">
        <f>+'11-25 payroll'!F60+'11-25 payroll'!G60+'11-25 payroll'!H60+'11-25 payroll'!I60</f>
        <v>0</v>
      </c>
      <c r="G89" s="55"/>
      <c r="H89" s="206"/>
      <c r="I89" s="194"/>
      <c r="J89" s="191"/>
      <c r="K89" s="197"/>
      <c r="L89" s="205" t="s">
        <v>98</v>
      </c>
      <c r="M89" s="204"/>
      <c r="N89" s="9">
        <f>+'11-25 payroll'!F61+'11-25 payroll'!G61+'11-25 payroll'!H61+'11-25 payroll'!I61</f>
        <v>0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f>'11-25 payroll'!E60</f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f>'11-25 payroll'!E61</f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'11-25 payroll'!F26+'11-25 payroll'!H26</f>
        <v>0</v>
      </c>
      <c r="G91" s="55"/>
      <c r="H91" s="208"/>
      <c r="I91" s="194"/>
      <c r="J91" s="191"/>
      <c r="K91" s="197"/>
      <c r="L91" s="205" t="s">
        <v>39</v>
      </c>
      <c r="M91" s="204"/>
      <c r="N91" s="9">
        <f>'11-25 payroll'!F27+'11-25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'11-25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'11-25 payroll'!N27</f>
        <v>0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'11-25 payroll'!M26</f>
        <v>0</v>
      </c>
      <c r="G93" s="55"/>
      <c r="H93" s="210">
        <f>-SUM(F85:F93)</f>
        <v>-1591.34</v>
      </c>
      <c r="I93" s="194"/>
      <c r="J93" s="191"/>
      <c r="K93" s="197"/>
      <c r="L93" s="197" t="s">
        <v>6</v>
      </c>
      <c r="M93" s="204"/>
      <c r="N93" s="9">
        <f>'11-25 payroll'!M27</f>
        <v>0</v>
      </c>
      <c r="O93" s="9"/>
      <c r="P93" s="210">
        <f>-SUM(N85:N93)</f>
        <v>0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6434.66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0</v>
      </c>
      <c r="Q94" s="173"/>
      <c r="T94" s="215">
        <f>+H94-'11-25 payroll'!S39</f>
        <v>0</v>
      </c>
      <c r="V94" s="236">
        <f>+P94-'11-25 payroll'!S40</f>
        <v>0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50" t="str">
        <f>'11-25 payroll'!A1</f>
        <v>THE OLD SPAGHETTI HOUSE</v>
      </c>
      <c r="C101" s="451"/>
      <c r="D101" s="451"/>
      <c r="E101" s="451"/>
      <c r="F101" s="451"/>
      <c r="G101" s="451"/>
      <c r="H101" s="452"/>
      <c r="I101" s="177"/>
      <c r="J101" s="450" t="str">
        <f>'11-25 payroll'!A1</f>
        <v>THE OLD SPAGHETTI HOUSE</v>
      </c>
      <c r="K101" s="451"/>
      <c r="L101" s="451"/>
      <c r="M101" s="451"/>
      <c r="N101" s="451"/>
      <c r="O101" s="451"/>
      <c r="P101" s="452"/>
    </row>
    <row r="102" spans="2:17" x14ac:dyDescent="0.2">
      <c r="B102" s="453" t="str">
        <f>'11-25 payroll'!D2</f>
        <v>VALERO</v>
      </c>
      <c r="C102" s="454"/>
      <c r="D102" s="454"/>
      <c r="E102" s="454"/>
      <c r="F102" s="454"/>
      <c r="G102" s="454"/>
      <c r="H102" s="455"/>
      <c r="I102" s="177"/>
      <c r="J102" s="453" t="str">
        <f>'11-25 payroll'!D2</f>
        <v>VALERO</v>
      </c>
      <c r="K102" s="454"/>
      <c r="L102" s="454"/>
      <c r="M102" s="454"/>
      <c r="N102" s="454"/>
      <c r="O102" s="454"/>
      <c r="P102" s="455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6" t="s">
        <v>25</v>
      </c>
      <c r="C104" s="457"/>
      <c r="D104" s="457"/>
      <c r="E104" s="457"/>
      <c r="F104" s="457"/>
      <c r="G104" s="457"/>
      <c r="H104" s="458"/>
      <c r="I104" s="177"/>
      <c r="J104" s="456" t="s">
        <v>25</v>
      </c>
      <c r="K104" s="457"/>
      <c r="L104" s="457"/>
      <c r="M104" s="457"/>
      <c r="N104" s="457"/>
      <c r="O104" s="457"/>
      <c r="P104" s="458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46">
        <f>'11-25 payroll'!B13</f>
        <v>0</v>
      </c>
      <c r="E106" s="447"/>
      <c r="F106" s="447"/>
      <c r="G106" s="55"/>
      <c r="H106" s="193"/>
      <c r="I106" s="194"/>
      <c r="J106" s="191" t="s">
        <v>26</v>
      </c>
      <c r="K106" s="192" t="s">
        <v>27</v>
      </c>
      <c r="L106" s="446">
        <f>'11-25 payroll'!B29</f>
        <v>0</v>
      </c>
      <c r="M106" s="447"/>
      <c r="N106" s="447"/>
      <c r="O106" s="9"/>
      <c r="P106" s="193"/>
    </row>
    <row r="107" spans="2:17" x14ac:dyDescent="0.2">
      <c r="B107" s="191" t="s">
        <v>28</v>
      </c>
      <c r="C107" s="192" t="s">
        <v>27</v>
      </c>
      <c r="D107" s="448">
        <f>'11-25 payroll'!E13</f>
        <v>0</v>
      </c>
      <c r="E107" s="448"/>
      <c r="F107" s="448"/>
      <c r="G107" s="55"/>
      <c r="H107" s="234"/>
      <c r="I107" s="194"/>
      <c r="J107" s="191" t="s">
        <v>28</v>
      </c>
      <c r="K107" s="192" t="s">
        <v>27</v>
      </c>
      <c r="L107" s="448">
        <f>'11-25 payroll'!E14</f>
        <v>0</v>
      </c>
      <c r="M107" s="448"/>
      <c r="N107" s="448"/>
      <c r="O107" s="9"/>
      <c r="P107" s="234"/>
    </row>
    <row r="108" spans="2:17" x14ac:dyDescent="0.2">
      <c r="B108" s="191" t="s">
        <v>29</v>
      </c>
      <c r="C108" s="192" t="s">
        <v>27</v>
      </c>
      <c r="D108" s="449" t="str">
        <f>'11-25 payroll'!D3</f>
        <v>August 11-25</v>
      </c>
      <c r="E108" s="449"/>
      <c r="F108" s="449"/>
      <c r="G108" s="55"/>
      <c r="H108" s="193"/>
      <c r="I108" s="194"/>
      <c r="J108" s="191" t="s">
        <v>29</v>
      </c>
      <c r="K108" s="192" t="s">
        <v>27</v>
      </c>
      <c r="L108" s="449" t="str">
        <f>'11-25 payroll'!D3</f>
        <v>August 11-25</v>
      </c>
      <c r="M108" s="449"/>
      <c r="N108" s="449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'11-25 payroll'!G13</f>
        <v>0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'11-25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 t="e">
        <f>'11-25 payroll'!#REF!</f>
        <v>#REF!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 t="e">
        <f>'11-25 payroll'!#REF!</f>
        <v>#REF!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'11-25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'11-25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'11-25 payroll'!H13</f>
        <v>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'11-25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'11-25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'11-25 payroll'!R14</f>
        <v>0</v>
      </c>
      <c r="O114" s="9"/>
      <c r="P114" s="10"/>
    </row>
    <row r="115" spans="1:22" x14ac:dyDescent="0.2">
      <c r="B115" s="191"/>
      <c r="C115" s="192"/>
      <c r="D115" s="203" t="s">
        <v>35</v>
      </c>
      <c r="E115" s="204"/>
      <c r="F115" s="55">
        <f>'11-25 payroll'!T13</f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'11-25 payroll'!T14</f>
        <v>0</v>
      </c>
      <c r="O115" s="9"/>
      <c r="P115" s="10"/>
    </row>
    <row r="116" spans="1:22" x14ac:dyDescent="0.2">
      <c r="B116" s="191"/>
      <c r="C116" s="192"/>
      <c r="D116" s="203" t="s">
        <v>99</v>
      </c>
      <c r="E116" s="204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4"/>
      <c r="J116" s="191"/>
      <c r="K116" s="192"/>
      <c r="L116" s="203" t="s">
        <v>99</v>
      </c>
      <c r="M116" s="204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'11-25 payroll'!J28</f>
        <v>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'11-25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f>'11-25 payroll'!K28</f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'11-25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f>'11-25 payroll'!L28</f>
        <v>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'11-25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'11-25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'11-25 payroll'!O29</f>
        <v>0</v>
      </c>
      <c r="O121" s="9"/>
      <c r="P121" s="206"/>
    </row>
    <row r="122" spans="1:22" x14ac:dyDescent="0.2">
      <c r="B122" s="191"/>
      <c r="C122" s="197"/>
      <c r="D122" s="205" t="s">
        <v>98</v>
      </c>
      <c r="E122" s="204"/>
      <c r="F122" s="55">
        <f>+'11-25 payroll'!F62+'11-25 payroll'!G62+'11-25 payroll'!H62+'11-25 payroll'!I62</f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+'11-25 payroll'!F63+'11-25 payroll'!G63+'11-25 payroll'!H63+'11-25 payroll'!I63</f>
        <v>0</v>
      </c>
      <c r="O122" s="9"/>
      <c r="P122" s="206"/>
    </row>
    <row r="123" spans="1:22" x14ac:dyDescent="0.2">
      <c r="B123" s="191"/>
      <c r="C123" s="197"/>
      <c r="D123" s="197" t="s">
        <v>43</v>
      </c>
      <c r="E123" s="204"/>
      <c r="F123" s="55">
        <f>'11-25 payroll'!E62</f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'11-25 payroll'!E63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'11-25 payroll'!F28+'11-25 payroll'!H28</f>
        <v>0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'11-25 payroll'!F29+'11-25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f>'11-25 payroll'!N28</f>
        <v>0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'11-25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'11-25 payroll'!M28</f>
        <v>0</v>
      </c>
      <c r="G126" s="55"/>
      <c r="H126" s="210">
        <f>-SUM(F118:F126)</f>
        <v>0</v>
      </c>
      <c r="I126" s="194"/>
      <c r="J126" s="191"/>
      <c r="K126" s="197"/>
      <c r="L126" s="197" t="s">
        <v>6</v>
      </c>
      <c r="M126" s="204"/>
      <c r="N126" s="9">
        <f>'11-25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0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+H127-'11-25 payroll'!S41</f>
        <v>0</v>
      </c>
      <c r="V127" s="236">
        <f>+P127-'11-25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50" t="str">
        <f>'11-25 payroll'!A1</f>
        <v>THE OLD SPAGHETTI HOUSE</v>
      </c>
      <c r="C134" s="451"/>
      <c r="D134" s="451"/>
      <c r="E134" s="451"/>
      <c r="F134" s="451"/>
      <c r="G134" s="451"/>
      <c r="H134" s="452"/>
      <c r="I134" s="177"/>
      <c r="J134" s="450" t="str">
        <f>'11-25 payroll'!A1</f>
        <v>THE OLD SPAGHETTI HOUSE</v>
      </c>
      <c r="K134" s="451"/>
      <c r="L134" s="451"/>
      <c r="M134" s="451"/>
      <c r="N134" s="451"/>
      <c r="O134" s="451"/>
      <c r="P134" s="452"/>
    </row>
    <row r="135" spans="2:17" x14ac:dyDescent="0.2">
      <c r="B135" s="453" t="str">
        <f>'11-25 payroll'!D2</f>
        <v>VALERO</v>
      </c>
      <c r="C135" s="454"/>
      <c r="D135" s="454"/>
      <c r="E135" s="454"/>
      <c r="F135" s="454"/>
      <c r="G135" s="454"/>
      <c r="H135" s="455"/>
      <c r="I135" s="177"/>
      <c r="J135" s="453" t="str">
        <f>'11-25 payroll'!D2</f>
        <v>VALERO</v>
      </c>
      <c r="K135" s="454"/>
      <c r="L135" s="454"/>
      <c r="M135" s="454"/>
      <c r="N135" s="454"/>
      <c r="O135" s="454"/>
      <c r="P135" s="455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6" t="s">
        <v>25</v>
      </c>
      <c r="C137" s="457"/>
      <c r="D137" s="457"/>
      <c r="E137" s="457"/>
      <c r="F137" s="457"/>
      <c r="G137" s="457"/>
      <c r="H137" s="458"/>
      <c r="I137" s="177"/>
      <c r="J137" s="456" t="s">
        <v>25</v>
      </c>
      <c r="K137" s="457"/>
      <c r="L137" s="457"/>
      <c r="M137" s="457"/>
      <c r="N137" s="457"/>
      <c r="O137" s="457"/>
      <c r="P137" s="458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46">
        <f>'11-25 payroll'!B15</f>
        <v>0</v>
      </c>
      <c r="E139" s="447"/>
      <c r="F139" s="447"/>
      <c r="G139" s="55"/>
      <c r="H139" s="193"/>
      <c r="I139" s="194"/>
      <c r="J139" s="191" t="s">
        <v>26</v>
      </c>
      <c r="K139" s="192" t="s">
        <v>27</v>
      </c>
      <c r="L139" s="447">
        <f>'11-25 payroll'!C112</f>
        <v>0</v>
      </c>
      <c r="M139" s="447"/>
      <c r="N139" s="447"/>
      <c r="O139" s="9"/>
      <c r="P139" s="193"/>
    </row>
    <row r="140" spans="2:17" x14ac:dyDescent="0.2">
      <c r="B140" s="191" t="s">
        <v>28</v>
      </c>
      <c r="C140" s="192" t="s">
        <v>27</v>
      </c>
      <c r="D140" s="448">
        <f>'11-25 payroll'!E15</f>
        <v>0</v>
      </c>
      <c r="E140" s="448"/>
      <c r="F140" s="448"/>
      <c r="G140" s="55"/>
      <c r="H140" s="234"/>
      <c r="I140" s="194"/>
      <c r="J140" s="191" t="s">
        <v>28</v>
      </c>
      <c r="K140" s="192" t="s">
        <v>27</v>
      </c>
      <c r="L140" s="448">
        <f>'11-25 payroll'!E112</f>
        <v>0</v>
      </c>
      <c r="M140" s="448"/>
      <c r="N140" s="448"/>
      <c r="O140" s="9"/>
      <c r="P140" s="234"/>
    </row>
    <row r="141" spans="2:17" x14ac:dyDescent="0.2">
      <c r="B141" s="191" t="s">
        <v>29</v>
      </c>
      <c r="C141" s="192" t="s">
        <v>27</v>
      </c>
      <c r="D141" s="449" t="str">
        <f>'11-25 payroll'!D3</f>
        <v>August 11-25</v>
      </c>
      <c r="E141" s="449"/>
      <c r="F141" s="449"/>
      <c r="G141" s="55"/>
      <c r="H141" s="193"/>
      <c r="I141" s="194"/>
      <c r="J141" s="191" t="s">
        <v>29</v>
      </c>
      <c r="K141" s="192" t="s">
        <v>27</v>
      </c>
      <c r="L141" s="449">
        <f>'11-25 payroll'!D105</f>
        <v>0</v>
      </c>
      <c r="M141" s="449"/>
      <c r="N141" s="449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'11-25 payroll'!G15</f>
        <v>0</v>
      </c>
      <c r="I142" s="194"/>
      <c r="J142" s="196" t="s">
        <v>16</v>
      </c>
      <c r="K142" s="197"/>
      <c r="L142" s="198">
        <f>'11-25 payroll'!D139</f>
        <v>0</v>
      </c>
      <c r="M142" s="199"/>
      <c r="N142" s="9"/>
      <c r="O142" s="9"/>
      <c r="P142" s="10">
        <f>'11-25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'11-25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'11-25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'11-25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'11-25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'11-25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'11-25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'11-25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'11-25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'11-25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'11-25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'11-25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'11-25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'11-25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'11-25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'11-25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'11-25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'11-25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'11-25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+'11-25 payroll'!F64+'11-25 payroll'!G64+'11-25 payroll'!H64+'11-25 payroll'!I64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+'11-25 payroll'!F65+'11-25 payroll'!G65+'11-25 payroll'!H65+'11-25 payroll'!I65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'11-25 payroll'!E64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'11-25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'11-25 payroll'!F30+'11-25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'11-25 payroll'!F127+'11-25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'11-25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'11-25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'11-25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'11-25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+H160-'11-25 payroll'!S43</f>
        <v>0</v>
      </c>
      <c r="V160" s="236">
        <f>+P160-'11-25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February 11-25,2020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64" t="s">
        <v>65</v>
      </c>
      <c r="H15" s="464"/>
      <c r="J15" s="465" t="s">
        <v>66</v>
      </c>
      <c r="K15" s="465"/>
      <c r="L15" s="465"/>
      <c r="M15" s="465" t="s">
        <v>67</v>
      </c>
      <c r="N15" s="465"/>
      <c r="O15" s="464" t="s">
        <v>68</v>
      </c>
      <c r="P15" s="464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62" t="s">
        <v>70</v>
      </c>
      <c r="H16" s="462"/>
      <c r="I16" s="70" t="s">
        <v>71</v>
      </c>
      <c r="J16" s="466" t="s">
        <v>72</v>
      </c>
      <c r="K16" s="466"/>
      <c r="L16" s="466"/>
      <c r="M16" s="466" t="s">
        <v>73</v>
      </c>
      <c r="N16" s="466"/>
      <c r="O16" s="462" t="s">
        <v>74</v>
      </c>
      <c r="P16" s="462"/>
      <c r="Q16" s="250" t="s">
        <v>75</v>
      </c>
      <c r="R16" s="461" t="s">
        <v>117</v>
      </c>
      <c r="S16" s="462"/>
      <c r="T16" s="462"/>
      <c r="U16" s="463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1" t="s">
        <v>88</v>
      </c>
      <c r="R17" s="42" t="s">
        <v>4</v>
      </c>
      <c r="S17" s="44" t="s">
        <v>111</v>
      </c>
      <c r="T17" s="44" t="s">
        <v>113</v>
      </c>
      <c r="U17" s="253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7105.5037499999999</v>
      </c>
      <c r="H18" s="80">
        <f>'11-25 payroll'!R22</f>
        <v>6526</v>
      </c>
      <c r="I18" s="81">
        <f>G18+H18</f>
        <v>13631.50375</v>
      </c>
      <c r="J18" s="82">
        <f>+'26-10 payroll'!J22+'11-25 payroll'!J22</f>
        <v>1012.3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312.5</v>
      </c>
      <c r="N18" s="83">
        <f>M18</f>
        <v>312.5</v>
      </c>
      <c r="O18" s="83">
        <f>+'26-10 payroll'!M22+'11-25 payroll'!M22</f>
        <v>0</v>
      </c>
      <c r="P18" s="83">
        <f>O18</f>
        <v>0</v>
      </c>
      <c r="Q18" s="252">
        <f>'26-10 payroll'!O22+'11-25 payroll'!O22</f>
        <v>0</v>
      </c>
      <c r="R18" s="254">
        <f>'26-10 payroll'!K22+'11-25 payroll'!K22</f>
        <v>1322.73</v>
      </c>
      <c r="S18" s="233">
        <f>'26-10 payroll'!G56+'11-25 payroll'!H56</f>
        <v>1387.5</v>
      </c>
      <c r="T18" s="233">
        <f>+'26-10 payroll'!F56+'11-25 payroll'!G56</f>
        <v>0</v>
      </c>
      <c r="U18" s="255">
        <f>'26-10 payroll'!N22+'11-25 payroll'!N22</f>
        <v>1344.26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6994.1750000000002</v>
      </c>
      <c r="H19" s="80">
        <f>'11-25 payroll'!R23</f>
        <v>6526</v>
      </c>
      <c r="I19" s="81">
        <f t="shared" ref="I19:I27" si="0">G19+H19</f>
        <v>13520.174999999999</v>
      </c>
      <c r="J19" s="82">
        <f>+'26-10 payroll'!J23+'11-25 payroll'!J23</f>
        <v>1012.3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312.5</v>
      </c>
      <c r="N19" s="83">
        <f t="shared" ref="N19:N27" si="1">M19</f>
        <v>312.5</v>
      </c>
      <c r="O19" s="83">
        <f>+'26-10 payroll'!M23+'11-25 payroll'!M23</f>
        <v>0</v>
      </c>
      <c r="P19" s="83">
        <f t="shared" ref="P19:P27" si="2">O19</f>
        <v>0</v>
      </c>
      <c r="Q19" s="252">
        <f>'26-10 payroll'!O23+'11-25 payroll'!O23</f>
        <v>0</v>
      </c>
      <c r="R19" s="254">
        <f>'26-10 payroll'!K23+'11-25 payroll'!K23</f>
        <v>0</v>
      </c>
      <c r="S19" s="233">
        <f>'26-10 payroll'!G57+'11-25 payroll'!H57</f>
        <v>0</v>
      </c>
      <c r="T19" s="233">
        <f>+'26-10 payroll'!F57+'11-25 payroll'!G57</f>
        <v>0</v>
      </c>
      <c r="U19" s="255">
        <f>'26-10 payroll'!N23+'11-25 payroll'!N23</f>
        <v>540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10224.21028846154</v>
      </c>
      <c r="H20" s="80">
        <f>'11-25 payroll'!R24</f>
        <v>10273</v>
      </c>
      <c r="I20" s="81">
        <f t="shared" si="0"/>
        <v>20497.210288461538</v>
      </c>
      <c r="J20" s="82">
        <f>+'26-10 payroll'!J24+'11-25 payroll'!J24</f>
        <v>1381.3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475</v>
      </c>
      <c r="N20" s="83">
        <f t="shared" si="1"/>
        <v>475</v>
      </c>
      <c r="O20" s="83">
        <f>+'26-10 payroll'!M24+'11-25 payroll'!M24</f>
        <v>0</v>
      </c>
      <c r="P20" s="83">
        <f t="shared" si="2"/>
        <v>0</v>
      </c>
      <c r="Q20" s="252">
        <f>'26-10 payroll'!O24+'11-25 payroll'!O24</f>
        <v>0</v>
      </c>
      <c r="R20" s="254">
        <f>'26-10 payroll'!K24+'11-25 payroll'!K24</f>
        <v>2953.28</v>
      </c>
      <c r="S20" s="233">
        <f>'26-10 payroll'!G58+'11-25 payroll'!H58</f>
        <v>1601.39</v>
      </c>
      <c r="T20" s="233">
        <f>+'26-10 payroll'!F58+'11-25 payroll'!G58</f>
        <v>0</v>
      </c>
      <c r="U20" s="255">
        <f>'26-10 payroll'!N24+'11-25 payroll'!N24</f>
        <v>1161.8499999999999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6934.8874999999998</v>
      </c>
      <c r="H21" s="80">
        <f>'11-25 payroll'!R25</f>
        <v>6526</v>
      </c>
      <c r="I21" s="81">
        <f t="shared" si="0"/>
        <v>13460.887500000001</v>
      </c>
      <c r="J21" s="82">
        <f>+'26-10 payroll'!J25+'11-25 payroll'!J25</f>
        <v>1030.5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312.5</v>
      </c>
      <c r="N21" s="83">
        <f>M21</f>
        <v>312.5</v>
      </c>
      <c r="O21" s="83">
        <f>+'26-10 payroll'!M25+'11-25 payroll'!M25</f>
        <v>0</v>
      </c>
      <c r="P21" s="83">
        <f>O21</f>
        <v>0</v>
      </c>
      <c r="Q21" s="252">
        <f>'26-10 payroll'!O25+'11-25 payroll'!O25</f>
        <v>0</v>
      </c>
      <c r="R21" s="254">
        <f>'26-10 payroll'!K25+'11-25 payroll'!K25</f>
        <v>623</v>
      </c>
      <c r="S21" s="233">
        <f>'26-10 payroll'!G59+'11-25 payroll'!H59</f>
        <v>1537.335</v>
      </c>
      <c r="T21" s="233">
        <f>+'26-10 payroll'!F59+'11-25 payroll'!G59</f>
        <v>0</v>
      </c>
      <c r="U21" s="255">
        <f>'26-10 payroll'!N25+'11-25 payroll'!N25</f>
        <v>1141.23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6359.9500000000007</v>
      </c>
      <c r="H22" s="80">
        <f>'11-25 payroll'!R26</f>
        <v>6526</v>
      </c>
      <c r="I22" s="81">
        <f t="shared" si="0"/>
        <v>12885.95</v>
      </c>
      <c r="J22" s="82">
        <f>+'26-10 payroll'!J26+'11-25 payroll'!J26</f>
        <v>952.3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300</v>
      </c>
      <c r="N22" s="83">
        <f>M22</f>
        <v>300</v>
      </c>
      <c r="O22" s="83">
        <f>+'26-10 payroll'!M26+'11-25 payroll'!M26</f>
        <v>0</v>
      </c>
      <c r="P22" s="83">
        <f>O22</f>
        <v>0</v>
      </c>
      <c r="Q22" s="252">
        <f>'26-10 payroll'!O26+'11-25 payroll'!O26</f>
        <v>0</v>
      </c>
      <c r="R22" s="254">
        <f>'26-10 payroll'!K26+'11-25 payroll'!K26</f>
        <v>969.04</v>
      </c>
      <c r="S22" s="233">
        <f>'26-10 payroll'!G60+'11-25 payroll'!H60</f>
        <v>0</v>
      </c>
      <c r="T22" s="233">
        <f>+'26-10 payroll'!F60+'11-25 payroll'!G60</f>
        <v>0</v>
      </c>
      <c r="U22" s="255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6501.97</v>
      </c>
      <c r="H23" s="80">
        <f>'11-25 payroll'!R27</f>
        <v>0</v>
      </c>
      <c r="I23" s="93">
        <f t="shared" si="0"/>
        <v>6501.97</v>
      </c>
      <c r="J23" s="82">
        <f>+'26-10 payroll'!J27+'11-25 payroll'!J27</f>
        <v>480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150</v>
      </c>
      <c r="N23" s="83">
        <f>M23</f>
        <v>150</v>
      </c>
      <c r="O23" s="83">
        <f>+'26-10 payroll'!M27+'11-25 payroll'!M27</f>
        <v>0</v>
      </c>
      <c r="P23" s="83">
        <f>O23</f>
        <v>0</v>
      </c>
      <c r="Q23" s="252">
        <f>'26-10 payroll'!O27+'11-25 payroll'!O27</f>
        <v>0</v>
      </c>
      <c r="R23" s="254">
        <f>'26-10 payroll'!K27+'11-25 payroll'!K27</f>
        <v>507.6</v>
      </c>
      <c r="S23" s="233">
        <f>'26-10 payroll'!G61+'11-25 payroll'!H61</f>
        <v>0</v>
      </c>
      <c r="T23" s="233">
        <f>+'26-10 payroll'!F61+'11-25 payroll'!G61</f>
        <v>0</v>
      </c>
      <c r="U23" s="255">
        <f>'26-10 payroll'!N27+'11-25 payroll'!N27</f>
        <v>492.81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7228.57125</v>
      </c>
      <c r="H24" s="80">
        <f>'11-25 payroll'!R28</f>
        <v>0</v>
      </c>
      <c r="I24" s="81">
        <f t="shared" si="0"/>
        <v>7228.57125</v>
      </c>
      <c r="J24" s="82">
        <f>+'26-10 payroll'!J28+'11-25 payroll'!J28</f>
        <v>480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150</v>
      </c>
      <c r="N24" s="83">
        <f t="shared" si="1"/>
        <v>150</v>
      </c>
      <c r="O24" s="83">
        <f>+'26-10 payroll'!M28+'11-25 payroll'!M28</f>
        <v>0</v>
      </c>
      <c r="P24" s="83">
        <f t="shared" si="2"/>
        <v>0</v>
      </c>
      <c r="Q24" s="252">
        <f>'26-10 payroll'!O28+'11-25 payroll'!O28</f>
        <v>0</v>
      </c>
      <c r="R24" s="254">
        <f>'26-10 payroll'!K28+'11-25 payroll'!K28</f>
        <v>0</v>
      </c>
      <c r="S24" s="233">
        <f>'26-10 payroll'!G62+'11-25 payroll'!H62</f>
        <v>0</v>
      </c>
      <c r="T24" s="233">
        <f>+'26-10 payroll'!F62+'11-25 payroll'!G62</f>
        <v>0</v>
      </c>
      <c r="U24" s="255">
        <f>'26-10 payroll'!N28+'11-25 payroll'!N28</f>
        <v>383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2">
        <f>'26-10 payroll'!O29+'11-25 payroll'!O29</f>
        <v>0</v>
      </c>
      <c r="R25" s="254">
        <f>'26-10 payroll'!K29+'11-25 payroll'!K29</f>
        <v>0</v>
      </c>
      <c r="S25" s="233">
        <f>'26-10 payroll'!G63+'11-25 payroll'!H63</f>
        <v>0</v>
      </c>
      <c r="T25" s="233">
        <f>+'26-10 payroll'!F63+'11-25 payroll'!G63</f>
        <v>0</v>
      </c>
      <c r="U25" s="255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2">
        <f>'26-10 payroll'!O30+'11-25 payroll'!O30</f>
        <v>0</v>
      </c>
      <c r="R26" s="254">
        <f>'26-10 payroll'!K30+'11-25 payroll'!K30</f>
        <v>0</v>
      </c>
      <c r="S26" s="233">
        <f>'26-10 payroll'!G64+'11-25 payroll'!H64</f>
        <v>0</v>
      </c>
      <c r="T26" s="233">
        <f>+'26-10 payroll'!F64+'11-25 payroll'!G64</f>
        <v>0</v>
      </c>
      <c r="U26" s="255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2">
        <f>'26-10 payroll'!O31+'11-25 payroll'!O31</f>
        <v>0</v>
      </c>
      <c r="R27" s="254">
        <f>'26-10 payroll'!K31+'11-25 payroll'!K31</f>
        <v>0</v>
      </c>
      <c r="S27" s="233">
        <f>'26-10 payroll'!G65+'11-25 payroll'!H65</f>
        <v>0</v>
      </c>
      <c r="T27" s="233">
        <f>+'26-10 payroll'!F65+'11-25 payroll'!G65</f>
        <v>0</v>
      </c>
      <c r="U27" s="255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2"/>
      <c r="R28" s="256"/>
      <c r="S28" s="83"/>
      <c r="T28" s="83"/>
      <c r="U28" s="257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51349.26778846154</v>
      </c>
      <c r="H29" s="103">
        <f t="shared" ref="H29:O29" si="3">SUM(H18:H27)</f>
        <v>36377</v>
      </c>
      <c r="I29" s="103">
        <f t="shared" si="3"/>
        <v>87726.267788461526</v>
      </c>
      <c r="J29" s="103">
        <f t="shared" si="3"/>
        <v>6348.7</v>
      </c>
      <c r="K29" s="103">
        <f t="shared" si="3"/>
        <v>5046.3</v>
      </c>
      <c r="L29" s="103">
        <f t="shared" si="3"/>
        <v>70</v>
      </c>
      <c r="M29" s="103">
        <f t="shared" si="3"/>
        <v>2012.5</v>
      </c>
      <c r="N29" s="103">
        <f t="shared" si="3"/>
        <v>2012.5</v>
      </c>
      <c r="O29" s="103">
        <f t="shared" si="3"/>
        <v>0</v>
      </c>
      <c r="P29" s="103">
        <f t="shared" ref="P29:U29" si="4">SUM(P18:P27)</f>
        <v>0</v>
      </c>
      <c r="Q29" s="258">
        <f t="shared" si="4"/>
        <v>0</v>
      </c>
      <c r="R29" s="100">
        <f t="shared" si="4"/>
        <v>6375.6500000000005</v>
      </c>
      <c r="S29" s="103">
        <f t="shared" si="4"/>
        <v>4526.2250000000004</v>
      </c>
      <c r="T29" s="103">
        <f t="shared" si="4"/>
        <v>0</v>
      </c>
      <c r="U29" s="259">
        <f t="shared" si="4"/>
        <v>5063.1500000000005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11465</v>
      </c>
      <c r="L31" s="115"/>
      <c r="M31" s="115">
        <f>M29+N29</f>
        <v>4025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0" customFormat="1" ht="38.25" x14ac:dyDescent="0.2">
      <c r="B33" s="260" t="s">
        <v>127</v>
      </c>
      <c r="G33" s="260" t="s">
        <v>128</v>
      </c>
      <c r="H33" s="260" t="s">
        <v>129</v>
      </c>
      <c r="I33" s="260" t="s">
        <v>130</v>
      </c>
      <c r="J33" s="261" t="s">
        <v>124</v>
      </c>
      <c r="K33" s="261" t="s">
        <v>125</v>
      </c>
      <c r="L33" s="261" t="s">
        <v>19</v>
      </c>
      <c r="M33" s="261" t="s">
        <v>20</v>
      </c>
      <c r="N33" s="261" t="s">
        <v>131</v>
      </c>
      <c r="O33" s="260" t="s">
        <v>105</v>
      </c>
      <c r="P33" s="261" t="s">
        <v>132</v>
      </c>
      <c r="R33" s="261"/>
      <c r="V33" s="261"/>
    </row>
    <row r="34" spans="1:22" s="105" customFormat="1" x14ac:dyDescent="0.2">
      <c r="A34" s="262" t="str">
        <f>+'26-10 payroll'!B9</f>
        <v>Dino, Joyce</v>
      </c>
      <c r="B34" s="262">
        <f>+'26-10 payroll'!G9+'11-25 payroll'!G9</f>
        <v>20546</v>
      </c>
      <c r="C34" s="106"/>
      <c r="E34" s="106"/>
      <c r="G34" s="262">
        <f>+'26-10 payroll'!I9+'11-25 payroll'!I9</f>
        <v>50</v>
      </c>
      <c r="H34" s="262">
        <f>+'26-10 payroll'!H9+'11-25 payroll'!H9</f>
        <v>130</v>
      </c>
      <c r="I34" s="262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69.145192307692312</v>
      </c>
      <c r="M34" s="109">
        <f>+'26-10 payroll'!W9+'11-25 payroll'!W9</f>
        <v>0</v>
      </c>
      <c r="N34" s="109">
        <f>+'26-10 payroll'!F24+'26-10 payroll'!H24+'11-25 payroll'!F24+'11-25 payroll'!H24</f>
        <v>247.93490384615384</v>
      </c>
      <c r="O34" s="109">
        <f>+'26-10 payroll'!I24+'11-25 payroll'!I24</f>
        <v>0</v>
      </c>
      <c r="P34" s="109">
        <f>SUM('26-10 payroll'!O37:Q37,'11-25 payroll'!O37:Q37)</f>
        <v>2550</v>
      </c>
      <c r="R34" s="110"/>
      <c r="V34" s="109"/>
    </row>
    <row r="35" spans="1:22" s="105" customFormat="1" x14ac:dyDescent="0.2">
      <c r="A35" s="262"/>
      <c r="B35" s="262"/>
      <c r="C35" s="106"/>
      <c r="E35" s="106"/>
      <c r="G35" s="262"/>
      <c r="H35" s="262"/>
      <c r="I35" s="262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2"/>
      <c r="B36" s="263">
        <f t="shared" ref="B36:P36" si="5">SUM(B34:B35)</f>
        <v>20546</v>
      </c>
      <c r="C36" s="263">
        <f t="shared" si="5"/>
        <v>0</v>
      </c>
      <c r="D36" s="263">
        <f t="shared" si="5"/>
        <v>0</v>
      </c>
      <c r="E36" s="263">
        <f t="shared" si="5"/>
        <v>0</v>
      </c>
      <c r="F36" s="263">
        <f t="shared" si="5"/>
        <v>0</v>
      </c>
      <c r="G36" s="263">
        <f t="shared" si="5"/>
        <v>50</v>
      </c>
      <c r="H36" s="263">
        <f t="shared" si="5"/>
        <v>130</v>
      </c>
      <c r="I36" s="263">
        <f t="shared" si="5"/>
        <v>0</v>
      </c>
      <c r="J36" s="263">
        <f t="shared" si="5"/>
        <v>0</v>
      </c>
      <c r="K36" s="263">
        <f t="shared" si="5"/>
        <v>0</v>
      </c>
      <c r="L36" s="263">
        <f t="shared" si="5"/>
        <v>69.145192307692312</v>
      </c>
      <c r="M36" s="263">
        <f t="shared" si="5"/>
        <v>0</v>
      </c>
      <c r="N36" s="263">
        <f t="shared" si="5"/>
        <v>247.93490384615384</v>
      </c>
      <c r="O36" s="263">
        <f t="shared" si="5"/>
        <v>0</v>
      </c>
      <c r="P36" s="263">
        <f t="shared" si="5"/>
        <v>2550</v>
      </c>
      <c r="R36" s="110"/>
      <c r="V36" s="109"/>
    </row>
    <row r="37" spans="1:22" s="264" customFormat="1" x14ac:dyDescent="0.2">
      <c r="A37" s="262" t="str">
        <f>+'26-10 payroll'!B7</f>
        <v>Biarcal, Ronald Glenn</v>
      </c>
      <c r="B37" s="262">
        <f>+'26-10 payroll'!G7+'11-25 payroll'!G7</f>
        <v>13377</v>
      </c>
      <c r="C37" s="106"/>
      <c r="D37" s="105"/>
      <c r="E37" s="106"/>
      <c r="F37" s="105"/>
      <c r="G37" s="262">
        <f>+'26-10 payroll'!I7+'11-25 payroll'!I7</f>
        <v>0</v>
      </c>
      <c r="H37" s="262">
        <f>+'26-10 payroll'!H7+'11-25 payroll'!H7</f>
        <v>130</v>
      </c>
      <c r="I37" s="262">
        <f>+'26-10 payroll'!P7+'11-25 payroll'!P7</f>
        <v>111.32875000000001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13.175000000000001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5"/>
      <c r="V37" s="266"/>
    </row>
    <row r="38" spans="1:22" s="264" customFormat="1" x14ac:dyDescent="0.2">
      <c r="A38" s="262" t="str">
        <f>+'26-10 payroll'!B8</f>
        <v>Sanchez, Angelo</v>
      </c>
      <c r="B38" s="262">
        <f>+'26-10 payroll'!G8+'11-25 payroll'!G8</f>
        <v>13377</v>
      </c>
      <c r="C38" s="106"/>
      <c r="D38" s="105"/>
      <c r="E38" s="106"/>
      <c r="F38" s="105"/>
      <c r="G38" s="262">
        <f>+'26-10 payroll'!I8+'11-25 payroll'!I8</f>
        <v>0</v>
      </c>
      <c r="H38" s="262">
        <f>+'26-10 payroll'!H8+'11-25 payroll'!H8</f>
        <v>130</v>
      </c>
      <c r="I38" s="262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13.175000000000001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5"/>
      <c r="V38" s="266"/>
    </row>
    <row r="39" spans="1:22" s="105" customFormat="1" x14ac:dyDescent="0.2">
      <c r="A39" s="262" t="str">
        <f>+'26-10 payroll'!B10</f>
        <v xml:space="preserve">Sosa, Anna Marie </v>
      </c>
      <c r="B39" s="262">
        <f>+'26-10 payroll'!G10+'11-25 payroll'!G10</f>
        <v>13377</v>
      </c>
      <c r="C39" s="106"/>
      <c r="E39" s="106"/>
      <c r="G39" s="262">
        <f>+'26-10 payroll'!I10+'11-25 payroll'!I10</f>
        <v>0</v>
      </c>
      <c r="H39" s="262">
        <f>+'26-10 payroll'!H10+'11-25 payroll'!H10</f>
        <v>130</v>
      </c>
      <c r="I39" s="262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19.762500000000003</v>
      </c>
      <c r="M39" s="109">
        <f>+'26-10 payroll'!W10+'11-25 payroll'!W10</f>
        <v>0</v>
      </c>
      <c r="N39" s="109">
        <f>+'26-10 payroll'!F25+'26-10 payroll'!H25+'11-25 payroll'!F25+'11-25 payroll'!H25</f>
        <v>65.875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 x14ac:dyDescent="0.2">
      <c r="A40" s="262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2"/>
      <c r="B41" s="267">
        <f>SUM(B37:B40)</f>
        <v>40131</v>
      </c>
      <c r="C41" s="267">
        <f t="shared" ref="C41:P41" si="6">SUM(C37:C40)</f>
        <v>0</v>
      </c>
      <c r="D41" s="267">
        <f t="shared" si="6"/>
        <v>0</v>
      </c>
      <c r="E41" s="267">
        <f t="shared" si="6"/>
        <v>0</v>
      </c>
      <c r="F41" s="267">
        <f t="shared" si="6"/>
        <v>0</v>
      </c>
      <c r="G41" s="267">
        <f t="shared" si="6"/>
        <v>0</v>
      </c>
      <c r="H41" s="267">
        <f t="shared" si="6"/>
        <v>390</v>
      </c>
      <c r="I41" s="267">
        <f t="shared" si="6"/>
        <v>111.32875000000001</v>
      </c>
      <c r="J41" s="267">
        <f t="shared" si="6"/>
        <v>0</v>
      </c>
      <c r="K41" s="267">
        <f t="shared" si="6"/>
        <v>0</v>
      </c>
      <c r="L41" s="267">
        <f t="shared" si="6"/>
        <v>46.112500000000004</v>
      </c>
      <c r="M41" s="267">
        <f t="shared" si="6"/>
        <v>0</v>
      </c>
      <c r="N41" s="267">
        <f t="shared" si="6"/>
        <v>65.875</v>
      </c>
      <c r="O41" s="267">
        <f t="shared" si="6"/>
        <v>0</v>
      </c>
      <c r="P41" s="267">
        <f t="shared" si="6"/>
        <v>5136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2">
        <f>+B41+B36</f>
        <v>60677</v>
      </c>
      <c r="C44" s="262">
        <f>+C41+C36</f>
        <v>0</v>
      </c>
      <c r="D44" s="262">
        <f>+D41+D36</f>
        <v>0</v>
      </c>
      <c r="E44" s="262">
        <f>+E41+E36</f>
        <v>0</v>
      </c>
      <c r="F44" s="262">
        <f>+F41+F36</f>
        <v>0</v>
      </c>
      <c r="G44" s="262"/>
      <c r="H44" s="262">
        <f t="shared" ref="H44:P44" si="7">+H41+H36</f>
        <v>520</v>
      </c>
      <c r="I44" s="262">
        <f t="shared" si="7"/>
        <v>111.32875000000001</v>
      </c>
      <c r="J44" s="262">
        <f t="shared" si="7"/>
        <v>0</v>
      </c>
      <c r="K44" s="262">
        <f t="shared" si="7"/>
        <v>0</v>
      </c>
      <c r="L44" s="262">
        <f t="shared" si="7"/>
        <v>115.25769230769231</v>
      </c>
      <c r="M44" s="262">
        <f t="shared" si="7"/>
        <v>0</v>
      </c>
      <c r="N44" s="262">
        <f t="shared" si="7"/>
        <v>313.80990384615382</v>
      </c>
      <c r="O44" s="262">
        <f t="shared" si="7"/>
        <v>0</v>
      </c>
      <c r="P44" s="262">
        <f t="shared" si="7"/>
        <v>7686</v>
      </c>
      <c r="Q44" s="262">
        <f>SUM(B44:P44)</f>
        <v>69423.396346153837</v>
      </c>
      <c r="R44" s="110"/>
      <c r="V44" s="109"/>
    </row>
    <row r="45" spans="1:22" s="105" customFormat="1" x14ac:dyDescent="0.2">
      <c r="C45" s="106"/>
      <c r="E45" s="106"/>
      <c r="G45" s="262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60" t="s">
        <v>133</v>
      </c>
      <c r="B46" s="460"/>
      <c r="C46" s="460"/>
      <c r="D46" s="460"/>
      <c r="E46" s="460"/>
      <c r="F46" s="460"/>
      <c r="G46" s="460"/>
      <c r="H46" s="460"/>
      <c r="I46" s="460"/>
      <c r="J46" s="460"/>
      <c r="K46" s="460"/>
      <c r="L46" s="460"/>
      <c r="M46" s="460"/>
      <c r="N46" s="460"/>
      <c r="O46" s="460"/>
      <c r="Q46" s="110"/>
      <c r="U46" s="109"/>
    </row>
    <row r="47" spans="1:22" s="105" customFormat="1" x14ac:dyDescent="0.2">
      <c r="A47" s="460"/>
      <c r="B47" s="460"/>
      <c r="C47" s="460"/>
      <c r="D47" s="460"/>
      <c r="E47" s="460"/>
      <c r="F47" s="460"/>
      <c r="G47" s="460"/>
      <c r="H47" s="460"/>
      <c r="I47" s="460"/>
      <c r="J47" s="460"/>
      <c r="K47" s="460"/>
      <c r="L47" s="460"/>
      <c r="M47" s="460"/>
      <c r="N47" s="460"/>
      <c r="O47" s="460"/>
      <c r="Q47" s="110"/>
      <c r="U47" s="109"/>
    </row>
    <row r="48" spans="1:22" s="105" customFormat="1" x14ac:dyDescent="0.2">
      <c r="C48" s="106"/>
      <c r="E48" s="106"/>
      <c r="I48" s="109"/>
      <c r="J48" s="109"/>
      <c r="K48" s="268" t="s">
        <v>134</v>
      </c>
      <c r="L48" s="269">
        <f>+L49+L50+L51+L52</f>
        <v>71358.076538461552</v>
      </c>
      <c r="M48" s="262">
        <f>+I29+P36+P41-(O36+O41)+G36</f>
        <v>95462.267788461526</v>
      </c>
      <c r="N48" s="109">
        <f>+L48-M48</f>
        <v>-24104.191249999974</v>
      </c>
      <c r="P48" s="262"/>
      <c r="Q48" s="110"/>
      <c r="R48" s="262"/>
      <c r="U48" s="109"/>
      <c r="V48" s="262"/>
    </row>
    <row r="49" spans="1:21" s="105" customFormat="1" x14ac:dyDescent="0.2">
      <c r="C49" s="106"/>
      <c r="E49" s="106"/>
      <c r="I49" s="109"/>
      <c r="J49" s="109"/>
      <c r="K49" s="268" t="s">
        <v>135</v>
      </c>
      <c r="L49" s="269">
        <f>+SUM(I18:I19,I21)-L50-(SUM(J21,J18:J19,M21,M18:M19,O21,O18:O19))-H41-O41</f>
        <v>36072.525000000001</v>
      </c>
      <c r="M49" s="262">
        <f>+L49</f>
        <v>36072.525000000001</v>
      </c>
      <c r="N49" s="109">
        <f>+L49-M49</f>
        <v>0</v>
      </c>
      <c r="P49" s="262"/>
      <c r="Q49" s="110"/>
      <c r="R49" s="262"/>
      <c r="S49" s="262"/>
      <c r="T49" s="262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8" t="s">
        <v>138</v>
      </c>
      <c r="L50" s="269">
        <f>+J41+K41+I41+L41</f>
        <v>157.44125000000003</v>
      </c>
      <c r="M50" s="262">
        <f>+L50</f>
        <v>157.44125000000003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8" t="s">
        <v>140</v>
      </c>
      <c r="L51" s="269">
        <f>+H44+P44+J29+M29+O29</f>
        <v>16567.2</v>
      </c>
      <c r="M51" s="262">
        <f>+L51</f>
        <v>16567.2</v>
      </c>
      <c r="N51" s="109">
        <f>+L51-M51</f>
        <v>0</v>
      </c>
      <c r="P51" s="262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8" t="s">
        <v>143</v>
      </c>
      <c r="L52" s="269">
        <f>(SUM(B34:M35))-(SUM(J20,M20,O20))-(SUM(H34:H35))-(SUM(N34:O35))</f>
        <v>18560.910288461539</v>
      </c>
      <c r="M52" s="262">
        <f>+M48-M49-M50-M51</f>
        <v>42665.101538461517</v>
      </c>
      <c r="N52" s="109">
        <f>+L52-M52</f>
        <v>-24104.191249999978</v>
      </c>
      <c r="P52" s="262"/>
      <c r="Q52" s="110"/>
      <c r="R52" s="262"/>
      <c r="S52" s="262"/>
      <c r="U52" s="109"/>
    </row>
    <row r="53" spans="1:21" s="105" customFormat="1" x14ac:dyDescent="0.2">
      <c r="C53" s="106"/>
      <c r="E53" s="106"/>
      <c r="I53" s="109"/>
      <c r="J53" s="109"/>
      <c r="K53" s="268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8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8" t="s">
        <v>146</v>
      </c>
      <c r="L55" s="270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8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workbookViewId="0">
      <selection activeCell="D27" sqref="D27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67" t="s">
        <v>283</v>
      </c>
      <c r="E18" s="468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67"/>
      <c r="E19" s="468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65"/>
  <sheetViews>
    <sheetView workbookViewId="0">
      <selection sqref="A1:P33"/>
    </sheetView>
  </sheetViews>
  <sheetFormatPr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50" t="str">
        <f>'[2]11-25 payroll'!A1</f>
        <v>THE OLD SPAGHETTI HOUSE</v>
      </c>
      <c r="C2" s="451"/>
      <c r="D2" s="451"/>
      <c r="E2" s="451"/>
      <c r="F2" s="451"/>
      <c r="G2" s="451"/>
      <c r="H2" s="452"/>
      <c r="I2" s="177"/>
      <c r="J2" s="450" t="str">
        <f>'[2]11-25 payroll'!A1</f>
        <v>THE OLD SPAGHETTI HOUSE</v>
      </c>
      <c r="K2" s="451"/>
      <c r="L2" s="451"/>
      <c r="M2" s="451"/>
      <c r="N2" s="451"/>
      <c r="O2" s="451"/>
      <c r="P2" s="452"/>
    </row>
    <row r="3" spans="1:22" s="178" customFormat="1" x14ac:dyDescent="0.2">
      <c r="A3" s="169"/>
      <c r="B3" s="453" t="str">
        <f>'[2]11-25 payroll'!D2</f>
        <v>VALERO</v>
      </c>
      <c r="C3" s="454"/>
      <c r="D3" s="454"/>
      <c r="E3" s="454"/>
      <c r="F3" s="454"/>
      <c r="G3" s="454"/>
      <c r="H3" s="455"/>
      <c r="I3" s="177"/>
      <c r="J3" s="453" t="str">
        <f>'[2]11-25 payroll'!D2</f>
        <v>VALERO</v>
      </c>
      <c r="K3" s="454"/>
      <c r="L3" s="454"/>
      <c r="M3" s="454"/>
      <c r="N3" s="454"/>
      <c r="O3" s="454"/>
      <c r="P3" s="455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6" t="s">
        <v>25</v>
      </c>
      <c r="C5" s="457"/>
      <c r="D5" s="457"/>
      <c r="E5" s="457"/>
      <c r="F5" s="457"/>
      <c r="G5" s="457"/>
      <c r="H5" s="458"/>
      <c r="I5" s="177"/>
      <c r="J5" s="456" t="s">
        <v>25</v>
      </c>
      <c r="K5" s="457"/>
      <c r="L5" s="457"/>
      <c r="M5" s="457"/>
      <c r="N5" s="457"/>
      <c r="O5" s="457"/>
      <c r="P5" s="458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47" t="str">
        <f>'[2]11-25 payroll'!B7</f>
        <v>Biarcal, Ronald Glenn</v>
      </c>
      <c r="E7" s="447"/>
      <c r="F7" s="447"/>
      <c r="G7" s="55"/>
      <c r="H7" s="193"/>
      <c r="I7" s="194"/>
      <c r="J7" s="191" t="s">
        <v>26</v>
      </c>
      <c r="K7" s="192" t="s">
        <v>27</v>
      </c>
      <c r="L7" s="447" t="str">
        <f>'[2]11-25 payroll'!B8</f>
        <v>Sanchez, Angelo</v>
      </c>
      <c r="M7" s="447"/>
      <c r="N7" s="447"/>
      <c r="O7" s="9"/>
      <c r="P7" s="193"/>
    </row>
    <row r="8" spans="1:22" x14ac:dyDescent="0.2">
      <c r="B8" s="191" t="s">
        <v>28</v>
      </c>
      <c r="C8" s="192" t="s">
        <v>27</v>
      </c>
      <c r="D8" s="448">
        <v>527</v>
      </c>
      <c r="E8" s="448"/>
      <c r="F8" s="448"/>
      <c r="G8" s="55"/>
      <c r="H8" s="356"/>
      <c r="I8" s="194"/>
      <c r="J8" s="191" t="s">
        <v>28</v>
      </c>
      <c r="K8" s="192" t="s">
        <v>27</v>
      </c>
      <c r="L8" s="448">
        <v>527</v>
      </c>
      <c r="M8" s="448"/>
      <c r="N8" s="448"/>
      <c r="O8" s="9"/>
      <c r="P8" s="356"/>
    </row>
    <row r="9" spans="1:22" s="186" customFormat="1" x14ac:dyDescent="0.2">
      <c r="A9" s="169"/>
      <c r="B9" s="191" t="s">
        <v>29</v>
      </c>
      <c r="C9" s="192" t="s">
        <v>27</v>
      </c>
      <c r="D9" s="449" t="str">
        <f>'26-10 payroll'!D3</f>
        <v>February 11-25,2020</v>
      </c>
      <c r="E9" s="449"/>
      <c r="F9" s="449"/>
      <c r="G9" s="55"/>
      <c r="H9" s="193"/>
      <c r="I9" s="194"/>
      <c r="J9" s="191" t="s">
        <v>29</v>
      </c>
      <c r="K9" s="192" t="s">
        <v>27</v>
      </c>
      <c r="L9" s="449" t="str">
        <f>D9</f>
        <v>February 11-25,2020</v>
      </c>
      <c r="M9" s="449"/>
      <c r="N9" s="449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8">
        <f>D8*13</f>
        <v>6851</v>
      </c>
      <c r="I10" s="194"/>
      <c r="J10" s="196" t="s">
        <v>16</v>
      </c>
      <c r="K10" s="197"/>
      <c r="L10" s="198"/>
      <c r="M10" s="199"/>
      <c r="N10" s="9"/>
      <c r="O10" s="9"/>
      <c r="P10" s="10">
        <f>L8*13</f>
        <v>6851</v>
      </c>
      <c r="R10" s="186"/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'26-10 payroll'!F7</f>
        <v>11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'26-10 payroll'!F8</f>
        <v>12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'[2]11-25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'26-10 payroll'!P8</f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'26-10 payroll'!H7</f>
        <v>130</v>
      </c>
      <c r="G14" s="55"/>
      <c r="H14" s="58"/>
      <c r="I14" s="194"/>
      <c r="J14" s="191"/>
      <c r="K14" s="192"/>
      <c r="L14" s="203" t="s">
        <v>95</v>
      </c>
      <c r="M14" s="204"/>
      <c r="N14" s="9">
        <f>'26-10 payroll'!H10</f>
        <v>130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'[2]11-25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'[2]11-25 payroll'!R8</f>
        <v>0</v>
      </c>
      <c r="O15" s="9"/>
      <c r="P15" s="10"/>
    </row>
    <row r="16" spans="1:22" x14ac:dyDescent="0.2">
      <c r="B16" s="191"/>
      <c r="C16" s="192"/>
      <c r="D16" s="203" t="s">
        <v>291</v>
      </c>
      <c r="E16" s="204"/>
      <c r="F16" s="55"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'[2]11-25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884+150+'26-10 payroll'!V7</f>
        <v>1047.175</v>
      </c>
      <c r="G17" s="55"/>
      <c r="H17" s="56">
        <f>SUM(F13:F17)</f>
        <v>1177.175</v>
      </c>
      <c r="I17" s="194"/>
      <c r="J17" s="191"/>
      <c r="K17" s="192"/>
      <c r="L17" s="203" t="s">
        <v>99</v>
      </c>
      <c r="M17" s="204"/>
      <c r="N17" s="59">
        <f>500+'26-10 payroll'!V8</f>
        <v>513.17499999999995</v>
      </c>
      <c r="O17" s="55"/>
      <c r="P17" s="56">
        <f>SUM(N13:N17)</f>
        <v>643.17499999999995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'26-10 payroll'!J22</f>
        <v>540</v>
      </c>
      <c r="G19" s="55"/>
      <c r="H19" s="206"/>
      <c r="I19" s="194"/>
      <c r="J19" s="191"/>
      <c r="K19" s="197"/>
      <c r="L19" s="205" t="s">
        <v>4</v>
      </c>
      <c r="M19" s="204"/>
      <c r="N19" s="9">
        <f>'26-10 payroll'!J23</f>
        <v>540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v>622.96</v>
      </c>
      <c r="G20" s="55"/>
      <c r="H20" s="206"/>
      <c r="I20" s="194"/>
      <c r="J20" s="191"/>
      <c r="K20" s="197"/>
      <c r="L20" s="205" t="s">
        <v>96</v>
      </c>
      <c r="M20" s="204"/>
      <c r="N20" s="9"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'26-10 payroll'!L22</f>
        <v>162.5</v>
      </c>
      <c r="G21" s="55"/>
      <c r="H21" s="206"/>
      <c r="I21" s="194"/>
      <c r="J21" s="191"/>
      <c r="K21" s="197"/>
      <c r="L21" s="205" t="s">
        <v>37</v>
      </c>
      <c r="M21" s="204"/>
      <c r="N21" s="9">
        <v>162.5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'[2]11-25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'[2]11-25 payroll'!O23</f>
        <v>0</v>
      </c>
      <c r="O22" s="9"/>
      <c r="P22" s="206"/>
    </row>
    <row r="23" spans="1:22" x14ac:dyDescent="0.2">
      <c r="B23" s="191"/>
      <c r="C23" s="197"/>
      <c r="D23" s="205" t="s">
        <v>292</v>
      </c>
      <c r="E23" s="204"/>
      <c r="F23" s="55">
        <v>0</v>
      </c>
      <c r="G23" s="55"/>
      <c r="H23" s="206"/>
      <c r="I23" s="194"/>
      <c r="J23" s="191"/>
      <c r="K23" s="197"/>
      <c r="L23" s="205" t="s">
        <v>292</v>
      </c>
      <c r="M23" s="204"/>
      <c r="N23" s="55">
        <v>0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'26-10 payroll'!F22+'26-10 payroll'!H22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'26-10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'26-10 payroll'!N22</f>
        <v>765</v>
      </c>
      <c r="G26" s="55"/>
      <c r="H26" s="208"/>
      <c r="I26" s="194"/>
      <c r="J26" s="191"/>
      <c r="K26" s="197"/>
      <c r="L26" s="205" t="s">
        <v>97</v>
      </c>
      <c r="M26" s="204"/>
      <c r="N26" s="9">
        <f>'26-10 payroll'!N23</f>
        <v>540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'[2]11-25 payroll'!M22</f>
        <v>0</v>
      </c>
      <c r="G27" s="55"/>
      <c r="H27" s="210">
        <f>-SUM(F19:F27)</f>
        <v>-2090.46</v>
      </c>
      <c r="I27" s="194"/>
      <c r="J27" s="191"/>
      <c r="K27" s="197"/>
      <c r="L27" s="197" t="s">
        <v>6</v>
      </c>
      <c r="M27" s="204"/>
      <c r="N27" s="9">
        <f>'[2]11-25 payroll'!M23</f>
        <v>0</v>
      </c>
      <c r="O27" s="9"/>
      <c r="P27" s="210">
        <f>-SUM(N19:N27)</f>
        <v>-1242.5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5937.7150000000001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6251.6750000000002</v>
      </c>
      <c r="R28" s="214"/>
      <c r="T28" s="215">
        <f>+H28-'[2]11-25 payroll'!S35</f>
        <v>170.10985937500118</v>
      </c>
      <c r="U28" s="216"/>
      <c r="V28" s="217">
        <f>+P28-'[2]11-25 payroll'!S36</f>
        <v>-261.82295312499991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50" t="str">
        <f>'[2]11-25 payroll'!A1</f>
        <v>THE OLD SPAGHETTI HOUSE</v>
      </c>
      <c r="C35" s="451"/>
      <c r="D35" s="451"/>
      <c r="E35" s="451"/>
      <c r="F35" s="451"/>
      <c r="G35" s="451"/>
      <c r="H35" s="452"/>
      <c r="I35" s="177"/>
      <c r="J35" s="450" t="str">
        <f>'[2]11-25 payroll'!A1</f>
        <v>THE OLD SPAGHETTI HOUSE</v>
      </c>
      <c r="K35" s="451"/>
      <c r="L35" s="451"/>
      <c r="M35" s="451"/>
      <c r="N35" s="451"/>
      <c r="O35" s="451"/>
      <c r="P35" s="452"/>
    </row>
    <row r="36" spans="2:17" x14ac:dyDescent="0.2">
      <c r="B36" s="453" t="str">
        <f>'[2]11-25 payroll'!D2</f>
        <v>VALERO</v>
      </c>
      <c r="C36" s="454"/>
      <c r="D36" s="454"/>
      <c r="E36" s="454"/>
      <c r="F36" s="454"/>
      <c r="G36" s="454"/>
      <c r="H36" s="455"/>
      <c r="I36" s="177"/>
      <c r="J36" s="453" t="str">
        <f>'[2]11-25 payroll'!D2</f>
        <v>VALERO</v>
      </c>
      <c r="K36" s="454"/>
      <c r="L36" s="454"/>
      <c r="M36" s="454"/>
      <c r="N36" s="454"/>
      <c r="O36" s="454"/>
      <c r="P36" s="455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6" t="s">
        <v>25</v>
      </c>
      <c r="C38" s="457"/>
      <c r="D38" s="457"/>
      <c r="E38" s="457"/>
      <c r="F38" s="457"/>
      <c r="G38" s="457"/>
      <c r="H38" s="458"/>
      <c r="I38" s="177"/>
      <c r="J38" s="456" t="s">
        <v>25</v>
      </c>
      <c r="K38" s="457"/>
      <c r="L38" s="457"/>
      <c r="M38" s="457"/>
      <c r="N38" s="457"/>
      <c r="O38" s="457"/>
      <c r="P38" s="458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47" t="str">
        <f>'[2]11-25 payroll'!B24</f>
        <v>Dino, Joyce</v>
      </c>
      <c r="E40" s="447"/>
      <c r="F40" s="447"/>
      <c r="G40" s="55"/>
      <c r="H40" s="193"/>
      <c r="I40" s="194"/>
      <c r="J40" s="191" t="s">
        <v>26</v>
      </c>
      <c r="K40" s="192" t="s">
        <v>27</v>
      </c>
      <c r="L40" s="446" t="str">
        <f>'[2]11-25 payroll'!B10</f>
        <v xml:space="preserve">Sosa, Anna Marie </v>
      </c>
      <c r="M40" s="447"/>
      <c r="N40" s="447"/>
      <c r="O40" s="9"/>
      <c r="P40" s="193"/>
    </row>
    <row r="41" spans="2:17" x14ac:dyDescent="0.2">
      <c r="B41" s="191" t="s">
        <v>28</v>
      </c>
      <c r="C41" s="192" t="s">
        <v>27</v>
      </c>
      <c r="D41" s="448">
        <f>'[2]11-25 payroll'!E9</f>
        <v>790.23076923076928</v>
      </c>
      <c r="E41" s="448"/>
      <c r="F41" s="448"/>
      <c r="G41" s="55"/>
      <c r="H41" s="356"/>
      <c r="I41" s="194"/>
      <c r="J41" s="191" t="s">
        <v>28</v>
      </c>
      <c r="K41" s="192" t="s">
        <v>27</v>
      </c>
      <c r="L41" s="448">
        <v>527</v>
      </c>
      <c r="M41" s="448"/>
      <c r="N41" s="448"/>
      <c r="O41" s="9"/>
      <c r="P41" s="356"/>
    </row>
    <row r="42" spans="2:17" x14ac:dyDescent="0.2">
      <c r="B42" s="191" t="s">
        <v>29</v>
      </c>
      <c r="C42" s="192" t="s">
        <v>27</v>
      </c>
      <c r="D42" s="449" t="str">
        <f>'26-10 payroll'!D3</f>
        <v>February 11-25,2020</v>
      </c>
      <c r="E42" s="449"/>
      <c r="F42" s="449"/>
      <c r="G42" s="55"/>
      <c r="H42" s="193"/>
      <c r="I42" s="194"/>
      <c r="J42" s="191" t="s">
        <v>29</v>
      </c>
      <c r="K42" s="192" t="s">
        <v>27</v>
      </c>
      <c r="L42" s="449" t="str">
        <f>D42</f>
        <v>February 11-25,2020</v>
      </c>
      <c r="M42" s="449"/>
      <c r="N42" s="449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'[2]11-25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L41*13</f>
        <v>6851</v>
      </c>
      <c r="Q43" s="173"/>
    </row>
    <row r="44" spans="2:17" x14ac:dyDescent="0.2">
      <c r="B44" s="191"/>
      <c r="C44" s="197"/>
      <c r="D44" s="199" t="s">
        <v>31</v>
      </c>
      <c r="E44" s="201">
        <f>'26-10 payroll'!F9</f>
        <v>12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'26-10 payroll'!F10</f>
        <v>12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'[2]11-25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'[2]11-25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'26-10 payroll'!H9</f>
        <v>130</v>
      </c>
      <c r="G47" s="55"/>
      <c r="H47" s="58"/>
      <c r="I47" s="194"/>
      <c r="J47" s="191"/>
      <c r="K47" s="192"/>
      <c r="L47" s="203" t="s">
        <v>95</v>
      </c>
      <c r="M47" s="204"/>
      <c r="N47" s="9">
        <f>'26-10 payroll'!H10</f>
        <v>130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'[2]11-25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'[2]11-25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v>0</v>
      </c>
      <c r="G49" s="55"/>
      <c r="H49" s="58"/>
      <c r="I49" s="194"/>
      <c r="J49" s="191"/>
      <c r="K49" s="192"/>
      <c r="L49" s="203" t="s">
        <v>35</v>
      </c>
      <c r="M49" s="204" t="s">
        <v>209</v>
      </c>
      <c r="N49" s="9"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250+1000+'26-10 payroll'!V9+50</f>
        <v>1369.1451923076922</v>
      </c>
      <c r="G50" s="55"/>
      <c r="H50" s="56">
        <f>SUM(F46:F50)</f>
        <v>1499.1451923076922</v>
      </c>
      <c r="I50" s="194"/>
      <c r="J50" s="191"/>
      <c r="K50" s="192"/>
      <c r="L50" s="203" t="s">
        <v>99</v>
      </c>
      <c r="M50" s="204"/>
      <c r="N50" s="11">
        <f>150+884+'26-10 payroll'!V10</f>
        <v>1053.7625</v>
      </c>
      <c r="O50" s="9"/>
      <c r="P50" s="357">
        <f>SUM(N46:N50)</f>
        <v>1183.7625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'26-10 payroll'!J24</f>
        <v>800</v>
      </c>
      <c r="G52" s="55"/>
      <c r="H52" s="206"/>
      <c r="I52" s="194"/>
      <c r="J52" s="191"/>
      <c r="K52" s="197"/>
      <c r="L52" s="205" t="s">
        <v>4</v>
      </c>
      <c r="M52" s="204"/>
      <c r="N52" s="9">
        <f>'26-10 payroll'!J25</f>
        <v>540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'26-10 payroll'!K25</f>
        <v>623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v>275</v>
      </c>
      <c r="G54" s="55"/>
      <c r="H54" s="206"/>
      <c r="I54" s="194"/>
      <c r="J54" s="191"/>
      <c r="K54" s="197"/>
      <c r="L54" s="205" t="s">
        <v>37</v>
      </c>
      <c r="M54" s="204"/>
      <c r="N54" s="9">
        <v>162.5</v>
      </c>
      <c r="O54" s="9"/>
      <c r="P54" s="206"/>
    </row>
    <row r="55" spans="1:22" x14ac:dyDescent="0.2">
      <c r="B55" s="191"/>
      <c r="C55" s="197"/>
      <c r="D55" s="205" t="s">
        <v>292</v>
      </c>
      <c r="E55" s="204"/>
      <c r="F55" s="55">
        <v>0</v>
      </c>
      <c r="G55" s="55"/>
      <c r="H55" s="206"/>
      <c r="I55" s="194"/>
      <c r="J55" s="191"/>
      <c r="K55" s="197"/>
      <c r="L55" s="205" t="s">
        <v>292</v>
      </c>
      <c r="M55" s="204"/>
      <c r="N55" s="55"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v>4500</v>
      </c>
      <c r="G56" s="55"/>
      <c r="H56" s="206"/>
      <c r="I56" s="194"/>
      <c r="J56" s="191"/>
      <c r="K56" s="197"/>
      <c r="L56" s="205" t="s">
        <v>98</v>
      </c>
      <c r="M56" s="204"/>
      <c r="N56" s="9">
        <v>0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'26-10 payroll'!H24</f>
        <v>247.93490384615384</v>
      </c>
      <c r="G58" s="55"/>
      <c r="H58" s="208"/>
      <c r="I58" s="194"/>
      <c r="J58" s="191"/>
      <c r="K58" s="197"/>
      <c r="L58" s="205" t="s">
        <v>39</v>
      </c>
      <c r="M58" s="204"/>
      <c r="N58" s="9">
        <f>'26-10 payroll'!H25</f>
        <v>65.875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f>'26-10 payroll'!N24</f>
        <v>1161.8499999999999</v>
      </c>
      <c r="G59" s="55"/>
      <c r="H59" s="208"/>
      <c r="I59" s="194"/>
      <c r="J59" s="191"/>
      <c r="K59" s="197"/>
      <c r="L59" s="205" t="s">
        <v>97</v>
      </c>
      <c r="M59" s="204"/>
      <c r="N59" s="9">
        <f>'26-10 payroll'!N25</f>
        <v>692.5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'[2]11-25 payroll'!M24</f>
        <v>0</v>
      </c>
      <c r="G60" s="55"/>
      <c r="H60" s="210">
        <f>-SUM(F52:F60)</f>
        <v>-8461.4249038461548</v>
      </c>
      <c r="I60" s="194"/>
      <c r="J60" s="191"/>
      <c r="K60" s="197"/>
      <c r="L60" s="197" t="s">
        <v>6</v>
      </c>
      <c r="M60" s="204"/>
      <c r="N60" s="9">
        <f>'[2]11-25 payroll'!M25</f>
        <v>0</v>
      </c>
      <c r="O60" s="9"/>
      <c r="P60" s="210">
        <f>-SUM(N52:N60)</f>
        <v>-2083.875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3310.7202884615381</v>
      </c>
      <c r="I61" s="213"/>
      <c r="J61" s="196" t="s">
        <v>40</v>
      </c>
      <c r="K61" s="211"/>
      <c r="L61" s="211"/>
      <c r="M61" s="211"/>
      <c r="N61" s="12"/>
      <c r="O61" s="12"/>
      <c r="P61" s="212">
        <f>SUM(P43:P60)</f>
        <v>5950.8874999999998</v>
      </c>
      <c r="Q61" s="173"/>
      <c r="T61" s="215">
        <f>+H61-'[2]11-25 payroll'!S37</f>
        <v>-5496.6704052884616</v>
      </c>
      <c r="V61" s="236">
        <f>+P61-'[2]11-25 payroll'!S38</f>
        <v>98.303998958333068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50" t="str">
        <f>'[2]11-25 payroll'!A1</f>
        <v>THE OLD SPAGHETTI HOUSE</v>
      </c>
      <c r="C68" s="451"/>
      <c r="D68" s="451"/>
      <c r="E68" s="451"/>
      <c r="F68" s="451"/>
      <c r="G68" s="451"/>
      <c r="H68" s="452"/>
      <c r="I68" s="177"/>
      <c r="J68" s="450" t="str">
        <f>'[2]11-25 payroll'!A1</f>
        <v>THE OLD SPAGHETTI HOUSE</v>
      </c>
      <c r="K68" s="451"/>
      <c r="L68" s="451"/>
      <c r="M68" s="451"/>
      <c r="N68" s="451"/>
      <c r="O68" s="451"/>
      <c r="P68" s="452"/>
    </row>
    <row r="69" spans="2:17" x14ac:dyDescent="0.2">
      <c r="B69" s="453" t="str">
        <f>'[2]11-25 payroll'!D2</f>
        <v>VALERO</v>
      </c>
      <c r="C69" s="454"/>
      <c r="D69" s="454"/>
      <c r="E69" s="454"/>
      <c r="F69" s="454"/>
      <c r="G69" s="454"/>
      <c r="H69" s="455"/>
      <c r="I69" s="177"/>
      <c r="J69" s="453" t="str">
        <f>'[2]11-25 payroll'!D2</f>
        <v>VALERO</v>
      </c>
      <c r="K69" s="454"/>
      <c r="L69" s="454"/>
      <c r="M69" s="454"/>
      <c r="N69" s="454"/>
      <c r="O69" s="454"/>
      <c r="P69" s="455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6" t="s">
        <v>25</v>
      </c>
      <c r="C71" s="457"/>
      <c r="D71" s="457"/>
      <c r="E71" s="457"/>
      <c r="F71" s="457"/>
      <c r="G71" s="457"/>
      <c r="H71" s="458"/>
      <c r="I71" s="177"/>
      <c r="J71" s="456" t="s">
        <v>25</v>
      </c>
      <c r="K71" s="457"/>
      <c r="L71" s="457"/>
      <c r="M71" s="457"/>
      <c r="N71" s="457"/>
      <c r="O71" s="457"/>
      <c r="P71" s="458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46" t="str">
        <f>'[2]11-25 payroll'!B11</f>
        <v>Briones, Christain Joy</v>
      </c>
      <c r="E73" s="447"/>
      <c r="F73" s="447"/>
      <c r="G73" s="55"/>
      <c r="H73" s="193"/>
      <c r="I73" s="194"/>
      <c r="J73" s="191" t="s">
        <v>26</v>
      </c>
      <c r="K73" s="192" t="s">
        <v>27</v>
      </c>
      <c r="L73" s="446" t="str">
        <f>'[2]11-25 payroll'!B12</f>
        <v>Cahilig,Benzen</v>
      </c>
      <c r="M73" s="447"/>
      <c r="N73" s="447"/>
      <c r="O73" s="9"/>
      <c r="P73" s="193"/>
    </row>
    <row r="74" spans="2:17" x14ac:dyDescent="0.2">
      <c r="B74" s="191" t="s">
        <v>28</v>
      </c>
      <c r="C74" s="192" t="s">
        <v>27</v>
      </c>
      <c r="D74" s="448">
        <v>527</v>
      </c>
      <c r="E74" s="448"/>
      <c r="F74" s="448"/>
      <c r="G74" s="55"/>
      <c r="H74" s="356"/>
      <c r="I74" s="194"/>
      <c r="J74" s="191" t="s">
        <v>28</v>
      </c>
      <c r="K74" s="192" t="s">
        <v>27</v>
      </c>
      <c r="L74" s="448">
        <v>527</v>
      </c>
      <c r="M74" s="448"/>
      <c r="N74" s="448"/>
      <c r="O74" s="9"/>
      <c r="P74" s="356"/>
    </row>
    <row r="75" spans="2:17" x14ac:dyDescent="0.2">
      <c r="B75" s="191" t="s">
        <v>29</v>
      </c>
      <c r="C75" s="192" t="s">
        <v>27</v>
      </c>
      <c r="D75" s="449" t="str">
        <f>'26-10 payroll'!D3</f>
        <v>February 11-25,2020</v>
      </c>
      <c r="E75" s="449"/>
      <c r="F75" s="449"/>
      <c r="G75" s="55"/>
      <c r="H75" s="193"/>
      <c r="I75" s="194"/>
      <c r="J75" s="191" t="s">
        <v>29</v>
      </c>
      <c r="K75" s="192" t="s">
        <v>27</v>
      </c>
      <c r="L75" s="449" t="str">
        <f>D75</f>
        <v>February 11-25,2020</v>
      </c>
      <c r="M75" s="449"/>
      <c r="N75" s="449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D74*E77</f>
        <v>5006.5</v>
      </c>
      <c r="I76" s="194"/>
      <c r="J76" s="196" t="s">
        <v>16</v>
      </c>
      <c r="K76" s="197"/>
      <c r="L76" s="198"/>
      <c r="M76" s="199"/>
      <c r="N76" s="9"/>
      <c r="O76" s="9"/>
      <c r="P76" s="10">
        <f>L74*M77</f>
        <v>5797</v>
      </c>
      <c r="Q76" s="173"/>
    </row>
    <row r="77" spans="2:17" x14ac:dyDescent="0.2">
      <c r="B77" s="191"/>
      <c r="C77" s="197"/>
      <c r="D77" s="199" t="s">
        <v>31</v>
      </c>
      <c r="E77" s="201">
        <f>'26-10 payroll'!F11</f>
        <v>9.5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'26-10 payroll'!F12</f>
        <v>11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'26-10 payroll'!P11</f>
        <v>82.34375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'26-10 payroll'!P12</f>
        <v>82.34375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'26-10 payroll'!H11</f>
        <v>115</v>
      </c>
      <c r="G80" s="55"/>
      <c r="H80" s="58"/>
      <c r="I80" s="194"/>
      <c r="J80" s="191"/>
      <c r="K80" s="192"/>
      <c r="L80" s="203" t="s">
        <v>95</v>
      </c>
      <c r="M80" s="204"/>
      <c r="N80" s="9">
        <f>'26-10 payroll'!H12</f>
        <v>120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'26-10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'26-10 payroll'!R12</f>
        <v>0</v>
      </c>
      <c r="O81" s="9"/>
      <c r="P81" s="10"/>
    </row>
    <row r="82" spans="1:22" x14ac:dyDescent="0.2">
      <c r="B82" s="191"/>
      <c r="C82" s="192"/>
      <c r="D82" s="203" t="s">
        <v>291</v>
      </c>
      <c r="E82" s="204"/>
      <c r="F82" s="55">
        <v>0</v>
      </c>
      <c r="G82" s="55"/>
      <c r="H82" s="58"/>
      <c r="I82" s="194"/>
      <c r="J82" s="191"/>
      <c r="K82" s="192"/>
      <c r="L82" s="203" t="s">
        <v>291</v>
      </c>
      <c r="M82" s="204"/>
      <c r="N82" s="9">
        <v>527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'26-10 payroll'!V11</f>
        <v>32.9375</v>
      </c>
      <c r="G83" s="55"/>
      <c r="H83" s="56">
        <f>SUM(F79:F83)</f>
        <v>230.28125</v>
      </c>
      <c r="I83" s="194"/>
      <c r="J83" s="191"/>
      <c r="K83" s="192"/>
      <c r="L83" s="203" t="s">
        <v>99</v>
      </c>
      <c r="M83" s="204"/>
      <c r="N83" s="11">
        <f>'26-10 payroll'!V12</f>
        <v>13.175000000000001</v>
      </c>
      <c r="O83" s="9"/>
      <c r="P83" s="56">
        <f>SUM(N79:N83)</f>
        <v>742.51874999999995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'26-10 payroll'!J26</f>
        <v>480</v>
      </c>
      <c r="G85" s="55"/>
      <c r="H85" s="206"/>
      <c r="I85" s="194"/>
      <c r="J85" s="191"/>
      <c r="K85" s="197"/>
      <c r="L85" s="205" t="s">
        <v>4</v>
      </c>
      <c r="M85" s="204"/>
      <c r="N85" s="9">
        <f>'26-10 payroll'!J27</f>
        <v>480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v>0</v>
      </c>
      <c r="G86" s="55"/>
      <c r="H86" s="206"/>
      <c r="I86" s="194"/>
      <c r="J86" s="191"/>
      <c r="K86" s="197"/>
      <c r="L86" s="205" t="s">
        <v>96</v>
      </c>
      <c r="M86" s="204"/>
      <c r="N86" s="9">
        <v>507.6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v>150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'[2]11-25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'[2]11-25 payroll'!O27</f>
        <v>0</v>
      </c>
      <c r="O88" s="9"/>
      <c r="P88" s="206"/>
    </row>
    <row r="89" spans="1:22" x14ac:dyDescent="0.2">
      <c r="B89" s="191"/>
      <c r="C89" s="197"/>
      <c r="D89" s="205" t="s">
        <v>292</v>
      </c>
      <c r="E89" s="204"/>
      <c r="F89" s="55">
        <v>0</v>
      </c>
      <c r="G89" s="55"/>
      <c r="H89" s="206"/>
      <c r="I89" s="194"/>
      <c r="J89" s="191"/>
      <c r="K89" s="197"/>
      <c r="L89" s="205" t="s">
        <v>295</v>
      </c>
      <c r="M89" s="204"/>
      <c r="N89" s="55">
        <f>'26-10 payroll'!F61</f>
        <v>0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v>0</v>
      </c>
      <c r="G90" s="55"/>
      <c r="H90" s="206"/>
      <c r="I90" s="194"/>
      <c r="J90" s="191"/>
      <c r="K90" s="197"/>
      <c r="L90" s="197" t="s">
        <v>294</v>
      </c>
      <c r="M90" s="204"/>
      <c r="N90" s="9"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'26-10 payroll'!H26</f>
        <v>88.931250000000006</v>
      </c>
      <c r="G91" s="55"/>
      <c r="H91" s="208"/>
      <c r="I91" s="194"/>
      <c r="J91" s="191"/>
      <c r="K91" s="197"/>
      <c r="L91" s="205" t="s">
        <v>39</v>
      </c>
      <c r="M91" s="204"/>
      <c r="N91" s="9">
        <f>'26-10 payroll'!H27</f>
        <v>37.548749999999998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'[2]11-25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'26-10 payroll'!N27</f>
        <v>492.81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'[2]11-25 payroll'!M26</f>
        <v>0</v>
      </c>
      <c r="G93" s="55"/>
      <c r="H93" s="210">
        <f>-SUM(F85:F93)</f>
        <v>-718.93124999999998</v>
      </c>
      <c r="I93" s="194"/>
      <c r="J93" s="191"/>
      <c r="K93" s="197"/>
      <c r="L93" s="197" t="s">
        <v>6</v>
      </c>
      <c r="M93" s="204"/>
      <c r="N93" s="9">
        <f>'[2]11-25 payroll'!M27</f>
        <v>0</v>
      </c>
      <c r="O93" s="9"/>
      <c r="P93" s="210">
        <f>-SUM(N85:N93)</f>
        <v>-1667.9587499999998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4517.8500000000004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4871.5600000000004</v>
      </c>
      <c r="Q94" s="173"/>
      <c r="T94" s="215">
        <f>+H94-'[2]11-25 payroll'!S39</f>
        <v>7.9517557291674166</v>
      </c>
      <c r="V94" s="236">
        <f>+P94-'[2]11-25 payroll'!S40</f>
        <v>45.350000000001273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50" t="str">
        <f>'[2]11-25 payroll'!A1</f>
        <v>THE OLD SPAGHETTI HOUSE</v>
      </c>
      <c r="C101" s="451"/>
      <c r="D101" s="451"/>
      <c r="E101" s="451"/>
      <c r="F101" s="451"/>
      <c r="G101" s="451"/>
      <c r="H101" s="452"/>
      <c r="I101" s="177"/>
      <c r="J101" s="450" t="str">
        <f>'[2]11-25 payroll'!A1</f>
        <v>THE OLD SPAGHETTI HOUSE</v>
      </c>
      <c r="K101" s="451"/>
      <c r="L101" s="451"/>
      <c r="M101" s="451"/>
      <c r="N101" s="451"/>
      <c r="O101" s="451"/>
      <c r="P101" s="452"/>
    </row>
    <row r="102" spans="2:17" x14ac:dyDescent="0.2">
      <c r="B102" s="453" t="str">
        <f>'[2]11-25 payroll'!D2</f>
        <v>VALERO</v>
      </c>
      <c r="C102" s="454"/>
      <c r="D102" s="454"/>
      <c r="E102" s="454"/>
      <c r="F102" s="454"/>
      <c r="G102" s="454"/>
      <c r="H102" s="455"/>
      <c r="I102" s="177"/>
      <c r="J102" s="453" t="str">
        <f>'[2]11-25 payroll'!D2</f>
        <v>VALERO</v>
      </c>
      <c r="K102" s="454"/>
      <c r="L102" s="454"/>
      <c r="M102" s="454"/>
      <c r="N102" s="454"/>
      <c r="O102" s="454"/>
      <c r="P102" s="455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6" t="s">
        <v>25</v>
      </c>
      <c r="C104" s="457"/>
      <c r="D104" s="457"/>
      <c r="E104" s="457"/>
      <c r="F104" s="457"/>
      <c r="G104" s="457"/>
      <c r="H104" s="458"/>
      <c r="I104" s="177"/>
      <c r="J104" s="456" t="s">
        <v>25</v>
      </c>
      <c r="K104" s="457"/>
      <c r="L104" s="457"/>
      <c r="M104" s="457"/>
      <c r="N104" s="457"/>
      <c r="O104" s="457"/>
      <c r="P104" s="458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46" t="str">
        <f>'[2]11-25 payroll'!B13</f>
        <v>Pantoja,Nancy</v>
      </c>
      <c r="E106" s="447"/>
      <c r="F106" s="447"/>
      <c r="G106" s="55"/>
      <c r="H106" s="193"/>
      <c r="I106" s="194"/>
      <c r="J106" s="191" t="s">
        <v>26</v>
      </c>
      <c r="K106" s="192" t="s">
        <v>27</v>
      </c>
      <c r="L106" s="446">
        <f>'[2]11-25 payroll'!B29</f>
        <v>0</v>
      </c>
      <c r="M106" s="447"/>
      <c r="N106" s="447"/>
      <c r="O106" s="9"/>
      <c r="P106" s="193"/>
    </row>
    <row r="107" spans="2:17" x14ac:dyDescent="0.2">
      <c r="B107" s="191" t="s">
        <v>28</v>
      </c>
      <c r="C107" s="192" t="s">
        <v>27</v>
      </c>
      <c r="D107" s="448">
        <v>527</v>
      </c>
      <c r="E107" s="448"/>
      <c r="F107" s="448"/>
      <c r="G107" s="55"/>
      <c r="H107" s="356"/>
      <c r="I107" s="194"/>
      <c r="J107" s="191" t="s">
        <v>28</v>
      </c>
      <c r="K107" s="192" t="s">
        <v>27</v>
      </c>
      <c r="L107" s="448">
        <f>'[2]11-25 payroll'!E14</f>
        <v>0</v>
      </c>
      <c r="M107" s="448"/>
      <c r="N107" s="448"/>
      <c r="O107" s="9"/>
      <c r="P107" s="356"/>
    </row>
    <row r="108" spans="2:17" x14ac:dyDescent="0.2">
      <c r="B108" s="191" t="s">
        <v>29</v>
      </c>
      <c r="C108" s="192" t="s">
        <v>27</v>
      </c>
      <c r="D108" s="449" t="str">
        <f>'26-10 payroll'!D3</f>
        <v>February 11-25,2020</v>
      </c>
      <c r="E108" s="449"/>
      <c r="F108" s="449"/>
      <c r="G108" s="55"/>
      <c r="H108" s="193"/>
      <c r="I108" s="194"/>
      <c r="J108" s="191" t="s">
        <v>29</v>
      </c>
      <c r="K108" s="192" t="s">
        <v>27</v>
      </c>
      <c r="L108" s="449" t="str">
        <f>'[2]11-25 payroll'!D3</f>
        <v>JULY  11 - 25, 2018</v>
      </c>
      <c r="M108" s="449"/>
      <c r="N108" s="449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D107*E110</f>
        <v>6324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'[2]11-25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>
        <f>'26-10 payroll'!F13</f>
        <v>12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 t="e">
        <f>'[2]11-25 payroll'!#REF!</f>
        <v>#REF!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'26-10 payroll'!P13</f>
        <v>247.03125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'[2]11-25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'26-10 payroll'!H13</f>
        <v>120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'[2]11-25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'26-10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'[2]11-25 payroll'!R14</f>
        <v>0</v>
      </c>
      <c r="O114" s="9"/>
      <c r="P114" s="10"/>
    </row>
    <row r="115" spans="1:22" x14ac:dyDescent="0.2">
      <c r="B115" s="191"/>
      <c r="C115" s="192"/>
      <c r="D115" s="203" t="s">
        <v>291</v>
      </c>
      <c r="E115" s="204"/>
      <c r="F115" s="55">
        <v>527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'[2]11-25 payroll'!T14</f>
        <v>0</v>
      </c>
      <c r="O115" s="9"/>
      <c r="P115" s="10"/>
    </row>
    <row r="116" spans="1:22" ht="15" x14ac:dyDescent="0.35">
      <c r="B116" s="191"/>
      <c r="C116" s="192"/>
      <c r="D116" s="203" t="s">
        <v>99</v>
      </c>
      <c r="E116" s="204"/>
      <c r="F116" s="368">
        <f>'26-10 payroll'!V13</f>
        <v>39.525000000000006</v>
      </c>
      <c r="G116" s="55"/>
      <c r="H116" s="56">
        <f>SUM(F112:F116)</f>
        <v>933.55624999999998</v>
      </c>
      <c r="I116" s="194"/>
      <c r="J116" s="191"/>
      <c r="K116" s="192"/>
      <c r="L116" s="203" t="s">
        <v>99</v>
      </c>
      <c r="M116" s="204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'26-10 payroll'!J28</f>
        <v>480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'[2]11-25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'[2]11-25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v>150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'[2]11-25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'[2]11-25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'[2]11-25 payroll'!O29</f>
        <v>0</v>
      </c>
      <c r="O121" s="9"/>
      <c r="P121" s="206"/>
    </row>
    <row r="122" spans="1:22" x14ac:dyDescent="0.2">
      <c r="B122" s="191"/>
      <c r="C122" s="197"/>
      <c r="D122" s="205" t="s">
        <v>292</v>
      </c>
      <c r="E122" s="204"/>
      <c r="F122" s="55"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+'[2]11-25 payroll'!F63+'[2]11-25 payroll'!G63+'[2]11-25 payroll'!H63+'[2]11-25 payroll'!I63</f>
        <v>0</v>
      </c>
      <c r="O122" s="9"/>
      <c r="P122" s="206"/>
    </row>
    <row r="123" spans="1:22" x14ac:dyDescent="0.2">
      <c r="B123" s="191"/>
      <c r="C123" s="197"/>
      <c r="D123" s="197" t="s">
        <v>294</v>
      </c>
      <c r="E123" s="204"/>
      <c r="F123" s="55"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'[2]11-25 payroll'!E63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'26-10 payroll'!H28</f>
        <v>28.984999999999999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'[2]11-25 payroll'!F29+'[2]11-25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v>383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'[2]11-25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'[2]11-25 payroll'!M28</f>
        <v>0</v>
      </c>
      <c r="G126" s="55"/>
      <c r="H126" s="210">
        <f>-SUM(F118:F126)</f>
        <v>-1041.9850000000001</v>
      </c>
      <c r="I126" s="194"/>
      <c r="J126" s="191"/>
      <c r="K126" s="197"/>
      <c r="L126" s="197" t="s">
        <v>6</v>
      </c>
      <c r="M126" s="204"/>
      <c r="N126" s="9">
        <f>'[2]11-25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6215.5712499999991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+H127-'[2]11-25 payroll'!S41</f>
        <v>1143.0912499999995</v>
      </c>
      <c r="V127" s="236">
        <f>+P127-'[2]11-25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50" t="str">
        <f>'[2]11-25 payroll'!A1</f>
        <v>THE OLD SPAGHETTI HOUSE</v>
      </c>
      <c r="C134" s="451"/>
      <c r="D134" s="451"/>
      <c r="E134" s="451"/>
      <c r="F134" s="451"/>
      <c r="G134" s="451"/>
      <c r="H134" s="452"/>
      <c r="I134" s="177"/>
      <c r="J134" s="450" t="str">
        <f>'[2]11-25 payroll'!A1</f>
        <v>THE OLD SPAGHETTI HOUSE</v>
      </c>
      <c r="K134" s="451"/>
      <c r="L134" s="451"/>
      <c r="M134" s="451"/>
      <c r="N134" s="451"/>
      <c r="O134" s="451"/>
      <c r="P134" s="452"/>
    </row>
    <row r="135" spans="2:17" x14ac:dyDescent="0.2">
      <c r="B135" s="453" t="str">
        <f>'[2]11-25 payroll'!D2</f>
        <v>VALERO</v>
      </c>
      <c r="C135" s="454"/>
      <c r="D135" s="454"/>
      <c r="E135" s="454"/>
      <c r="F135" s="454"/>
      <c r="G135" s="454"/>
      <c r="H135" s="455"/>
      <c r="I135" s="177"/>
      <c r="J135" s="453" t="str">
        <f>'[2]11-25 payroll'!D2</f>
        <v>VALERO</v>
      </c>
      <c r="K135" s="454"/>
      <c r="L135" s="454"/>
      <c r="M135" s="454"/>
      <c r="N135" s="454"/>
      <c r="O135" s="454"/>
      <c r="P135" s="455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6" t="s">
        <v>25</v>
      </c>
      <c r="C137" s="457"/>
      <c r="D137" s="457"/>
      <c r="E137" s="457"/>
      <c r="F137" s="457"/>
      <c r="G137" s="457"/>
      <c r="H137" s="458"/>
      <c r="I137" s="177"/>
      <c r="J137" s="456" t="s">
        <v>25</v>
      </c>
      <c r="K137" s="457"/>
      <c r="L137" s="457"/>
      <c r="M137" s="457"/>
      <c r="N137" s="457"/>
      <c r="O137" s="457"/>
      <c r="P137" s="458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46">
        <f>'[2]11-25 payroll'!B15</f>
        <v>0</v>
      </c>
      <c r="E139" s="447"/>
      <c r="F139" s="447"/>
      <c r="G139" s="55"/>
      <c r="H139" s="193"/>
      <c r="I139" s="194"/>
      <c r="J139" s="191" t="s">
        <v>26</v>
      </c>
      <c r="K139" s="192" t="s">
        <v>27</v>
      </c>
      <c r="L139" s="447">
        <f>'[2]11-25 payroll'!C112</f>
        <v>0</v>
      </c>
      <c r="M139" s="447"/>
      <c r="N139" s="447"/>
      <c r="O139" s="9"/>
      <c r="P139" s="193"/>
    </row>
    <row r="140" spans="2:17" x14ac:dyDescent="0.2">
      <c r="B140" s="191" t="s">
        <v>28</v>
      </c>
      <c r="C140" s="192" t="s">
        <v>27</v>
      </c>
      <c r="D140" s="448">
        <f>'[2]11-25 payroll'!E15</f>
        <v>0</v>
      </c>
      <c r="E140" s="448"/>
      <c r="F140" s="448"/>
      <c r="G140" s="55"/>
      <c r="H140" s="356"/>
      <c r="I140" s="194"/>
      <c r="J140" s="191" t="s">
        <v>28</v>
      </c>
      <c r="K140" s="192" t="s">
        <v>27</v>
      </c>
      <c r="L140" s="448">
        <f>'[2]11-25 payroll'!E112</f>
        <v>0</v>
      </c>
      <c r="M140" s="448"/>
      <c r="N140" s="448"/>
      <c r="O140" s="9"/>
      <c r="P140" s="356"/>
    </row>
    <row r="141" spans="2:17" x14ac:dyDescent="0.2">
      <c r="B141" s="191" t="s">
        <v>29</v>
      </c>
      <c r="C141" s="192" t="s">
        <v>27</v>
      </c>
      <c r="D141" s="449" t="str">
        <f>'[2]11-25 payroll'!D3</f>
        <v>JULY  11 - 25, 2018</v>
      </c>
      <c r="E141" s="449"/>
      <c r="F141" s="449"/>
      <c r="G141" s="55"/>
      <c r="H141" s="193"/>
      <c r="I141" s="194"/>
      <c r="J141" s="191" t="s">
        <v>29</v>
      </c>
      <c r="K141" s="192" t="s">
        <v>27</v>
      </c>
      <c r="L141" s="449">
        <f>'[2]11-25 payroll'!D105</f>
        <v>0</v>
      </c>
      <c r="M141" s="449"/>
      <c r="N141" s="449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'[2]11-25 payroll'!G15</f>
        <v>0</v>
      </c>
      <c r="I142" s="194"/>
      <c r="J142" s="196" t="s">
        <v>16</v>
      </c>
      <c r="K142" s="197"/>
      <c r="L142" s="198">
        <f>'[2]11-25 payroll'!D139</f>
        <v>0</v>
      </c>
      <c r="M142" s="199"/>
      <c r="N142" s="9"/>
      <c r="O142" s="9"/>
      <c r="P142" s="10">
        <f>'[2]11-25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'[2]11-25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'[2]11-25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'[2]11-25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'[2]11-25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'[2]11-25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'[2]11-25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'[2]11-25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'[2]11-25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'[2]11-25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'[2]11-25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'[2]11-25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'[2]11-25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'[2]11-25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'[2]11-25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'[2]11-25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'[2]11-25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'[2]11-25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'[2]11-25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+'[2]11-25 payroll'!F64+'[2]11-25 payroll'!G64+'[2]11-25 payroll'!H64+'[2]11-25 payroll'!I64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+'[2]11-25 payroll'!F65+'[2]11-25 payroll'!G65+'[2]11-25 payroll'!H65+'[2]11-25 payroll'!I65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'[2]11-25 payroll'!E64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'[2]11-25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'[2]11-25 payroll'!F30+'[2]11-25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'[2]11-25 payroll'!F127+'[2]11-25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'[2]11-25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'[2]11-25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'[2]11-25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'[2]11-25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+H160-'[2]11-25 payroll'!S43</f>
        <v>0</v>
      </c>
      <c r="V160" s="236">
        <f>+P160-'[2]11-25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protectedRanges>
    <protectedRange password="A316" sqref="A10:G10 I10:Q10 A1:Q9 A61:O61 Q61 A62:Q165 A11:Q60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0.25" right="0.25" top="0.75" bottom="0.75" header="0.3" footer="0.3"/>
  <pageSetup paperSize="5" scale="65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default</cp:lastModifiedBy>
  <cp:lastPrinted>2020-02-27T21:17:26Z</cp:lastPrinted>
  <dcterms:created xsi:type="dcterms:W3CDTF">2010-01-04T12:18:59Z</dcterms:created>
  <dcterms:modified xsi:type="dcterms:W3CDTF">2020-02-27T21:18:40Z</dcterms:modified>
</cp:coreProperties>
</file>