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3\toshcopayrollfeb_26mar_102020\"/>
    </mc:Choice>
  </mc:AlternateContent>
  <xr:revisionPtr revIDLastSave="0" documentId="13_ncr:1_{761A8468-0920-40AE-A523-C1BE34468A21}" xr6:coauthVersionLast="45" xr6:coauthVersionMax="45" xr10:uidLastSave="{00000000-0000-0000-0000-000000000000}"/>
  <bookViews>
    <workbookView xWindow="-60" yWindow="-60" windowWidth="24120" windowHeight="12960" tabRatio="690" firstSheet="2" activeTab="2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Sheet1!$A$1:$Q$33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6" i="20" l="1"/>
  <c r="F122" i="79" l="1"/>
  <c r="N89" i="79"/>
  <c r="F89" i="79"/>
  <c r="N50" i="79"/>
  <c r="N56" i="79"/>
  <c r="F50" i="79"/>
  <c r="F55" i="79"/>
  <c r="N22" i="79"/>
  <c r="F22" i="79"/>
  <c r="N79" i="79"/>
  <c r="F79" i="79"/>
  <c r="F49" i="79" l="1"/>
  <c r="O37" i="20"/>
  <c r="G13" i="20" l="1"/>
  <c r="H13" i="20"/>
  <c r="D9" i="79"/>
  <c r="F56" i="79"/>
  <c r="K13" i="20" l="1"/>
  <c r="H27" i="20"/>
  <c r="H26" i="20"/>
  <c r="N26" i="79" l="1"/>
  <c r="N57" i="79"/>
  <c r="P142" i="79" l="1"/>
  <c r="H142" i="79"/>
  <c r="N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G7" i="20" l="1"/>
  <c r="D108" i="79"/>
  <c r="L75" i="79"/>
  <c r="D75" i="79"/>
  <c r="D42" i="79"/>
  <c r="L9" i="79"/>
  <c r="E11" i="79"/>
  <c r="H10" i="20" l="1"/>
  <c r="O10" i="20"/>
  <c r="T10" i="20"/>
  <c r="V10" i="20"/>
  <c r="H25" i="20"/>
  <c r="H9" i="20"/>
  <c r="F47" i="79" s="1"/>
  <c r="O9" i="20"/>
  <c r="H23" i="20"/>
  <c r="N25" i="79" s="1"/>
  <c r="V8" i="20"/>
  <c r="N17" i="79" s="1"/>
  <c r="O8" i="20"/>
  <c r="T8" i="20"/>
  <c r="F23" i="20"/>
  <c r="N13" i="20"/>
  <c r="O13" i="20"/>
  <c r="H109" i="21"/>
  <c r="F113" i="79"/>
  <c r="V13" i="20"/>
  <c r="F116" i="79" s="1"/>
  <c r="H28" i="20"/>
  <c r="F124" i="79" s="1"/>
  <c r="N12" i="20"/>
  <c r="P12" i="20" s="1"/>
  <c r="O12" i="20"/>
  <c r="G12" i="20"/>
  <c r="P76" i="21" s="1"/>
  <c r="H12" i="20"/>
  <c r="V12" i="20"/>
  <c r="N83" i="79" s="1"/>
  <c r="N91" i="79"/>
  <c r="H11" i="20"/>
  <c r="N11" i="20"/>
  <c r="T11" i="20"/>
  <c r="G11" i="20"/>
  <c r="H76" i="21" s="1"/>
  <c r="V11" i="20"/>
  <c r="F83" i="79" s="1"/>
  <c r="F91" i="79"/>
  <c r="N7" i="20"/>
  <c r="S7" i="20"/>
  <c r="T7" i="20" s="1"/>
  <c r="V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F146" i="64"/>
  <c r="M143" i="64"/>
  <c r="E143" i="64"/>
  <c r="L142" i="64"/>
  <c r="L141" i="64"/>
  <c r="D141" i="64"/>
  <c r="L140" i="64"/>
  <c r="L139" i="64"/>
  <c r="D139" i="64"/>
  <c r="J134" i="64"/>
  <c r="B134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6" i="64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 s="1"/>
  <c r="C10" i="63"/>
  <c r="C25" i="63" s="1"/>
  <c r="C59" i="63" s="1"/>
  <c r="M58" i="63"/>
  <c r="K58" i="63"/>
  <c r="H58" i="63"/>
  <c r="S20" i="5" s="1"/>
  <c r="C9" i="63"/>
  <c r="C24" i="63" s="1"/>
  <c r="C58" i="63" s="1"/>
  <c r="M57" i="63"/>
  <c r="L57" i="63"/>
  <c r="K57" i="63"/>
  <c r="B57" i="63"/>
  <c r="M56" i="63"/>
  <c r="K56" i="63"/>
  <c r="H56" i="63"/>
  <c r="F23" i="64" s="1"/>
  <c r="C7" i="63"/>
  <c r="C22" i="63" s="1"/>
  <c r="C56" i="63" s="1"/>
  <c r="M44" i="63"/>
  <c r="M43" i="63"/>
  <c r="M40" i="63"/>
  <c r="P39" i="63"/>
  <c r="L60" i="63" s="1"/>
  <c r="M39" i="63"/>
  <c r="P38" i="63"/>
  <c r="O38" i="63"/>
  <c r="K59" i="63" s="1"/>
  <c r="P37" i="63"/>
  <c r="L58" i="63" s="1"/>
  <c r="O37" i="63"/>
  <c r="P36" i="63"/>
  <c r="M36" i="63"/>
  <c r="P35" i="63"/>
  <c r="L56" i="63" s="1"/>
  <c r="O35" i="63"/>
  <c r="N33" i="63"/>
  <c r="M33" i="63"/>
  <c r="K33" i="63"/>
  <c r="I33" i="63"/>
  <c r="E33" i="63"/>
  <c r="F31" i="63"/>
  <c r="C31" i="63"/>
  <c r="C65" i="63" s="1"/>
  <c r="B31" i="63"/>
  <c r="C30" i="63"/>
  <c r="B30" i="63"/>
  <c r="B64" i="63" s="1"/>
  <c r="H29" i="63"/>
  <c r="C29" i="63"/>
  <c r="B29" i="63"/>
  <c r="L106" i="64" s="1"/>
  <c r="C28" i="63"/>
  <c r="C62" i="63" s="1"/>
  <c r="B28" i="63"/>
  <c r="B62" i="63" s="1"/>
  <c r="F27" i="63"/>
  <c r="C27" i="63"/>
  <c r="C61" i="63" s="1"/>
  <c r="B27" i="63"/>
  <c r="C26" i="63"/>
  <c r="B26" i="63"/>
  <c r="C23" i="63"/>
  <c r="C57" i="63" s="1"/>
  <c r="B23" i="63"/>
  <c r="K22" i="63"/>
  <c r="R18" i="5" s="1"/>
  <c r="H22" i="63"/>
  <c r="R21" i="63"/>
  <c r="I18" i="63"/>
  <c r="X17" i="63"/>
  <c r="R16" i="63"/>
  <c r="H16" i="63"/>
  <c r="G16" i="63"/>
  <c r="E16" i="63"/>
  <c r="P16" i="63" s="1"/>
  <c r="H15" i="63"/>
  <c r="G15" i="63"/>
  <c r="E15" i="63"/>
  <c r="T15" i="63" s="1"/>
  <c r="F148" i="64" s="1"/>
  <c r="R14" i="63"/>
  <c r="N114" i="64" s="1"/>
  <c r="H14" i="63"/>
  <c r="N113" i="64" s="1"/>
  <c r="G14" i="63"/>
  <c r="E14" i="63"/>
  <c r="P14" i="63" s="1"/>
  <c r="N112" i="64" s="1"/>
  <c r="H13" i="63"/>
  <c r="G13" i="63"/>
  <c r="E13" i="63"/>
  <c r="R12" i="63"/>
  <c r="H12" i="63"/>
  <c r="N80" i="64" s="1"/>
  <c r="G12" i="63"/>
  <c r="E12" i="63"/>
  <c r="P12" i="63" s="1"/>
  <c r="H11" i="63"/>
  <c r="F80" i="64" s="1"/>
  <c r="G11" i="63"/>
  <c r="E11" i="63"/>
  <c r="D11" i="63"/>
  <c r="H10" i="63"/>
  <c r="N47" i="64" s="1"/>
  <c r="D10" i="63"/>
  <c r="E10" i="63" s="1"/>
  <c r="I9" i="63"/>
  <c r="G34" i="5" s="1"/>
  <c r="G36" i="5" s="1"/>
  <c r="H9" i="63"/>
  <c r="F47" i="64" s="1"/>
  <c r="G9" i="63"/>
  <c r="E9" i="63"/>
  <c r="T9" i="63" s="1"/>
  <c r="F49" i="64" s="1"/>
  <c r="D9" i="63"/>
  <c r="R8" i="63"/>
  <c r="N15" i="64" s="1"/>
  <c r="H8" i="63"/>
  <c r="N14" i="64" s="1"/>
  <c r="G8" i="63"/>
  <c r="E8" i="63"/>
  <c r="P8" i="63" s="1"/>
  <c r="N13" i="64" s="1"/>
  <c r="D8" i="63"/>
  <c r="P7" i="63"/>
  <c r="F13" i="64" s="1"/>
  <c r="H7" i="63"/>
  <c r="H18" i="63" s="1"/>
  <c r="D7" i="63"/>
  <c r="E7" i="63" s="1"/>
  <c r="R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2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F47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64" i="20"/>
  <c r="L60" i="20"/>
  <c r="K60" i="20"/>
  <c r="J60" i="20"/>
  <c r="L59" i="20"/>
  <c r="L58" i="20"/>
  <c r="K58" i="20"/>
  <c r="L57" i="20"/>
  <c r="J57" i="20"/>
  <c r="C57" i="20"/>
  <c r="L56" i="20"/>
  <c r="K59" i="20"/>
  <c r="O38" i="20"/>
  <c r="J59" i="20" s="1"/>
  <c r="O35" i="20"/>
  <c r="J56" i="20" s="1"/>
  <c r="O33" i="20"/>
  <c r="N33" i="20"/>
  <c r="M33" i="20"/>
  <c r="L33" i="20"/>
  <c r="K33" i="20"/>
  <c r="J33" i="20"/>
  <c r="I33" i="20"/>
  <c r="E33" i="20"/>
  <c r="C31" i="20"/>
  <c r="C65" i="20" s="1"/>
  <c r="B31" i="20"/>
  <c r="B65" i="20" s="1"/>
  <c r="H30" i="20"/>
  <c r="C30" i="20"/>
  <c r="B30" i="20"/>
  <c r="B64" i="20" s="1"/>
  <c r="C29" i="20"/>
  <c r="C63" i="20" s="1"/>
  <c r="B29" i="20"/>
  <c r="L106" i="21" s="1"/>
  <c r="F28" i="20"/>
  <c r="C28" i="20"/>
  <c r="C62" i="20" s="1"/>
  <c r="B28" i="20"/>
  <c r="B62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M38" i="20" s="1"/>
  <c r="C24" i="20"/>
  <c r="C58" i="20" s="1"/>
  <c r="B24" i="20"/>
  <c r="D40" i="21" s="1"/>
  <c r="C23" i="20"/>
  <c r="B23" i="20"/>
  <c r="B57" i="20" s="1"/>
  <c r="H22" i="20"/>
  <c r="F25" i="79" s="1"/>
  <c r="C22" i="20"/>
  <c r="C56" i="20" s="1"/>
  <c r="B22" i="20"/>
  <c r="B56" i="20" s="1"/>
  <c r="R21" i="20"/>
  <c r="I18" i="20"/>
  <c r="X17" i="20"/>
  <c r="H16" i="20"/>
  <c r="G16" i="20"/>
  <c r="E16" i="20"/>
  <c r="H31" i="20" s="1"/>
  <c r="P15" i="20"/>
  <c r="F145" i="21" s="1"/>
  <c r="H15" i="20"/>
  <c r="F146" i="21" s="1"/>
  <c r="G15" i="20"/>
  <c r="H142" i="21" s="1"/>
  <c r="E15" i="20"/>
  <c r="D140" i="21" s="1"/>
  <c r="H14" i="20"/>
  <c r="N113" i="21" s="1"/>
  <c r="G14" i="20"/>
  <c r="P109" i="21" s="1"/>
  <c r="E14" i="20"/>
  <c r="V14" i="20" s="1"/>
  <c r="N116" i="21" s="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G10" i="20"/>
  <c r="D9" i="20"/>
  <c r="G9" i="20" s="1"/>
  <c r="H43" i="21" s="1"/>
  <c r="R8" i="20"/>
  <c r="N15" i="21" s="1"/>
  <c r="G8" i="20"/>
  <c r="P10" i="21" s="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M48" i="77" s="1"/>
  <c r="X28" i="77"/>
  <c r="W28" i="77"/>
  <c r="V28" i="77"/>
  <c r="U28" i="77"/>
  <c r="T28" i="77"/>
  <c r="S28" i="77"/>
  <c r="R28" i="77"/>
  <c r="Q28" i="77"/>
  <c r="O11" i="20" s="1"/>
  <c r="P28" i="77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O25" i="76"/>
  <c r="M7" i="20" s="1"/>
  <c r="N25" i="76"/>
  <c r="M25" i="76"/>
  <c r="L25" i="76"/>
  <c r="K25" i="76"/>
  <c r="J25" i="76"/>
  <c r="I25" i="76"/>
  <c r="K7" i="20" s="1"/>
  <c r="H7" i="20" s="1"/>
  <c r="H25" i="76"/>
  <c r="N55" i="64" l="1"/>
  <c r="F14" i="79"/>
  <c r="F14" i="21"/>
  <c r="H37" i="5"/>
  <c r="P9" i="63"/>
  <c r="F46" i="64" s="1"/>
  <c r="F24" i="63"/>
  <c r="F58" i="64" s="1"/>
  <c r="A18" i="5"/>
  <c r="B22" i="63"/>
  <c r="B56" i="63" s="1"/>
  <c r="M25" i="5"/>
  <c r="N25" i="5" s="1"/>
  <c r="N120" i="64"/>
  <c r="N80" i="79"/>
  <c r="N80" i="21"/>
  <c r="M119" i="76"/>
  <c r="L41" i="64"/>
  <c r="R10" i="63"/>
  <c r="N48" i="64" s="1"/>
  <c r="T10" i="63"/>
  <c r="N49" i="64" s="1"/>
  <c r="H26" i="63"/>
  <c r="P11" i="63"/>
  <c r="F79" i="64" s="1"/>
  <c r="T11" i="63"/>
  <c r="F82" i="64" s="1"/>
  <c r="H28" i="63"/>
  <c r="P13" i="63"/>
  <c r="T13" i="63"/>
  <c r="F115" i="64" s="1"/>
  <c r="D140" i="64"/>
  <c r="H30" i="63"/>
  <c r="P15" i="63"/>
  <c r="F145" i="64" s="1"/>
  <c r="H149" i="64" s="1"/>
  <c r="H25" i="63"/>
  <c r="D107" i="64"/>
  <c r="P34" i="5"/>
  <c r="P36" i="5" s="1"/>
  <c r="T7" i="63"/>
  <c r="T8" i="63"/>
  <c r="N16" i="64" s="1"/>
  <c r="R9" i="63"/>
  <c r="F48" i="64" s="1"/>
  <c r="G10" i="63"/>
  <c r="V10" i="63"/>
  <c r="N50" i="64" s="1"/>
  <c r="X11" i="63"/>
  <c r="D26" i="63" s="1"/>
  <c r="V11" i="63"/>
  <c r="F83" i="64" s="1"/>
  <c r="H109" i="64"/>
  <c r="V13" i="63"/>
  <c r="F116" i="64" s="1"/>
  <c r="H142" i="64"/>
  <c r="V15" i="63"/>
  <c r="F149" i="64" s="1"/>
  <c r="D18" i="63"/>
  <c r="F23" i="63"/>
  <c r="N25" i="64" s="1"/>
  <c r="H24" i="63"/>
  <c r="F26" i="63"/>
  <c r="F91" i="64" s="1"/>
  <c r="F30" i="63"/>
  <c r="F157" i="64" s="1"/>
  <c r="D8" i="64"/>
  <c r="F25" i="64"/>
  <c r="N56" i="64"/>
  <c r="G7" i="63"/>
  <c r="V7" i="63"/>
  <c r="X8" i="63"/>
  <c r="D23" i="63" s="1"/>
  <c r="V8" i="63"/>
  <c r="N17" i="64" s="1"/>
  <c r="V9" i="63"/>
  <c r="F50" i="64" s="1"/>
  <c r="H50" i="64" s="1"/>
  <c r="T12" i="63"/>
  <c r="N82" i="64" s="1"/>
  <c r="T14" i="63"/>
  <c r="N115" i="64" s="1"/>
  <c r="P116" i="64" s="1"/>
  <c r="T16" i="63"/>
  <c r="E18" i="63"/>
  <c r="H23" i="63"/>
  <c r="H33" i="63" s="1"/>
  <c r="R24" i="63"/>
  <c r="H20" i="5" s="1"/>
  <c r="H27" i="63"/>
  <c r="N91" i="64" s="1"/>
  <c r="H31" i="63"/>
  <c r="M42" i="63"/>
  <c r="L8" i="64"/>
  <c r="P10" i="64"/>
  <c r="D40" i="64"/>
  <c r="D37" i="63"/>
  <c r="D74" i="64"/>
  <c r="S18" i="5"/>
  <c r="M201" i="76"/>
  <c r="N39" i="5"/>
  <c r="P10" i="63"/>
  <c r="N46" i="64" s="1"/>
  <c r="P50" i="64" s="1"/>
  <c r="R11" i="63"/>
  <c r="F81" i="64" s="1"/>
  <c r="X12" i="63"/>
  <c r="D27" i="63" s="1"/>
  <c r="P27" i="63" s="1"/>
  <c r="S40" i="63" s="1"/>
  <c r="V12" i="63"/>
  <c r="N83" i="64" s="1"/>
  <c r="R13" i="63"/>
  <c r="F114" i="64" s="1"/>
  <c r="P109" i="64"/>
  <c r="X14" i="63"/>
  <c r="D29" i="63" s="1"/>
  <c r="J63" i="63" s="1"/>
  <c r="V14" i="63"/>
  <c r="N116" i="64" s="1"/>
  <c r="R15" i="63"/>
  <c r="F147" i="64" s="1"/>
  <c r="V16" i="63"/>
  <c r="X16" i="63" s="1"/>
  <c r="D31" i="63" s="1"/>
  <c r="F22" i="63"/>
  <c r="R23" i="63"/>
  <c r="H19" i="5" s="1"/>
  <c r="F25" i="63"/>
  <c r="N58" i="64" s="1"/>
  <c r="R27" i="63"/>
  <c r="H23" i="5" s="1"/>
  <c r="F28" i="63"/>
  <c r="F124" i="64" s="1"/>
  <c r="F29" i="63"/>
  <c r="N124" i="64" s="1"/>
  <c r="B63" i="63"/>
  <c r="H67" i="63"/>
  <c r="J3" i="64"/>
  <c r="D41" i="64"/>
  <c r="J69" i="64"/>
  <c r="L74" i="64"/>
  <c r="H76" i="64"/>
  <c r="B39" i="5"/>
  <c r="M41" i="63"/>
  <c r="F19" i="64"/>
  <c r="P10" i="20"/>
  <c r="N46" i="21" s="1"/>
  <c r="O33" i="63"/>
  <c r="N88" i="64"/>
  <c r="X11" i="20"/>
  <c r="T15" i="20"/>
  <c r="F148" i="21" s="1"/>
  <c r="H149" i="21" s="1"/>
  <c r="V16" i="20"/>
  <c r="M35" i="20"/>
  <c r="J102" i="64"/>
  <c r="J135" i="64"/>
  <c r="M43" i="20"/>
  <c r="B59" i="20"/>
  <c r="R16" i="20"/>
  <c r="H29" i="20"/>
  <c r="N124" i="21" s="1"/>
  <c r="P126" i="21" s="1"/>
  <c r="F31" i="20"/>
  <c r="M36" i="20"/>
  <c r="D37" i="20"/>
  <c r="M39" i="20"/>
  <c r="M41" i="20"/>
  <c r="E9" i="20"/>
  <c r="P9" i="20" s="1"/>
  <c r="P14" i="20"/>
  <c r="N112" i="21" s="1"/>
  <c r="T14" i="20"/>
  <c r="N115" i="21" s="1"/>
  <c r="R15" i="20"/>
  <c r="F147" i="21" s="1"/>
  <c r="V15" i="20"/>
  <c r="F149" i="21" s="1"/>
  <c r="P16" i="20"/>
  <c r="T16" i="20"/>
  <c r="X16" i="20" s="1"/>
  <c r="D31" i="20" s="1"/>
  <c r="D18" i="20"/>
  <c r="F29" i="20"/>
  <c r="F30" i="20"/>
  <c r="F157" i="21" s="1"/>
  <c r="H159" i="21" s="1"/>
  <c r="A37" i="20"/>
  <c r="M37" i="20"/>
  <c r="M40" i="20"/>
  <c r="M42" i="20"/>
  <c r="M44" i="20"/>
  <c r="B58" i="20"/>
  <c r="J58" i="20"/>
  <c r="B63" i="20"/>
  <c r="L107" i="21"/>
  <c r="B34" i="5"/>
  <c r="B36" i="5" s="1"/>
  <c r="R14" i="20"/>
  <c r="N114" i="21" s="1"/>
  <c r="P116" i="21" s="1"/>
  <c r="B58" i="63"/>
  <c r="D7" i="64"/>
  <c r="J57" i="63"/>
  <c r="O57" i="63" s="1"/>
  <c r="F88" i="64"/>
  <c r="N85" i="64"/>
  <c r="F121" i="64"/>
  <c r="F154" i="64"/>
  <c r="N58" i="79"/>
  <c r="P60" i="79" s="1"/>
  <c r="F83" i="21"/>
  <c r="P35" i="20"/>
  <c r="X12" i="20"/>
  <c r="D27" i="20" s="1"/>
  <c r="P13" i="20"/>
  <c r="F112" i="79" s="1"/>
  <c r="H116" i="79" s="1"/>
  <c r="P8" i="20"/>
  <c r="N13" i="79" s="1"/>
  <c r="F113" i="21"/>
  <c r="F124" i="21"/>
  <c r="H126" i="21" s="1"/>
  <c r="O29" i="5"/>
  <c r="H8" i="20"/>
  <c r="N14" i="79" s="1"/>
  <c r="N83" i="21"/>
  <c r="J60" i="63"/>
  <c r="O60" i="63" s="1"/>
  <c r="N25" i="21"/>
  <c r="P27" i="21" s="1"/>
  <c r="P39" i="5"/>
  <c r="N47" i="79"/>
  <c r="O41" i="5"/>
  <c r="O44" i="5" s="1"/>
  <c r="B3" i="64"/>
  <c r="B36" i="64"/>
  <c r="B69" i="64"/>
  <c r="B102" i="64"/>
  <c r="B135" i="64"/>
  <c r="E44" i="5"/>
  <c r="C44" i="5"/>
  <c r="N50" i="21"/>
  <c r="J33" i="63"/>
  <c r="L33" i="63"/>
  <c r="J61" i="63"/>
  <c r="O61" i="63" s="1"/>
  <c r="F22" i="64"/>
  <c r="H27" i="64" s="1"/>
  <c r="F118" i="64"/>
  <c r="F151" i="64"/>
  <c r="L39" i="5"/>
  <c r="X15" i="20"/>
  <c r="D30" i="20" s="1"/>
  <c r="P29" i="5"/>
  <c r="R29" i="5"/>
  <c r="N52" i="64"/>
  <c r="P60" i="64" s="1"/>
  <c r="F120" i="64"/>
  <c r="L37" i="5"/>
  <c r="F17" i="79"/>
  <c r="N79" i="21"/>
  <c r="F80" i="21"/>
  <c r="F80" i="79"/>
  <c r="H39" i="5"/>
  <c r="N47" i="21"/>
  <c r="H83" i="64"/>
  <c r="T29" i="5"/>
  <c r="R26" i="20"/>
  <c r="G22" i="5" s="1"/>
  <c r="P17" i="64"/>
  <c r="P83" i="64"/>
  <c r="F44" i="5"/>
  <c r="P7" i="20"/>
  <c r="F13" i="21" s="1"/>
  <c r="P149" i="79"/>
  <c r="P93" i="21"/>
  <c r="R29" i="20"/>
  <c r="G25" i="5" s="1"/>
  <c r="P159" i="21"/>
  <c r="P159" i="64"/>
  <c r="U29" i="5"/>
  <c r="G41" i="5"/>
  <c r="D44" i="5"/>
  <c r="P149" i="21"/>
  <c r="P149" i="64"/>
  <c r="S29" i="5"/>
  <c r="O31" i="5"/>
  <c r="F16" i="21"/>
  <c r="M37" i="63"/>
  <c r="B25" i="63"/>
  <c r="L40" i="64"/>
  <c r="M41" i="5"/>
  <c r="M44" i="5" s="1"/>
  <c r="P23" i="63"/>
  <c r="N19" i="64"/>
  <c r="F52" i="64"/>
  <c r="P26" i="63"/>
  <c r="F85" i="64"/>
  <c r="N87" i="64"/>
  <c r="N121" i="64"/>
  <c r="N118" i="64"/>
  <c r="P43" i="21"/>
  <c r="G18" i="20"/>
  <c r="B38" i="5"/>
  <c r="N37" i="5"/>
  <c r="N82" i="21"/>
  <c r="F91" i="21"/>
  <c r="H93" i="21" s="1"/>
  <c r="N48" i="21"/>
  <c r="N58" i="21"/>
  <c r="P60" i="21" s="1"/>
  <c r="R25" i="20"/>
  <c r="G21" i="5" s="1"/>
  <c r="J38" i="5"/>
  <c r="F25" i="21"/>
  <c r="H27" i="21" s="1"/>
  <c r="J37" i="5"/>
  <c r="R22" i="20"/>
  <c r="G18" i="5" s="1"/>
  <c r="F114" i="21"/>
  <c r="R28" i="20"/>
  <c r="G24" i="5" s="1"/>
  <c r="N81" i="21"/>
  <c r="R27" i="20"/>
  <c r="G23" i="5" s="1"/>
  <c r="I23" i="5" s="1"/>
  <c r="F81" i="21"/>
  <c r="H34" i="5"/>
  <c r="H36" i="5" s="1"/>
  <c r="L38" i="5"/>
  <c r="L29" i="5"/>
  <c r="P159" i="79"/>
  <c r="P93" i="79"/>
  <c r="K29" i="5"/>
  <c r="H27" i="79"/>
  <c r="H126" i="79"/>
  <c r="P116" i="79"/>
  <c r="H149" i="79"/>
  <c r="P27" i="79"/>
  <c r="H93" i="79"/>
  <c r="P126" i="79"/>
  <c r="P127" i="79" s="1"/>
  <c r="V127" i="79" s="1"/>
  <c r="H159" i="79"/>
  <c r="K39" i="5"/>
  <c r="J29" i="5"/>
  <c r="M29" i="5"/>
  <c r="N23" i="5"/>
  <c r="N29" i="5" s="1"/>
  <c r="Q29" i="5"/>
  <c r="F153" i="64"/>
  <c r="J65" i="63" l="1"/>
  <c r="P31" i="63"/>
  <c r="S44" i="63" s="1"/>
  <c r="I24" i="5"/>
  <c r="P93" i="64"/>
  <c r="P94" i="64" s="1"/>
  <c r="V94" i="64" s="1"/>
  <c r="B37" i="5"/>
  <c r="H10" i="64"/>
  <c r="G18" i="63"/>
  <c r="X7" i="63"/>
  <c r="R22" i="63"/>
  <c r="H18" i="5" s="1"/>
  <c r="X15" i="63"/>
  <c r="D30" i="63" s="1"/>
  <c r="P43" i="64"/>
  <c r="X10" i="63"/>
  <c r="D25" i="63" s="1"/>
  <c r="R25" i="63"/>
  <c r="H21" i="5" s="1"/>
  <c r="I21" i="5" s="1"/>
  <c r="R18" i="63"/>
  <c r="F112" i="64"/>
  <c r="H116" i="64" s="1"/>
  <c r="R28" i="63"/>
  <c r="H24" i="5" s="1"/>
  <c r="B41" i="5"/>
  <c r="H93" i="64"/>
  <c r="H94" i="64" s="1"/>
  <c r="P27" i="64"/>
  <c r="P28" i="64" s="1"/>
  <c r="P160" i="21"/>
  <c r="X10" i="20"/>
  <c r="D25" i="20" s="1"/>
  <c r="P25" i="20" s="1"/>
  <c r="I39" i="5"/>
  <c r="F33" i="63"/>
  <c r="R26" i="63"/>
  <c r="H22" i="5" s="1"/>
  <c r="R29" i="63"/>
  <c r="H25" i="5" s="1"/>
  <c r="I25" i="5" s="1"/>
  <c r="P18" i="63"/>
  <c r="X9" i="63"/>
  <c r="D24" i="63" s="1"/>
  <c r="I18" i="5"/>
  <c r="J39" i="5"/>
  <c r="P29" i="63"/>
  <c r="H60" i="64"/>
  <c r="H61" i="64" s="1"/>
  <c r="N38" i="5"/>
  <c r="I22" i="5"/>
  <c r="H17" i="79"/>
  <c r="R30" i="20"/>
  <c r="G26" i="5" s="1"/>
  <c r="I26" i="5" s="1"/>
  <c r="M35" i="63"/>
  <c r="T9" i="20"/>
  <c r="R31" i="20"/>
  <c r="G27" i="5" s="1"/>
  <c r="I27" i="5" s="1"/>
  <c r="K38" i="5"/>
  <c r="R31" i="63"/>
  <c r="H27" i="5" s="1"/>
  <c r="R30" i="63"/>
  <c r="H26" i="5" s="1"/>
  <c r="F17" i="64"/>
  <c r="V18" i="63"/>
  <c r="X13" i="63"/>
  <c r="D28" i="63" s="1"/>
  <c r="F16" i="64"/>
  <c r="H17" i="64" s="1"/>
  <c r="H28" i="64" s="1"/>
  <c r="T18" i="63"/>
  <c r="K37" i="5"/>
  <c r="K41" i="5" s="1"/>
  <c r="F112" i="21"/>
  <c r="X13" i="20"/>
  <c r="D28" i="20" s="1"/>
  <c r="P28" i="20" s="1"/>
  <c r="S41" i="20" s="1"/>
  <c r="X14" i="20"/>
  <c r="D29" i="20" s="1"/>
  <c r="P29" i="20" s="1"/>
  <c r="B44" i="5"/>
  <c r="N13" i="21"/>
  <c r="I38" i="5"/>
  <c r="H24" i="20"/>
  <c r="D41" i="21"/>
  <c r="R9" i="20"/>
  <c r="V9" i="20"/>
  <c r="F24" i="20"/>
  <c r="E18" i="20"/>
  <c r="I65" i="20"/>
  <c r="P31" i="20"/>
  <c r="S44" i="20" s="1"/>
  <c r="V160" i="21" s="1"/>
  <c r="F46" i="21"/>
  <c r="F46" i="79"/>
  <c r="H127" i="79"/>
  <c r="T127" i="79" s="1"/>
  <c r="H160" i="21"/>
  <c r="P83" i="79"/>
  <c r="P94" i="79" s="1"/>
  <c r="V94" i="79" s="1"/>
  <c r="I34" i="5"/>
  <c r="I36" i="5" s="1"/>
  <c r="H18" i="20"/>
  <c r="H126" i="64"/>
  <c r="H127" i="64" s="1"/>
  <c r="R23" i="20"/>
  <c r="G19" i="5" s="1"/>
  <c r="I19" i="5" s="1"/>
  <c r="N14" i="21"/>
  <c r="H38" i="5"/>
  <c r="H41" i="5" s="1"/>
  <c r="H44" i="5" s="1"/>
  <c r="K56" i="20"/>
  <c r="F17" i="21"/>
  <c r="H17" i="21" s="1"/>
  <c r="H28" i="21" s="1"/>
  <c r="P37" i="5"/>
  <c r="D61" i="63"/>
  <c r="X8" i="20"/>
  <c r="D23" i="20" s="1"/>
  <c r="P23" i="20" s="1"/>
  <c r="P160" i="64"/>
  <c r="P61" i="64"/>
  <c r="P50" i="21"/>
  <c r="P61" i="21" s="1"/>
  <c r="P50" i="79"/>
  <c r="P61" i="79" s="1"/>
  <c r="V61" i="79" s="1"/>
  <c r="I61" i="20"/>
  <c r="N61" i="20" s="1"/>
  <c r="P27" i="20"/>
  <c r="S40" i="20" s="1"/>
  <c r="I37" i="5"/>
  <c r="I41" i="5" s="1"/>
  <c r="X7" i="20"/>
  <c r="D22" i="20" s="1"/>
  <c r="H116" i="21"/>
  <c r="H127" i="21" s="1"/>
  <c r="P18" i="20"/>
  <c r="D26" i="20"/>
  <c r="L41" i="5"/>
  <c r="P126" i="64"/>
  <c r="P127" i="64" s="1"/>
  <c r="H159" i="64"/>
  <c r="H160" i="64" s="1"/>
  <c r="P17" i="79"/>
  <c r="P28" i="79" s="1"/>
  <c r="V28" i="79" s="1"/>
  <c r="P30" i="20"/>
  <c r="S43" i="20" s="1"/>
  <c r="I64" i="20"/>
  <c r="F79" i="21"/>
  <c r="H83" i="21" s="1"/>
  <c r="H94" i="21" s="1"/>
  <c r="H83" i="79"/>
  <c r="H94" i="79" s="1"/>
  <c r="T94" i="79" s="1"/>
  <c r="H160" i="79"/>
  <c r="T160" i="79" s="1"/>
  <c r="P83" i="21"/>
  <c r="P94" i="21" s="1"/>
  <c r="H50" i="79"/>
  <c r="H28" i="79"/>
  <c r="T28" i="79" s="1"/>
  <c r="P127" i="21"/>
  <c r="I59" i="20"/>
  <c r="N59" i="20" s="1"/>
  <c r="P160" i="79"/>
  <c r="V160" i="79" s="1"/>
  <c r="S42" i="20"/>
  <c r="I63" i="20"/>
  <c r="S38" i="20"/>
  <c r="K57" i="20"/>
  <c r="P38" i="5"/>
  <c r="N17" i="21"/>
  <c r="A37" i="63"/>
  <c r="B59" i="63"/>
  <c r="M38" i="63"/>
  <c r="N41" i="5"/>
  <c r="S42" i="63"/>
  <c r="D63" i="63"/>
  <c r="S39" i="63"/>
  <c r="T94" i="64" s="1"/>
  <c r="D60" i="63"/>
  <c r="S36" i="63"/>
  <c r="D57" i="63"/>
  <c r="J41" i="5"/>
  <c r="K31" i="5"/>
  <c r="D65" i="63"/>
  <c r="Q31" i="5"/>
  <c r="L54" i="5"/>
  <c r="L56" i="5" s="1"/>
  <c r="M31" i="5"/>
  <c r="K34" i="5" l="1"/>
  <c r="K36" i="5" s="1"/>
  <c r="K44" i="5" s="1"/>
  <c r="F49" i="21"/>
  <c r="T18" i="20"/>
  <c r="J58" i="63"/>
  <c r="O58" i="63" s="1"/>
  <c r="P24" i="63"/>
  <c r="J62" i="63"/>
  <c r="P28" i="63"/>
  <c r="J64" i="63"/>
  <c r="P30" i="63"/>
  <c r="H29" i="5"/>
  <c r="J59" i="63"/>
  <c r="O59" i="63" s="1"/>
  <c r="P25" i="63"/>
  <c r="D22" i="63"/>
  <c r="X18" i="63"/>
  <c r="I62" i="20"/>
  <c r="N62" i="20" s="1"/>
  <c r="V28" i="64"/>
  <c r="V127" i="64"/>
  <c r="H33" i="20"/>
  <c r="F58" i="79"/>
  <c r="H60" i="79" s="1"/>
  <c r="H61" i="79" s="1"/>
  <c r="T61" i="79" s="1"/>
  <c r="R24" i="20"/>
  <c r="G20" i="5" s="1"/>
  <c r="I20" i="5" s="1"/>
  <c r="I29" i="5" s="1"/>
  <c r="X9" i="20"/>
  <c r="D24" i="20" s="1"/>
  <c r="D33" i="20" s="1"/>
  <c r="F58" i="21"/>
  <c r="H60" i="21" s="1"/>
  <c r="F33" i="20"/>
  <c r="N34" i="5"/>
  <c r="N36" i="5" s="1"/>
  <c r="N44" i="5" s="1"/>
  <c r="J34" i="5"/>
  <c r="F48" i="21"/>
  <c r="R18" i="20"/>
  <c r="P41" i="5"/>
  <c r="P44" i="5" s="1"/>
  <c r="V18" i="20"/>
  <c r="L34" i="5"/>
  <c r="L36" i="5" s="1"/>
  <c r="L44" i="5" s="1"/>
  <c r="F50" i="21"/>
  <c r="V160" i="64"/>
  <c r="I44" i="5"/>
  <c r="P17" i="21"/>
  <c r="P28" i="21" s="1"/>
  <c r="T160" i="21"/>
  <c r="I57" i="20"/>
  <c r="N57" i="20" s="1"/>
  <c r="V127" i="21"/>
  <c r="T127" i="21"/>
  <c r="I56" i="20"/>
  <c r="N56" i="20" s="1"/>
  <c r="P22" i="20"/>
  <c r="S35" i="20" s="1"/>
  <c r="T28" i="21" s="1"/>
  <c r="P26" i="20"/>
  <c r="I60" i="20"/>
  <c r="N60" i="20" s="1"/>
  <c r="V94" i="21"/>
  <c r="L51" i="5"/>
  <c r="M51" i="5" s="1"/>
  <c r="N51" i="5" s="1"/>
  <c r="S36" i="20"/>
  <c r="V61" i="21"/>
  <c r="L50" i="5"/>
  <c r="L49" i="5" s="1"/>
  <c r="S41" i="63" l="1"/>
  <c r="T127" i="64" s="1"/>
  <c r="D62" i="63"/>
  <c r="D33" i="63"/>
  <c r="J56" i="63"/>
  <c r="P22" i="63"/>
  <c r="S38" i="63"/>
  <c r="V61" i="64" s="1"/>
  <c r="D59" i="63"/>
  <c r="D64" i="63"/>
  <c r="S43" i="63"/>
  <c r="T160" i="64" s="1"/>
  <c r="D58" i="63"/>
  <c r="S37" i="63"/>
  <c r="T61" i="64" s="1"/>
  <c r="M48" i="5"/>
  <c r="S39" i="20"/>
  <c r="T94" i="21" s="1"/>
  <c r="G29" i="5"/>
  <c r="X18" i="20"/>
  <c r="P24" i="20"/>
  <c r="S37" i="20" s="1"/>
  <c r="I58" i="20"/>
  <c r="N58" i="20" s="1"/>
  <c r="N67" i="20" s="1"/>
  <c r="H50" i="21"/>
  <c r="H61" i="21" s="1"/>
  <c r="J36" i="5"/>
  <c r="J44" i="5" s="1"/>
  <c r="Q44" i="5" s="1"/>
  <c r="L52" i="5"/>
  <c r="L48" i="5" s="1"/>
  <c r="N48" i="5" s="1"/>
  <c r="V28" i="21"/>
  <c r="M50" i="5"/>
  <c r="N50" i="5" s="1"/>
  <c r="M49" i="5"/>
  <c r="N49" i="5" s="1"/>
  <c r="O56" i="63" l="1"/>
  <c r="O67" i="63" s="1"/>
  <c r="J67" i="63"/>
  <c r="P33" i="20"/>
  <c r="P46" i="20" s="1"/>
  <c r="S35" i="63"/>
  <c r="T28" i="64" s="1"/>
  <c r="D56" i="63"/>
  <c r="D67" i="63" s="1"/>
  <c r="P33" i="63"/>
  <c r="P46" i="63" s="1"/>
  <c r="T61" i="21"/>
  <c r="I67" i="20"/>
  <c r="M52" i="5"/>
  <c r="N5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<sst xmlns="http://schemas.openxmlformats.org/spreadsheetml/2006/main" count="2089" uniqueCount="305">
  <si>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</si>
  <si>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</si>
  <si>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</si>
  <si>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</si>
  <si>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</si>
  <si>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</si>
  <si>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</si>
  <si>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</si>
  <si>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</si>
  <si>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</si>
  <si>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</si>
  <si>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</si>
  <si>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</si>
  <si>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</si>
  <si>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</si>
  <si>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</si>
  <si>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</si>
  <si>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</si>
  <si>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</si>
  <si>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</si>
  <si>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</si>
  <si>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</si>
  <si>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</si>
  <si>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</si>
  <si>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</si>
  <si>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</si>
  <si>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</si>
  <si>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</si>
  <si>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</si>
  <si>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</si>
  <si>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</si>
  <si>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</si>
  <si>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</si>
  <si>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</si>
  <si>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</si>
  <si>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</si>
  <si>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</si>
  <si>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</si>
  <si>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</si>
  <si>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</si>
  <si>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</si>
  <si>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</si>
  <si>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</si>
  <si>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</si>
  <si>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</si>
  <si>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</si>
  <si>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</si>
  <si>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</si>
  <si>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</si>
  <si>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</si>
  <si>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</si>
  <si>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</si>
  <si>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</si>
  <si>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</si>
  <si>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</si>
  <si>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</si>
  <si>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</si>
  <si>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</si>
  <si>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</si>
  <si>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</si>
  <si>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</si>
  <si>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</si>
  <si>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</si>
  <si>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</si>
  <si>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</si>
  <si>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</si>
  <si>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</si>
  <si>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</si>
  <si>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</si>
  <si>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</si>
  <si>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</si>
  <si>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</si>
  <si>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</si>
  <si>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</si>
  <si>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</si>
  <si>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</si>
  <si>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</si>
  <si>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</si>
  <si>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</si>
  <si>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</si>
  <si>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</si>
  <si>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</si>
  <si>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</si>
  <si>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</si>
  <si>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</si>
  <si>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</si>
  <si>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</si>
  <si>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</si>
  <si>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</si>
  <si>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</si>
  <si>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</si>
  <si>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</si>
  <si>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</si>
  <si>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</si>
  <si>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</si>
  <si>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</si>
  <si>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</si>
  <si>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</si>
  <si>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</si>
  <si>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</si>
  <si>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</si>
  <si>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</si>
  <si>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</si>
  <si>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</si>
  <si>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</si>
  <si>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</si>
  <si>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</si>
  <si>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</si>
  <si>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</si>
  <si>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</si>
  <si>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</si>
  <si>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</si>
  <si>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</si>
  <si>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</si>
  <si>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</si>
  <si>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</si>
  <si>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</si>
  <si>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</si>
  <si>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</si>
  <si>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</si>
  <si>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</si>
  <si>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</si>
  <si>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</si>
  <si>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</si>
  <si>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</si>
  <si>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</si>
  <si>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</si>
  <si>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</si>
  <si>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</si>
  <si>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</si>
  <si>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</si>
  <si>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</si>
  <si>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</si>
  <si>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</si>
  <si>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</si>
  <si>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</si>
  <si>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</si>
  <si>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</si>
  <si>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</si>
  <si>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</si>
  <si>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</si>
  <si>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</si>
  <si>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</si>
  <si>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</si>
  <si>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</si>
  <si>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</si>
  <si>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</si>
  <si>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</si>
  <si>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</si>
  <si>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</si>
  <si>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</si>
  <si>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</si>
  <si>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</si>
  <si>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</si>
  <si>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</si>
  <si>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</si>
  <si>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</si>
  <si>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</si>
  <si>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</si>
  <si>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</si>
  <si>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</si>
  <si>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</si>
  <si>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</si>
  <si>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</si>
  <si>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</si>
  <si>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</si>
  <si>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</si>
  <si>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</si>
  <si>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</si>
  <si>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</si>
  <si>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</si>
  <si>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</si>
  <si>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</si>
  <si>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</si>
  <si>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</si>
  <si>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</si>
  <si>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</si>
  <si>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</si>
  <si>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</si>
  <si>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</si>
  <si>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</si>
  <si>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</si>
  <si>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</si>
  <si>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</si>
  <si>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</si>
  <si>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</si>
  <si>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</si>
  <si>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</si>
  <si>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</si>
  <si>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</si>
  <si>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</si>
  <si>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</si>
  <si>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</si>
  <si>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</si>
  <si>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</si>
  <si>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</si>
  <si>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</si>
  <si>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</si>
  <si>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</si>
  <si>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</si>
  <si>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</si>
  <si>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</si>
  <si>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</si>
  <si>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</si>
  <si>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</si>
  <si>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</si>
  <si>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</si>
  <si>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</si>
  <si>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</si>
  <si>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</si>
  <si>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</si>
  <si>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</si>
  <si>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</si>
  <si>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</si>
  <si>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</si>
  <si>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</si>
  <si>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</si>
  <si>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</si>
  <si>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</si>
  <si>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</si>
  <si>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</si>
  <si>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</si>
  <si>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</si>
  <si>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</si>
  <si>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</si>
  <si>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</si>
  <si>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</si>
  <si>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</si>
  <si>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</si>
  <si>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</si>
  <si>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</si>
  <si>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</si>
  <si>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</si>
  <si>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</si>
  <si>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</si>
  <si>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</si>
  <si>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</si>
  <si>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</si>
  <si>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</si>
  <si>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</si>
  <si>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</si>
  <si>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</si>
  <si>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</si>
  <si>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</si>
  <si>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</si>
  <si>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</si>
  <si>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</si>
  <si>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</si>
  <si>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</si>
  <si>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</si>
  <si>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</si>
  <si>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</si>
  <si>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</si>
  <si>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</si>
  <si>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</si>
  <si>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</si>
  <si>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</si>
  <si>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</si>
  <si>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</si>
  <si>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</si>
  <si>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</si>
  <si>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</si>
  <si>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</si>
  <si>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</si>
  <si>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</si>
  <si>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</si>
  <si>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</si>
  <si>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</si>
  <si>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</si>
  <si>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</si>
  <si>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</si>
  <si>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</si>
  <si>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</si>
  <si>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</si>
  <si>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</si>
  <si>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</si>
  <si>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</si>
  <si>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</si>
  <si>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</si>
  <si>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</si>
  <si>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</si>
  <si>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</si>
  <si>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</si>
  <si>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</si>
  <si>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</si>
  <si>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</si>
  <si>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</si>
  <si>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</si>
  <si>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</si>
  <si>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</si>
  <si>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</si>
  <si>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</si>
  <si>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</si>
  <si>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</si>
  <si>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</si>
  <si>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</si>
  <si>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</si>
  <si>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</si>
  <si>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</si>
  <si>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ADJUSTMENT (VL &amp; OT last cut off)</t>
  </si>
  <si>
    <t>Regular OT/VL</t>
  </si>
  <si>
    <t>Dec 26-Jan 10,2020</t>
  </si>
  <si>
    <t>APE 1 of 4</t>
  </si>
  <si>
    <t>Feb 26-Mar 10,2020</t>
  </si>
  <si>
    <t>APE 3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</si>
</sst>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3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5" fontId="1" fillId="8" borderId="0" xfId="59" applyNumberFormat="1" applyFont="1" applyFill="1" applyProtection="1">
      <protection locked="0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  <xf numFmtId="43" fontId="2" fillId="0" borderId="100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7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35</xdr:row>
      <xdr:rowOff>0</xdr:rowOff>
    </xdr:from>
    <xdr:to>
      <xdr:col>8</xdr:col>
      <xdr:colOff>419100</xdr:colOff>
      <xdr:row>39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25A58A-7E7A-467F-9205-258B228E6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5715000"/>
          <a:ext cx="1104900" cy="69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66" t="s">
        <v>152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27" s="277" customFormat="1" ht="26.25" x14ac:dyDescent="0.2">
      <c r="A2" s="366" t="s">
        <v>214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 spans="1:27" s="277" customFormat="1" ht="26.25" x14ac:dyDescent="0.2">
      <c r="A3" s="366" t="s">
        <v>215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67" t="s">
        <v>153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8" t="s">
        <v>91</v>
      </c>
      <c r="I5" s="369"/>
      <c r="J5" s="369"/>
      <c r="K5" s="370"/>
      <c r="L5" s="371" t="s">
        <v>90</v>
      </c>
      <c r="M5" s="373" t="s">
        <v>157</v>
      </c>
      <c r="N5" s="373" t="s">
        <v>158</v>
      </c>
      <c r="O5" s="375" t="s">
        <v>159</v>
      </c>
      <c r="P5" s="376"/>
      <c r="Q5" s="377"/>
      <c r="R5" s="373" t="s">
        <v>160</v>
      </c>
      <c r="S5" s="375" t="s">
        <v>19</v>
      </c>
      <c r="T5" s="376"/>
      <c r="U5" s="377"/>
      <c r="V5" s="373" t="s">
        <v>124</v>
      </c>
      <c r="W5" s="373" t="s">
        <v>125</v>
      </c>
      <c r="X5" s="362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74"/>
      <c r="N6" s="374"/>
      <c r="O6" s="285" t="s">
        <v>167</v>
      </c>
      <c r="P6" s="285" t="s">
        <v>168</v>
      </c>
      <c r="Q6" s="316" t="s">
        <v>125</v>
      </c>
      <c r="R6" s="374"/>
      <c r="S6" s="285" t="s">
        <v>167</v>
      </c>
      <c r="T6" s="285" t="s">
        <v>168</v>
      </c>
      <c r="U6" s="316" t="s">
        <v>125</v>
      </c>
      <c r="V6" s="374"/>
      <c r="W6" s="374"/>
      <c r="X6" s="363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4" t="s">
        <v>174</v>
      </c>
      <c r="G11" s="364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5" t="s">
        <v>221</v>
      </c>
      <c r="G12" s="365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5" t="s">
        <v>224</v>
      </c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4" t="s">
        <v>224</v>
      </c>
      <c r="G15" s="364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4" t="s">
        <v>173</v>
      </c>
      <c r="G19" s="364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5" t="s">
        <v>235</v>
      </c>
      <c r="G22" s="365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4" t="s">
        <v>235</v>
      </c>
      <c r="G23" s="364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5" t="s">
        <v>235</v>
      </c>
      <c r="G24" s="365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68" t="s">
        <v>91</v>
      </c>
      <c r="I27" s="369"/>
      <c r="J27" s="369"/>
      <c r="K27" s="370"/>
      <c r="L27" s="371" t="s">
        <v>90</v>
      </c>
      <c r="M27" s="373" t="s">
        <v>157</v>
      </c>
      <c r="N27" s="373" t="s">
        <v>158</v>
      </c>
      <c r="O27" s="375" t="s">
        <v>159</v>
      </c>
      <c r="P27" s="376"/>
      <c r="Q27" s="377"/>
      <c r="R27" s="373" t="s">
        <v>160</v>
      </c>
      <c r="S27" s="375" t="s">
        <v>19</v>
      </c>
      <c r="T27" s="376"/>
      <c r="U27" s="377"/>
      <c r="V27" s="373" t="s">
        <v>124</v>
      </c>
      <c r="W27" s="373" t="s">
        <v>125</v>
      </c>
      <c r="X27" s="362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2"/>
      <c r="M28" s="374"/>
      <c r="N28" s="374"/>
      <c r="O28" s="285" t="s">
        <v>167</v>
      </c>
      <c r="P28" s="285" t="s">
        <v>168</v>
      </c>
      <c r="Q28" s="316" t="s">
        <v>125</v>
      </c>
      <c r="R28" s="374"/>
      <c r="S28" s="285" t="s">
        <v>167</v>
      </c>
      <c r="T28" s="285" t="s">
        <v>168</v>
      </c>
      <c r="U28" s="316" t="s">
        <v>125</v>
      </c>
      <c r="V28" s="374"/>
      <c r="W28" s="374"/>
      <c r="X28" s="363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4" t="s">
        <v>173</v>
      </c>
      <c r="G33" s="364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5" t="s">
        <v>173</v>
      </c>
      <c r="G34" s="365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4" t="s">
        <v>224</v>
      </c>
      <c r="G37" s="364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5" t="s">
        <v>224</v>
      </c>
      <c r="G38" s="365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4" t="s">
        <v>173</v>
      </c>
      <c r="G43" s="364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5" t="s">
        <v>173</v>
      </c>
      <c r="G44" s="365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8" t="s">
        <v>238</v>
      </c>
      <c r="G47" s="378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5" t="s">
        <v>239</v>
      </c>
      <c r="G48" s="365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4" t="s">
        <v>239</v>
      </c>
      <c r="G49" s="364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5" t="s">
        <v>239</v>
      </c>
      <c r="G50" s="365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68" t="s">
        <v>91</v>
      </c>
      <c r="I53" s="369"/>
      <c r="J53" s="369"/>
      <c r="K53" s="370"/>
      <c r="L53" s="371" t="s">
        <v>90</v>
      </c>
      <c r="M53" s="373" t="s">
        <v>157</v>
      </c>
      <c r="N53" s="373" t="s">
        <v>158</v>
      </c>
      <c r="O53" s="375" t="s">
        <v>159</v>
      </c>
      <c r="P53" s="376"/>
      <c r="Q53" s="377"/>
      <c r="R53" s="373" t="s">
        <v>160</v>
      </c>
      <c r="S53" s="375" t="s">
        <v>19</v>
      </c>
      <c r="T53" s="376"/>
      <c r="U53" s="377"/>
      <c r="V53" s="373" t="s">
        <v>124</v>
      </c>
      <c r="W53" s="373" t="s">
        <v>125</v>
      </c>
      <c r="X53" s="362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2"/>
      <c r="M54" s="374"/>
      <c r="N54" s="374"/>
      <c r="O54" s="285" t="s">
        <v>167</v>
      </c>
      <c r="P54" s="285" t="s">
        <v>168</v>
      </c>
      <c r="Q54" s="316" t="s">
        <v>125</v>
      </c>
      <c r="R54" s="374"/>
      <c r="S54" s="285" t="s">
        <v>167</v>
      </c>
      <c r="T54" s="285" t="s">
        <v>168</v>
      </c>
      <c r="U54" s="316" t="s">
        <v>125</v>
      </c>
      <c r="V54" s="374"/>
      <c r="W54" s="374"/>
      <c r="X54" s="363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79" t="s">
        <v>177</v>
      </c>
      <c r="G56" s="365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4" t="s">
        <v>173</v>
      </c>
      <c r="G57" s="364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5" t="s">
        <v>224</v>
      </c>
      <c r="G60" s="365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4" t="s">
        <v>224</v>
      </c>
      <c r="G61" s="364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5" t="s">
        <v>174</v>
      </c>
      <c r="G64" s="365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4" t="s">
        <v>173</v>
      </c>
      <c r="G65" s="364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4" t="s">
        <v>165</v>
      </c>
      <c r="G67" s="364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5" t="s">
        <v>244</v>
      </c>
      <c r="G68" s="365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4" t="s">
        <v>244</v>
      </c>
      <c r="G69" s="364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5" t="s">
        <v>244</v>
      </c>
      <c r="G70" s="365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68" t="s">
        <v>91</v>
      </c>
      <c r="I73" s="369"/>
      <c r="J73" s="369"/>
      <c r="K73" s="370"/>
      <c r="L73" s="371" t="s">
        <v>90</v>
      </c>
      <c r="M73" s="373" t="s">
        <v>157</v>
      </c>
      <c r="N73" s="373" t="s">
        <v>158</v>
      </c>
      <c r="O73" s="375" t="s">
        <v>159</v>
      </c>
      <c r="P73" s="376"/>
      <c r="Q73" s="377"/>
      <c r="R73" s="373" t="s">
        <v>160</v>
      </c>
      <c r="S73" s="375" t="s">
        <v>19</v>
      </c>
      <c r="T73" s="376"/>
      <c r="U73" s="377"/>
      <c r="V73" s="373" t="s">
        <v>124</v>
      </c>
      <c r="W73" s="373" t="s">
        <v>125</v>
      </c>
      <c r="X73" s="362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2"/>
      <c r="M74" s="374"/>
      <c r="N74" s="374"/>
      <c r="O74" s="285" t="s">
        <v>167</v>
      </c>
      <c r="P74" s="285" t="s">
        <v>168</v>
      </c>
      <c r="Q74" s="316" t="s">
        <v>125</v>
      </c>
      <c r="R74" s="374"/>
      <c r="S74" s="285" t="s">
        <v>167</v>
      </c>
      <c r="T74" s="285" t="s">
        <v>168</v>
      </c>
      <c r="U74" s="316" t="s">
        <v>125</v>
      </c>
      <c r="V74" s="374"/>
      <c r="W74" s="374"/>
      <c r="X74" s="363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4" t="s">
        <v>173</v>
      </c>
      <c r="G79" s="364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5" t="s">
        <v>173</v>
      </c>
      <c r="G80" s="365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4" t="s">
        <v>224</v>
      </c>
      <c r="G83" s="364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5" t="s">
        <v>224</v>
      </c>
      <c r="G84" s="365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4"/>
      <c r="G91" s="364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4" t="s">
        <v>239</v>
      </c>
      <c r="G95" s="364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4" t="s">
        <v>239</v>
      </c>
      <c r="G96" s="364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4" t="s">
        <v>239</v>
      </c>
      <c r="G97" s="364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68" t="s">
        <v>91</v>
      </c>
      <c r="I100" s="369"/>
      <c r="J100" s="369"/>
      <c r="K100" s="370"/>
      <c r="L100" s="371" t="s">
        <v>90</v>
      </c>
      <c r="M100" s="373" t="s">
        <v>157</v>
      </c>
      <c r="N100" s="373" t="s">
        <v>158</v>
      </c>
      <c r="O100" s="375" t="s">
        <v>159</v>
      </c>
      <c r="P100" s="376"/>
      <c r="Q100" s="377"/>
      <c r="R100" s="373" t="s">
        <v>160</v>
      </c>
      <c r="S100" s="375" t="s">
        <v>19</v>
      </c>
      <c r="T100" s="376"/>
      <c r="U100" s="377"/>
      <c r="V100" s="373" t="s">
        <v>124</v>
      </c>
      <c r="W100" s="373" t="s">
        <v>125</v>
      </c>
      <c r="X100" s="362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2"/>
      <c r="M101" s="374"/>
      <c r="N101" s="374"/>
      <c r="O101" s="285" t="s">
        <v>167</v>
      </c>
      <c r="P101" s="285" t="s">
        <v>168</v>
      </c>
      <c r="Q101" s="316" t="s">
        <v>125</v>
      </c>
      <c r="R101" s="374"/>
      <c r="S101" s="285" t="s">
        <v>167</v>
      </c>
      <c r="T101" s="285" t="s">
        <v>168</v>
      </c>
      <c r="U101" s="316" t="s">
        <v>125</v>
      </c>
      <c r="V101" s="374"/>
      <c r="W101" s="374"/>
      <c r="X101" s="363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5" t="s">
        <v>173</v>
      </c>
      <c r="G105" s="365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4" t="s">
        <v>173</v>
      </c>
      <c r="G106" s="364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4" t="s">
        <v>224</v>
      </c>
      <c r="G108" s="364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5" t="s">
        <v>224</v>
      </c>
      <c r="G109" s="365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4" t="s">
        <v>173</v>
      </c>
      <c r="G112" s="364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5" t="s">
        <v>173</v>
      </c>
      <c r="G113" s="365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0" t="s">
        <v>235</v>
      </c>
      <c r="G115" s="380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4" t="s">
        <v>248</v>
      </c>
      <c r="G116" s="364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0" t="s">
        <v>235</v>
      </c>
      <c r="G117" s="380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4" t="s">
        <v>248</v>
      </c>
      <c r="G118" s="364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68" t="s">
        <v>91</v>
      </c>
      <c r="I121" s="369"/>
      <c r="J121" s="369"/>
      <c r="K121" s="370"/>
      <c r="L121" s="371" t="s">
        <v>90</v>
      </c>
      <c r="M121" s="373" t="s">
        <v>157</v>
      </c>
      <c r="N121" s="373" t="s">
        <v>158</v>
      </c>
      <c r="O121" s="375" t="s">
        <v>159</v>
      </c>
      <c r="P121" s="376"/>
      <c r="Q121" s="377"/>
      <c r="R121" s="373" t="s">
        <v>160</v>
      </c>
      <c r="S121" s="375" t="s">
        <v>19</v>
      </c>
      <c r="T121" s="376"/>
      <c r="U121" s="377"/>
      <c r="V121" s="373" t="s">
        <v>124</v>
      </c>
      <c r="W121" s="373" t="s">
        <v>125</v>
      </c>
      <c r="X121" s="362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2"/>
      <c r="M122" s="374"/>
      <c r="N122" s="374"/>
      <c r="O122" s="285" t="s">
        <v>167</v>
      </c>
      <c r="P122" s="285" t="s">
        <v>168</v>
      </c>
      <c r="Q122" s="316" t="s">
        <v>125</v>
      </c>
      <c r="R122" s="374"/>
      <c r="S122" s="285" t="s">
        <v>167</v>
      </c>
      <c r="T122" s="285" t="s">
        <v>168</v>
      </c>
      <c r="U122" s="316" t="s">
        <v>125</v>
      </c>
      <c r="V122" s="374"/>
      <c r="W122" s="374"/>
      <c r="X122" s="363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4" t="s">
        <v>173</v>
      </c>
      <c r="G129" s="364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4" t="s">
        <v>224</v>
      </c>
      <c r="G132" s="364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5" t="s">
        <v>224</v>
      </c>
      <c r="G133" s="365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5" t="s">
        <v>173</v>
      </c>
      <c r="G138" s="365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4" t="s">
        <v>173</v>
      </c>
      <c r="G139" s="364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5" t="s">
        <v>239</v>
      </c>
      <c r="G142" s="365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4" t="s">
        <v>249</v>
      </c>
      <c r="G143" s="364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5" t="s">
        <v>239</v>
      </c>
      <c r="G144" s="365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4" t="s">
        <v>249</v>
      </c>
      <c r="G145" s="364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68" t="s">
        <v>91</v>
      </c>
      <c r="I148" s="369"/>
      <c r="J148" s="369"/>
      <c r="K148" s="370"/>
      <c r="L148" s="371" t="s">
        <v>90</v>
      </c>
      <c r="M148" s="373" t="s">
        <v>157</v>
      </c>
      <c r="N148" s="373" t="s">
        <v>158</v>
      </c>
      <c r="O148" s="375" t="s">
        <v>159</v>
      </c>
      <c r="P148" s="376"/>
      <c r="Q148" s="377"/>
      <c r="R148" s="373" t="s">
        <v>160</v>
      </c>
      <c r="S148" s="375" t="s">
        <v>19</v>
      </c>
      <c r="T148" s="376"/>
      <c r="U148" s="377"/>
      <c r="V148" s="373" t="s">
        <v>124</v>
      </c>
      <c r="W148" s="373" t="s">
        <v>125</v>
      </c>
      <c r="X148" s="362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2"/>
      <c r="M149" s="374"/>
      <c r="N149" s="374"/>
      <c r="O149" s="285" t="s">
        <v>167</v>
      </c>
      <c r="P149" s="285" t="s">
        <v>168</v>
      </c>
      <c r="Q149" s="316" t="s">
        <v>125</v>
      </c>
      <c r="R149" s="374"/>
      <c r="S149" s="285" t="s">
        <v>167</v>
      </c>
      <c r="T149" s="285" t="s">
        <v>168</v>
      </c>
      <c r="U149" s="316" t="s">
        <v>125</v>
      </c>
      <c r="V149" s="374"/>
      <c r="W149" s="374"/>
      <c r="X149" s="363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5" t="s">
        <v>173</v>
      </c>
      <c r="G157" s="365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4" t="s">
        <v>224</v>
      </c>
      <c r="G160" s="364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5" t="s">
        <v>224</v>
      </c>
      <c r="G161" s="365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4" t="s">
        <v>22</v>
      </c>
      <c r="G164" s="364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5" t="s">
        <v>173</v>
      </c>
      <c r="G165" s="365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4" t="s">
        <v>173</v>
      </c>
      <c r="G166" s="364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0" t="s">
        <v>239</v>
      </c>
      <c r="G169" s="380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4" t="s">
        <v>239</v>
      </c>
      <c r="G170" s="364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0" t="s">
        <v>239</v>
      </c>
      <c r="G171" s="380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4" t="s">
        <v>239</v>
      </c>
      <c r="G172" s="364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68" t="s">
        <v>91</v>
      </c>
      <c r="I175" s="369"/>
      <c r="J175" s="369"/>
      <c r="K175" s="370"/>
      <c r="L175" s="371" t="s">
        <v>90</v>
      </c>
      <c r="M175" s="373" t="s">
        <v>157</v>
      </c>
      <c r="N175" s="373" t="s">
        <v>158</v>
      </c>
      <c r="O175" s="375" t="s">
        <v>159</v>
      </c>
      <c r="P175" s="376"/>
      <c r="Q175" s="377"/>
      <c r="R175" s="373" t="s">
        <v>160</v>
      </c>
      <c r="S175" s="375" t="s">
        <v>19</v>
      </c>
      <c r="T175" s="376"/>
      <c r="U175" s="377"/>
      <c r="V175" s="373" t="s">
        <v>124</v>
      </c>
      <c r="W175" s="373" t="s">
        <v>125</v>
      </c>
      <c r="X175" s="362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2"/>
      <c r="M176" s="374"/>
      <c r="N176" s="374"/>
      <c r="O176" s="285" t="s">
        <v>167</v>
      </c>
      <c r="P176" s="285" t="s">
        <v>168</v>
      </c>
      <c r="Q176" s="316" t="s">
        <v>125</v>
      </c>
      <c r="R176" s="374"/>
      <c r="S176" s="285" t="s">
        <v>167</v>
      </c>
      <c r="T176" s="285" t="s">
        <v>168</v>
      </c>
      <c r="U176" s="316" t="s">
        <v>125</v>
      </c>
      <c r="V176" s="374"/>
      <c r="W176" s="374"/>
      <c r="X176" s="363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5" t="s">
        <v>173</v>
      </c>
      <c r="G182" s="365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4" t="s">
        <v>224</v>
      </c>
      <c r="G185" s="364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5" t="s">
        <v>224</v>
      </c>
      <c r="G186" s="365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4" t="s">
        <v>173</v>
      </c>
      <c r="G193" s="364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8"/>
      <c r="G196" s="378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1" t="s">
        <v>251</v>
      </c>
      <c r="G197" s="380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79" t="s">
        <v>251</v>
      </c>
      <c r="G198" s="365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2" t="s">
        <v>251</v>
      </c>
      <c r="G199" s="364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79" t="s">
        <v>251</v>
      </c>
      <c r="G200" s="365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68" t="s">
        <v>91</v>
      </c>
      <c r="I203" s="369"/>
      <c r="J203" s="369"/>
      <c r="K203" s="370"/>
      <c r="L203" s="371" t="s">
        <v>90</v>
      </c>
      <c r="M203" s="373" t="s">
        <v>157</v>
      </c>
      <c r="N203" s="373" t="s">
        <v>158</v>
      </c>
      <c r="O203" s="375" t="s">
        <v>159</v>
      </c>
      <c r="P203" s="376"/>
      <c r="Q203" s="377"/>
      <c r="R203" s="373" t="s">
        <v>160</v>
      </c>
      <c r="S203" s="375" t="s">
        <v>19</v>
      </c>
      <c r="T203" s="376"/>
      <c r="U203" s="377"/>
      <c r="V203" s="373" t="s">
        <v>124</v>
      </c>
      <c r="W203" s="373" t="s">
        <v>125</v>
      </c>
      <c r="X203" s="362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2"/>
      <c r="M204" s="374"/>
      <c r="N204" s="374"/>
      <c r="O204" s="285" t="s">
        <v>167</v>
      </c>
      <c r="P204" s="285" t="s">
        <v>168</v>
      </c>
      <c r="Q204" s="316" t="s">
        <v>125</v>
      </c>
      <c r="R204" s="374"/>
      <c r="S204" s="285" t="s">
        <v>167</v>
      </c>
      <c r="T204" s="285" t="s">
        <v>168</v>
      </c>
      <c r="U204" s="316" t="s">
        <v>125</v>
      </c>
      <c r="V204" s="374"/>
      <c r="W204" s="374"/>
      <c r="X204" s="363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5" t="s">
        <v>173</v>
      </c>
      <c r="G210" s="365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4" t="s">
        <v>224</v>
      </c>
      <c r="G213" s="364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5" t="s">
        <v>224</v>
      </c>
      <c r="G214" s="365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4" t="s">
        <v>173</v>
      </c>
      <c r="G221" s="364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8"/>
      <c r="G224" s="378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1" t="s">
        <v>177</v>
      </c>
      <c r="G225" s="380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79" t="s">
        <v>177</v>
      </c>
      <c r="G226" s="365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2" t="s">
        <v>177</v>
      </c>
      <c r="G227" s="364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79" t="s">
        <v>177</v>
      </c>
      <c r="G228" s="365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68" t="s">
        <v>91</v>
      </c>
      <c r="I231" s="369"/>
      <c r="J231" s="369"/>
      <c r="K231" s="370"/>
      <c r="L231" s="371" t="s">
        <v>90</v>
      </c>
      <c r="M231" s="373" t="s">
        <v>157</v>
      </c>
      <c r="N231" s="373" t="s">
        <v>158</v>
      </c>
      <c r="O231" s="375" t="s">
        <v>159</v>
      </c>
      <c r="P231" s="376"/>
      <c r="Q231" s="377"/>
      <c r="R231" s="373" t="s">
        <v>160</v>
      </c>
      <c r="S231" s="375" t="s">
        <v>19</v>
      </c>
      <c r="T231" s="376"/>
      <c r="U231" s="377"/>
      <c r="V231" s="373" t="s">
        <v>124</v>
      </c>
      <c r="W231" s="373" t="s">
        <v>125</v>
      </c>
      <c r="X231" s="362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2"/>
      <c r="M232" s="374"/>
      <c r="N232" s="374"/>
      <c r="O232" s="285" t="s">
        <v>167</v>
      </c>
      <c r="P232" s="285" t="s">
        <v>168</v>
      </c>
      <c r="Q232" s="316" t="s">
        <v>125</v>
      </c>
      <c r="R232" s="374"/>
      <c r="S232" s="285" t="s">
        <v>167</v>
      </c>
      <c r="T232" s="285" t="s">
        <v>168</v>
      </c>
      <c r="U232" s="316" t="s">
        <v>125</v>
      </c>
      <c r="V232" s="374"/>
      <c r="W232" s="374"/>
      <c r="X232" s="363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4" t="s">
        <v>173</v>
      </c>
      <c r="G237" s="364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4" t="s">
        <v>224</v>
      </c>
      <c r="G239" s="364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5" t="s">
        <v>224</v>
      </c>
      <c r="G240" s="365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4" t="s">
        <v>165</v>
      </c>
      <c r="G241" s="364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4" t="s">
        <v>174</v>
      </c>
      <c r="G243" s="364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5" t="s">
        <v>173</v>
      </c>
      <c r="G244" s="365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8" t="s">
        <v>255</v>
      </c>
      <c r="G245" s="378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0" t="s">
        <v>255</v>
      </c>
      <c r="G246" s="380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8" t="s">
        <v>255</v>
      </c>
      <c r="G247" s="378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0" t="s">
        <v>255</v>
      </c>
      <c r="G248" s="380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8" t="s">
        <v>255</v>
      </c>
      <c r="G249" s="378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68" t="s">
        <v>91</v>
      </c>
      <c r="I252" s="369"/>
      <c r="J252" s="369"/>
      <c r="K252" s="370"/>
      <c r="L252" s="371" t="s">
        <v>90</v>
      </c>
      <c r="M252" s="373" t="s">
        <v>157</v>
      </c>
      <c r="N252" s="373" t="s">
        <v>158</v>
      </c>
      <c r="O252" s="375" t="s">
        <v>159</v>
      </c>
      <c r="P252" s="376"/>
      <c r="Q252" s="377"/>
      <c r="R252" s="373" t="s">
        <v>160</v>
      </c>
      <c r="S252" s="375" t="s">
        <v>19</v>
      </c>
      <c r="T252" s="376"/>
      <c r="U252" s="377"/>
      <c r="V252" s="373" t="s">
        <v>124</v>
      </c>
      <c r="W252" s="373" t="s">
        <v>125</v>
      </c>
      <c r="X252" s="362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2"/>
      <c r="M253" s="374"/>
      <c r="N253" s="374"/>
      <c r="O253" s="285" t="s">
        <v>167</v>
      </c>
      <c r="P253" s="285" t="s">
        <v>168</v>
      </c>
      <c r="Q253" s="316" t="s">
        <v>125</v>
      </c>
      <c r="R253" s="374"/>
      <c r="S253" s="285" t="s">
        <v>167</v>
      </c>
      <c r="T253" s="285" t="s">
        <v>168</v>
      </c>
      <c r="U253" s="316" t="s">
        <v>125</v>
      </c>
      <c r="V253" s="374"/>
      <c r="W253" s="374"/>
      <c r="X253" s="363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4" t="s">
        <v>173</v>
      </c>
      <c r="G258" s="364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5" t="s">
        <v>173</v>
      </c>
      <c r="G259" s="365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4" t="s">
        <v>224</v>
      </c>
      <c r="G262" s="364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5" t="s">
        <v>224</v>
      </c>
      <c r="G263" s="365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4" t="s">
        <v>173</v>
      </c>
      <c r="G268" s="364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5" t="s">
        <v>173</v>
      </c>
      <c r="G269" s="365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0"/>
      <c r="G272" s="380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3" t="s">
        <v>177</v>
      </c>
      <c r="G273" s="378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2" t="s">
        <v>177</v>
      </c>
      <c r="G274" s="364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79" t="s">
        <v>177</v>
      </c>
      <c r="G275" s="365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2" t="s">
        <v>177</v>
      </c>
      <c r="G276" s="364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68" t="s">
        <v>91</v>
      </c>
      <c r="I279" s="369"/>
      <c r="J279" s="369"/>
      <c r="K279" s="370"/>
      <c r="L279" s="371" t="s">
        <v>90</v>
      </c>
      <c r="M279" s="373" t="s">
        <v>157</v>
      </c>
      <c r="N279" s="373" t="s">
        <v>158</v>
      </c>
      <c r="O279" s="375" t="s">
        <v>159</v>
      </c>
      <c r="P279" s="376"/>
      <c r="Q279" s="377"/>
      <c r="R279" s="373" t="s">
        <v>160</v>
      </c>
      <c r="S279" s="375" t="s">
        <v>19</v>
      </c>
      <c r="T279" s="376"/>
      <c r="U279" s="377"/>
      <c r="V279" s="373" t="s">
        <v>124</v>
      </c>
      <c r="W279" s="373" t="s">
        <v>125</v>
      </c>
      <c r="X279" s="362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2"/>
      <c r="M280" s="374"/>
      <c r="N280" s="374"/>
      <c r="O280" s="285" t="s">
        <v>167</v>
      </c>
      <c r="P280" s="285" t="s">
        <v>168</v>
      </c>
      <c r="Q280" s="316" t="s">
        <v>125</v>
      </c>
      <c r="R280" s="374"/>
      <c r="S280" s="285" t="s">
        <v>167</v>
      </c>
      <c r="T280" s="285" t="s">
        <v>168</v>
      </c>
      <c r="U280" s="316" t="s">
        <v>125</v>
      </c>
      <c r="V280" s="374"/>
      <c r="W280" s="374"/>
      <c r="X280" s="363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5" t="s">
        <v>173</v>
      </c>
      <c r="G284" s="365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4" t="s">
        <v>173</v>
      </c>
      <c r="G285" s="364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8"/>
      <c r="G288" s="378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4" t="s">
        <v>224</v>
      </c>
      <c r="G289" s="364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5" t="s">
        <v>224</v>
      </c>
      <c r="G290" s="365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4" t="s">
        <v>173</v>
      </c>
      <c r="G297" s="364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8"/>
      <c r="G298" s="378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1" t="s">
        <v>257</v>
      </c>
      <c r="G299" s="380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1" t="s">
        <v>257</v>
      </c>
      <c r="G300" s="380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2" t="s">
        <v>257</v>
      </c>
      <c r="G301" s="364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1" t="s">
        <v>257</v>
      </c>
      <c r="G302" s="380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2" t="s">
        <v>257</v>
      </c>
      <c r="G303" s="364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66" t="s">
        <v>258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27" s="277" customFormat="1" ht="26.25" x14ac:dyDescent="0.2">
      <c r="A2" s="366" t="s">
        <v>214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 spans="1:27" s="277" customFormat="1" ht="26.25" x14ac:dyDescent="0.2">
      <c r="A3" s="366" t="s">
        <v>215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67" t="s">
        <v>153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8" t="s">
        <v>91</v>
      </c>
      <c r="I5" s="369"/>
      <c r="J5" s="369"/>
      <c r="K5" s="370"/>
      <c r="L5" s="371" t="s">
        <v>90</v>
      </c>
      <c r="M5" s="373" t="s">
        <v>157</v>
      </c>
      <c r="N5" s="373" t="s">
        <v>158</v>
      </c>
      <c r="O5" s="375" t="s">
        <v>159</v>
      </c>
      <c r="P5" s="376"/>
      <c r="Q5" s="377"/>
      <c r="R5" s="373" t="s">
        <v>160</v>
      </c>
      <c r="S5" s="375" t="s">
        <v>19</v>
      </c>
      <c r="T5" s="376"/>
      <c r="U5" s="377"/>
      <c r="V5" s="373" t="s">
        <v>124</v>
      </c>
      <c r="W5" s="373" t="s">
        <v>125</v>
      </c>
      <c r="X5" s="362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74"/>
      <c r="N6" s="374"/>
      <c r="O6" s="285" t="s">
        <v>167</v>
      </c>
      <c r="P6" s="285" t="s">
        <v>168</v>
      </c>
      <c r="Q6" s="316" t="s">
        <v>125</v>
      </c>
      <c r="R6" s="374"/>
      <c r="S6" s="285" t="s">
        <v>167</v>
      </c>
      <c r="T6" s="285" t="s">
        <v>168</v>
      </c>
      <c r="U6" s="316" t="s">
        <v>125</v>
      </c>
      <c r="V6" s="374"/>
      <c r="W6" s="374"/>
      <c r="X6" s="363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5"/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5" t="s">
        <v>224</v>
      </c>
      <c r="G16" s="365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4" t="s">
        <v>224</v>
      </c>
      <c r="G17" s="364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5" t="s">
        <v>173</v>
      </c>
      <c r="G22" s="365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4" t="s">
        <v>235</v>
      </c>
      <c r="G25" s="364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5" t="s">
        <v>235</v>
      </c>
      <c r="G26" s="365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4" t="s">
        <v>235</v>
      </c>
      <c r="G27" s="364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68" t="s">
        <v>91</v>
      </c>
      <c r="I30" s="369"/>
      <c r="J30" s="369"/>
      <c r="K30" s="370"/>
      <c r="L30" s="371" t="s">
        <v>90</v>
      </c>
      <c r="M30" s="373" t="s">
        <v>157</v>
      </c>
      <c r="N30" s="373" t="s">
        <v>158</v>
      </c>
      <c r="O30" s="375" t="s">
        <v>159</v>
      </c>
      <c r="P30" s="376"/>
      <c r="Q30" s="377"/>
      <c r="R30" s="373" t="s">
        <v>160</v>
      </c>
      <c r="S30" s="375" t="s">
        <v>19</v>
      </c>
      <c r="T30" s="376"/>
      <c r="U30" s="377"/>
      <c r="V30" s="373" t="s">
        <v>124</v>
      </c>
      <c r="W30" s="373" t="s">
        <v>125</v>
      </c>
      <c r="X30" s="362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2"/>
      <c r="M31" s="374"/>
      <c r="N31" s="374"/>
      <c r="O31" s="285" t="s">
        <v>167</v>
      </c>
      <c r="P31" s="285" t="s">
        <v>168</v>
      </c>
      <c r="Q31" s="316" t="s">
        <v>125</v>
      </c>
      <c r="R31" s="374"/>
      <c r="S31" s="285" t="s">
        <v>167</v>
      </c>
      <c r="T31" s="285" t="s">
        <v>168</v>
      </c>
      <c r="U31" s="316" t="s">
        <v>125</v>
      </c>
      <c r="V31" s="374"/>
      <c r="W31" s="374"/>
      <c r="X31" s="363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4" t="s">
        <v>263</v>
      </c>
      <c r="G32" s="364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9" t="s">
        <v>207</v>
      </c>
      <c r="G33" s="379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4" t="s">
        <v>173</v>
      </c>
      <c r="G34" s="364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5" t="s">
        <v>173</v>
      </c>
      <c r="G35" s="365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2" t="s">
        <v>201</v>
      </c>
      <c r="G36" s="364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5" t="s">
        <v>224</v>
      </c>
      <c r="G37" s="365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5" t="s">
        <v>224</v>
      </c>
      <c r="G38" s="365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9" t="s">
        <v>201</v>
      </c>
      <c r="G39" s="365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2" t="s">
        <v>201</v>
      </c>
      <c r="G40" s="364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5" t="s">
        <v>173</v>
      </c>
      <c r="G41" s="365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4" t="s">
        <v>173</v>
      </c>
      <c r="G42" s="364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9" t="s">
        <v>201</v>
      </c>
      <c r="G43" s="365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2" t="s">
        <v>201</v>
      </c>
      <c r="G44" s="364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79" t="s">
        <v>201</v>
      </c>
      <c r="G45" s="365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2" t="s">
        <v>201</v>
      </c>
      <c r="G46" s="364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79" t="s">
        <v>201</v>
      </c>
      <c r="G47" s="365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68" t="s">
        <v>91</v>
      </c>
      <c r="I50" s="369"/>
      <c r="J50" s="369"/>
      <c r="K50" s="370"/>
      <c r="L50" s="371" t="s">
        <v>90</v>
      </c>
      <c r="M50" s="373" t="s">
        <v>157</v>
      </c>
      <c r="N50" s="373" t="s">
        <v>158</v>
      </c>
      <c r="O50" s="375" t="s">
        <v>159</v>
      </c>
      <c r="P50" s="376"/>
      <c r="Q50" s="377"/>
      <c r="R50" s="373" t="s">
        <v>160</v>
      </c>
      <c r="S50" s="375" t="s">
        <v>19</v>
      </c>
      <c r="T50" s="376"/>
      <c r="U50" s="377"/>
      <c r="V50" s="373" t="s">
        <v>124</v>
      </c>
      <c r="W50" s="373" t="s">
        <v>125</v>
      </c>
      <c r="X50" s="362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2"/>
      <c r="M51" s="374"/>
      <c r="N51" s="374"/>
      <c r="O51" s="285" t="s">
        <v>167</v>
      </c>
      <c r="P51" s="285" t="s">
        <v>168</v>
      </c>
      <c r="Q51" s="316" t="s">
        <v>125</v>
      </c>
      <c r="R51" s="374"/>
      <c r="S51" s="285" t="s">
        <v>167</v>
      </c>
      <c r="T51" s="285" t="s">
        <v>168</v>
      </c>
      <c r="U51" s="316" t="s">
        <v>125</v>
      </c>
      <c r="V51" s="374"/>
      <c r="W51" s="374"/>
      <c r="X51" s="363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2" t="s">
        <v>201</v>
      </c>
      <c r="G52" s="364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9" t="s">
        <v>201</v>
      </c>
      <c r="G53" s="379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4" t="s">
        <v>173</v>
      </c>
      <c r="G54" s="364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5" t="s">
        <v>173</v>
      </c>
      <c r="G55" s="365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2" t="s">
        <v>201</v>
      </c>
      <c r="G56" s="364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5" t="s">
        <v>224</v>
      </c>
      <c r="G57" s="365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4" t="s">
        <v>224</v>
      </c>
      <c r="G58" s="364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9" t="s">
        <v>201</v>
      </c>
      <c r="G59" s="365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2" t="s">
        <v>201</v>
      </c>
      <c r="G60" s="364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5" t="s">
        <v>173</v>
      </c>
      <c r="G61" s="365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4" t="s">
        <v>173</v>
      </c>
      <c r="G62" s="364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9" t="s">
        <v>201</v>
      </c>
      <c r="G63" s="365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2" t="s">
        <v>201</v>
      </c>
      <c r="G64" s="364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79" t="s">
        <v>201</v>
      </c>
      <c r="G65" s="365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2" t="s">
        <v>201</v>
      </c>
      <c r="G66" s="364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79" t="s">
        <v>201</v>
      </c>
      <c r="G67" s="365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67"/>
  <sheetViews>
    <sheetView tabSelected="1" topLeftCell="A10" workbookViewId="0">
      <pane xSplit="2" topLeftCell="C1" activePane="topRight" state="frozen"/>
      <selection pane="topRight" activeCell="J37" sqref="J3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2"/>
      <c r="B5" s="434" t="s">
        <v>0</v>
      </c>
      <c r="C5" s="405" t="s">
        <v>1</v>
      </c>
      <c r="D5" s="384" t="s">
        <v>13</v>
      </c>
      <c r="E5" s="405" t="s">
        <v>14</v>
      </c>
      <c r="F5" s="384"/>
      <c r="G5" s="405" t="s">
        <v>16</v>
      </c>
      <c r="H5" s="384" t="s">
        <v>44</v>
      </c>
      <c r="I5" s="401" t="s">
        <v>118</v>
      </c>
      <c r="J5" s="409" t="s">
        <v>91</v>
      </c>
      <c r="K5" s="410"/>
      <c r="L5" s="411"/>
      <c r="M5" s="421" t="s">
        <v>108</v>
      </c>
      <c r="N5" s="422"/>
      <c r="O5" s="422"/>
      <c r="P5" s="405" t="s">
        <v>2</v>
      </c>
      <c r="Q5" s="384" t="s">
        <v>17</v>
      </c>
      <c r="R5" s="405" t="s">
        <v>2</v>
      </c>
      <c r="S5" s="384" t="s">
        <v>18</v>
      </c>
      <c r="T5" s="405" t="s">
        <v>2</v>
      </c>
      <c r="U5" s="384" t="s">
        <v>19</v>
      </c>
      <c r="V5" s="405" t="s">
        <v>2</v>
      </c>
      <c r="W5" s="384" t="s">
        <v>299</v>
      </c>
      <c r="X5" s="386" t="s">
        <v>3</v>
      </c>
    </row>
    <row r="6" spans="1:26" s="138" customFormat="1" ht="27" customHeight="1" thickBot="1" x14ac:dyDescent="0.25">
      <c r="A6" s="433"/>
      <c r="B6" s="406"/>
      <c r="C6" s="406"/>
      <c r="D6" s="420"/>
      <c r="E6" s="425"/>
      <c r="F6" s="420"/>
      <c r="G6" s="425"/>
      <c r="H6" s="385"/>
      <c r="I6" s="40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6"/>
      <c r="Q6" s="420"/>
      <c r="R6" s="406"/>
      <c r="S6" s="420"/>
      <c r="T6" s="406"/>
      <c r="U6" s="420"/>
      <c r="V6" s="406"/>
      <c r="W6" s="385"/>
      <c r="X6" s="387"/>
    </row>
    <row r="7" spans="1:26" s="138" customFormat="1" ht="12" customHeight="1" x14ac:dyDescent="0.2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12</v>
      </c>
      <c r="G7" s="132">
        <f>+D7</f>
        <v>6851</v>
      </c>
      <c r="H7" s="461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3</v>
      </c>
      <c r="V7" s="21">
        <f>(E7/8/10)*U7</f>
        <v>19.762500000000003</v>
      </c>
      <c r="W7" s="133"/>
      <c r="X7" s="137">
        <f t="shared" ref="X7:X13" si="0">+G7+H7+P7+R7+T7+V7+W7+I7</f>
        <v>6990.7624999999998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12</v>
      </c>
      <c r="G8" s="458">
        <f>+D8</f>
        <v>6851</v>
      </c>
      <c r="H8" s="462">
        <f>(F8+J8+K8+L8+Q8)*10</f>
        <v>120</v>
      </c>
      <c r="I8" s="459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73">
        <v>2</v>
      </c>
      <c r="V8" s="21">
        <f>(E8/8/10)*U8</f>
        <v>13.175000000000001</v>
      </c>
      <c r="W8" s="73"/>
      <c r="X8" s="137">
        <f>+G8+H8+P8+R8+T8+V8+W8+I8</f>
        <v>6984.1750000000002</v>
      </c>
      <c r="Y8" s="142"/>
      <c r="Z8" s="142"/>
    </row>
    <row r="9" spans="1:26" s="138" customFormat="1" ht="12" customHeight="1" x14ac:dyDescent="0.2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12</v>
      </c>
      <c r="G9" s="458">
        <f>D9</f>
        <v>10273</v>
      </c>
      <c r="H9" s="462">
        <f t="shared" ref="H9:H14" si="1">(F9+J9+K9+L9+Q9)*10</f>
        <v>120</v>
      </c>
      <c r="I9" s="459"/>
      <c r="J9" s="73">
        <v>0</v>
      </c>
      <c r="K9" s="73">
        <v>0</v>
      </c>
      <c r="L9" s="73">
        <v>0</v>
      </c>
      <c r="M9" s="73">
        <v>6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740.84134615384619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73">
        <v>9.5</v>
      </c>
      <c r="V9" s="21">
        <f t="shared" ref="V9:V16" si="5">(E9/8/10)*U9</f>
        <v>93.839903846153845</v>
      </c>
      <c r="W9" s="73"/>
      <c r="X9" s="137">
        <f t="shared" si="0"/>
        <v>11227.68125</v>
      </c>
      <c r="Y9" s="142"/>
      <c r="Z9" s="142"/>
    </row>
    <row r="10" spans="1:26" s="138" customFormat="1" ht="12" customHeight="1" x14ac:dyDescent="0.2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12</v>
      </c>
      <c r="G10" s="458">
        <f t="shared" ref="G10:G16" si="6">+D10</f>
        <v>6851</v>
      </c>
      <c r="H10" s="462">
        <f t="shared" si="1"/>
        <v>120</v>
      </c>
      <c r="I10" s="459"/>
      <c r="J10" s="73">
        <v>0</v>
      </c>
      <c r="K10" s="73">
        <v>0</v>
      </c>
      <c r="L10" s="73">
        <v>0</v>
      </c>
      <c r="M10" s="73">
        <v>3</v>
      </c>
      <c r="N10" s="73">
        <f>+'10.26-11.10'!P250</f>
        <v>0</v>
      </c>
      <c r="O10" s="73">
        <f>+'10.26-11.10'!Q250</f>
        <v>0</v>
      </c>
      <c r="P10" s="233">
        <f t="shared" si="2"/>
        <v>247.03125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73">
        <v>3</v>
      </c>
      <c r="V10" s="21">
        <f t="shared" si="5"/>
        <v>19.762500000000003</v>
      </c>
      <c r="W10" s="73"/>
      <c r="X10" s="137">
        <f t="shared" si="0"/>
        <v>7237.7937499999998</v>
      </c>
      <c r="Y10" s="142"/>
      <c r="Z10" s="142"/>
    </row>
    <row r="11" spans="1:26" s="138" customFormat="1" ht="11.25" x14ac:dyDescent="0.2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11</v>
      </c>
      <c r="G11" s="458">
        <f>E11*F11</f>
        <v>5797</v>
      </c>
      <c r="H11" s="462">
        <f>(F11+Q11)*10</f>
        <v>110</v>
      </c>
      <c r="I11" s="459"/>
      <c r="J11" s="73">
        <v>0</v>
      </c>
      <c r="K11" s="73">
        <f>+'10.26-11.10(SI)'!I28</f>
        <v>0</v>
      </c>
      <c r="L11" s="73"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73">
        <v>5</v>
      </c>
      <c r="V11" s="21">
        <f t="shared" si="5"/>
        <v>32.9375</v>
      </c>
      <c r="W11" s="353"/>
      <c r="X11" s="137">
        <f>+G11+H11+P11+R11+T11+V11+W11+I11</f>
        <v>5939.9375</v>
      </c>
    </row>
    <row r="12" spans="1:26" s="138" customFormat="1" ht="12" customHeight="1" x14ac:dyDescent="0.2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10.5</v>
      </c>
      <c r="G12" s="458">
        <f t="shared" ref="G12" si="7">E12*F12</f>
        <v>5533.5</v>
      </c>
      <c r="H12" s="462">
        <f t="shared" ref="H12" si="8">(F12+Q12)*10</f>
        <v>105</v>
      </c>
      <c r="I12" s="459"/>
      <c r="J12" s="73">
        <v>0</v>
      </c>
      <c r="K12" s="73">
        <v>0</v>
      </c>
      <c r="L12" s="73">
        <f>+'10.26-11.10(SI)'!J29</f>
        <v>0</v>
      </c>
      <c r="M12" s="73">
        <v>3</v>
      </c>
      <c r="N12" s="73">
        <f>+'10.26-11.10(SI)'!P29</f>
        <v>0</v>
      </c>
      <c r="O12" s="73">
        <f>+'10.26-11.10(SI)'!Q29</f>
        <v>0</v>
      </c>
      <c r="P12" s="233">
        <f t="shared" si="2"/>
        <v>247.03125</v>
      </c>
      <c r="Q12" s="73"/>
      <c r="R12" s="21">
        <f>+Q12*E12</f>
        <v>0</v>
      </c>
      <c r="S12" s="73">
        <v>0</v>
      </c>
      <c r="T12" s="21">
        <f>(+S12*E12)*0.3</f>
        <v>0</v>
      </c>
      <c r="U12" s="73">
        <v>5</v>
      </c>
      <c r="V12" s="21">
        <f>(E12/8/10)*U12</f>
        <v>32.9375</v>
      </c>
      <c r="W12" s="73"/>
      <c r="X12" s="137">
        <f>+G12+H12+P12+R12+T12+V12+W12+I12</f>
        <v>5918.46875</v>
      </c>
    </row>
    <row r="13" spans="1:26" s="138" customFormat="1" ht="12" customHeight="1" x14ac:dyDescent="0.2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11</v>
      </c>
      <c r="G13" s="458">
        <f>E13*F13</f>
        <v>5797</v>
      </c>
      <c r="H13" s="462">
        <f>(F13+Q13)*10</f>
        <v>110</v>
      </c>
      <c r="I13" s="459"/>
      <c r="J13" s="73">
        <v>0</v>
      </c>
      <c r="K13" s="73">
        <f>+'10.26-11.10(SI)'!I30</f>
        <v>0</v>
      </c>
      <c r="L13" s="73">
        <f>+'10.26-11.10(SI)'!J30</f>
        <v>0</v>
      </c>
      <c r="M13" s="73">
        <v>1</v>
      </c>
      <c r="N13" s="73">
        <f>+'10.26-11.10(SI)'!P30</f>
        <v>0</v>
      </c>
      <c r="O13" s="73">
        <f>+'10.26-11.10(SI)'!Q30</f>
        <v>0</v>
      </c>
      <c r="P13" s="233">
        <f t="shared" si="2"/>
        <v>82.34375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73">
        <v>8</v>
      </c>
      <c r="V13" s="21">
        <f t="shared" si="5"/>
        <v>52.7</v>
      </c>
      <c r="W13" s="73"/>
      <c r="X13" s="137">
        <f t="shared" si="0"/>
        <v>6042.0437499999998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458">
        <f t="shared" si="6"/>
        <v>0</v>
      </c>
      <c r="H14" s="462">
        <f t="shared" si="1"/>
        <v>0</v>
      </c>
      <c r="I14" s="460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9"/>
        <v>0</v>
      </c>
      <c r="F15" s="140"/>
      <c r="G15" s="458">
        <f t="shared" si="6"/>
        <v>0</v>
      </c>
      <c r="H15" s="462">
        <f t="shared" ref="H15:H16" si="11">(F15+J15+K15+L15+Q15)*10</f>
        <v>0</v>
      </c>
      <c r="I15" s="460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135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47953.5</v>
      </c>
      <c r="H18" s="3">
        <f>SUM(H7:H16)</f>
        <v>805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1317.2475961538462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265.11490384615382</v>
      </c>
      <c r="W18" s="4"/>
      <c r="X18" s="3">
        <f>SUM(X7:X16)</f>
        <v>50340.862500000003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8"/>
      <c r="B20" s="390" t="s">
        <v>0</v>
      </c>
      <c r="C20" s="392" t="s">
        <v>1</v>
      </c>
      <c r="D20" s="394" t="s">
        <v>3</v>
      </c>
      <c r="E20" s="396" t="s">
        <v>22</v>
      </c>
      <c r="F20" s="403" t="s">
        <v>2</v>
      </c>
      <c r="G20" s="407" t="s">
        <v>21</v>
      </c>
      <c r="H20" s="394" t="s">
        <v>2</v>
      </c>
      <c r="I20" s="399" t="s">
        <v>126</v>
      </c>
      <c r="J20" s="416" t="s">
        <v>4</v>
      </c>
      <c r="K20" s="418" t="s">
        <v>23</v>
      </c>
      <c r="L20" s="394" t="s">
        <v>5</v>
      </c>
      <c r="M20" s="394" t="s">
        <v>6</v>
      </c>
      <c r="N20" s="394" t="s">
        <v>24</v>
      </c>
      <c r="O20" s="394" t="s">
        <v>7</v>
      </c>
      <c r="P20" s="414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89"/>
      <c r="B21" s="391"/>
      <c r="C21" s="393"/>
      <c r="D21" s="395"/>
      <c r="E21" s="397"/>
      <c r="F21" s="404"/>
      <c r="G21" s="408"/>
      <c r="H21" s="398"/>
      <c r="I21" s="400"/>
      <c r="J21" s="417"/>
      <c r="K21" s="419"/>
      <c r="L21" s="398"/>
      <c r="M21" s="398"/>
      <c r="N21" s="395"/>
      <c r="O21" s="398"/>
      <c r="P21" s="415"/>
      <c r="R21" s="250" t="str">
        <f>D3</f>
        <v>Feb 26-Mar 10,2020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6990.7624999999998</v>
      </c>
      <c r="E22" s="354">
        <v>0</v>
      </c>
      <c r="F22" s="355">
        <f>+E22*E7</f>
        <v>0</v>
      </c>
      <c r="G22" s="133">
        <v>2</v>
      </c>
      <c r="H22" s="355">
        <f>(+E7/8)*G22</f>
        <v>131.75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3">+D22-F22-H22-J22-K22-L22-M22-N22-O22-I22</f>
        <v>5371.0524999999998</v>
      </c>
      <c r="R22" s="71">
        <f t="shared" ref="R22:R31" si="14">G7+H7+P7+R7+T7+V7+W7-F22-H22</f>
        <v>6859.0124999999998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6984.1750000000002</v>
      </c>
      <c r="E23" s="353">
        <v>0</v>
      </c>
      <c r="F23" s="356">
        <f t="shared" ref="F23:F31" si="15">+E23*E8</f>
        <v>0</v>
      </c>
      <c r="G23" s="73"/>
      <c r="H23" s="356">
        <f t="shared" ref="H23:H31" si="16">(+E8/8)*G23</f>
        <v>0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3"/>
        <v>5098.2650000000003</v>
      </c>
      <c r="R23" s="71">
        <f>G8+H8+P8+R8+T8+V8+W8-F23-H23</f>
        <v>6984.1750000000002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11227.68125</v>
      </c>
      <c r="E24" s="353">
        <v>0</v>
      </c>
      <c r="F24" s="356">
        <f t="shared" si="15"/>
        <v>0</v>
      </c>
      <c r="G24" s="73">
        <v>1.68</v>
      </c>
      <c r="H24" s="356">
        <f>(+E9/8)*G24</f>
        <v>165.94846153846154</v>
      </c>
      <c r="I24" s="353">
        <v>27.66</v>
      </c>
      <c r="J24" s="15"/>
      <c r="K24" s="360"/>
      <c r="L24" s="15"/>
      <c r="M24" s="18">
        <v>100</v>
      </c>
      <c r="N24" s="360">
        <v>1161.8499999999999</v>
      </c>
      <c r="O24" s="18"/>
      <c r="P24" s="158">
        <f t="shared" si="13"/>
        <v>9772.2227884615386</v>
      </c>
      <c r="R24" s="71">
        <f t="shared" si="14"/>
        <v>11061.732788461539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7237.7937499999998</v>
      </c>
      <c r="E25" s="353">
        <v>0</v>
      </c>
      <c r="F25" s="356">
        <f t="shared" si="15"/>
        <v>0</v>
      </c>
      <c r="G25" s="73">
        <v>0.09</v>
      </c>
      <c r="H25" s="356">
        <f t="shared" ref="H25:H27" si="17">(+E10/8)*G25</f>
        <v>5.92875</v>
      </c>
      <c r="I25" s="353"/>
      <c r="J25" s="15"/>
      <c r="K25" s="360">
        <v>623</v>
      </c>
      <c r="L25" s="15"/>
      <c r="M25" s="18">
        <v>100</v>
      </c>
      <c r="N25" s="15">
        <v>692.5</v>
      </c>
      <c r="O25" s="18"/>
      <c r="P25" s="158">
        <f t="shared" si="13"/>
        <v>5816.3649999999998</v>
      </c>
      <c r="R25" s="71">
        <f t="shared" si="14"/>
        <v>7231.8649999999998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5939.9375</v>
      </c>
      <c r="E26" s="353">
        <v>0</v>
      </c>
      <c r="F26" s="356">
        <f t="shared" si="15"/>
        <v>0</v>
      </c>
      <c r="G26" s="73">
        <v>1.5</v>
      </c>
      <c r="H26" s="356">
        <f t="shared" si="17"/>
        <v>98.8125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3"/>
        <v>5741.125</v>
      </c>
      <c r="R26" s="71">
        <f t="shared" si="14"/>
        <v>5841.125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5918.46875</v>
      </c>
      <c r="E27" s="353">
        <v>0</v>
      </c>
      <c r="F27" s="356">
        <f t="shared" si="15"/>
        <v>0</v>
      </c>
      <c r="G27" s="73">
        <v>1.23</v>
      </c>
      <c r="H27" s="356">
        <f t="shared" si="17"/>
        <v>81.026250000000005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4737.0324999999993</v>
      </c>
      <c r="R27" s="71">
        <f>G12+H12+P12+R12+T12+V12+W12-F27-H27</f>
        <v>5837.4425000000001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6042.0437499999998</v>
      </c>
      <c r="E28" s="353">
        <v>0</v>
      </c>
      <c r="F28" s="356">
        <f t="shared" si="15"/>
        <v>0</v>
      </c>
      <c r="G28" s="73">
        <v>0.42</v>
      </c>
      <c r="H28" s="356">
        <f>(+E13/8)*G28</f>
        <v>27.6675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5531.3762500000003</v>
      </c>
      <c r="R28" s="71">
        <f t="shared" si="14"/>
        <v>6014.3762500000003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7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50340.862500000003</v>
      </c>
      <c r="E33" s="4">
        <f>+SUM(E22:E32)</f>
        <v>0</v>
      </c>
      <c r="F33" s="3">
        <f>SUM(F22:F32)</f>
        <v>0</v>
      </c>
      <c r="G33" s="4"/>
      <c r="H33" s="3">
        <f>SUM(H22:H32)</f>
        <v>511.13346153846152</v>
      </c>
      <c r="I33" s="3">
        <f>+SUM(I22:I32)</f>
        <v>27.66</v>
      </c>
      <c r="J33" s="3">
        <f t="shared" ref="J33:O33" si="21">+SUM(J22:J32)</f>
        <v>0</v>
      </c>
      <c r="K33" s="3">
        <f t="shared" si="21"/>
        <v>2999.47</v>
      </c>
      <c r="L33" s="3">
        <f t="shared" si="21"/>
        <v>0</v>
      </c>
      <c r="M33" s="3">
        <f t="shared" si="21"/>
        <v>700</v>
      </c>
      <c r="N33" s="3">
        <f t="shared" si="21"/>
        <v>4035.16</v>
      </c>
      <c r="O33" s="3">
        <f t="shared" si="21"/>
        <v>0</v>
      </c>
      <c r="P33" s="5">
        <f>+SUM(P22:P32)</f>
        <v>42067.43903846154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3">+P22+(SUM(O35:Q35))</f>
        <v>6405.0524999999998</v>
      </c>
    </row>
    <row r="36" spans="1:25" x14ac:dyDescent="0.2">
      <c r="M36" s="16" t="str">
        <f t="shared" si="22"/>
        <v>Sanchez, Angelo</v>
      </c>
      <c r="N36" s="165"/>
      <c r="O36" s="16">
        <v>0</v>
      </c>
      <c r="P36" s="16">
        <f>((1000/2)/13)*(13-E23)+500</f>
        <v>1000</v>
      </c>
      <c r="Q36" s="273">
        <v>0</v>
      </c>
      <c r="S36" s="166">
        <f t="shared" si="23"/>
        <v>6098.2650000000003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2"/>
        <v>Dino, Joyce</v>
      </c>
      <c r="N37" s="165"/>
      <c r="O37" s="16">
        <f>600/2</f>
        <v>300</v>
      </c>
      <c r="P37" s="16">
        <v>1000</v>
      </c>
      <c r="Q37" s="16">
        <v>0</v>
      </c>
      <c r="S37" s="166">
        <f t="shared" si="23"/>
        <v>11072.222788461539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2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3"/>
        <v>6850.3649999999998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>+P26+(SUM(O39:Q39))</f>
        <v>5741.125</v>
      </c>
      <c r="T39" s="361"/>
      <c r="U39" s="334"/>
      <c r="V39" s="334"/>
      <c r="W39" s="334"/>
      <c r="X39" s="334"/>
      <c r="Y39" s="334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4737.0324999999993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6">
        <f t="shared" si="23"/>
        <v>5531.3762500000003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6">
        <f t="shared" ref="S42:S44" si="24">+P29+(SUM(O42:Q42))</f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4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4"/>
        <v>0</v>
      </c>
    </row>
    <row r="46" spans="1:25" x14ac:dyDescent="0.2">
      <c r="P46" s="169">
        <f>+P33+(SUM(O35:Q44))</f>
        <v>46435.43903846154</v>
      </c>
    </row>
    <row r="53" spans="1:16" ht="13.5" thickBot="1" x14ac:dyDescent="0.25"/>
    <row r="54" spans="1:16" ht="13.5" thickBot="1" x14ac:dyDescent="0.25">
      <c r="A54" s="388"/>
      <c r="B54" s="390" t="s">
        <v>0</v>
      </c>
      <c r="C54" s="392" t="s">
        <v>1</v>
      </c>
      <c r="D54" s="394" t="s">
        <v>45</v>
      </c>
      <c r="E54" s="429" t="s">
        <v>151</v>
      </c>
      <c r="F54" s="426" t="s">
        <v>151</v>
      </c>
      <c r="G54" s="427"/>
      <c r="H54" s="412"/>
      <c r="I54" s="414" t="s">
        <v>3</v>
      </c>
      <c r="J54" s="428" t="s">
        <v>114</v>
      </c>
      <c r="K54" s="424" t="s">
        <v>115</v>
      </c>
      <c r="L54" s="424" t="s">
        <v>116</v>
      </c>
      <c r="N54" s="423" t="s">
        <v>102</v>
      </c>
    </row>
    <row r="55" spans="1:16" ht="13.5" thickBot="1" x14ac:dyDescent="0.25">
      <c r="A55" s="389"/>
      <c r="B55" s="391"/>
      <c r="C55" s="393"/>
      <c r="D55" s="431"/>
      <c r="E55" s="430"/>
      <c r="F55" s="245" t="s">
        <v>117</v>
      </c>
      <c r="G55" s="246" t="s">
        <v>304</v>
      </c>
      <c r="H55" s="413"/>
      <c r="I55" s="415"/>
      <c r="J55" s="428"/>
      <c r="K55" s="424"/>
      <c r="L55" s="424"/>
      <c r="N55" s="423"/>
    </row>
    <row r="56" spans="1:16" ht="13.5" thickBot="1" x14ac:dyDescent="0.25">
      <c r="A56" s="153">
        <v>1</v>
      </c>
      <c r="B56" s="49" t="str">
        <f t="shared" ref="B56:C65" si="25">+B22</f>
        <v>Biarcal, Ronald Glenn</v>
      </c>
      <c r="C56" s="49" t="str">
        <f t="shared" si="25"/>
        <v>M.T.Purchaser</v>
      </c>
      <c r="D56" s="133"/>
      <c r="E56" s="157"/>
      <c r="F56" s="236"/>
      <c r="G56" s="236">
        <v>325</v>
      </c>
      <c r="H56" s="157">
        <v>0</v>
      </c>
      <c r="I56" s="158">
        <f t="shared" ref="I56:I58" si="26">+D22-F22-H22-D56-J22-K22-L22-M22-N22-O22-E56-H56-F56-G56-I22</f>
        <v>5046.0524999999998</v>
      </c>
      <c r="J56" s="274">
        <f>+O35</f>
        <v>150</v>
      </c>
      <c r="K56" s="274">
        <f t="shared" ref="K56:L60" si="27">+P35</f>
        <v>884</v>
      </c>
      <c r="L56" s="274">
        <f t="shared" si="27"/>
        <v>0</v>
      </c>
      <c r="N56" s="165">
        <f t="shared" ref="N56:N57" si="28">+I56+J56+K56</f>
        <v>6080.0524999999998</v>
      </c>
    </row>
    <row r="57" spans="1:16" ht="13.5" thickBot="1" x14ac:dyDescent="0.25">
      <c r="A57" s="139">
        <v>2</v>
      </c>
      <c r="B57" s="22" t="str">
        <f t="shared" si="25"/>
        <v>Sanchez, Angelo</v>
      </c>
      <c r="C57" s="248" t="str">
        <f t="shared" si="25"/>
        <v>Head Cook</v>
      </c>
      <c r="D57" s="73"/>
      <c r="E57" s="122"/>
      <c r="F57" s="122"/>
      <c r="G57" s="236">
        <v>325</v>
      </c>
      <c r="H57" s="157">
        <v>0</v>
      </c>
      <c r="I57" s="158">
        <f>+D23-F23-H23-D57-J23-K23-L23-M23-N23-O23-E57-H57-F57-G57-I23</f>
        <v>4773.2650000000003</v>
      </c>
      <c r="J57" s="274">
        <f>+O36</f>
        <v>0</v>
      </c>
      <c r="K57" s="274">
        <f t="shared" si="27"/>
        <v>1000</v>
      </c>
      <c r="L57" s="274">
        <f t="shared" si="27"/>
        <v>0</v>
      </c>
      <c r="N57" s="165">
        <f t="shared" si="28"/>
        <v>5773.2650000000003</v>
      </c>
    </row>
    <row r="58" spans="1:16" ht="13.5" thickBot="1" x14ac:dyDescent="0.25">
      <c r="A58" s="139">
        <v>3</v>
      </c>
      <c r="B58" s="22" t="str">
        <f t="shared" si="25"/>
        <v>Dino, Joyce</v>
      </c>
      <c r="C58" s="248" t="str">
        <f t="shared" si="25"/>
        <v>Store Manager</v>
      </c>
      <c r="D58" s="73"/>
      <c r="E58" s="122"/>
      <c r="F58" s="18">
        <v>4500</v>
      </c>
      <c r="G58" s="236">
        <v>325</v>
      </c>
      <c r="H58" s="157">
        <v>0</v>
      </c>
      <c r="I58" s="158">
        <f t="shared" si="26"/>
        <v>4947.2227884615386</v>
      </c>
      <c r="J58" s="274">
        <f>+O37</f>
        <v>300</v>
      </c>
      <c r="K58" s="274">
        <f t="shared" si="27"/>
        <v>1000</v>
      </c>
      <c r="L58" s="274">
        <f t="shared" si="27"/>
        <v>0</v>
      </c>
      <c r="N58" s="165">
        <f>+I58+J58+K58</f>
        <v>6247.2227884615386</v>
      </c>
      <c r="P58" s="165"/>
    </row>
    <row r="59" spans="1:16" ht="13.5" thickBot="1" x14ac:dyDescent="0.25">
      <c r="A59" s="139">
        <v>4</v>
      </c>
      <c r="B59" s="22" t="str">
        <f t="shared" si="25"/>
        <v xml:space="preserve">Sosa, Anna Marie </v>
      </c>
      <c r="C59" s="248" t="str">
        <f t="shared" si="25"/>
        <v>M.T.Bookkeeper</v>
      </c>
      <c r="D59" s="73">
        <v>267.75</v>
      </c>
      <c r="E59" s="122"/>
      <c r="F59" s="122"/>
      <c r="G59" s="236">
        <v>325</v>
      </c>
      <c r="H59" s="157">
        <v>0</v>
      </c>
      <c r="I59" s="158">
        <f>+D25-F25-H25-D59-J25-K25-L25-M25-N25-O25-E59-H59-F59-G59-I25</f>
        <v>5223.6149999999998</v>
      </c>
      <c r="J59" s="274">
        <f>+O38</f>
        <v>150</v>
      </c>
      <c r="K59" s="274">
        <f t="shared" si="27"/>
        <v>884</v>
      </c>
      <c r="L59" s="274">
        <f t="shared" si="27"/>
        <v>0</v>
      </c>
      <c r="N59" s="165">
        <f>+I59+J59+K59</f>
        <v>6257.6149999999998</v>
      </c>
    </row>
    <row r="60" spans="1:16" ht="13.5" thickBot="1" x14ac:dyDescent="0.25">
      <c r="A60" s="139">
        <v>5</v>
      </c>
      <c r="B60" s="22" t="str">
        <f t="shared" si="25"/>
        <v>Briones, Christian Joy</v>
      </c>
      <c r="C60" s="248" t="str">
        <f t="shared" si="25"/>
        <v>Asst. Cook</v>
      </c>
      <c r="D60" s="73"/>
      <c r="E60" s="122"/>
      <c r="F60" s="122"/>
      <c r="G60" s="236">
        <v>325</v>
      </c>
      <c r="H60" s="157">
        <v>0</v>
      </c>
      <c r="I60" s="158">
        <f>+D26-F26-H26-D60-J26-K26-L26-M26-N26-O26-E60-H60-F60-G60-I26</f>
        <v>5416.125</v>
      </c>
      <c r="J60" s="274">
        <f>+O39</f>
        <v>0</v>
      </c>
      <c r="K60" s="274">
        <f t="shared" si="27"/>
        <v>0</v>
      </c>
      <c r="L60" s="274">
        <f t="shared" si="27"/>
        <v>0</v>
      </c>
      <c r="N60" s="165">
        <f>+I60+J60+K60</f>
        <v>5416.125</v>
      </c>
    </row>
    <row r="61" spans="1:16" ht="13.5" thickBot="1" x14ac:dyDescent="0.25">
      <c r="A61" s="139">
        <v>6</v>
      </c>
      <c r="B61" s="22" t="str">
        <f t="shared" si="25"/>
        <v>Cahilig,Benzen</v>
      </c>
      <c r="C61" s="248" t="str">
        <f t="shared" si="25"/>
        <v>Cook</v>
      </c>
      <c r="D61" s="73"/>
      <c r="E61" s="122"/>
      <c r="F61" s="122"/>
      <c r="G61" s="236">
        <v>325</v>
      </c>
      <c r="H61" s="157">
        <v>0</v>
      </c>
      <c r="I61" s="158">
        <f>+D27-F27-H27-D61-J27-K27-L27-M27-N27-O27-E61-H61-F61-G61-I27</f>
        <v>4412.0324999999993</v>
      </c>
      <c r="N61" s="165">
        <f>+I61+J61+K61</f>
        <v>4412.0324999999993</v>
      </c>
    </row>
    <row r="62" spans="1:16" x14ac:dyDescent="0.2">
      <c r="A62" s="139">
        <v>7</v>
      </c>
      <c r="B62" s="22" t="str">
        <f t="shared" si="25"/>
        <v>Pantoja,Nancy</v>
      </c>
      <c r="C62" s="248" t="str">
        <f t="shared" si="25"/>
        <v>Cashier</v>
      </c>
      <c r="D62" s="73"/>
      <c r="E62" s="122"/>
      <c r="F62" s="122"/>
      <c r="G62" s="236">
        <v>325</v>
      </c>
      <c r="H62" s="157">
        <v>0</v>
      </c>
      <c r="I62" s="158">
        <f>+D28-F28-H28-D62-J28-K28-L28-M28-N28-O28-E62-H62-F62-G62-I28</f>
        <v>5206.3762500000003</v>
      </c>
      <c r="N62" s="165">
        <f>+I62+J62+K62</f>
        <v>5206.3762500000003</v>
      </c>
    </row>
    <row r="63" spans="1:16" x14ac:dyDescent="0.2">
      <c r="A63" s="139">
        <v>8</v>
      </c>
      <c r="B63" s="22">
        <f t="shared" si="25"/>
        <v>0</v>
      </c>
      <c r="C63" s="248">
        <f t="shared" si="25"/>
        <v>0</v>
      </c>
      <c r="D63" s="73"/>
      <c r="E63" s="122"/>
      <c r="F63" s="122"/>
      <c r="G63" s="122"/>
      <c r="H63" s="15">
        <v>0</v>
      </c>
      <c r="I63" s="158">
        <f t="shared" ref="I63:I65" si="29">+D29-F29-H29-D63-J29-K29-L29-M29-N29-O29-E63-H63-F63-G63-I29</f>
        <v>0</v>
      </c>
    </row>
    <row r="64" spans="1:16" x14ac:dyDescent="0.2">
      <c r="A64" s="139">
        <v>9</v>
      </c>
      <c r="B64" s="22">
        <f t="shared" si="25"/>
        <v>0</v>
      </c>
      <c r="C64" s="248">
        <f t="shared" si="25"/>
        <v>0</v>
      </c>
      <c r="D64" s="73"/>
      <c r="E64" s="122"/>
      <c r="F64" s="122"/>
      <c r="G64" s="122"/>
      <c r="H64" s="15">
        <v>0</v>
      </c>
      <c r="I64" s="158">
        <f t="shared" si="29"/>
        <v>0</v>
      </c>
    </row>
    <row r="65" spans="1:14" x14ac:dyDescent="0.2">
      <c r="A65" s="139">
        <v>10</v>
      </c>
      <c r="B65" s="22">
        <f t="shared" si="25"/>
        <v>0</v>
      </c>
      <c r="C65" s="248">
        <f t="shared" si="25"/>
        <v>0</v>
      </c>
      <c r="D65" s="22"/>
      <c r="E65" s="122"/>
      <c r="F65" s="122"/>
      <c r="G65" s="122"/>
      <c r="H65" s="15">
        <v>0</v>
      </c>
      <c r="I65" s="158">
        <f t="shared" si="29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267.75</v>
      </c>
      <c r="E67" s="3">
        <f>+SUM(E56:E66)</f>
        <v>0</v>
      </c>
      <c r="F67" s="3">
        <f>+SUM(F56:F66)</f>
        <v>4500</v>
      </c>
      <c r="G67" s="3">
        <f>+SUM(G56:G66)</f>
        <v>2275</v>
      </c>
      <c r="H67" s="3">
        <f>+SUM(H56:H66)</f>
        <v>0</v>
      </c>
      <c r="I67" s="5">
        <f>+SUM(I56:I66)</f>
        <v>35024.68903846154</v>
      </c>
      <c r="N67" s="275">
        <f>SUM(N56:N66)</f>
        <v>39392.68903846154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6" t="str">
        <f>'26-10 payroll'!B7</f>
        <v>Biarcal, Ronald Glenn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6" t="str">
        <f>'26-10 payroll'!B8</f>
        <v>Sanchez, Angelo</v>
      </c>
      <c r="M7" s="436"/>
      <c r="N7" s="436"/>
      <c r="O7" s="9"/>
      <c r="P7" s="194"/>
    </row>
    <row r="8" spans="1:22" x14ac:dyDescent="0.2">
      <c r="B8" s="192" t="s">
        <v>28</v>
      </c>
      <c r="C8" s="193" t="s">
        <v>27</v>
      </c>
      <c r="D8" s="437">
        <f>'26-10 payroll'!E7</f>
        <v>527</v>
      </c>
      <c r="E8" s="437"/>
      <c r="F8" s="437"/>
      <c r="G8" s="55"/>
      <c r="H8" s="196"/>
      <c r="I8" s="195"/>
      <c r="J8" s="192" t="s">
        <v>28</v>
      </c>
      <c r="K8" s="193" t="s">
        <v>27</v>
      </c>
      <c r="L8" s="437">
        <f>'26-10 payroll'!E8</f>
        <v>527</v>
      </c>
      <c r="M8" s="437"/>
      <c r="N8" s="437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8" t="str">
        <f>'26-10 payroll'!D3</f>
        <v>Feb 26-Mar 10,2020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tr">
        <f>'26-10 payroll'!D3</f>
        <v>Feb 26-Mar 10,2020</v>
      </c>
      <c r="M9" s="438"/>
      <c r="N9" s="43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1053.7625</v>
      </c>
      <c r="G17" s="55"/>
      <c r="H17" s="56">
        <f>SUM(F13:F17)</f>
        <v>1173.7625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1013.175</v>
      </c>
      <c r="O17" s="9"/>
      <c r="P17" s="10">
        <f>SUM(N13:N17)</f>
        <v>1133.175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325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325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131.75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-1944.71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-2210.91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6080.0524999999998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5773.2650000000003</v>
      </c>
      <c r="R28" s="215"/>
      <c r="T28" s="216">
        <f>+H28-'26-10 payroll'!S35</f>
        <v>-325</v>
      </c>
      <c r="U28" s="217"/>
      <c r="V28" s="218">
        <f>+P28-'26-10 payroll'!S36</f>
        <v>-325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6" t="str">
        <f>'26-10 payroll'!B24</f>
        <v>Dino, Joyce</v>
      </c>
      <c r="E40" s="436"/>
      <c r="F40" s="436"/>
      <c r="G40" s="55"/>
      <c r="H40" s="194"/>
      <c r="I40" s="195"/>
      <c r="J40" s="192" t="s">
        <v>26</v>
      </c>
      <c r="K40" s="193" t="s">
        <v>27</v>
      </c>
      <c r="L40" s="435" t="str">
        <f>'26-10 payroll'!B10</f>
        <v xml:space="preserve">Sosa, Anna Marie </v>
      </c>
      <c r="M40" s="436"/>
      <c r="N40" s="436"/>
      <c r="O40" s="9"/>
      <c r="P40" s="194"/>
    </row>
    <row r="41" spans="2:17" x14ac:dyDescent="0.2">
      <c r="B41" s="192" t="s">
        <v>28</v>
      </c>
      <c r="C41" s="193" t="s">
        <v>27</v>
      </c>
      <c r="D41" s="437">
        <f>'26-10 payroll'!E9</f>
        <v>790.23076923076928</v>
      </c>
      <c r="E41" s="437"/>
      <c r="F41" s="437"/>
      <c r="G41" s="55"/>
      <c r="H41" s="196"/>
      <c r="I41" s="195"/>
      <c r="J41" s="192" t="s">
        <v>28</v>
      </c>
      <c r="K41" s="193" t="s">
        <v>27</v>
      </c>
      <c r="L41" s="437">
        <f>'26-10 payroll'!E10</f>
        <v>527</v>
      </c>
      <c r="M41" s="437"/>
      <c r="N41" s="437"/>
      <c r="O41" s="9"/>
      <c r="P41" s="196"/>
    </row>
    <row r="42" spans="2:17" x14ac:dyDescent="0.2">
      <c r="B42" s="192" t="s">
        <v>29</v>
      </c>
      <c r="C42" s="193" t="s">
        <v>27</v>
      </c>
      <c r="D42" s="438" t="str">
        <f>'26-10 payroll'!D3</f>
        <v>Feb 26-Mar 10,2020</v>
      </c>
      <c r="E42" s="438"/>
      <c r="F42" s="438"/>
      <c r="G42" s="55"/>
      <c r="H42" s="194"/>
      <c r="I42" s="195"/>
      <c r="J42" s="192" t="s">
        <v>29</v>
      </c>
      <c r="K42" s="193" t="s">
        <v>27</v>
      </c>
      <c r="L42" s="438" t="str">
        <f>'26-10 payroll'!D3</f>
        <v>Feb 26-Mar 10,2020</v>
      </c>
      <c r="M42" s="438"/>
      <c r="N42" s="43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740.84134615384619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247.03125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1393.8399038461539</v>
      </c>
      <c r="G50" s="55"/>
      <c r="H50" s="56">
        <f>SUM(F46:F50)</f>
        <v>2254.6812500000001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1053.7625</v>
      </c>
      <c r="O50" s="9"/>
      <c r="P50" s="10">
        <f>SUM(N46:N50)</f>
        <v>1420.79375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4825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325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267.75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165.94846153846154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5.92875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1161.8499999999999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-6252.7984615384612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-2014.17875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6274.8827884615384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6257.6150000000007</v>
      </c>
      <c r="Q61" s="174"/>
      <c r="T61" s="216">
        <f>+H61-'26-10 payroll'!S37</f>
        <v>-4797.34</v>
      </c>
      <c r="V61" s="237">
        <f>+P61-'26-10 payroll'!S38</f>
        <v>-592.74999999999909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5" t="str">
        <f>'26-10 payroll'!B11</f>
        <v>Briones, Christian Joy</v>
      </c>
      <c r="E73" s="436"/>
      <c r="F73" s="436"/>
      <c r="G73" s="55"/>
      <c r="H73" s="194"/>
      <c r="I73" s="195"/>
      <c r="J73" s="192" t="s">
        <v>26</v>
      </c>
      <c r="K73" s="193" t="s">
        <v>27</v>
      </c>
      <c r="L73" s="435" t="str">
        <f>'26-10 payroll'!B12</f>
        <v>Cahilig,Benzen</v>
      </c>
      <c r="M73" s="436"/>
      <c r="N73" s="436"/>
      <c r="O73" s="9"/>
      <c r="P73" s="194"/>
    </row>
    <row r="74" spans="2:17" x14ac:dyDescent="0.2">
      <c r="B74" s="192" t="s">
        <v>28</v>
      </c>
      <c r="C74" s="193" t="s">
        <v>27</v>
      </c>
      <c r="D74" s="437">
        <f>'26-10 payroll'!E11</f>
        <v>527</v>
      </c>
      <c r="E74" s="437"/>
      <c r="F74" s="437"/>
      <c r="G74" s="55"/>
      <c r="H74" s="196"/>
      <c r="I74" s="195"/>
      <c r="J74" s="192" t="s">
        <v>28</v>
      </c>
      <c r="K74" s="193" t="s">
        <v>27</v>
      </c>
      <c r="L74" s="437">
        <f>'26-10 payroll'!E12</f>
        <v>527</v>
      </c>
      <c r="M74" s="437"/>
      <c r="N74" s="437"/>
      <c r="O74" s="9"/>
      <c r="P74" s="196"/>
    </row>
    <row r="75" spans="2:17" x14ac:dyDescent="0.2">
      <c r="B75" s="192" t="s">
        <v>29</v>
      </c>
      <c r="C75" s="193" t="s">
        <v>27</v>
      </c>
      <c r="D75" s="438" t="str">
        <f>'26-10 payroll'!D3</f>
        <v>Feb 26-Mar 10,2020</v>
      </c>
      <c r="E75" s="438"/>
      <c r="F75" s="438"/>
      <c r="G75" s="55"/>
      <c r="H75" s="194"/>
      <c r="I75" s="195"/>
      <c r="J75" s="192" t="s">
        <v>29</v>
      </c>
      <c r="K75" s="193" t="s">
        <v>27</v>
      </c>
      <c r="L75" s="438" t="str">
        <f>'26-10 payroll'!D3</f>
        <v>Feb 26-Mar 10,2020</v>
      </c>
      <c r="M75" s="438"/>
      <c r="N75" s="43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5533.5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10.5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247.03125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105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32.9375</v>
      </c>
      <c r="G83" s="55"/>
      <c r="H83" s="56">
        <f>SUM(F79:F83)</f>
        <v>142.9375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32.9375</v>
      </c>
      <c r="O83" s="9"/>
      <c r="P83" s="10">
        <f>SUM(N79:N83)</f>
        <v>384.96875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325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325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98.8125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81.026250000000005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-523.8125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-1506.43625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5416.125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4412.0325000000003</v>
      </c>
      <c r="Q94" s="174"/>
      <c r="T94" s="216">
        <f>+H94-'26-10 payroll'!S39</f>
        <v>-325</v>
      </c>
      <c r="V94" s="237">
        <f>+P94-'26-10 payroll'!S40</f>
        <v>-324.99999999999909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5" t="str">
        <f>'26-10 payroll'!B13</f>
        <v>Pantoja,Nancy</v>
      </c>
      <c r="E106" s="436"/>
      <c r="F106" s="436"/>
      <c r="G106" s="55"/>
      <c r="H106" s="194"/>
      <c r="I106" s="195"/>
      <c r="J106" s="192" t="s">
        <v>26</v>
      </c>
      <c r="K106" s="193" t="s">
        <v>27</v>
      </c>
      <c r="L106" s="435">
        <f>'26-10 payroll'!B29</f>
        <v>0</v>
      </c>
      <c r="M106" s="436"/>
      <c r="N106" s="436"/>
      <c r="O106" s="9"/>
      <c r="P106" s="194"/>
    </row>
    <row r="107" spans="2:17" x14ac:dyDescent="0.2">
      <c r="B107" s="192" t="s">
        <v>28</v>
      </c>
      <c r="C107" s="193" t="s">
        <v>27</v>
      </c>
      <c r="D107" s="437">
        <f>'26-10 payroll'!E13</f>
        <v>527</v>
      </c>
      <c r="E107" s="437"/>
      <c r="F107" s="437"/>
      <c r="G107" s="55"/>
      <c r="H107" s="196"/>
      <c r="I107" s="195"/>
      <c r="J107" s="192" t="s">
        <v>28</v>
      </c>
      <c r="K107" s="193" t="s">
        <v>27</v>
      </c>
      <c r="L107" s="437">
        <f>'26-10 payroll'!E14</f>
        <v>0</v>
      </c>
      <c r="M107" s="437"/>
      <c r="N107" s="437"/>
      <c r="O107" s="9"/>
      <c r="P107" s="196"/>
    </row>
    <row r="108" spans="2:17" x14ac:dyDescent="0.2">
      <c r="B108" s="192" t="s">
        <v>29</v>
      </c>
      <c r="C108" s="193" t="s">
        <v>27</v>
      </c>
      <c r="D108" s="438" t="str">
        <f>'26-10 payroll'!D3</f>
        <v>Feb 26-Mar 10,2020</v>
      </c>
      <c r="E108" s="438"/>
      <c r="F108" s="438"/>
      <c r="G108" s="55"/>
      <c r="H108" s="194"/>
      <c r="I108" s="195"/>
      <c r="J108" s="192" t="s">
        <v>29</v>
      </c>
      <c r="K108" s="193" t="s">
        <v>27</v>
      </c>
      <c r="L108" s="438" t="str">
        <f>'26-10 payroll'!D3</f>
        <v>Feb 26-Mar 10,2020</v>
      </c>
      <c r="M108" s="438"/>
      <c r="N108" s="43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82.34375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52.7</v>
      </c>
      <c r="G116" s="55"/>
      <c r="H116" s="56">
        <f>SUM(F112:F116)</f>
        <v>245.04374999999999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325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27.6675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-835.66750000000002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5206.3762499999993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-325.00000000000091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5">
        <f>'26-10 payroll'!B15</f>
        <v>0</v>
      </c>
      <c r="E139" s="436"/>
      <c r="F139" s="436"/>
      <c r="G139" s="55"/>
      <c r="H139" s="194"/>
      <c r="I139" s="195"/>
      <c r="J139" s="192" t="s">
        <v>26</v>
      </c>
      <c r="K139" s="193" t="s">
        <v>27</v>
      </c>
      <c r="L139" s="436">
        <f>'26-10 payroll'!C112</f>
        <v>0</v>
      </c>
      <c r="M139" s="436"/>
      <c r="N139" s="436"/>
      <c r="O139" s="9"/>
      <c r="P139" s="194"/>
    </row>
    <row r="140" spans="2:17" x14ac:dyDescent="0.2">
      <c r="B140" s="192" t="s">
        <v>28</v>
      </c>
      <c r="C140" s="193" t="s">
        <v>27</v>
      </c>
      <c r="D140" s="437">
        <f>'26-10 payroll'!E15</f>
        <v>0</v>
      </c>
      <c r="E140" s="437"/>
      <c r="F140" s="437"/>
      <c r="G140" s="55"/>
      <c r="H140" s="196"/>
      <c r="I140" s="195"/>
      <c r="J140" s="192" t="s">
        <v>28</v>
      </c>
      <c r="K140" s="193" t="s">
        <v>27</v>
      </c>
      <c r="L140" s="437">
        <f>'26-10 payroll'!E112</f>
        <v>0</v>
      </c>
      <c r="M140" s="437"/>
      <c r="N140" s="437"/>
      <c r="O140" s="9"/>
      <c r="P140" s="196"/>
    </row>
    <row r="141" spans="2:17" x14ac:dyDescent="0.2">
      <c r="B141" s="192" t="s">
        <v>29</v>
      </c>
      <c r="C141" s="193" t="s">
        <v>27</v>
      </c>
      <c r="D141" s="438" t="str">
        <f>'26-10 payroll'!D3</f>
        <v>Feb 26-Mar 10,2020</v>
      </c>
      <c r="E141" s="438"/>
      <c r="F141" s="438"/>
      <c r="G141" s="55"/>
      <c r="H141" s="194"/>
      <c r="I141" s="195"/>
      <c r="J141" s="192" t="s">
        <v>29</v>
      </c>
      <c r="K141" s="193" t="s">
        <v>27</v>
      </c>
      <c r="L141" s="438">
        <f>'26-10 payroll'!D105</f>
        <v>0</v>
      </c>
      <c r="M141" s="438"/>
      <c r="N141" s="43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2"/>
      <c r="B5" s="434" t="s">
        <v>0</v>
      </c>
      <c r="C5" s="405" t="s">
        <v>1</v>
      </c>
      <c r="D5" s="384" t="s">
        <v>13</v>
      </c>
      <c r="E5" s="405" t="s">
        <v>14</v>
      </c>
      <c r="F5" s="384" t="s">
        <v>15</v>
      </c>
      <c r="G5" s="405" t="s">
        <v>16</v>
      </c>
      <c r="H5" s="384" t="s">
        <v>44</v>
      </c>
      <c r="I5" s="401" t="s">
        <v>118</v>
      </c>
      <c r="J5" s="409" t="s">
        <v>91</v>
      </c>
      <c r="K5" s="410"/>
      <c r="L5" s="411"/>
      <c r="M5" s="421" t="s">
        <v>108</v>
      </c>
      <c r="N5" s="422"/>
      <c r="O5" s="422"/>
      <c r="P5" s="405" t="s">
        <v>2</v>
      </c>
      <c r="Q5" s="384" t="s">
        <v>17</v>
      </c>
      <c r="R5" s="405" t="s">
        <v>2</v>
      </c>
      <c r="S5" s="384" t="s">
        <v>18</v>
      </c>
      <c r="T5" s="405" t="s">
        <v>2</v>
      </c>
      <c r="U5" s="384" t="s">
        <v>19</v>
      </c>
      <c r="V5" s="405" t="s">
        <v>2</v>
      </c>
      <c r="W5" s="384" t="s">
        <v>20</v>
      </c>
      <c r="X5" s="386" t="s">
        <v>3</v>
      </c>
    </row>
    <row r="6" spans="1:26" s="138" customFormat="1" ht="27" customHeight="1" thickBot="1" x14ac:dyDescent="0.25">
      <c r="A6" s="433"/>
      <c r="B6" s="406"/>
      <c r="C6" s="406"/>
      <c r="D6" s="420"/>
      <c r="E6" s="425"/>
      <c r="F6" s="420"/>
      <c r="G6" s="425"/>
      <c r="H6" s="385"/>
      <c r="I6" s="40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6"/>
      <c r="Q6" s="420"/>
      <c r="R6" s="406"/>
      <c r="S6" s="420"/>
      <c r="T6" s="406"/>
      <c r="U6" s="420"/>
      <c r="V6" s="406"/>
      <c r="W6" s="385"/>
      <c r="X6" s="387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8"/>
      <c r="B20" s="390" t="s">
        <v>0</v>
      </c>
      <c r="C20" s="392" t="s">
        <v>1</v>
      </c>
      <c r="D20" s="394" t="s">
        <v>3</v>
      </c>
      <c r="E20" s="396" t="s">
        <v>22</v>
      </c>
      <c r="F20" s="403" t="s">
        <v>2</v>
      </c>
      <c r="G20" s="392" t="s">
        <v>21</v>
      </c>
      <c r="H20" s="394" t="s">
        <v>2</v>
      </c>
      <c r="I20" s="399" t="s">
        <v>126</v>
      </c>
      <c r="J20" s="416" t="s">
        <v>4</v>
      </c>
      <c r="K20" s="418" t="s">
        <v>23</v>
      </c>
      <c r="L20" s="394" t="s">
        <v>5</v>
      </c>
      <c r="M20" s="394" t="s">
        <v>6</v>
      </c>
      <c r="N20" s="394" t="s">
        <v>24</v>
      </c>
      <c r="O20" s="394" t="s">
        <v>7</v>
      </c>
      <c r="P20" s="414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89"/>
      <c r="B21" s="391"/>
      <c r="C21" s="393"/>
      <c r="D21" s="395"/>
      <c r="E21" s="397"/>
      <c r="F21" s="404"/>
      <c r="G21" s="448"/>
      <c r="H21" s="398"/>
      <c r="I21" s="400"/>
      <c r="J21" s="417"/>
      <c r="K21" s="419"/>
      <c r="L21" s="398"/>
      <c r="M21" s="398"/>
      <c r="N21" s="395"/>
      <c r="O21" s="398"/>
      <c r="P21" s="415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8"/>
      <c r="B54" s="390" t="s">
        <v>0</v>
      </c>
      <c r="C54" s="392" t="s">
        <v>1</v>
      </c>
      <c r="D54" s="394" t="s">
        <v>3</v>
      </c>
      <c r="E54" s="394" t="s">
        <v>45</v>
      </c>
      <c r="F54" s="429" t="s">
        <v>151</v>
      </c>
      <c r="G54" s="426" t="s">
        <v>112</v>
      </c>
      <c r="H54" s="427"/>
      <c r="I54" s="412"/>
      <c r="J54" s="414" t="s">
        <v>3</v>
      </c>
      <c r="K54" s="428" t="s">
        <v>114</v>
      </c>
      <c r="L54" s="424" t="s">
        <v>115</v>
      </c>
      <c r="M54" s="424" t="s">
        <v>116</v>
      </c>
      <c r="O54" s="423" t="s">
        <v>102</v>
      </c>
    </row>
    <row r="55" spans="1:15" ht="13.5" thickBot="1" x14ac:dyDescent="0.25">
      <c r="A55" s="389"/>
      <c r="B55" s="391"/>
      <c r="C55" s="393"/>
      <c r="D55" s="395"/>
      <c r="E55" s="431"/>
      <c r="F55" s="430"/>
      <c r="G55" s="245" t="s">
        <v>113</v>
      </c>
      <c r="H55" s="246" t="s">
        <v>148</v>
      </c>
      <c r="I55" s="413"/>
      <c r="J55" s="415"/>
      <c r="K55" s="428"/>
      <c r="L55" s="424"/>
      <c r="M55" s="424"/>
      <c r="O55" s="423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6" t="str">
        <f>'11-25 payroll'!B7</f>
        <v>Biarcal, Ronald Glenn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6" t="str">
        <f>'11-25 payroll'!B8</f>
        <v>Sanchez, Angelo</v>
      </c>
      <c r="M7" s="436"/>
      <c r="N7" s="436"/>
      <c r="O7" s="9"/>
      <c r="P7" s="194"/>
    </row>
    <row r="8" spans="1:22" x14ac:dyDescent="0.2">
      <c r="B8" s="192" t="s">
        <v>28</v>
      </c>
      <c r="C8" s="193" t="s">
        <v>27</v>
      </c>
      <c r="D8" s="437">
        <f>'11-25 payroll'!E7</f>
        <v>502</v>
      </c>
      <c r="E8" s="437"/>
      <c r="F8" s="437"/>
      <c r="G8" s="55"/>
      <c r="H8" s="235"/>
      <c r="I8" s="195"/>
      <c r="J8" s="192" t="s">
        <v>28</v>
      </c>
      <c r="K8" s="193" t="s">
        <v>27</v>
      </c>
      <c r="L8" s="437">
        <f>'11-25 payroll'!E8</f>
        <v>502</v>
      </c>
      <c r="M8" s="437"/>
      <c r="N8" s="437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8" t="str">
        <f>'11-25 payroll'!D3</f>
        <v>August 11-25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tr">
        <f>'11-25 payroll'!D3</f>
        <v>August 11-25</v>
      </c>
      <c r="M9" s="438"/>
      <c r="N9" s="43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6" t="str">
        <f>'11-25 payroll'!B24</f>
        <v>Dino, Joyce</v>
      </c>
      <c r="E40" s="436"/>
      <c r="F40" s="436"/>
      <c r="G40" s="55"/>
      <c r="H40" s="194"/>
      <c r="I40" s="195"/>
      <c r="J40" s="192" t="s">
        <v>26</v>
      </c>
      <c r="K40" s="193" t="s">
        <v>27</v>
      </c>
      <c r="L40" s="435" t="str">
        <f>'11-25 payroll'!B10</f>
        <v xml:space="preserve">Sosa, Anna Marie </v>
      </c>
      <c r="M40" s="436"/>
      <c r="N40" s="436"/>
      <c r="O40" s="9"/>
      <c r="P40" s="194"/>
    </row>
    <row r="41" spans="2:17" x14ac:dyDescent="0.2">
      <c r="B41" s="192" t="s">
        <v>28</v>
      </c>
      <c r="C41" s="193" t="s">
        <v>27</v>
      </c>
      <c r="D41" s="437">
        <f>'11-25 payroll'!E9</f>
        <v>790.23076923076928</v>
      </c>
      <c r="E41" s="437"/>
      <c r="F41" s="437"/>
      <c r="G41" s="55"/>
      <c r="H41" s="235"/>
      <c r="I41" s="195"/>
      <c r="J41" s="192" t="s">
        <v>28</v>
      </c>
      <c r="K41" s="193" t="s">
        <v>27</v>
      </c>
      <c r="L41" s="437">
        <f>'11-25 payroll'!E10</f>
        <v>502</v>
      </c>
      <c r="M41" s="437"/>
      <c r="N41" s="437"/>
      <c r="O41" s="9"/>
      <c r="P41" s="235"/>
    </row>
    <row r="42" spans="2:17" x14ac:dyDescent="0.2">
      <c r="B42" s="192" t="s">
        <v>29</v>
      </c>
      <c r="C42" s="193" t="s">
        <v>27</v>
      </c>
      <c r="D42" s="438" t="str">
        <f>'11-25 payroll'!D3</f>
        <v>August 11-25</v>
      </c>
      <c r="E42" s="438"/>
      <c r="F42" s="438"/>
      <c r="G42" s="55"/>
      <c r="H42" s="194"/>
      <c r="I42" s="195"/>
      <c r="J42" s="192" t="s">
        <v>29</v>
      </c>
      <c r="K42" s="193" t="s">
        <v>27</v>
      </c>
      <c r="L42" s="438" t="str">
        <f>'11-25 payroll'!D3</f>
        <v>August 11-25</v>
      </c>
      <c r="M42" s="438"/>
      <c r="N42" s="43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5" t="str">
        <f>'11-25 payroll'!B11</f>
        <v>Briones, Christain Joy</v>
      </c>
      <c r="E73" s="436"/>
      <c r="F73" s="436"/>
      <c r="G73" s="55"/>
      <c r="H73" s="194"/>
      <c r="I73" s="195"/>
      <c r="J73" s="192" t="s">
        <v>26</v>
      </c>
      <c r="K73" s="193" t="s">
        <v>27</v>
      </c>
      <c r="L73" s="435">
        <f>'11-25 payroll'!B12</f>
        <v>0</v>
      </c>
      <c r="M73" s="436"/>
      <c r="N73" s="436"/>
      <c r="O73" s="9"/>
      <c r="P73" s="194"/>
    </row>
    <row r="74" spans="2:17" x14ac:dyDescent="0.2">
      <c r="B74" s="192" t="s">
        <v>28</v>
      </c>
      <c r="C74" s="193" t="s">
        <v>27</v>
      </c>
      <c r="D74" s="437">
        <f>'11-25 payroll'!E11</f>
        <v>502</v>
      </c>
      <c r="E74" s="437"/>
      <c r="F74" s="437"/>
      <c r="G74" s="55"/>
      <c r="H74" s="235"/>
      <c r="I74" s="195"/>
      <c r="J74" s="192" t="s">
        <v>28</v>
      </c>
      <c r="K74" s="193" t="s">
        <v>27</v>
      </c>
      <c r="L74" s="437">
        <f>'11-25 payroll'!E12</f>
        <v>0</v>
      </c>
      <c r="M74" s="437"/>
      <c r="N74" s="437"/>
      <c r="O74" s="9"/>
      <c r="P74" s="235"/>
    </row>
    <row r="75" spans="2:17" x14ac:dyDescent="0.2">
      <c r="B75" s="192" t="s">
        <v>29</v>
      </c>
      <c r="C75" s="193" t="s">
        <v>27</v>
      </c>
      <c r="D75" s="438" t="str">
        <f>'11-25 payroll'!D3</f>
        <v>August 11-25</v>
      </c>
      <c r="E75" s="438"/>
      <c r="F75" s="438"/>
      <c r="G75" s="55"/>
      <c r="H75" s="194"/>
      <c r="I75" s="195"/>
      <c r="J75" s="192" t="s">
        <v>29</v>
      </c>
      <c r="K75" s="193" t="s">
        <v>27</v>
      </c>
      <c r="L75" s="438" t="str">
        <f>'11-25 payroll'!D3</f>
        <v>August 11-25</v>
      </c>
      <c r="M75" s="438"/>
      <c r="N75" s="43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5">
        <f>'11-25 payroll'!B13</f>
        <v>0</v>
      </c>
      <c r="E106" s="436"/>
      <c r="F106" s="436"/>
      <c r="G106" s="55"/>
      <c r="H106" s="194"/>
      <c r="I106" s="195"/>
      <c r="J106" s="192" t="s">
        <v>26</v>
      </c>
      <c r="K106" s="193" t="s">
        <v>27</v>
      </c>
      <c r="L106" s="435">
        <f>'11-25 payroll'!B29</f>
        <v>0</v>
      </c>
      <c r="M106" s="436"/>
      <c r="N106" s="436"/>
      <c r="O106" s="9"/>
      <c r="P106" s="194"/>
    </row>
    <row r="107" spans="2:17" x14ac:dyDescent="0.2">
      <c r="B107" s="192" t="s">
        <v>28</v>
      </c>
      <c r="C107" s="193" t="s">
        <v>27</v>
      </c>
      <c r="D107" s="437">
        <f>'11-25 payroll'!E13</f>
        <v>0</v>
      </c>
      <c r="E107" s="437"/>
      <c r="F107" s="437"/>
      <c r="G107" s="55"/>
      <c r="H107" s="235"/>
      <c r="I107" s="195"/>
      <c r="J107" s="192" t="s">
        <v>28</v>
      </c>
      <c r="K107" s="193" t="s">
        <v>27</v>
      </c>
      <c r="L107" s="437">
        <f>'11-25 payroll'!E14</f>
        <v>0</v>
      </c>
      <c r="M107" s="437"/>
      <c r="N107" s="437"/>
      <c r="O107" s="9"/>
      <c r="P107" s="235"/>
    </row>
    <row r="108" spans="2:17" x14ac:dyDescent="0.2">
      <c r="B108" s="192" t="s">
        <v>29</v>
      </c>
      <c r="C108" s="193" t="s">
        <v>27</v>
      </c>
      <c r="D108" s="438" t="str">
        <f>'11-25 payroll'!D3</f>
        <v>August 11-25</v>
      </c>
      <c r="E108" s="438"/>
      <c r="F108" s="438"/>
      <c r="G108" s="55"/>
      <c r="H108" s="194"/>
      <c r="I108" s="195"/>
      <c r="J108" s="192" t="s">
        <v>29</v>
      </c>
      <c r="K108" s="193" t="s">
        <v>27</v>
      </c>
      <c r="L108" s="438" t="str">
        <f>'11-25 payroll'!D3</f>
        <v>August 11-25</v>
      </c>
      <c r="M108" s="438"/>
      <c r="N108" s="43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5">
        <f>'11-25 payroll'!B15</f>
        <v>0</v>
      </c>
      <c r="E139" s="436"/>
      <c r="F139" s="436"/>
      <c r="G139" s="55"/>
      <c r="H139" s="194"/>
      <c r="I139" s="195"/>
      <c r="J139" s="192" t="s">
        <v>26</v>
      </c>
      <c r="K139" s="193" t="s">
        <v>27</v>
      </c>
      <c r="L139" s="436">
        <f>'11-25 payroll'!C112</f>
        <v>0</v>
      </c>
      <c r="M139" s="436"/>
      <c r="N139" s="436"/>
      <c r="O139" s="9"/>
      <c r="P139" s="194"/>
    </row>
    <row r="140" spans="2:17" x14ac:dyDescent="0.2">
      <c r="B140" s="192" t="s">
        <v>28</v>
      </c>
      <c r="C140" s="193" t="s">
        <v>27</v>
      </c>
      <c r="D140" s="437">
        <f>'11-25 payroll'!E15</f>
        <v>0</v>
      </c>
      <c r="E140" s="437"/>
      <c r="F140" s="437"/>
      <c r="G140" s="55"/>
      <c r="H140" s="235"/>
      <c r="I140" s="195"/>
      <c r="J140" s="192" t="s">
        <v>28</v>
      </c>
      <c r="K140" s="193" t="s">
        <v>27</v>
      </c>
      <c r="L140" s="437">
        <f>'11-25 payroll'!E112</f>
        <v>0</v>
      </c>
      <c r="M140" s="437"/>
      <c r="N140" s="437"/>
      <c r="O140" s="9"/>
      <c r="P140" s="235"/>
    </row>
    <row r="141" spans="2:17" x14ac:dyDescent="0.2">
      <c r="B141" s="192" t="s">
        <v>29</v>
      </c>
      <c r="C141" s="193" t="s">
        <v>27</v>
      </c>
      <c r="D141" s="438" t="str">
        <f>'11-25 payroll'!D3</f>
        <v>August 11-25</v>
      </c>
      <c r="E141" s="438"/>
      <c r="F141" s="438"/>
      <c r="G141" s="55"/>
      <c r="H141" s="194"/>
      <c r="I141" s="195"/>
      <c r="J141" s="192" t="s">
        <v>29</v>
      </c>
      <c r="K141" s="193" t="s">
        <v>27</v>
      </c>
      <c r="L141" s="438">
        <f>'11-25 payroll'!D105</f>
        <v>0</v>
      </c>
      <c r="M141" s="438"/>
      <c r="N141" s="43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Feb 26-Mar 10,2020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3" t="s">
        <v>65</v>
      </c>
      <c r="H15" s="453"/>
      <c r="J15" s="454" t="s">
        <v>66</v>
      </c>
      <c r="K15" s="454"/>
      <c r="L15" s="454"/>
      <c r="M15" s="454" t="s">
        <v>67</v>
      </c>
      <c r="N15" s="454"/>
      <c r="O15" s="453" t="s">
        <v>68</v>
      </c>
      <c r="P15" s="453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1" t="s">
        <v>70</v>
      </c>
      <c r="H16" s="451"/>
      <c r="I16" s="70" t="s">
        <v>71</v>
      </c>
      <c r="J16" s="455" t="s">
        <v>72</v>
      </c>
      <c r="K16" s="455"/>
      <c r="L16" s="455"/>
      <c r="M16" s="455" t="s">
        <v>73</v>
      </c>
      <c r="N16" s="455"/>
      <c r="O16" s="451" t="s">
        <v>74</v>
      </c>
      <c r="P16" s="451"/>
      <c r="Q16" s="251" t="s">
        <v>75</v>
      </c>
      <c r="R16" s="450" t="s">
        <v>117</v>
      </c>
      <c r="S16" s="451"/>
      <c r="T16" s="451"/>
      <c r="U16" s="452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6859.0124999999998</v>
      </c>
      <c r="H18" s="80">
        <f>'11-25 payroll'!R22</f>
        <v>6526</v>
      </c>
      <c r="I18" s="81">
        <f>G18+H18</f>
        <v>13385.012500000001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1712.5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6984.1750000000002</v>
      </c>
      <c r="H19" s="80">
        <f>'11-25 payroll'!R23</f>
        <v>6526</v>
      </c>
      <c r="I19" s="81">
        <f t="shared" ref="I19:I27" si="0">G19+H19</f>
        <v>13510.174999999999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325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11061.732788461539</v>
      </c>
      <c r="H20" s="80">
        <f>'11-25 payroll'!R24</f>
        <v>10273</v>
      </c>
      <c r="I20" s="81">
        <f t="shared" si="0"/>
        <v>21334.732788461537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1926.39</v>
      </c>
      <c r="T20" s="234">
        <f>+'26-10 payroll'!F58+'11-25 payroll'!G58</f>
        <v>4500</v>
      </c>
      <c r="U20" s="256">
        <f>'26-10 payroll'!N24+'11-25 payroll'!N24</f>
        <v>1161.8499999999999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7231.8649999999998</v>
      </c>
      <c r="H21" s="80">
        <f>'11-25 payroll'!R25</f>
        <v>6526</v>
      </c>
      <c r="I21" s="81">
        <f t="shared" si="0"/>
        <v>13757.865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623</v>
      </c>
      <c r="S21" s="234">
        <f>'26-10 payroll'!G59+'11-25 payroll'!H59</f>
        <v>1862.335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5841.125</v>
      </c>
      <c r="H22" s="80">
        <f>'11-25 payroll'!R26</f>
        <v>6526</v>
      </c>
      <c r="I22" s="81">
        <f t="shared" si="0"/>
        <v>12367.125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325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5837.4425000000001</v>
      </c>
      <c r="H23" s="80">
        <f>'11-25 payroll'!R27</f>
        <v>0</v>
      </c>
      <c r="I23" s="93">
        <f t="shared" si="0"/>
        <v>5837.4425000000001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325</v>
      </c>
      <c r="T23" s="234">
        <f>+'26-10 payroll'!F61+'11-25 payroll'!G61</f>
        <v>0</v>
      </c>
      <c r="U23" s="256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6014.3762500000003</v>
      </c>
      <c r="H24" s="80">
        <f>'11-25 payroll'!R28</f>
        <v>0</v>
      </c>
      <c r="I24" s="81">
        <f t="shared" si="0"/>
        <v>6014.3762500000003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325</v>
      </c>
      <c r="T24" s="234">
        <f>+'26-10 payroll'!F62+'11-25 payroll'!G62</f>
        <v>0</v>
      </c>
      <c r="U24" s="256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49829.729038461533</v>
      </c>
      <c r="H29" s="103">
        <f t="shared" ref="H29:O29" si="3">SUM(H18:H27)</f>
        <v>36377</v>
      </c>
      <c r="I29" s="103">
        <f t="shared" si="3"/>
        <v>86206.729038461548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6144.920000000001</v>
      </c>
      <c r="S29" s="103">
        <f t="shared" si="4"/>
        <v>6801.2250000000004</v>
      </c>
      <c r="T29" s="103">
        <f t="shared" si="4"/>
        <v>4500</v>
      </c>
      <c r="U29" s="260">
        <f t="shared" si="4"/>
        <v>5063.1500000000005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50</v>
      </c>
      <c r="H34" s="263">
        <f>+'26-10 payroll'!H9+'11-25 payroll'!H9</f>
        <v>120</v>
      </c>
      <c r="I34" s="263">
        <f>+'26-10 payroll'!P9+'11-25 payroll'!P9</f>
        <v>740.84134615384619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93.839903846153845</v>
      </c>
      <c r="M34" s="109">
        <f>+'26-10 payroll'!W9+'11-25 payroll'!W9</f>
        <v>0</v>
      </c>
      <c r="N34" s="109">
        <f>+'26-10 payroll'!F24+'26-10 payroll'!H24+'11-25 payroll'!F24+'11-25 payroll'!H24</f>
        <v>165.94846153846154</v>
      </c>
      <c r="O34" s="109">
        <f>+'26-10 payroll'!I24+'11-25 payroll'!I24</f>
        <v>27.66</v>
      </c>
      <c r="P34" s="109">
        <f>SUM('26-10 payroll'!O37:Q37,'11-25 payroll'!O37:Q37)</f>
        <v>2550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120</v>
      </c>
      <c r="I36" s="264">
        <f t="shared" si="5"/>
        <v>740.84134615384619</v>
      </c>
      <c r="J36" s="264">
        <f t="shared" si="5"/>
        <v>0</v>
      </c>
      <c r="K36" s="264">
        <f t="shared" si="5"/>
        <v>0</v>
      </c>
      <c r="L36" s="264">
        <f t="shared" si="5"/>
        <v>93.839903846153845</v>
      </c>
      <c r="M36" s="264">
        <f t="shared" si="5"/>
        <v>0</v>
      </c>
      <c r="N36" s="264">
        <f t="shared" si="5"/>
        <v>165.94846153846154</v>
      </c>
      <c r="O36" s="264">
        <f t="shared" si="5"/>
        <v>27.66</v>
      </c>
      <c r="P36" s="264">
        <f t="shared" si="5"/>
        <v>2550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131.75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13.175000000000001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247.03125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5.92875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247.03125</v>
      </c>
      <c r="J41" s="268">
        <f t="shared" si="6"/>
        <v>0</v>
      </c>
      <c r="K41" s="268">
        <f t="shared" si="6"/>
        <v>0</v>
      </c>
      <c r="L41" s="268">
        <f t="shared" si="6"/>
        <v>52.7</v>
      </c>
      <c r="M41" s="268">
        <f t="shared" si="6"/>
        <v>0</v>
      </c>
      <c r="N41" s="268">
        <f t="shared" si="6"/>
        <v>137.67875000000001</v>
      </c>
      <c r="O41" s="268">
        <f t="shared" si="6"/>
        <v>0</v>
      </c>
      <c r="P41" s="268">
        <f t="shared" si="6"/>
        <v>5636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987.87259615384619</v>
      </c>
      <c r="J44" s="263">
        <f t="shared" si="7"/>
        <v>0</v>
      </c>
      <c r="K44" s="263">
        <f t="shared" si="7"/>
        <v>0</v>
      </c>
      <c r="L44" s="263">
        <f t="shared" si="7"/>
        <v>146.53990384615383</v>
      </c>
      <c r="M44" s="263">
        <f t="shared" si="7"/>
        <v>0</v>
      </c>
      <c r="N44" s="263">
        <f t="shared" si="7"/>
        <v>303.62721153846155</v>
      </c>
      <c r="O44" s="263">
        <f t="shared" si="7"/>
        <v>27.66</v>
      </c>
      <c r="P44" s="263">
        <f t="shared" si="7"/>
        <v>8186</v>
      </c>
      <c r="Q44" s="263">
        <f>SUM(B44:P44)</f>
        <v>70808.699711538473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49" t="s">
        <v>133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Q46" s="110"/>
      <c r="U46" s="109"/>
    </row>
    <row r="47" spans="1:22" s="105" customFormat="1" x14ac:dyDescent="0.2">
      <c r="A47" s="449"/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71118.425288461542</v>
      </c>
      <c r="M48" s="263">
        <f>+I29+P36+P41-(O36+O41)+G36</f>
        <v>94415.069038461545</v>
      </c>
      <c r="N48" s="109">
        <f>+L48-M48</f>
        <v>-23296.643750000003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37808.221250000002</v>
      </c>
      <c r="M49" s="263">
        <f>+L49</f>
        <v>37808.221250000002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299.73124999999999</v>
      </c>
      <c r="M50" s="263">
        <f>+L50</f>
        <v>299.73124999999999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12654.7</v>
      </c>
      <c r="M51" s="263">
        <f>+L51</f>
        <v>12654.7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20355.772788461541</v>
      </c>
      <c r="M52" s="263">
        <f>+M48-M49-M50-M51</f>
        <v>43652.416538461548</v>
      </c>
      <c r="N52" s="109">
        <f>+L52-M52</f>
        <v>-23296.643750000007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6" t="s">
        <v>283</v>
      </c>
      <c r="E18" s="457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6"/>
      <c r="E19" s="457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65"/>
  <sheetViews>
    <sheetView workbookViewId="0">
      <selection sqref="A1:Q33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6" t="str">
        <f>'[2]11-25 payroll'!B7</f>
        <v>Biarcal, Ronald Glenn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6" t="str">
        <f>'[2]11-25 payroll'!B8</f>
        <v>Sanchez, Angelo</v>
      </c>
      <c r="M7" s="436"/>
      <c r="N7" s="436"/>
      <c r="O7" s="9"/>
      <c r="P7" s="194"/>
    </row>
    <row r="8" spans="1:22" x14ac:dyDescent="0.2">
      <c r="B8" s="192" t="s">
        <v>28</v>
      </c>
      <c r="C8" s="193" t="s">
        <v>27</v>
      </c>
      <c r="D8" s="437">
        <v>527</v>
      </c>
      <c r="E8" s="437"/>
      <c r="F8" s="437"/>
      <c r="G8" s="55"/>
      <c r="H8" s="357"/>
      <c r="I8" s="195"/>
      <c r="J8" s="192" t="s">
        <v>28</v>
      </c>
      <c r="K8" s="193" t="s">
        <v>27</v>
      </c>
      <c r="L8" s="437">
        <v>527</v>
      </c>
      <c r="M8" s="437"/>
      <c r="N8" s="437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38" t="str">
        <f>'26-10 payroll'!D3</f>
        <v>Feb 26-Mar 10,2020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tr">
        <f>'26-10 payroll'!D3</f>
        <v>Feb 26-Mar 10,2020</v>
      </c>
      <c r="M9" s="438"/>
      <c r="N9" s="43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1053.7625</v>
      </c>
      <c r="G17" s="55"/>
      <c r="H17" s="56">
        <f>SUM(F13:F17)</f>
        <v>1173.7625</v>
      </c>
      <c r="I17" s="195"/>
      <c r="J17" s="192"/>
      <c r="K17" s="193"/>
      <c r="L17" s="204" t="s">
        <v>99</v>
      </c>
      <c r="M17" s="205"/>
      <c r="N17" s="11">
        <f>'26-10 payroll'!V8+500</f>
        <v>513.17499999999995</v>
      </c>
      <c r="O17" s="9"/>
      <c r="P17" s="10">
        <f>SUM(N13:N17)</f>
        <v>633.17499999999995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325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325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131.75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-1944.71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-2210.91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6080.0524999999998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5273.2650000000003</v>
      </c>
      <c r="R28" s="215"/>
      <c r="T28" s="216">
        <f>+H28-'[2]11-25 payroll'!S35</f>
        <v>312.44735937500081</v>
      </c>
      <c r="U28" s="217"/>
      <c r="V28" s="218">
        <f>+P28-'[2]11-25 payroll'!S36</f>
        <v>-1240.2329531249998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6" t="str">
        <f>'[2]11-25 payroll'!B24</f>
        <v>Dino, Joyce</v>
      </c>
      <c r="E40" s="436"/>
      <c r="F40" s="436"/>
      <c r="G40" s="55"/>
      <c r="H40" s="194"/>
      <c r="I40" s="195"/>
      <c r="J40" s="192" t="s">
        <v>26</v>
      </c>
      <c r="K40" s="193" t="s">
        <v>27</v>
      </c>
      <c r="L40" s="435" t="str">
        <f>'[2]11-25 payroll'!B10</f>
        <v xml:space="preserve">Sosa, Anna Marie </v>
      </c>
      <c r="M40" s="436"/>
      <c r="N40" s="436"/>
      <c r="O40" s="9"/>
      <c r="P40" s="194"/>
    </row>
    <row r="41" spans="2:17" x14ac:dyDescent="0.2">
      <c r="B41" s="192" t="s">
        <v>28</v>
      </c>
      <c r="C41" s="193" t="s">
        <v>27</v>
      </c>
      <c r="D41" s="437">
        <f>'[2]11-25 payroll'!E9</f>
        <v>790.23076923076928</v>
      </c>
      <c r="E41" s="437"/>
      <c r="F41" s="437"/>
      <c r="G41" s="55"/>
      <c r="H41" s="357"/>
      <c r="I41" s="195"/>
      <c r="J41" s="192" t="s">
        <v>28</v>
      </c>
      <c r="K41" s="193" t="s">
        <v>27</v>
      </c>
      <c r="L41" s="437">
        <v>527</v>
      </c>
      <c r="M41" s="437"/>
      <c r="N41" s="437"/>
      <c r="O41" s="9"/>
      <c r="P41" s="357"/>
    </row>
    <row r="42" spans="2:17" x14ac:dyDescent="0.2">
      <c r="B42" s="192" t="s">
        <v>29</v>
      </c>
      <c r="C42" s="193" t="s">
        <v>27</v>
      </c>
      <c r="D42" s="438" t="str">
        <f>'26-10 payroll'!D3</f>
        <v>Feb 26-Mar 10,2020</v>
      </c>
      <c r="E42" s="438"/>
      <c r="F42" s="438"/>
      <c r="G42" s="55"/>
      <c r="H42" s="194"/>
      <c r="I42" s="195"/>
      <c r="J42" s="192" t="s">
        <v>29</v>
      </c>
      <c r="K42" s="193" t="s">
        <v>27</v>
      </c>
      <c r="L42" s="438" t="s">
        <v>301</v>
      </c>
      <c r="M42" s="438"/>
      <c r="N42" s="43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740.84134615384619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300+1000+49.39</f>
        <v>1349.39</v>
      </c>
      <c r="G50" s="55"/>
      <c r="H50" s="56">
        <f>SUM(F46:F50)</f>
        <v>2210.2313461538461</v>
      </c>
      <c r="I50" s="195"/>
      <c r="J50" s="192"/>
      <c r="K50" s="193"/>
      <c r="L50" s="204" t="s">
        <v>99</v>
      </c>
      <c r="M50" s="205"/>
      <c r="N50" s="11">
        <f>150+884+26.35</f>
        <v>1060.3499999999999</v>
      </c>
      <c r="O50" s="9"/>
      <c r="P50" s="10">
        <f>SUM(N46:N50)</f>
        <v>1180.3499999999999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302</v>
      </c>
      <c r="E55" s="205"/>
      <c r="F55" s="55">
        <f>'26-10 payroll'!G58</f>
        <v>325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4500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325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267.75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payroll'!E58+'26-10 payroll'!H24</f>
        <v>165.94846153846154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5.92875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1161.8499999999999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-6252.7984615384612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-2014.17875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6230.4328846153858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6017.1712500000003</v>
      </c>
      <c r="Q61" s="174"/>
      <c r="T61" s="216">
        <f>+H61-'[2]11-25 payroll'!S37</f>
        <v>-2576.9578091346139</v>
      </c>
      <c r="V61" s="237">
        <f>+P61-'[2]11-25 payroll'!S38</f>
        <v>164.58774895833358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5" t="str">
        <f>'[2]11-25 payroll'!B11</f>
        <v>Briones, Christain Joy</v>
      </c>
      <c r="E73" s="436"/>
      <c r="F73" s="436"/>
      <c r="G73" s="55"/>
      <c r="H73" s="194"/>
      <c r="I73" s="195"/>
      <c r="J73" s="192" t="s">
        <v>26</v>
      </c>
      <c r="K73" s="193" t="s">
        <v>27</v>
      </c>
      <c r="L73" s="435" t="str">
        <f>'[2]11-25 payroll'!B12</f>
        <v>Cahilig,Benzen</v>
      </c>
      <c r="M73" s="436"/>
      <c r="N73" s="436"/>
      <c r="O73" s="9"/>
      <c r="P73" s="194"/>
    </row>
    <row r="74" spans="2:17" x14ac:dyDescent="0.2">
      <c r="B74" s="192" t="s">
        <v>28</v>
      </c>
      <c r="C74" s="193" t="s">
        <v>27</v>
      </c>
      <c r="D74" s="437">
        <v>527</v>
      </c>
      <c r="E74" s="437"/>
      <c r="F74" s="437"/>
      <c r="G74" s="55"/>
      <c r="H74" s="357"/>
      <c r="I74" s="195"/>
      <c r="J74" s="192" t="s">
        <v>28</v>
      </c>
      <c r="K74" s="193" t="s">
        <v>27</v>
      </c>
      <c r="L74" s="437">
        <v>527</v>
      </c>
      <c r="M74" s="437"/>
      <c r="N74" s="437"/>
      <c r="O74" s="9"/>
      <c r="P74" s="357"/>
    </row>
    <row r="75" spans="2:17" x14ac:dyDescent="0.2">
      <c r="B75" s="192" t="s">
        <v>29</v>
      </c>
      <c r="C75" s="193" t="s">
        <v>27</v>
      </c>
      <c r="D75" s="438" t="str">
        <f>'26-10 payroll'!D3</f>
        <v>Feb 26-Mar 10,2020</v>
      </c>
      <c r="E75" s="438"/>
      <c r="F75" s="438"/>
      <c r="G75" s="55"/>
      <c r="H75" s="194"/>
      <c r="I75" s="195"/>
      <c r="J75" s="192" t="s">
        <v>29</v>
      </c>
      <c r="K75" s="193" t="s">
        <v>27</v>
      </c>
      <c r="L75" s="438" t="str">
        <f>'26-10 payroll'!D3</f>
        <v>Feb 26-Mar 10,2020</v>
      </c>
      <c r="M75" s="438"/>
      <c r="N75" s="43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5533.5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10.5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300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payroll'!W12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105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32.9375</v>
      </c>
      <c r="G83" s="55"/>
      <c r="H83" s="56">
        <f>SUM(F79:F83)</f>
        <v>142.9375</v>
      </c>
      <c r="I83" s="195"/>
      <c r="J83" s="192"/>
      <c r="K83" s="193"/>
      <c r="L83" s="204" t="s">
        <v>99</v>
      </c>
      <c r="M83" s="205"/>
      <c r="N83" s="11">
        <f>'26-10 payroll'!V12</f>
        <v>32.9375</v>
      </c>
      <c r="O83" s="9"/>
      <c r="P83" s="56">
        <f>SUM(N79:N83)</f>
        <v>137.9375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302</v>
      </c>
      <c r="E89" s="205"/>
      <c r="F89" s="55">
        <f>'26-10 payroll'!G60</f>
        <v>325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325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98.8125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81.026250000000005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-523.8125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-1506.43625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5416.125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4165.0012500000003</v>
      </c>
      <c r="Q94" s="174"/>
      <c r="T94" s="216">
        <f>+H94-'[2]11-25 payroll'!S39</f>
        <v>906.22675572916705</v>
      </c>
      <c r="V94" s="237">
        <f>+P94-'[2]11-25 payroll'!S40</f>
        <v>-661.20874999999887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5" t="str">
        <f>'[2]11-25 payroll'!B13</f>
        <v>Pantoja,Nancy</v>
      </c>
      <c r="E106" s="436"/>
      <c r="F106" s="436"/>
      <c r="G106" s="55"/>
      <c r="H106" s="194"/>
      <c r="I106" s="195"/>
      <c r="J106" s="192" t="s">
        <v>26</v>
      </c>
      <c r="K106" s="193" t="s">
        <v>27</v>
      </c>
      <c r="L106" s="435">
        <f>'[2]11-25 payroll'!B29</f>
        <v>0</v>
      </c>
      <c r="M106" s="436"/>
      <c r="N106" s="436"/>
      <c r="O106" s="9"/>
      <c r="P106" s="194"/>
    </row>
    <row r="107" spans="2:17" x14ac:dyDescent="0.2">
      <c r="B107" s="192" t="s">
        <v>28</v>
      </c>
      <c r="C107" s="193" t="s">
        <v>27</v>
      </c>
      <c r="D107" s="437">
        <v>527</v>
      </c>
      <c r="E107" s="437"/>
      <c r="F107" s="437"/>
      <c r="G107" s="55"/>
      <c r="H107" s="357"/>
      <c r="I107" s="195"/>
      <c r="J107" s="192" t="s">
        <v>28</v>
      </c>
      <c r="K107" s="193" t="s">
        <v>27</v>
      </c>
      <c r="L107" s="437">
        <f>'[2]11-25 payroll'!E14</f>
        <v>0</v>
      </c>
      <c r="M107" s="437"/>
      <c r="N107" s="437"/>
      <c r="O107" s="9"/>
      <c r="P107" s="357"/>
    </row>
    <row r="108" spans="2:17" x14ac:dyDescent="0.2">
      <c r="B108" s="192" t="s">
        <v>29</v>
      </c>
      <c r="C108" s="193" t="s">
        <v>27</v>
      </c>
      <c r="D108" s="438" t="str">
        <f>'26-10 payroll'!D3</f>
        <v>Feb 26-Mar 10,2020</v>
      </c>
      <c r="E108" s="438"/>
      <c r="F108" s="438"/>
      <c r="G108" s="55"/>
      <c r="H108" s="194"/>
      <c r="I108" s="195"/>
      <c r="J108" s="192" t="s">
        <v>29</v>
      </c>
      <c r="K108" s="193" t="s">
        <v>27</v>
      </c>
      <c r="L108" s="438" t="str">
        <f>'[2]11-25 payroll'!D3</f>
        <v>JULY  11 - 25, 2018</v>
      </c>
      <c r="M108" s="438"/>
      <c r="N108" s="43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11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82.34375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52.7</v>
      </c>
      <c r="G116" s="55"/>
      <c r="H116" s="56">
        <f>SUM(F112:F116)</f>
        <v>245.04374999999999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325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27.6675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-835.66750000000002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5206.3762499999993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133.89624999999978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">
        <v>296</v>
      </c>
      <c r="C134" s="440"/>
      <c r="D134" s="440"/>
      <c r="E134" s="440"/>
      <c r="F134" s="440"/>
      <c r="G134" s="440"/>
      <c r="H134" s="441"/>
      <c r="I134" s="178"/>
      <c r="J134" s="439" t="s">
        <v>296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5" t="s">
        <v>294</v>
      </c>
      <c r="E139" s="436"/>
      <c r="F139" s="436"/>
      <c r="G139" s="55"/>
      <c r="H139" s="194"/>
      <c r="I139" s="195"/>
      <c r="J139" s="192" t="s">
        <v>26</v>
      </c>
      <c r="K139" s="193" t="s">
        <v>27</v>
      </c>
      <c r="L139" s="436" t="s">
        <v>294</v>
      </c>
      <c r="M139" s="436"/>
      <c r="N139" s="436"/>
      <c r="O139" s="9"/>
      <c r="P139" s="194"/>
    </row>
    <row r="140" spans="2:17" x14ac:dyDescent="0.2">
      <c r="B140" s="192" t="s">
        <v>28</v>
      </c>
      <c r="C140" s="193" t="s">
        <v>27</v>
      </c>
      <c r="D140" s="437">
        <v>527</v>
      </c>
      <c r="E140" s="437"/>
      <c r="F140" s="437"/>
      <c r="G140" s="55"/>
      <c r="H140" s="357"/>
      <c r="I140" s="195"/>
      <c r="J140" s="192" t="s">
        <v>28</v>
      </c>
      <c r="K140" s="193" t="s">
        <v>27</v>
      </c>
      <c r="L140" s="437">
        <v>527</v>
      </c>
      <c r="M140" s="437"/>
      <c r="N140" s="437"/>
      <c r="O140" s="9"/>
      <c r="P140" s="357"/>
    </row>
    <row r="141" spans="2:17" x14ac:dyDescent="0.2">
      <c r="B141" s="192" t="s">
        <v>29</v>
      </c>
      <c r="C141" s="193" t="s">
        <v>27</v>
      </c>
      <c r="D141" s="438" t="s">
        <v>291</v>
      </c>
      <c r="E141" s="438"/>
      <c r="F141" s="438"/>
      <c r="G141" s="55"/>
      <c r="H141" s="194"/>
      <c r="I141" s="195"/>
      <c r="J141" s="192" t="s">
        <v>29</v>
      </c>
      <c r="K141" s="193" t="s">
        <v>27</v>
      </c>
      <c r="L141" s="438" t="s">
        <v>295</v>
      </c>
      <c r="M141" s="438"/>
      <c r="N141" s="43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7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2020-03-12T09:30:56Z</cp:lastPrinted>
  <dcterms:created xsi:type="dcterms:W3CDTF">2010-01-04T12:18:59Z</dcterms:created>
  <dcterms:modified xsi:type="dcterms:W3CDTF">2020-03-12T09:34:48Z</dcterms:modified>
</cp:coreProperties>
</file>