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lvin Cruz Accounting Services\Clients\Corporation\TOSHCO Inc\02 Books of Accounts\2020\Files from client\11\"/>
    </mc:Choice>
  </mc:AlternateContent>
  <xr:revisionPtr revIDLastSave="0" documentId="13_ncr:1_{F0097E72-25AF-47B5-896E-8F7927FB2ECB}" xr6:coauthVersionLast="45" xr6:coauthVersionMax="45" xr10:uidLastSave="{00000000-0000-0000-0000-000000000000}"/>
  <bookViews>
    <workbookView xWindow="-60" yWindow="-60" windowWidth="24120" windowHeight="12960" tabRatio="775" activeTab="10" xr2:uid="{00000000-000D-0000-FFFF-FFFF00000000}"/>
  </bookViews>
  <sheets>
    <sheet name="Nov 5-6" sheetId="85" r:id="rId1"/>
    <sheet name="Nov 5-7" sheetId="86" r:id="rId2"/>
    <sheet name="Nov 10-14" sheetId="87" r:id="rId3"/>
    <sheet name="Nov13" sheetId="88" r:id="rId4"/>
    <sheet name="Nov 14-21" sheetId="89" r:id="rId5"/>
    <sheet name="Nov 19-21" sheetId="90" r:id="rId6"/>
    <sheet name="Nov 23" sheetId="93" r:id="rId7"/>
    <sheet name="Nov. 23-28" sheetId="95" r:id="rId8"/>
    <sheet name="Nov. 28-30" sheetId="94" r:id="rId9"/>
    <sheet name="Wine" sheetId="97" r:id="rId10"/>
    <sheet name="Nov 30-Dec 03" sheetId="98" r:id="rId11"/>
  </sheets>
  <externalReferences>
    <externalReference r:id="rId12"/>
    <externalReference r:id="rId13"/>
    <externalReference r:id="rId14"/>
  </externalReferences>
  <definedNames>
    <definedName name="_OC1">[1]MAIN!$D$25</definedName>
    <definedName name="_OC10">[1]MAIN!$D$34</definedName>
    <definedName name="_OC11">[1]MAIN!$D$35</definedName>
    <definedName name="_OC12">[1]MAIN!$D$36</definedName>
    <definedName name="_OC13">[1]MAIN!$D$37</definedName>
    <definedName name="_OC14">[1]MAIN!$D$38</definedName>
    <definedName name="_OC15">[1]MAIN!$D$39</definedName>
    <definedName name="_OC2">[1]MAIN!$D$26</definedName>
    <definedName name="_OC3">[1]MAIN!$D$27</definedName>
    <definedName name="_OC4">[1]MAIN!$D$28</definedName>
    <definedName name="_OC5">[1]MAIN!$D$29</definedName>
    <definedName name="_OC6">[1]MAIN!$D$30</definedName>
    <definedName name="_OC7">[1]MAIN!$D$31</definedName>
    <definedName name="_OC8">[1]MAIN!$D$32</definedName>
    <definedName name="_OC9">[1]MAIN!$D$33</definedName>
    <definedName name="celMonth">'[2]Company Setup'!$K$5</definedName>
    <definedName name="celYear">'[2]Company Setup'!$K$3</definedName>
    <definedName name="LIMIT1">[3]MAIN!$F$25</definedName>
    <definedName name="LIMIT10">[3]MAIN!$F$34</definedName>
    <definedName name="LIMIT11">[3]MAIN!$F$35</definedName>
    <definedName name="LIMIT12">[3]MAIN!$F$36</definedName>
    <definedName name="LIMIT13">[3]MAIN!$F$37</definedName>
    <definedName name="LIMIT14">[3]MAIN!$F$38</definedName>
    <definedName name="LIMIT15">[3]MAIN!$F$39</definedName>
    <definedName name="LIMIT2">[3]MAIN!$F$26</definedName>
    <definedName name="LIMIT3">[3]MAIN!$F$27</definedName>
    <definedName name="LIMIT4">[3]MAIN!$F$28</definedName>
    <definedName name="LIMIT5">[3]MAIN!$F$29</definedName>
    <definedName name="LIMIT6">[3]MAIN!$F$30</definedName>
    <definedName name="LIMIT7">[3]MAIN!$F$31</definedName>
    <definedName name="LIMIT8">[3]MAIN!$F$32</definedName>
    <definedName name="LIMIT9">[3]MAIN!$F$33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6" i="98" l="1"/>
  <c r="AH7" i="98"/>
  <c r="AH8" i="98"/>
  <c r="AH9" i="98"/>
  <c r="AH10" i="98"/>
  <c r="AH11" i="98"/>
  <c r="AH12" i="98"/>
  <c r="AH13" i="98"/>
  <c r="AH14" i="98"/>
  <c r="AH15" i="98"/>
  <c r="AH16" i="98"/>
  <c r="AH5" i="98"/>
  <c r="AH6" i="97"/>
  <c r="AH7" i="97"/>
  <c r="AH8" i="97"/>
  <c r="AH9" i="97"/>
  <c r="AH5" i="97"/>
  <c r="AH6" i="94"/>
  <c r="AH7" i="94"/>
  <c r="AH8" i="94"/>
  <c r="AH9" i="94"/>
  <c r="AH10" i="94"/>
  <c r="AH11" i="94"/>
  <c r="AH12" i="94"/>
  <c r="AH13" i="94"/>
  <c r="AH14" i="94"/>
  <c r="AH15" i="94"/>
  <c r="AH16" i="94"/>
  <c r="AH5" i="94"/>
  <c r="AH6" i="95"/>
  <c r="AH7" i="95"/>
  <c r="AH8" i="95"/>
  <c r="AH9" i="95"/>
  <c r="AH10" i="95"/>
  <c r="AH11" i="95"/>
  <c r="AH12" i="95"/>
  <c r="AH13" i="95"/>
  <c r="AH14" i="95"/>
  <c r="AH15" i="95"/>
  <c r="AH16" i="95"/>
  <c r="AH17" i="95"/>
  <c r="AH18" i="95"/>
  <c r="AH5" i="95"/>
  <c r="AH7" i="93"/>
  <c r="AH6" i="93"/>
  <c r="AH5" i="93"/>
  <c r="AH6" i="90"/>
  <c r="AH7" i="90"/>
  <c r="AH8" i="90"/>
  <c r="AH9" i="90"/>
  <c r="AH10" i="90"/>
  <c r="AH11" i="90"/>
  <c r="AH5" i="90"/>
  <c r="AH6" i="89"/>
  <c r="AH7" i="89"/>
  <c r="AH8" i="89"/>
  <c r="AH9" i="89"/>
  <c r="AH10" i="89"/>
  <c r="AH11" i="89"/>
  <c r="AH12" i="89"/>
  <c r="AH13" i="89"/>
  <c r="AH14" i="89"/>
  <c r="AH15" i="89"/>
  <c r="AH16" i="89"/>
  <c r="AH17" i="89"/>
  <c r="AH18" i="89"/>
  <c r="AH19" i="89"/>
  <c r="AH20" i="89"/>
  <c r="AH21" i="89"/>
  <c r="AH22" i="89"/>
  <c r="AH23" i="89"/>
  <c r="AH24" i="89"/>
  <c r="AH25" i="89"/>
  <c r="AH5" i="89"/>
  <c r="AH6" i="88"/>
  <c r="AH7" i="88"/>
  <c r="AH8" i="88"/>
  <c r="AH9" i="88"/>
  <c r="AH10" i="88"/>
  <c r="AH11" i="88"/>
  <c r="AH5" i="88"/>
  <c r="AH6" i="87"/>
  <c r="AH7" i="87"/>
  <c r="AH8" i="87"/>
  <c r="AH9" i="87"/>
  <c r="AH10" i="87"/>
  <c r="AH11" i="87"/>
  <c r="AH12" i="87"/>
  <c r="AH13" i="87"/>
  <c r="AH14" i="87"/>
  <c r="AH15" i="87"/>
  <c r="AH16" i="87"/>
  <c r="AH17" i="87"/>
  <c r="AH18" i="87"/>
  <c r="AH19" i="87"/>
  <c r="AH20" i="87"/>
  <c r="AH5" i="87"/>
  <c r="AH6" i="86"/>
  <c r="AH7" i="86"/>
  <c r="AH8" i="86"/>
  <c r="AH9" i="86"/>
  <c r="AH10" i="86"/>
  <c r="AH11" i="86"/>
  <c r="AH12" i="86"/>
  <c r="AH13" i="86"/>
  <c r="AH14" i="86"/>
  <c r="AH15" i="86"/>
  <c r="AH16" i="86"/>
  <c r="AH17" i="86"/>
  <c r="AH18" i="86"/>
  <c r="AH19" i="86"/>
  <c r="AH5" i="86"/>
  <c r="AH6" i="85"/>
  <c r="AH7" i="85"/>
  <c r="AH8" i="85"/>
  <c r="AH9" i="85"/>
  <c r="AH10" i="85"/>
  <c r="AH11" i="85"/>
  <c r="AH12" i="85"/>
  <c r="AH5" i="85"/>
  <c r="K29" i="98"/>
  <c r="K31" i="98"/>
  <c r="H23" i="98"/>
  <c r="K32" i="98"/>
  <c r="K33" i="98"/>
  <c r="N5" i="98"/>
  <c r="O5" i="98"/>
  <c r="AF5" i="98"/>
  <c r="N6" i="98"/>
  <c r="O6" i="98"/>
  <c r="AF6" i="98"/>
  <c r="N7" i="98"/>
  <c r="O7" i="98"/>
  <c r="AF7" i="98"/>
  <c r="N8" i="98"/>
  <c r="O8" i="98"/>
  <c r="AF8" i="98"/>
  <c r="N9" i="98"/>
  <c r="O9" i="98"/>
  <c r="AF9" i="98"/>
  <c r="N10" i="98"/>
  <c r="O10" i="98"/>
  <c r="AF10" i="98"/>
  <c r="N11" i="98"/>
  <c r="O11" i="98"/>
  <c r="AF11" i="98"/>
  <c r="N12" i="98"/>
  <c r="O12" i="98"/>
  <c r="AF12" i="98"/>
  <c r="N13" i="98"/>
  <c r="O13" i="98"/>
  <c r="AF13" i="98"/>
  <c r="N14" i="98"/>
  <c r="O14" i="98"/>
  <c r="AF14" i="98"/>
  <c r="N15" i="98"/>
  <c r="O15" i="98"/>
  <c r="AF15" i="98"/>
  <c r="N16" i="98"/>
  <c r="O16" i="98"/>
  <c r="AF16" i="98"/>
  <c r="N17" i="98"/>
  <c r="O17" i="98"/>
  <c r="AF17" i="98"/>
  <c r="N18" i="98"/>
  <c r="O18" i="98"/>
  <c r="AF18" i="98"/>
  <c r="N19" i="98"/>
  <c r="O19" i="98"/>
  <c r="AF19" i="98"/>
  <c r="N20" i="98"/>
  <c r="O20" i="98"/>
  <c r="AF20" i="98"/>
  <c r="N21" i="98"/>
  <c r="O21" i="98"/>
  <c r="AF21" i="98"/>
  <c r="AF23" i="98"/>
  <c r="AF25" i="98"/>
  <c r="J23" i="98"/>
  <c r="K23" i="98"/>
  <c r="N22" i="98"/>
  <c r="O22" i="98"/>
  <c r="AF22" i="98"/>
  <c r="AG22" i="98"/>
  <c r="AG23" i="98"/>
  <c r="AE23" i="98"/>
  <c r="AD23" i="98"/>
  <c r="AC23" i="98"/>
  <c r="AB23" i="98"/>
  <c r="AA23" i="98"/>
  <c r="Z23" i="98"/>
  <c r="Y23" i="98"/>
  <c r="X23" i="98"/>
  <c r="W23" i="98"/>
  <c r="V23" i="98"/>
  <c r="U23" i="98"/>
  <c r="T23" i="98"/>
  <c r="S23" i="98"/>
  <c r="R23" i="98"/>
  <c r="Q23" i="98"/>
  <c r="P23" i="98"/>
  <c r="O23" i="98"/>
  <c r="N23" i="98"/>
  <c r="M5" i="98"/>
  <c r="M6" i="98"/>
  <c r="M7" i="98"/>
  <c r="M8" i="98"/>
  <c r="M9" i="98"/>
  <c r="M10" i="98"/>
  <c r="M11" i="98"/>
  <c r="M12" i="98"/>
  <c r="M13" i="98"/>
  <c r="M14" i="98"/>
  <c r="M15" i="98"/>
  <c r="M16" i="98"/>
  <c r="M17" i="98"/>
  <c r="M18" i="98"/>
  <c r="M19" i="98"/>
  <c r="M20" i="98"/>
  <c r="M21" i="98"/>
  <c r="M23" i="98"/>
  <c r="L23" i="98"/>
  <c r="I23" i="98"/>
  <c r="M22" i="98"/>
  <c r="AG21" i="98"/>
  <c r="AG20" i="98"/>
  <c r="AG19" i="98"/>
  <c r="AG18" i="98"/>
  <c r="AG17" i="98"/>
  <c r="AG16" i="98"/>
  <c r="AG15" i="98"/>
  <c r="AG14" i="98"/>
  <c r="AG13" i="98"/>
  <c r="AG12" i="98"/>
  <c r="AG11" i="98"/>
  <c r="AG10" i="98"/>
  <c r="AG9" i="98"/>
  <c r="AG8" i="98"/>
  <c r="AG7" i="98"/>
  <c r="AG6" i="98"/>
  <c r="AG5" i="98"/>
  <c r="K13" i="97"/>
  <c r="K19" i="97"/>
  <c r="H13" i="97"/>
  <c r="K22" i="97"/>
  <c r="K23" i="97"/>
  <c r="N5" i="97"/>
  <c r="O5" i="97"/>
  <c r="AF5" i="97"/>
  <c r="N6" i="97"/>
  <c r="O6" i="97"/>
  <c r="AF6" i="97"/>
  <c r="N7" i="97"/>
  <c r="O7" i="97"/>
  <c r="AF7" i="97"/>
  <c r="N8" i="97"/>
  <c r="O8" i="97"/>
  <c r="AF8" i="97"/>
  <c r="N9" i="97"/>
  <c r="O9" i="97"/>
  <c r="AF9" i="97"/>
  <c r="N10" i="97"/>
  <c r="O10" i="97"/>
  <c r="AF10" i="97"/>
  <c r="N11" i="97"/>
  <c r="O11" i="97"/>
  <c r="AF11" i="97"/>
  <c r="AF13" i="97"/>
  <c r="AF15" i="97"/>
  <c r="J13" i="97"/>
  <c r="N12" i="97"/>
  <c r="O12" i="97"/>
  <c r="AF12" i="97"/>
  <c r="AG12" i="97"/>
  <c r="AG13" i="97"/>
  <c r="AE13" i="97"/>
  <c r="AD13" i="97"/>
  <c r="AC13" i="97"/>
  <c r="AB13" i="97"/>
  <c r="AA13" i="97"/>
  <c r="Z13" i="97"/>
  <c r="Y13" i="97"/>
  <c r="X13" i="97"/>
  <c r="W13" i="97"/>
  <c r="V13" i="97"/>
  <c r="U13" i="97"/>
  <c r="T13" i="97"/>
  <c r="S13" i="97"/>
  <c r="R13" i="97"/>
  <c r="Q13" i="97"/>
  <c r="P13" i="97"/>
  <c r="O13" i="97"/>
  <c r="N13" i="97"/>
  <c r="M5" i="97"/>
  <c r="M6" i="97"/>
  <c r="M7" i="97"/>
  <c r="M8" i="97"/>
  <c r="M9" i="97"/>
  <c r="M10" i="97"/>
  <c r="M11" i="97"/>
  <c r="M13" i="97"/>
  <c r="L13" i="97"/>
  <c r="I13" i="97"/>
  <c r="M12" i="97"/>
  <c r="AG11" i="97"/>
  <c r="AG10" i="97"/>
  <c r="AG9" i="97"/>
  <c r="AG8" i="97"/>
  <c r="AG7" i="97"/>
  <c r="AG6" i="97"/>
  <c r="AG5" i="97"/>
  <c r="K30" i="94"/>
  <c r="K6" i="94"/>
  <c r="J7" i="94"/>
  <c r="K29" i="94"/>
  <c r="N6" i="94"/>
  <c r="O6" i="94"/>
  <c r="AF6" i="94"/>
  <c r="AG6" i="94"/>
  <c r="M6" i="94"/>
  <c r="M35" i="95"/>
  <c r="K27" i="95"/>
  <c r="K28" i="95"/>
  <c r="K29" i="95"/>
  <c r="H22" i="95"/>
  <c r="K30" i="95"/>
  <c r="K31" i="95"/>
  <c r="K33" i="95"/>
  <c r="N5" i="95"/>
  <c r="O5" i="95"/>
  <c r="AF5" i="95"/>
  <c r="N6" i="95"/>
  <c r="O6" i="95"/>
  <c r="AF6" i="95"/>
  <c r="N7" i="95"/>
  <c r="O7" i="95"/>
  <c r="AF7" i="95"/>
  <c r="N8" i="95"/>
  <c r="O8" i="95"/>
  <c r="AF8" i="95"/>
  <c r="N9" i="95"/>
  <c r="O9" i="95"/>
  <c r="AF9" i="95"/>
  <c r="N10" i="95"/>
  <c r="O10" i="95"/>
  <c r="AF10" i="95"/>
  <c r="N11" i="95"/>
  <c r="O11" i="95"/>
  <c r="AF11" i="95"/>
  <c r="N12" i="95"/>
  <c r="O12" i="95"/>
  <c r="AF12" i="95"/>
  <c r="N13" i="95"/>
  <c r="O13" i="95"/>
  <c r="AF13" i="95"/>
  <c r="N14" i="95"/>
  <c r="O14" i="95"/>
  <c r="AF14" i="95"/>
  <c r="N15" i="95"/>
  <c r="O15" i="95"/>
  <c r="AF15" i="95"/>
  <c r="N16" i="95"/>
  <c r="O16" i="95"/>
  <c r="AF16" i="95"/>
  <c r="N17" i="95"/>
  <c r="O17" i="95"/>
  <c r="AF17" i="95"/>
  <c r="N18" i="95"/>
  <c r="O18" i="95"/>
  <c r="AF18" i="95"/>
  <c r="N19" i="95"/>
  <c r="O19" i="95"/>
  <c r="AF19" i="95"/>
  <c r="N20" i="95"/>
  <c r="O20" i="95"/>
  <c r="AF20" i="95"/>
  <c r="AF22" i="95"/>
  <c r="AF24" i="95"/>
  <c r="J22" i="95"/>
  <c r="K22" i="95"/>
  <c r="N21" i="95"/>
  <c r="O21" i="95"/>
  <c r="AF21" i="95"/>
  <c r="AG21" i="95"/>
  <c r="AG22" i="95"/>
  <c r="AE22" i="95"/>
  <c r="AD22" i="95"/>
  <c r="AC22" i="95"/>
  <c r="AB22" i="95"/>
  <c r="AA22" i="95"/>
  <c r="Z22" i="95"/>
  <c r="Y22" i="95"/>
  <c r="X22" i="95"/>
  <c r="W22" i="95"/>
  <c r="V22" i="95"/>
  <c r="U22" i="95"/>
  <c r="T22" i="95"/>
  <c r="S22" i="95"/>
  <c r="R22" i="95"/>
  <c r="Q22" i="95"/>
  <c r="P22" i="95"/>
  <c r="O22" i="95"/>
  <c r="N22" i="95"/>
  <c r="M5" i="95"/>
  <c r="M6" i="95"/>
  <c r="M7" i="95"/>
  <c r="M8" i="95"/>
  <c r="M9" i="95"/>
  <c r="M10" i="95"/>
  <c r="M11" i="95"/>
  <c r="M12" i="95"/>
  <c r="M13" i="95"/>
  <c r="M14" i="95"/>
  <c r="M15" i="95"/>
  <c r="M16" i="95"/>
  <c r="M17" i="95"/>
  <c r="M18" i="95"/>
  <c r="M19" i="95"/>
  <c r="M20" i="95"/>
  <c r="M22" i="95"/>
  <c r="L22" i="95"/>
  <c r="I22" i="95"/>
  <c r="M21" i="95"/>
  <c r="AG20" i="95"/>
  <c r="AG19" i="95"/>
  <c r="AG18" i="95"/>
  <c r="AG17" i="95"/>
  <c r="AG16" i="95"/>
  <c r="AG15" i="95"/>
  <c r="AG14" i="95"/>
  <c r="AG13" i="95"/>
  <c r="AG12" i="95"/>
  <c r="AG11" i="95"/>
  <c r="AG10" i="95"/>
  <c r="AG9" i="95"/>
  <c r="AG8" i="95"/>
  <c r="AG7" i="95"/>
  <c r="AG6" i="95"/>
  <c r="AG5" i="95"/>
  <c r="H23" i="94"/>
  <c r="K32" i="94"/>
  <c r="N19" i="94"/>
  <c r="O19" i="94"/>
  <c r="AF19" i="94"/>
  <c r="AG19" i="94"/>
  <c r="M19" i="94"/>
  <c r="N18" i="94"/>
  <c r="O18" i="94"/>
  <c r="AF18" i="94"/>
  <c r="AG18" i="94"/>
  <c r="M18" i="94"/>
  <c r="N17" i="94"/>
  <c r="O17" i="94"/>
  <c r="AF17" i="94"/>
  <c r="AG17" i="94"/>
  <c r="M17" i="94"/>
  <c r="K31" i="94"/>
  <c r="M5" i="94"/>
  <c r="N5" i="94"/>
  <c r="O5" i="94"/>
  <c r="AF5" i="94"/>
  <c r="AG5" i="94"/>
  <c r="M7" i="94"/>
  <c r="N7" i="94"/>
  <c r="O7" i="94"/>
  <c r="AF7" i="94"/>
  <c r="AG7" i="94"/>
  <c r="M8" i="94"/>
  <c r="N8" i="94"/>
  <c r="O8" i="94"/>
  <c r="AF8" i="94"/>
  <c r="AG8" i="94"/>
  <c r="M9" i="94"/>
  <c r="N9" i="94"/>
  <c r="O9" i="94"/>
  <c r="AF9" i="94"/>
  <c r="AG9" i="94"/>
  <c r="M10" i="94"/>
  <c r="N10" i="94"/>
  <c r="O10" i="94"/>
  <c r="AF10" i="94"/>
  <c r="AG10" i="94"/>
  <c r="M11" i="94"/>
  <c r="N11" i="94"/>
  <c r="O11" i="94"/>
  <c r="AF11" i="94"/>
  <c r="AG11" i="94"/>
  <c r="M12" i="94"/>
  <c r="N12" i="94"/>
  <c r="O12" i="94"/>
  <c r="AF12" i="94"/>
  <c r="AG12" i="94"/>
  <c r="M13" i="94"/>
  <c r="N13" i="94"/>
  <c r="O13" i="94"/>
  <c r="AF13" i="94"/>
  <c r="AG13" i="94"/>
  <c r="M14" i="94"/>
  <c r="N14" i="94"/>
  <c r="O14" i="94"/>
  <c r="AF14" i="94"/>
  <c r="AG14" i="94"/>
  <c r="M15" i="94"/>
  <c r="N15" i="94"/>
  <c r="O15" i="94"/>
  <c r="AF15" i="94"/>
  <c r="AG15" i="94"/>
  <c r="M16" i="94"/>
  <c r="N16" i="94"/>
  <c r="O16" i="94"/>
  <c r="AF16" i="94"/>
  <c r="AG16" i="94"/>
  <c r="M20" i="94"/>
  <c r="N20" i="94"/>
  <c r="O20" i="94"/>
  <c r="AF20" i="94"/>
  <c r="AG20" i="94"/>
  <c r="M21" i="94"/>
  <c r="N21" i="94"/>
  <c r="O21" i="94"/>
  <c r="AF21" i="94"/>
  <c r="AG21" i="94"/>
  <c r="M22" i="94"/>
  <c r="N22" i="94"/>
  <c r="O22" i="94"/>
  <c r="AF22" i="94"/>
  <c r="AG22" i="94"/>
  <c r="I23" i="94"/>
  <c r="J23" i="94"/>
  <c r="K23" i="94"/>
  <c r="L23" i="94"/>
  <c r="M23" i="94"/>
  <c r="N23" i="94"/>
  <c r="O23" i="94"/>
  <c r="P23" i="94"/>
  <c r="Q23" i="94"/>
  <c r="R23" i="94"/>
  <c r="S23" i="94"/>
  <c r="T23" i="94"/>
  <c r="U23" i="94"/>
  <c r="V23" i="94"/>
  <c r="W23" i="94"/>
  <c r="X23" i="94"/>
  <c r="Y23" i="94"/>
  <c r="Z23" i="94"/>
  <c r="AA23" i="94"/>
  <c r="AB23" i="94"/>
  <c r="AC23" i="94"/>
  <c r="AD23" i="94"/>
  <c r="AE23" i="94"/>
  <c r="AF23" i="94"/>
  <c r="AG23" i="94"/>
  <c r="AF25" i="94"/>
  <c r="K33" i="94"/>
  <c r="K35" i="94"/>
  <c r="K17" i="93"/>
  <c r="K16" i="93"/>
  <c r="K20" i="93"/>
  <c r="K22" i="93"/>
  <c r="N5" i="93"/>
  <c r="O5" i="93"/>
  <c r="AF5" i="93"/>
  <c r="N6" i="93"/>
  <c r="O6" i="93"/>
  <c r="AF6" i="93"/>
  <c r="N7" i="93"/>
  <c r="O7" i="93"/>
  <c r="AF7" i="93"/>
  <c r="N8" i="93"/>
  <c r="O8" i="93"/>
  <c r="AF8" i="93"/>
  <c r="AF10" i="93"/>
  <c r="AF12" i="93"/>
  <c r="H10" i="93"/>
  <c r="J10" i="93"/>
  <c r="K10" i="93"/>
  <c r="N9" i="93"/>
  <c r="O9" i="93"/>
  <c r="AF9" i="93"/>
  <c r="AG9" i="93"/>
  <c r="AG10" i="93"/>
  <c r="AE10" i="93"/>
  <c r="AD10" i="93"/>
  <c r="AC10" i="93"/>
  <c r="AB10" i="93"/>
  <c r="AA10" i="93"/>
  <c r="Z10" i="93"/>
  <c r="Y10" i="93"/>
  <c r="X10" i="93"/>
  <c r="W10" i="93"/>
  <c r="V10" i="93"/>
  <c r="U10" i="93"/>
  <c r="T10" i="93"/>
  <c r="S10" i="93"/>
  <c r="R10" i="93"/>
  <c r="Q10" i="93"/>
  <c r="P10" i="93"/>
  <c r="O10" i="93"/>
  <c r="N10" i="93"/>
  <c r="M5" i="93"/>
  <c r="M6" i="93"/>
  <c r="M7" i="93"/>
  <c r="M8" i="93"/>
  <c r="M10" i="93"/>
  <c r="L10" i="93"/>
  <c r="I10" i="93"/>
  <c r="M9" i="93"/>
  <c r="AG8" i="93"/>
  <c r="AG7" i="93"/>
  <c r="AG6" i="93"/>
  <c r="AG5" i="93"/>
  <c r="H19" i="90"/>
  <c r="K28" i="90"/>
  <c r="K25" i="90"/>
  <c r="K26" i="90"/>
  <c r="K29" i="90"/>
  <c r="K31" i="90"/>
  <c r="N5" i="90"/>
  <c r="O5" i="90"/>
  <c r="AF5" i="90"/>
  <c r="N6" i="90"/>
  <c r="O6" i="90"/>
  <c r="AF6" i="90"/>
  <c r="N7" i="90"/>
  <c r="O7" i="90"/>
  <c r="AF7" i="90"/>
  <c r="N8" i="90"/>
  <c r="O8" i="90"/>
  <c r="AF8" i="90"/>
  <c r="N9" i="90"/>
  <c r="O9" i="90"/>
  <c r="AF9" i="90"/>
  <c r="N10" i="90"/>
  <c r="O10" i="90"/>
  <c r="AF10" i="90"/>
  <c r="N11" i="90"/>
  <c r="O11" i="90"/>
  <c r="AF11" i="90"/>
  <c r="N12" i="90"/>
  <c r="O12" i="90"/>
  <c r="AF12" i="90"/>
  <c r="N13" i="90"/>
  <c r="O13" i="90"/>
  <c r="AF13" i="90"/>
  <c r="N14" i="90"/>
  <c r="O14" i="90"/>
  <c r="AF14" i="90"/>
  <c r="N15" i="90"/>
  <c r="O15" i="90"/>
  <c r="AF15" i="90"/>
  <c r="N16" i="90"/>
  <c r="O16" i="90"/>
  <c r="AF16" i="90"/>
  <c r="N17" i="90"/>
  <c r="O17" i="90"/>
  <c r="AF17" i="90"/>
  <c r="AF19" i="90"/>
  <c r="AF21" i="90"/>
  <c r="J19" i="90"/>
  <c r="K19" i="90"/>
  <c r="N18" i="90"/>
  <c r="O18" i="90"/>
  <c r="AF18" i="90"/>
  <c r="AG18" i="90"/>
  <c r="AG19" i="90"/>
  <c r="AE19" i="90"/>
  <c r="AD19" i="90"/>
  <c r="AC19" i="90"/>
  <c r="AB19" i="90"/>
  <c r="AA19" i="90"/>
  <c r="Z19" i="90"/>
  <c r="Y19" i="90"/>
  <c r="X19" i="90"/>
  <c r="W19" i="90"/>
  <c r="V19" i="90"/>
  <c r="U19" i="90"/>
  <c r="T19" i="90"/>
  <c r="S19" i="90"/>
  <c r="R19" i="90"/>
  <c r="Q19" i="90"/>
  <c r="P19" i="90"/>
  <c r="O19" i="90"/>
  <c r="N19" i="90"/>
  <c r="M5" i="90"/>
  <c r="M6" i="90"/>
  <c r="M7" i="90"/>
  <c r="M8" i="90"/>
  <c r="M9" i="90"/>
  <c r="M10" i="90"/>
  <c r="M11" i="90"/>
  <c r="M12" i="90"/>
  <c r="M13" i="90"/>
  <c r="M14" i="90"/>
  <c r="M15" i="90"/>
  <c r="M16" i="90"/>
  <c r="M17" i="90"/>
  <c r="M19" i="90"/>
  <c r="L19" i="90"/>
  <c r="I19" i="90"/>
  <c r="M18" i="90"/>
  <c r="AG17" i="90"/>
  <c r="AG16" i="90"/>
  <c r="AG15" i="90"/>
  <c r="AG14" i="90"/>
  <c r="AG13" i="90"/>
  <c r="AG12" i="90"/>
  <c r="AG11" i="90"/>
  <c r="AG10" i="90"/>
  <c r="AG9" i="90"/>
  <c r="AG8" i="90"/>
  <c r="AG7" i="90"/>
  <c r="AG6" i="90"/>
  <c r="AG5" i="90"/>
  <c r="K35" i="89"/>
  <c r="K34" i="89"/>
  <c r="AA27" i="89"/>
  <c r="K36" i="89"/>
  <c r="K5" i="89"/>
  <c r="K6" i="89"/>
  <c r="K12" i="89"/>
  <c r="K33" i="89"/>
  <c r="O22" i="89"/>
  <c r="N22" i="89"/>
  <c r="AF22" i="89"/>
  <c r="M22" i="89"/>
  <c r="O21" i="89"/>
  <c r="N21" i="89"/>
  <c r="M21" i="89"/>
  <c r="AF21" i="89"/>
  <c r="Q35" i="89"/>
  <c r="O14" i="89"/>
  <c r="N14" i="89"/>
  <c r="AF14" i="89"/>
  <c r="AE27" i="89"/>
  <c r="AD27" i="89"/>
  <c r="AC27" i="89"/>
  <c r="AB27" i="89"/>
  <c r="Z27" i="89"/>
  <c r="Y27" i="89"/>
  <c r="X27" i="89"/>
  <c r="W27" i="89"/>
  <c r="V27" i="89"/>
  <c r="U27" i="89"/>
  <c r="T27" i="89"/>
  <c r="S27" i="89"/>
  <c r="R27" i="89"/>
  <c r="Q27" i="89"/>
  <c r="P27" i="89"/>
  <c r="L27" i="89"/>
  <c r="J27" i="89"/>
  <c r="I27" i="89"/>
  <c r="H27" i="89"/>
  <c r="O26" i="89"/>
  <c r="N26" i="89"/>
  <c r="AF26" i="89"/>
  <c r="AG26" i="89"/>
  <c r="M26" i="89"/>
  <c r="O25" i="89"/>
  <c r="N25" i="89"/>
  <c r="M25" i="89"/>
  <c r="O24" i="89"/>
  <c r="N24" i="89"/>
  <c r="M24" i="89"/>
  <c r="O23" i="89"/>
  <c r="N23" i="89"/>
  <c r="AF23" i="89"/>
  <c r="AG23" i="89"/>
  <c r="M23" i="89"/>
  <c r="O20" i="89"/>
  <c r="N20" i="89"/>
  <c r="M20" i="89"/>
  <c r="O19" i="89"/>
  <c r="N19" i="89"/>
  <c r="M19" i="89"/>
  <c r="O18" i="89"/>
  <c r="N18" i="89"/>
  <c r="M18" i="89"/>
  <c r="O17" i="89"/>
  <c r="N17" i="89"/>
  <c r="M17" i="89"/>
  <c r="O16" i="89"/>
  <c r="N16" i="89"/>
  <c r="M16" i="89"/>
  <c r="K27" i="89"/>
  <c r="O13" i="89"/>
  <c r="N13" i="89"/>
  <c r="M13" i="89"/>
  <c r="O12" i="89"/>
  <c r="N12" i="89"/>
  <c r="AF12" i="89"/>
  <c r="AG12" i="89"/>
  <c r="M12" i="89"/>
  <c r="O11" i="89"/>
  <c r="N11" i="89"/>
  <c r="M11" i="89"/>
  <c r="O10" i="89"/>
  <c r="N10" i="89"/>
  <c r="M10" i="89"/>
  <c r="O9" i="89"/>
  <c r="N9" i="89"/>
  <c r="M9" i="89"/>
  <c r="O8" i="89"/>
  <c r="N8" i="89"/>
  <c r="M8" i="89"/>
  <c r="O7" i="89"/>
  <c r="N7" i="89"/>
  <c r="M7" i="89"/>
  <c r="O6" i="89"/>
  <c r="N6" i="89"/>
  <c r="M6" i="89"/>
  <c r="O5" i="89"/>
  <c r="N5" i="89"/>
  <c r="M5" i="89"/>
  <c r="AF25" i="89"/>
  <c r="AG25" i="89"/>
  <c r="O27" i="89"/>
  <c r="K29" i="89"/>
  <c r="Q36" i="89"/>
  <c r="Q37" i="89"/>
  <c r="AF19" i="89"/>
  <c r="AG19" i="89"/>
  <c r="AF17" i="89"/>
  <c r="AG17" i="89"/>
  <c r="AF10" i="89"/>
  <c r="AG10" i="89"/>
  <c r="AF8" i="89"/>
  <c r="AG8" i="89"/>
  <c r="AF6" i="89"/>
  <c r="AG6" i="89"/>
  <c r="AF7" i="89"/>
  <c r="AG7" i="89"/>
  <c r="AF9" i="89"/>
  <c r="AG9" i="89"/>
  <c r="AF11" i="89"/>
  <c r="AG11" i="89"/>
  <c r="AF13" i="89"/>
  <c r="AG13" i="89"/>
  <c r="AF16" i="89"/>
  <c r="AG16" i="89"/>
  <c r="AF18" i="89"/>
  <c r="AG18" i="89"/>
  <c r="AF20" i="89"/>
  <c r="AG20" i="89"/>
  <c r="AF24" i="89"/>
  <c r="AG24" i="89"/>
  <c r="AG27" i="89"/>
  <c r="AF5" i="89"/>
  <c r="N15" i="89"/>
  <c r="N27" i="89"/>
  <c r="M15" i="89"/>
  <c r="M27" i="89"/>
  <c r="O15" i="89"/>
  <c r="K37" i="89"/>
  <c r="K39" i="89"/>
  <c r="H24" i="87"/>
  <c r="K33" i="87"/>
  <c r="K14" i="87"/>
  <c r="K30" i="87"/>
  <c r="K32" i="87"/>
  <c r="N21" i="87"/>
  <c r="O21" i="87"/>
  <c r="AF21" i="87"/>
  <c r="AG21" i="87"/>
  <c r="M21" i="87"/>
  <c r="N20" i="87"/>
  <c r="O20" i="87"/>
  <c r="AF20" i="87"/>
  <c r="AG20" i="87"/>
  <c r="M20" i="87"/>
  <c r="N19" i="87"/>
  <c r="O19" i="87"/>
  <c r="AF19" i="87"/>
  <c r="AG19" i="87"/>
  <c r="M19" i="87"/>
  <c r="N18" i="87"/>
  <c r="O18" i="87"/>
  <c r="AF18" i="87"/>
  <c r="AG18" i="87"/>
  <c r="M18" i="87"/>
  <c r="H14" i="88"/>
  <c r="K20" i="88"/>
  <c r="K23" i="88"/>
  <c r="K21" i="88"/>
  <c r="T14" i="88"/>
  <c r="K24" i="88"/>
  <c r="K26" i="88"/>
  <c r="N5" i="88"/>
  <c r="O5" i="88"/>
  <c r="AF5" i="88"/>
  <c r="N6" i="88"/>
  <c r="O6" i="88"/>
  <c r="AF6" i="88"/>
  <c r="N7" i="88"/>
  <c r="O7" i="88"/>
  <c r="AF7" i="88"/>
  <c r="N8" i="88"/>
  <c r="O8" i="88"/>
  <c r="AF8" i="88"/>
  <c r="N9" i="88"/>
  <c r="O9" i="88"/>
  <c r="AF9" i="88"/>
  <c r="N10" i="88"/>
  <c r="O10" i="88"/>
  <c r="AF10" i="88"/>
  <c r="N11" i="88"/>
  <c r="O11" i="88"/>
  <c r="AF11" i="88"/>
  <c r="N12" i="88"/>
  <c r="O12" i="88"/>
  <c r="AF12" i="88"/>
  <c r="AF14" i="88"/>
  <c r="AF16" i="88"/>
  <c r="J14" i="88"/>
  <c r="K14" i="88"/>
  <c r="K16" i="88"/>
  <c r="AG12" i="88"/>
  <c r="N13" i="88"/>
  <c r="O13" i="88"/>
  <c r="AF13" i="88"/>
  <c r="AG13" i="88"/>
  <c r="AG14" i="88"/>
  <c r="AE14" i="88"/>
  <c r="AD14" i="88"/>
  <c r="AC14" i="88"/>
  <c r="AB14" i="88"/>
  <c r="AA14" i="88"/>
  <c r="Z14" i="88"/>
  <c r="Y14" i="88"/>
  <c r="X14" i="88"/>
  <c r="W14" i="88"/>
  <c r="V14" i="88"/>
  <c r="U14" i="88"/>
  <c r="S14" i="88"/>
  <c r="R14" i="88"/>
  <c r="Q14" i="88"/>
  <c r="P14" i="88"/>
  <c r="O14" i="88"/>
  <c r="N14" i="88"/>
  <c r="M5" i="88"/>
  <c r="M6" i="88"/>
  <c r="M7" i="88"/>
  <c r="M8" i="88"/>
  <c r="M9" i="88"/>
  <c r="M10" i="88"/>
  <c r="M11" i="88"/>
  <c r="M12" i="88"/>
  <c r="M14" i="88"/>
  <c r="L14" i="88"/>
  <c r="I14" i="88"/>
  <c r="M13" i="88"/>
  <c r="AG11" i="88"/>
  <c r="AG10" i="88"/>
  <c r="AG9" i="88"/>
  <c r="AG8" i="88"/>
  <c r="AG7" i="88"/>
  <c r="AG6" i="88"/>
  <c r="AG5" i="88"/>
  <c r="K31" i="87"/>
  <c r="K34" i="87"/>
  <c r="K36" i="87"/>
  <c r="N6" i="87"/>
  <c r="O6" i="87"/>
  <c r="AF6" i="87"/>
  <c r="AG6" i="87"/>
  <c r="M6" i="87"/>
  <c r="N5" i="87"/>
  <c r="O5" i="87"/>
  <c r="AF5" i="87"/>
  <c r="N7" i="87"/>
  <c r="O7" i="87"/>
  <c r="AF7" i="87"/>
  <c r="N8" i="87"/>
  <c r="O8" i="87"/>
  <c r="AF8" i="87"/>
  <c r="N9" i="87"/>
  <c r="O9" i="87"/>
  <c r="AF9" i="87"/>
  <c r="N10" i="87"/>
  <c r="O10" i="87"/>
  <c r="AF10" i="87"/>
  <c r="N11" i="87"/>
  <c r="O11" i="87"/>
  <c r="AF11" i="87"/>
  <c r="N12" i="87"/>
  <c r="O12" i="87"/>
  <c r="AF12" i="87"/>
  <c r="N13" i="87"/>
  <c r="O13" i="87"/>
  <c r="AF13" i="87"/>
  <c r="N14" i="87"/>
  <c r="O14" i="87"/>
  <c r="AF14" i="87"/>
  <c r="N15" i="87"/>
  <c r="O15" i="87"/>
  <c r="AF15" i="87"/>
  <c r="N16" i="87"/>
  <c r="O16" i="87"/>
  <c r="AF16" i="87"/>
  <c r="N17" i="87"/>
  <c r="O17" i="87"/>
  <c r="AF17" i="87"/>
  <c r="N22" i="87"/>
  <c r="O22" i="87"/>
  <c r="AF22" i="87"/>
  <c r="AF24" i="87"/>
  <c r="AF26" i="87"/>
  <c r="J24" i="87"/>
  <c r="K24" i="87"/>
  <c r="AG22" i="87"/>
  <c r="N23" i="87"/>
  <c r="O23" i="87"/>
  <c r="AF23" i="87"/>
  <c r="AG23" i="87"/>
  <c r="AG24" i="87"/>
  <c r="AE24" i="87"/>
  <c r="AD24" i="87"/>
  <c r="AC24" i="87"/>
  <c r="AB24" i="87"/>
  <c r="AA24" i="87"/>
  <c r="Z24" i="87"/>
  <c r="Y24" i="87"/>
  <c r="X24" i="87"/>
  <c r="W24" i="87"/>
  <c r="V24" i="87"/>
  <c r="U24" i="87"/>
  <c r="T24" i="87"/>
  <c r="S24" i="87"/>
  <c r="R24" i="87"/>
  <c r="Q24" i="87"/>
  <c r="P24" i="87"/>
  <c r="O24" i="87"/>
  <c r="N24" i="87"/>
  <c r="M5" i="87"/>
  <c r="M7" i="87"/>
  <c r="M8" i="87"/>
  <c r="M9" i="87"/>
  <c r="M10" i="87"/>
  <c r="M11" i="87"/>
  <c r="M12" i="87"/>
  <c r="M13" i="87"/>
  <c r="M14" i="87"/>
  <c r="M15" i="87"/>
  <c r="M16" i="87"/>
  <c r="M17" i="87"/>
  <c r="M22" i="87"/>
  <c r="M24" i="87"/>
  <c r="L24" i="87"/>
  <c r="I24" i="87"/>
  <c r="M23" i="87"/>
  <c r="AG17" i="87"/>
  <c r="AG16" i="87"/>
  <c r="AG15" i="87"/>
  <c r="AG14" i="87"/>
  <c r="AG13" i="87"/>
  <c r="AG12" i="87"/>
  <c r="AG11" i="87"/>
  <c r="AG10" i="87"/>
  <c r="AG9" i="87"/>
  <c r="AG8" i="87"/>
  <c r="AG7" i="87"/>
  <c r="AG5" i="87"/>
  <c r="V23" i="86"/>
  <c r="H23" i="86"/>
  <c r="K32" i="86"/>
  <c r="K30" i="86"/>
  <c r="K31" i="86"/>
  <c r="K10" i="86"/>
  <c r="K29" i="86"/>
  <c r="N17" i="86"/>
  <c r="O17" i="86"/>
  <c r="AF17" i="86"/>
  <c r="AG17" i="86"/>
  <c r="M17" i="86"/>
  <c r="N16" i="86"/>
  <c r="O16" i="86"/>
  <c r="AF16" i="86"/>
  <c r="AG16" i="86"/>
  <c r="M16" i="86"/>
  <c r="N15" i="86"/>
  <c r="O15" i="86"/>
  <c r="AF15" i="86"/>
  <c r="AG15" i="86"/>
  <c r="M15" i="86"/>
  <c r="N14" i="86"/>
  <c r="O14" i="86"/>
  <c r="AF14" i="86"/>
  <c r="AG14" i="86"/>
  <c r="M14" i="86"/>
  <c r="N20" i="86"/>
  <c r="O20" i="86"/>
  <c r="AF20" i="86"/>
  <c r="AG20" i="86"/>
  <c r="M20" i="86"/>
  <c r="N19" i="86"/>
  <c r="O19" i="86"/>
  <c r="AF19" i="86"/>
  <c r="AG19" i="86"/>
  <c r="M19" i="86"/>
  <c r="N18" i="86"/>
  <c r="O18" i="86"/>
  <c r="AF18" i="86"/>
  <c r="AG18" i="86"/>
  <c r="M18" i="86"/>
  <c r="N13" i="86"/>
  <c r="O13" i="86"/>
  <c r="AF13" i="86"/>
  <c r="AG13" i="86"/>
  <c r="M13" i="86"/>
  <c r="K33" i="86"/>
  <c r="K35" i="86"/>
  <c r="N5" i="86"/>
  <c r="O5" i="86"/>
  <c r="AF5" i="86"/>
  <c r="N6" i="86"/>
  <c r="O6" i="86"/>
  <c r="AF6" i="86"/>
  <c r="N7" i="86"/>
  <c r="O7" i="86"/>
  <c r="AF7" i="86"/>
  <c r="N8" i="86"/>
  <c r="O8" i="86"/>
  <c r="AF8" i="86"/>
  <c r="N9" i="86"/>
  <c r="O9" i="86"/>
  <c r="AF9" i="86"/>
  <c r="N10" i="86"/>
  <c r="O10" i="86"/>
  <c r="AF10" i="86"/>
  <c r="N11" i="86"/>
  <c r="O11" i="86"/>
  <c r="AF11" i="86"/>
  <c r="N12" i="86"/>
  <c r="O12" i="86"/>
  <c r="AF12" i="86"/>
  <c r="N21" i="86"/>
  <c r="O21" i="86"/>
  <c r="AF21" i="86"/>
  <c r="AF23" i="86"/>
  <c r="AF25" i="86"/>
  <c r="J23" i="86"/>
  <c r="K23" i="86"/>
  <c r="K25" i="86"/>
  <c r="AG21" i="86"/>
  <c r="N22" i="86"/>
  <c r="O22" i="86"/>
  <c r="AF22" i="86"/>
  <c r="AG22" i="86"/>
  <c r="AG23" i="86"/>
  <c r="AE23" i="86"/>
  <c r="AD23" i="86"/>
  <c r="AC23" i="86"/>
  <c r="AB23" i="86"/>
  <c r="AA23" i="86"/>
  <c r="Z23" i="86"/>
  <c r="Y23" i="86"/>
  <c r="X23" i="86"/>
  <c r="W23" i="86"/>
  <c r="U23" i="86"/>
  <c r="T23" i="86"/>
  <c r="S23" i="86"/>
  <c r="R23" i="86"/>
  <c r="Q23" i="86"/>
  <c r="P23" i="86"/>
  <c r="O23" i="86"/>
  <c r="N23" i="86"/>
  <c r="M5" i="86"/>
  <c r="M6" i="86"/>
  <c r="M7" i="86"/>
  <c r="M8" i="86"/>
  <c r="M9" i="86"/>
  <c r="M10" i="86"/>
  <c r="M11" i="86"/>
  <c r="M12" i="86"/>
  <c r="M21" i="86"/>
  <c r="M23" i="86"/>
  <c r="L23" i="86"/>
  <c r="I23" i="86"/>
  <c r="M22" i="86"/>
  <c r="AG12" i="86"/>
  <c r="AG11" i="86"/>
  <c r="AG10" i="86"/>
  <c r="AG9" i="86"/>
  <c r="AG8" i="86"/>
  <c r="AG7" i="86"/>
  <c r="AG6" i="86"/>
  <c r="AG5" i="86"/>
  <c r="K25" i="85"/>
  <c r="K9" i="85"/>
  <c r="K22" i="85"/>
  <c r="N10" i="85"/>
  <c r="O10" i="85"/>
  <c r="AF10" i="85"/>
  <c r="AG10" i="85"/>
  <c r="M10" i="85"/>
  <c r="N9" i="85"/>
  <c r="O9" i="85"/>
  <c r="AF9" i="85"/>
  <c r="AG9" i="85"/>
  <c r="M9" i="85"/>
  <c r="N8" i="85"/>
  <c r="O8" i="85"/>
  <c r="AF8" i="85"/>
  <c r="AG8" i="85"/>
  <c r="M8" i="85"/>
  <c r="N7" i="85"/>
  <c r="O7" i="85"/>
  <c r="AF7" i="85"/>
  <c r="AG7" i="85"/>
  <c r="M7" i="85"/>
  <c r="K24" i="85"/>
  <c r="K26" i="85"/>
  <c r="K28" i="85"/>
  <c r="N5" i="85"/>
  <c r="O5" i="85"/>
  <c r="AF5" i="85"/>
  <c r="N6" i="85"/>
  <c r="O6" i="85"/>
  <c r="AF6" i="85"/>
  <c r="N11" i="85"/>
  <c r="O11" i="85"/>
  <c r="AF11" i="85"/>
  <c r="N12" i="85"/>
  <c r="O12" i="85"/>
  <c r="AF12" i="85"/>
  <c r="N13" i="85"/>
  <c r="O13" i="85"/>
  <c r="AF13" i="85"/>
  <c r="N14" i="85"/>
  <c r="O14" i="85"/>
  <c r="AF14" i="85"/>
  <c r="AF16" i="85"/>
  <c r="AF18" i="85"/>
  <c r="H16" i="85"/>
  <c r="J16" i="85"/>
  <c r="K16" i="85"/>
  <c r="K18" i="85"/>
  <c r="AG14" i="85"/>
  <c r="N15" i="85"/>
  <c r="O15" i="85"/>
  <c r="AF15" i="85"/>
  <c r="AG15" i="85"/>
  <c r="AG16" i="85"/>
  <c r="AE16" i="85"/>
  <c r="AD16" i="85"/>
  <c r="AC16" i="85"/>
  <c r="AB16" i="85"/>
  <c r="AA16" i="85"/>
  <c r="Z16" i="85"/>
  <c r="Y16" i="85"/>
  <c r="X16" i="85"/>
  <c r="W16" i="85"/>
  <c r="V16" i="85"/>
  <c r="U16" i="85"/>
  <c r="T16" i="85"/>
  <c r="S16" i="85"/>
  <c r="R16" i="85"/>
  <c r="Q16" i="85"/>
  <c r="P16" i="85"/>
  <c r="O16" i="85"/>
  <c r="N16" i="85"/>
  <c r="M5" i="85"/>
  <c r="M6" i="85"/>
  <c r="M11" i="85"/>
  <c r="M12" i="85"/>
  <c r="M13" i="85"/>
  <c r="M14" i="85"/>
  <c r="M16" i="85"/>
  <c r="L16" i="85"/>
  <c r="I16" i="85"/>
  <c r="M15" i="85"/>
  <c r="AG13" i="85"/>
  <c r="AG12" i="85"/>
  <c r="AG11" i="85"/>
  <c r="AG6" i="85"/>
  <c r="AG5" i="85"/>
  <c r="AF15" i="89"/>
  <c r="AG15" i="89"/>
  <c r="AG5" i="89"/>
  <c r="AF27" i="89"/>
  <c r="AF29" i="89"/>
  <c r="K25" i="98"/>
  <c r="K15" i="97"/>
  <c r="K24" i="95"/>
  <c r="K12" i="93"/>
  <c r="K21" i="90"/>
  <c r="K26" i="87"/>
  <c r="K25" i="94"/>
</calcChain>
</file>

<file path=xl/sharedStrings.xml><?xml version="1.0" encoding="utf-8"?>
<sst xmlns="http://schemas.openxmlformats.org/spreadsheetml/2006/main" count="731" uniqueCount="218">
  <si>
    <t>Petty Cash</t>
  </si>
  <si>
    <t>MISC</t>
  </si>
  <si>
    <t>EMP MEAL</t>
  </si>
  <si>
    <t>SALARIES AND WAGES</t>
  </si>
  <si>
    <t>TRANSPO</t>
  </si>
  <si>
    <t>REPAIRS AND MAINTENANCE</t>
  </si>
  <si>
    <t>OFFICE SUPPLIES</t>
  </si>
  <si>
    <t>RAW MATS BEVERAGES</t>
  </si>
  <si>
    <t>RAW MATS FOOD</t>
  </si>
  <si>
    <t>EWT</t>
  </si>
  <si>
    <t>Input VAT</t>
  </si>
  <si>
    <t>Net of VAT</t>
  </si>
  <si>
    <t>EWT Rate</t>
  </si>
  <si>
    <t>VAT 12%</t>
  </si>
  <si>
    <t>VAT Exempt</t>
  </si>
  <si>
    <t>VAT Zero-Rated</t>
  </si>
  <si>
    <t>Invalid</t>
  </si>
  <si>
    <t>Particulars</t>
  </si>
  <si>
    <t>Invoice Number</t>
  </si>
  <si>
    <t>TIN</t>
  </si>
  <si>
    <t>Payee</t>
  </si>
  <si>
    <t>PCV Number</t>
  </si>
  <si>
    <t>Date</t>
  </si>
  <si>
    <t>6102-3</t>
  </si>
  <si>
    <t>6223-2</t>
  </si>
  <si>
    <t xml:space="preserve">Petty Cash </t>
  </si>
  <si>
    <t>Address</t>
  </si>
  <si>
    <t>GUEST SUPPLIES</t>
  </si>
  <si>
    <t>PHOTOCOPY</t>
  </si>
  <si>
    <t>CO. NAME: TOSHCO INC</t>
  </si>
  <si>
    <t>PACKAGING</t>
  </si>
  <si>
    <t>DECORS</t>
  </si>
  <si>
    <t>MEDICAL SUPPLIES</t>
  </si>
  <si>
    <t>WARES AND UTENSILS</t>
  </si>
  <si>
    <t>Tube Ice</t>
  </si>
  <si>
    <t>Mejora Ferro Corp. (Ministop)</t>
  </si>
  <si>
    <t>The Landmark Corporation</t>
  </si>
  <si>
    <t>Angelo Sanchez</t>
  </si>
  <si>
    <t>Eric Labadan</t>
  </si>
  <si>
    <t>Food</t>
  </si>
  <si>
    <t>Packaging</t>
  </si>
  <si>
    <t>Transpo</t>
  </si>
  <si>
    <t>Total</t>
  </si>
  <si>
    <t>CLEANING</t>
  </si>
  <si>
    <t>Non Food</t>
  </si>
  <si>
    <t>Rustans Supercenters, Inc.</t>
  </si>
  <si>
    <t>Prepared by: Marie Sosa</t>
  </si>
  <si>
    <t>Office Warehouse Inc</t>
  </si>
  <si>
    <t>Grab Delivery</t>
  </si>
  <si>
    <t>Budget</t>
  </si>
  <si>
    <t>KITCHEN SUPPLIES</t>
  </si>
  <si>
    <t>Table Napkin</t>
  </si>
  <si>
    <t>DINING SUPPLIES</t>
  </si>
  <si>
    <t>Joyce Dino</t>
  </si>
  <si>
    <t>Half Sack Tube Ice</t>
  </si>
  <si>
    <t>Marie Sosa</t>
  </si>
  <si>
    <t>Transpo going to Makati City Hall</t>
  </si>
  <si>
    <t>For the Month Ended:  Nov 5-6 ( 5,000 Budget)</t>
  </si>
  <si>
    <t>Transpo going to Poblacion Market</t>
  </si>
  <si>
    <t>Poblacion Market</t>
  </si>
  <si>
    <t>25 kilos of Rice</t>
  </si>
  <si>
    <t>Lettuce,Corn,Ripe Mango,Tokwa</t>
  </si>
  <si>
    <t>Bean &amp; Barley Manila Corp</t>
  </si>
  <si>
    <t>Coffee Beans</t>
  </si>
  <si>
    <t>Cream Cheese,Nestle Cream,Oreo Cookie,Spaghetti,Milkmaid</t>
  </si>
  <si>
    <t>Fresh Apple</t>
  </si>
  <si>
    <t>Chocolate Chip</t>
  </si>
  <si>
    <t>Pumpkin</t>
  </si>
  <si>
    <t>For the Month Ended:  Nov 4-7 ( 5,000 Budget)</t>
  </si>
  <si>
    <t>Smart Load for Pocket Wifi</t>
  </si>
  <si>
    <t>2 cup of Rice</t>
  </si>
  <si>
    <t>Delivery Charge c/o Coffee Beans</t>
  </si>
  <si>
    <t>Baguette Bread</t>
  </si>
  <si>
    <t>Super Shopping Market Inc</t>
  </si>
  <si>
    <t>Lettuce &amp; Corn</t>
  </si>
  <si>
    <t>Anchovies,Fresh Milk</t>
  </si>
  <si>
    <t>Alcohol Spray Bottle</t>
  </si>
  <si>
    <t>Shahh Bonn Jadd Gen Merchandise</t>
  </si>
  <si>
    <t>Meal Box &amp; Packaging Materials</t>
  </si>
  <si>
    <t>Air Freshener</t>
  </si>
  <si>
    <t>Transpo purchased Packaging Materilas</t>
  </si>
  <si>
    <t>Journal Tape for POS</t>
  </si>
  <si>
    <t>Delivery Charge c/o Check payment for Whole Chicken</t>
  </si>
  <si>
    <t xml:space="preserve">Transpo Allowance </t>
  </si>
  <si>
    <t>Smart Load c/o Pocket Wifi</t>
  </si>
  <si>
    <t>Breadcrumbs.Veg Oil,Baguette Bread</t>
  </si>
  <si>
    <t>Polar Queen Waterways Inc</t>
  </si>
  <si>
    <t>Fresh Lemon, Ripe Mango &amp; Onion</t>
  </si>
  <si>
    <t>Ruel hayagan</t>
  </si>
  <si>
    <t>Taxi Fare from Landmark to Valero</t>
  </si>
  <si>
    <t>Sili Finger &amp; Baguette Bread</t>
  </si>
  <si>
    <t>For the Month Ended:  Nov 10-14 ( 18,000 Budget)</t>
  </si>
  <si>
    <t>Cerveza Negra &amp; Pomace Oil</t>
  </si>
  <si>
    <t>Brown Sugar</t>
  </si>
  <si>
    <t>PMKS Marketing</t>
  </si>
  <si>
    <t>Dona Elena Red Sauce,Fresh Milk,Spaghetti,Olive Oil,Anchovies,Molinera</t>
  </si>
  <si>
    <t>60 kilos of Whole Chicken</t>
  </si>
  <si>
    <t>For the Month Ended:  Nov 13 ( 1,971  Budget)</t>
  </si>
  <si>
    <t>Glenn Biarcal</t>
  </si>
  <si>
    <t>Transpo purchased Rice</t>
  </si>
  <si>
    <t>Guadalupe Public Market</t>
  </si>
  <si>
    <t>Lettuce</t>
  </si>
  <si>
    <t>Rice</t>
  </si>
  <si>
    <t>PCV Form &amp; POS Ribbon</t>
  </si>
  <si>
    <t>Belong Enterprises</t>
  </si>
  <si>
    <t>Vanilla Ice Cream</t>
  </si>
  <si>
    <t>White Sugar Sachet</t>
  </si>
  <si>
    <t>Loaf Bread</t>
  </si>
  <si>
    <t>Sili Finger</t>
  </si>
  <si>
    <t>Shah Bonn Jadd</t>
  </si>
  <si>
    <t>Pizza Box &amp; Canester</t>
  </si>
  <si>
    <t>Transpo &amp; Parking purchased Packaging &amp; Sili Finger</t>
  </si>
  <si>
    <t>For the Month Ended:  Nov 14-21 ( 12,000 Budget)</t>
  </si>
  <si>
    <t>Beer &amp; soda in cans</t>
  </si>
  <si>
    <t>Dark choco, cornstarch, milk, nestle cream,knorr cubes &amp; etc.</t>
  </si>
  <si>
    <t>Taxifare from landmark to valero</t>
  </si>
  <si>
    <t>Judith Meat Products</t>
  </si>
  <si>
    <t>French fries</t>
  </si>
  <si>
    <t>Alma's Cold Cuts Store</t>
  </si>
  <si>
    <t>Bacon bits, 2kilos</t>
  </si>
  <si>
    <t>AAB Baking Goods &amp; Supplies Inc.</t>
  </si>
  <si>
    <t>Bread flour and all purpose flour</t>
  </si>
  <si>
    <t>Transpo going to Marikina</t>
  </si>
  <si>
    <t>Butter, parmesan &amp; mozza cheese, veg.  &amp; corn oil, sugar, salt &amp; etc.</t>
  </si>
  <si>
    <t>Joy liquid soap &amp; scotch brite</t>
  </si>
  <si>
    <t>CLEANING SUPPLIES</t>
  </si>
  <si>
    <t>Purchased chlorine powder @ market</t>
  </si>
  <si>
    <t>Robinson's Supermarket Corp.</t>
  </si>
  <si>
    <t xml:space="preserve">Fuji apple </t>
  </si>
  <si>
    <t>French baguette bread</t>
  </si>
  <si>
    <t>Taxifare going to city hall (back &amp; forth)</t>
  </si>
  <si>
    <t>POS journal, tape, pc voucher &amp; etc</t>
  </si>
  <si>
    <t>Cleaning &amp; Office</t>
  </si>
  <si>
    <t>Budget 2</t>
  </si>
  <si>
    <t>Budget 1</t>
  </si>
  <si>
    <t>Beer &amp; Soda</t>
  </si>
  <si>
    <t>PCF</t>
  </si>
  <si>
    <t>COH</t>
  </si>
  <si>
    <t>Prepared by: Joyce Dino</t>
  </si>
  <si>
    <t>Grab Express Delivey</t>
  </si>
  <si>
    <t>Delivery fee c/o SC &amp; PCF check</t>
  </si>
  <si>
    <t>Shah Bonn Jadd Gen. Merchandise</t>
  </si>
  <si>
    <t>Canister, sauce cup, alum foil, spoon, fork &amp; paper bag</t>
  </si>
  <si>
    <t>PACKAGING SUPPLIES</t>
  </si>
  <si>
    <t>Guadalupe Wet Market</t>
  </si>
  <si>
    <t>Vida bacon (1kg)</t>
  </si>
  <si>
    <t>Transpo going to Guadalupe</t>
  </si>
  <si>
    <t>HP Ink Cartridge</t>
  </si>
  <si>
    <t>SM Hypermarket</t>
  </si>
  <si>
    <t>Ideal Pasta</t>
  </si>
  <si>
    <t>For the Month Ended:  Nov 19-21 ( 12,000 Budget for Whole Chicken &amp; Beef Shortplate)</t>
  </si>
  <si>
    <t>Whole Chicken</t>
  </si>
  <si>
    <t>Universal Finest Distribution Inc</t>
  </si>
  <si>
    <t>Beef Shortplate</t>
  </si>
  <si>
    <t>Grab Delivery Express</t>
  </si>
  <si>
    <t>Del Cgarge c/o Coffee Beans</t>
  </si>
  <si>
    <t>Lettuce,Pear &amp; Potato</t>
  </si>
  <si>
    <t>Al Queen Waterways Inc</t>
  </si>
  <si>
    <t>For the Month Ended:  Nov 23 ( 2,592  Budget)</t>
  </si>
  <si>
    <t>Gourdos Inc</t>
  </si>
  <si>
    <t>Whip Cream Charger</t>
  </si>
  <si>
    <t>Bread Flour,Fresh Milk,Mozza Cheese</t>
  </si>
  <si>
    <t>Pillow</t>
  </si>
  <si>
    <t>Pomace Oil, Breadcrumbs,Diced Tomato,Butter,Red Kidney Beans,APC</t>
  </si>
  <si>
    <t>Taxi Fare purchased Assorted Groceries</t>
  </si>
  <si>
    <t>Fuji Apple &amp; Vanilla Ice Cream</t>
  </si>
  <si>
    <t>Belong Enterprise</t>
  </si>
  <si>
    <t>Pocket Wifi Load</t>
  </si>
  <si>
    <t>Chicken Cubes,Loaf Bread,Baguette Bread</t>
  </si>
  <si>
    <t>Eric LAbadan</t>
  </si>
  <si>
    <t>Transpo purchased Packaging Materials</t>
  </si>
  <si>
    <t>Shah Bonn Enterprises</t>
  </si>
  <si>
    <t>S-750 Canester,Spoon &amp; Fork,Pizza Box</t>
  </si>
  <si>
    <t>Office Warehouse</t>
  </si>
  <si>
    <t>Anchovies</t>
  </si>
  <si>
    <t>Transpo purchased kitchen stocks</t>
  </si>
  <si>
    <t>Foodzone Inc</t>
  </si>
  <si>
    <t>Pizza Cheese</t>
  </si>
  <si>
    <t>For the Month Ended:  ( 10,000 Budget)</t>
  </si>
  <si>
    <t>San Miguel light, C. Negra &amp; soda in can</t>
  </si>
  <si>
    <t>Capri tomato, mayo, red beans, butter, longanisa, smuckers, anchovies &amp; etc.</t>
  </si>
  <si>
    <t>Green ice lettuce</t>
  </si>
  <si>
    <t>Laundry brush</t>
  </si>
  <si>
    <t>MISC.</t>
  </si>
  <si>
    <t>KFC French Fries (4kilos)</t>
  </si>
  <si>
    <t>Everlies Meat Shop</t>
  </si>
  <si>
    <t>Bacon bits</t>
  </si>
  <si>
    <t>Bread flour and all purpose flour, beryls dark choco &amp; p. sugar</t>
  </si>
  <si>
    <t>Pepperoni</t>
  </si>
  <si>
    <t>Transpo going to marikina</t>
  </si>
  <si>
    <t>For the Month Ended:  Nov 27-30 ( 10,000 Budget)</t>
  </si>
  <si>
    <t>Transpo going to guadalupe market</t>
  </si>
  <si>
    <t>Butter, marie bisquit, oreo, cream cheese, nestle cream, oil, pasta &amp; etc.</t>
  </si>
  <si>
    <t>c/o change of pcf last week</t>
  </si>
  <si>
    <t>For the Month Ended:  Nov 30-Dec. 3</t>
  </si>
  <si>
    <t xml:space="preserve">PKMS </t>
  </si>
  <si>
    <t>Additional payment for whole chicken</t>
  </si>
  <si>
    <t>Polar Queen Waterwasy Inc.</t>
  </si>
  <si>
    <t>Tube Ice/ half sack</t>
  </si>
  <si>
    <t>French Baguette &amp; cervesa negra</t>
  </si>
  <si>
    <t>Guadalupe Market</t>
  </si>
  <si>
    <t>25 kilos Rice</t>
  </si>
  <si>
    <t>Transpo going to guadalupe</t>
  </si>
  <si>
    <t>Triple T3 General Merchandising</t>
  </si>
  <si>
    <t>Pork belly (for spareribs)</t>
  </si>
  <si>
    <t>Transpo going to Mandaluyong</t>
  </si>
  <si>
    <t>T. Napkin &amp; Baguette</t>
  </si>
  <si>
    <t>TOSH MOA</t>
  </si>
  <si>
    <t>Nacho/ 1 box</t>
  </si>
  <si>
    <t>Lettuce, pears &amp; corn</t>
  </si>
  <si>
    <t>F. Milk, soysauce,spaghetti &amp; ketchup</t>
  </si>
  <si>
    <t>For the Month Ended:  Nov 26</t>
  </si>
  <si>
    <t>Load for GCASH number</t>
  </si>
  <si>
    <t>Harrys Liquor Mart</t>
  </si>
  <si>
    <t>White &amp; Red Whine, Grenadine</t>
  </si>
  <si>
    <t>Transpo purchased Wine</t>
  </si>
  <si>
    <t>San Mig Light</t>
  </si>
  <si>
    <t>Graham Crackers &amp; 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</si>
</sst>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[$-409]d\-mmm\-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0">
    <xf numFmtId="0" fontId="0" fillId="0" borderId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15" applyFont="1" applyFill="1"/>
    <xf numFmtId="43" fontId="2" fillId="0" borderId="0" xfId="2" applyFont="1" applyFill="1"/>
    <xf numFmtId="9" fontId="2" fillId="0" borderId="0" xfId="29" applyFont="1" applyFill="1" applyAlignment="1">
      <alignment horizontal="center"/>
    </xf>
    <xf numFmtId="0" fontId="2" fillId="0" borderId="0" xfId="15" applyFont="1" applyFill="1" applyAlignment="1">
      <alignment horizontal="center"/>
    </xf>
    <xf numFmtId="0" fontId="2" fillId="0" borderId="0" xfId="15" applyFont="1" applyFill="1" applyAlignment="1">
      <alignment horizontal="left"/>
    </xf>
    <xf numFmtId="0" fontId="2" fillId="0" borderId="0" xfId="15" applyNumberFormat="1" applyFont="1" applyFill="1" applyAlignment="1">
      <alignment horizontal="center"/>
    </xf>
    <xf numFmtId="43" fontId="2" fillId="0" borderId="0" xfId="2" applyFont="1" applyFill="1" applyBorder="1"/>
    <xf numFmtId="9" fontId="2" fillId="0" borderId="0" xfId="29" applyFont="1" applyFill="1" applyBorder="1" applyAlignment="1">
      <alignment horizontal="center"/>
    </xf>
    <xf numFmtId="0" fontId="3" fillId="0" borderId="0" xfId="15" applyFont="1" applyFill="1"/>
    <xf numFmtId="0" fontId="2" fillId="0" borderId="0" xfId="15" applyFont="1" applyFill="1" applyAlignment="1">
      <alignment vertical="center" wrapText="1"/>
    </xf>
    <xf numFmtId="0" fontId="2" fillId="2" borderId="0" xfId="15" applyFont="1" applyFill="1"/>
    <xf numFmtId="164" fontId="3" fillId="0" borderId="0" xfId="15" applyNumberFormat="1" applyFont="1" applyFill="1" applyAlignment="1">
      <alignment horizontal="left"/>
    </xf>
    <xf numFmtId="0" fontId="3" fillId="0" borderId="0" xfId="15" applyNumberFormat="1" applyFont="1" applyFill="1" applyAlignment="1">
      <alignment horizontal="left"/>
    </xf>
    <xf numFmtId="49" fontId="3" fillId="0" borderId="0" xfId="15" applyNumberFormat="1" applyFont="1" applyFill="1"/>
    <xf numFmtId="0" fontId="7" fillId="0" borderId="0" xfId="2" applyNumberFormat="1" applyFont="1" applyFill="1" applyAlignment="1">
      <alignment horizontal="center"/>
    </xf>
    <xf numFmtId="164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NumberFormat="1" applyFont="1" applyFill="1" applyBorder="1" applyAlignment="1">
      <alignment horizontal="center" vertical="center" wrapText="1"/>
    </xf>
    <xf numFmtId="0" fontId="3" fillId="0" borderId="3" xfId="15" applyFont="1" applyFill="1" applyBorder="1" applyAlignment="1">
      <alignment horizontal="center" vertical="center" wrapText="1"/>
    </xf>
    <xf numFmtId="9" fontId="3" fillId="0" borderId="3" xfId="29" applyFont="1" applyFill="1" applyBorder="1" applyAlignment="1">
      <alignment horizontal="center" vertical="center" wrapText="1"/>
    </xf>
    <xf numFmtId="43" fontId="3" fillId="0" borderId="3" xfId="2" applyFont="1" applyFill="1" applyBorder="1" applyAlignment="1">
      <alignment horizontal="center" vertical="center" wrapText="1"/>
    </xf>
    <xf numFmtId="43" fontId="3" fillId="0" borderId="6" xfId="2" applyFont="1" applyFill="1" applyBorder="1" applyAlignment="1">
      <alignment horizontal="center" vertical="center" wrapText="1"/>
    </xf>
    <xf numFmtId="43" fontId="3" fillId="0" borderId="2" xfId="2" applyFont="1" applyFill="1" applyBorder="1" applyAlignment="1">
      <alignment horizontal="center" vertical="center" wrapText="1"/>
    </xf>
    <xf numFmtId="43" fontId="3" fillId="0" borderId="7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2" xfId="15" applyFont="1" applyFill="1" applyBorder="1" applyAlignment="1">
      <alignment horizontal="center" vertical="center" wrapText="1"/>
    </xf>
    <xf numFmtId="43" fontId="2" fillId="2" borderId="2" xfId="2" applyFont="1" applyFill="1" applyBorder="1" applyAlignment="1">
      <alignment wrapText="1"/>
    </xf>
    <xf numFmtId="43" fontId="2" fillId="2" borderId="0" xfId="15" applyNumberFormat="1" applyFont="1" applyFill="1" applyAlignment="1">
      <alignment wrapText="1"/>
    </xf>
    <xf numFmtId="0" fontId="2" fillId="2" borderId="4" xfId="15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/>
    </xf>
    <xf numFmtId="49" fontId="2" fillId="2" borderId="2" xfId="15" applyNumberFormat="1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/>
    </xf>
    <xf numFmtId="9" fontId="2" fillId="2" borderId="2" xfId="29" applyFont="1" applyFill="1" applyBorder="1" applyAlignment="1">
      <alignment horizontal="center"/>
    </xf>
    <xf numFmtId="43" fontId="2" fillId="2" borderId="2" xfId="2" applyFont="1" applyFill="1" applyBorder="1"/>
    <xf numFmtId="43" fontId="2" fillId="2" borderId="5" xfId="2" applyFont="1" applyFill="1" applyBorder="1"/>
    <xf numFmtId="0" fontId="2" fillId="2" borderId="2" xfId="0" applyFont="1" applyFill="1" applyBorder="1" applyAlignment="1">
      <alignment horizontal="center" vertical="center"/>
    </xf>
    <xf numFmtId="43" fontId="2" fillId="0" borderId="2" xfId="2" applyFont="1" applyFill="1" applyBorder="1"/>
    <xf numFmtId="43" fontId="3" fillId="2" borderId="2" xfId="2" applyFont="1" applyFill="1" applyBorder="1"/>
    <xf numFmtId="164" fontId="3" fillId="0" borderId="1" xfId="15" applyNumberFormat="1" applyFont="1" applyFill="1" applyBorder="1" applyAlignment="1" applyProtection="1">
      <alignment horizontal="center"/>
      <protection locked="0"/>
    </xf>
    <xf numFmtId="0" fontId="3" fillId="0" borderId="1" xfId="15" applyNumberFormat="1" applyFont="1" applyFill="1" applyBorder="1" applyAlignment="1" applyProtection="1">
      <alignment horizontal="left"/>
      <protection locked="0"/>
    </xf>
    <xf numFmtId="0" fontId="3" fillId="0" borderId="1" xfId="15" applyFont="1" applyFill="1" applyBorder="1"/>
    <xf numFmtId="0" fontId="3" fillId="0" borderId="1" xfId="15" applyFont="1" applyFill="1" applyBorder="1" applyAlignment="1">
      <alignment horizontal="left"/>
    </xf>
    <xf numFmtId="0" fontId="3" fillId="0" borderId="1" xfId="15" applyFont="1" applyFill="1" applyBorder="1" applyAlignment="1">
      <alignment horizontal="center"/>
    </xf>
    <xf numFmtId="43" fontId="3" fillId="0" borderId="1" xfId="1" applyFont="1" applyFill="1" applyBorder="1"/>
    <xf numFmtId="43" fontId="8" fillId="0" borderId="0" xfId="2" applyFont="1" applyFill="1" applyBorder="1"/>
    <xf numFmtId="43" fontId="8" fillId="0" borderId="0" xfId="2" applyFont="1" applyFill="1"/>
    <xf numFmtId="0" fontId="9" fillId="0" borderId="0" xfId="15" applyFont="1" applyFill="1"/>
    <xf numFmtId="43" fontId="3" fillId="0" borderId="0" xfId="2" applyFont="1" applyFill="1" applyBorder="1" applyAlignment="1"/>
    <xf numFmtId="43" fontId="1" fillId="0" borderId="0" xfId="2" applyFont="1" applyFill="1"/>
    <xf numFmtId="43" fontId="1" fillId="0" borderId="0" xfId="2" applyFont="1" applyFill="1" applyBorder="1"/>
    <xf numFmtId="43" fontId="1" fillId="0" borderId="0" xfId="2" applyFont="1" applyFill="1" applyBorder="1" applyAlignment="1"/>
    <xf numFmtId="0" fontId="10" fillId="0" borderId="0" xfId="15" applyFont="1" applyFill="1"/>
    <xf numFmtId="43" fontId="10" fillId="0" borderId="0" xfId="2" applyFont="1" applyFill="1" applyBorder="1"/>
    <xf numFmtId="43" fontId="8" fillId="2" borderId="0" xfId="2" applyFont="1" applyFill="1"/>
    <xf numFmtId="0" fontId="8" fillId="2" borderId="0" xfId="15" applyFont="1" applyFill="1"/>
    <xf numFmtId="43" fontId="2" fillId="2" borderId="0" xfId="2" applyFont="1" applyFill="1"/>
    <xf numFmtId="164" fontId="2" fillId="0" borderId="3" xfId="15" applyNumberFormat="1" applyFont="1" applyFill="1" applyBorder="1" applyAlignment="1">
      <alignment horizontal="center" vertical="center" wrapText="1"/>
    </xf>
    <xf numFmtId="0" fontId="2" fillId="0" borderId="3" xfId="15" applyFont="1" applyFill="1" applyBorder="1" applyAlignment="1">
      <alignment horizontal="center" vertical="center" wrapText="1"/>
    </xf>
    <xf numFmtId="9" fontId="2" fillId="0" borderId="3" xfId="29" applyFont="1" applyFill="1" applyBorder="1" applyAlignment="1">
      <alignment horizontal="center" vertical="center" wrapText="1"/>
    </xf>
    <xf numFmtId="43" fontId="2" fillId="0" borderId="3" xfId="1" applyFont="1" applyFill="1" applyBorder="1" applyAlignment="1">
      <alignment horizontal="center" vertical="center" wrapText="1"/>
    </xf>
    <xf numFmtId="9" fontId="2" fillId="2" borderId="0" xfId="29" applyFont="1" applyFill="1" applyAlignment="1">
      <alignment horizontal="center"/>
    </xf>
    <xf numFmtId="43" fontId="2" fillId="2" borderId="0" xfId="2" applyFont="1" applyFill="1" applyBorder="1"/>
    <xf numFmtId="2" fontId="2" fillId="0" borderId="3" xfId="15" applyNumberFormat="1" applyFont="1" applyFill="1" applyBorder="1" applyAlignment="1">
      <alignment horizontal="center" vertical="center" wrapText="1"/>
    </xf>
    <xf numFmtId="13" fontId="2" fillId="2" borderId="5" xfId="2" applyNumberFormat="1" applyFont="1" applyFill="1" applyBorder="1"/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3" fillId="3" borderId="0" xfId="15" applyNumberFormat="1" applyFont="1" applyFill="1" applyAlignment="1">
      <alignment horizontal="left"/>
    </xf>
    <xf numFmtId="0" fontId="3" fillId="3" borderId="0" xfId="15" applyNumberFormat="1" applyFont="1" applyFill="1" applyAlignment="1">
      <alignment horizontal="left"/>
    </xf>
    <xf numFmtId="49" fontId="3" fillId="3" borderId="0" xfId="15" applyNumberFormat="1" applyFont="1" applyFill="1"/>
    <xf numFmtId="0" fontId="2" fillId="3" borderId="0" xfId="15" applyFont="1" applyFill="1" applyAlignment="1">
      <alignment horizontal="left"/>
    </xf>
    <xf numFmtId="0" fontId="2" fillId="3" borderId="0" xfId="15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3" borderId="3" xfId="15" applyNumberFormat="1" applyFont="1" applyFill="1" applyBorder="1" applyAlignment="1">
      <alignment horizontal="center" vertical="center" wrapText="1"/>
    </xf>
    <xf numFmtId="0" fontId="3" fillId="3" borderId="3" xfId="15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3" borderId="3" xfId="15" applyFont="1" applyFill="1" applyBorder="1" applyAlignment="1">
      <alignment horizontal="center" vertical="center" wrapText="1"/>
    </xf>
    <xf numFmtId="0" fontId="2" fillId="3" borderId="3" xfId="15" applyFont="1" applyFill="1" applyBorder="1" applyAlignment="1">
      <alignment horizontal="center" vertical="center" wrapText="1"/>
    </xf>
    <xf numFmtId="43" fontId="2" fillId="3" borderId="3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43" fontId="2" fillId="3" borderId="0" xfId="15" applyNumberFormat="1" applyFont="1" applyFill="1"/>
    <xf numFmtId="164" fontId="2" fillId="0" borderId="0" xfId="15" applyNumberFormat="1" applyFont="1" applyFill="1" applyAlignment="1">
      <alignment horizontal="center"/>
    </xf>
    <xf numFmtId="0" fontId="2" fillId="0" borderId="2" xfId="15" applyFont="1" applyFill="1" applyBorder="1" applyAlignment="1">
      <alignment horizontal="center" vertical="center" wrapText="1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164" fontId="2" fillId="0" borderId="0" xfId="15" applyNumberFormat="1" applyFont="1" applyFill="1" applyAlignment="1">
      <alignment horizontal="center"/>
    </xf>
    <xf numFmtId="43" fontId="2" fillId="0" borderId="0" xfId="15" applyNumberFormat="1" applyFont="1" applyFill="1" applyAlignment="1">
      <alignment vertical="center" wrapText="1"/>
    </xf>
  </cellXfs>
  <cellStyles count="30">
    <cellStyle name="Comma" xfId="1" builtinId="3"/>
    <cellStyle name="Comma 10" xfId="2" xr:uid="{00000000-0005-0000-0000-000001000000}"/>
    <cellStyle name="Comma 11" xfId="3" xr:uid="{00000000-0005-0000-0000-000002000000}"/>
    <cellStyle name="Comma 11 3" xfId="4" xr:uid="{00000000-0005-0000-0000-000003000000}"/>
    <cellStyle name="Comma 11 4" xfId="5" xr:uid="{00000000-0005-0000-0000-000004000000}"/>
    <cellStyle name="Comma 11 5" xfId="6" xr:uid="{00000000-0005-0000-0000-000005000000}"/>
    <cellStyle name="Comma 11 5 2" xfId="7" xr:uid="{00000000-0005-0000-0000-000006000000}"/>
    <cellStyle name="Comma 2" xfId="8" xr:uid="{00000000-0005-0000-0000-000007000000}"/>
    <cellStyle name="Comma 2 2" xfId="9" xr:uid="{00000000-0005-0000-0000-000008000000}"/>
    <cellStyle name="Comma 2 2 2" xfId="10" xr:uid="{00000000-0005-0000-0000-000009000000}"/>
    <cellStyle name="Comma 2 5" xfId="11" xr:uid="{00000000-0005-0000-0000-00000A000000}"/>
    <cellStyle name="Comma 3" xfId="12" xr:uid="{00000000-0005-0000-0000-00000B000000}"/>
    <cellStyle name="Comma 4 2 2" xfId="13" xr:uid="{00000000-0005-0000-0000-00000C000000}"/>
    <cellStyle name="Excel Built-in Normal" xfId="14" xr:uid="{00000000-0005-0000-0000-00000D000000}"/>
    <cellStyle name="Normal" xfId="0" builtinId="0"/>
    <cellStyle name="Normal 10" xfId="15" xr:uid="{00000000-0005-0000-0000-00000F000000}"/>
    <cellStyle name="Normal 2" xfId="16" xr:uid="{00000000-0005-0000-0000-000010000000}"/>
    <cellStyle name="Normal 2 2" xfId="17" xr:uid="{00000000-0005-0000-0000-000011000000}"/>
    <cellStyle name="Normal 32" xfId="18" xr:uid="{00000000-0005-0000-0000-000012000000}"/>
    <cellStyle name="Normal 33" xfId="19" xr:uid="{00000000-0005-0000-0000-000013000000}"/>
    <cellStyle name="Normal 34" xfId="20" xr:uid="{00000000-0005-0000-0000-000014000000}"/>
    <cellStyle name="Normal 35" xfId="21" xr:uid="{00000000-0005-0000-0000-000015000000}"/>
    <cellStyle name="Normal 36" xfId="22" xr:uid="{00000000-0005-0000-0000-000016000000}"/>
    <cellStyle name="Normal 37" xfId="23" xr:uid="{00000000-0005-0000-0000-000017000000}"/>
    <cellStyle name="Normal 7 3" xfId="24" xr:uid="{00000000-0005-0000-0000-000018000000}"/>
    <cellStyle name="Normal 7 4" xfId="25" xr:uid="{00000000-0005-0000-0000-000019000000}"/>
    <cellStyle name="Normal 7 5" xfId="26" xr:uid="{00000000-0005-0000-0000-00001A000000}"/>
    <cellStyle name="Normal 8" xfId="27" xr:uid="{00000000-0005-0000-0000-00001B000000}"/>
    <cellStyle name="Normal 9" xfId="28" xr:uid="{00000000-0005-0000-0000-00001C000000}"/>
    <cellStyle name="Percent 2" xfId="29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Ortigas\Ortigas%202006\Ortigas%20May\05%20SALES%20RECO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ecy\AppData\Local\Temp\GALLERIA%20-%20SALES%20(Feb'07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osh%20april%202006\ortigas\04%20SALES%20RECOR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>
        <row r="25">
          <cell r="D25" t="str">
            <v>GUY</v>
          </cell>
        </row>
        <row r="26">
          <cell r="D26" t="str">
            <v>RECEL</v>
          </cell>
        </row>
        <row r="27">
          <cell r="D27" t="str">
            <v>BABZIE</v>
          </cell>
        </row>
        <row r="28">
          <cell r="D28" t="str">
            <v>CREZY</v>
          </cell>
        </row>
        <row r="29">
          <cell r="D29" t="str">
            <v>OWEN</v>
          </cell>
        </row>
        <row r="30">
          <cell r="D30" t="str">
            <v>ALFONZO</v>
          </cell>
        </row>
        <row r="31">
          <cell r="D31" t="str">
            <v>ANNABELLE</v>
          </cell>
        </row>
        <row r="32">
          <cell r="D32" t="str">
            <v>OBET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ny Setup"/>
      <sheetName val="OC Setup"/>
      <sheetName val="Summary"/>
      <sheetName val="Royalty"/>
      <sheetName val="Marketing"/>
      <sheetName val="Cashier Report"/>
      <sheetName val="Sales Voucher"/>
    </sheetNames>
    <sheetDataSet>
      <sheetData sheetId="0">
        <row r="3">
          <cell r="K3">
            <v>2007</v>
          </cell>
        </row>
        <row r="5">
          <cell r="K5" t="str">
            <v>FEBRUARY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OYALTY old"/>
      <sheetName val="Error Detection"/>
      <sheetName val="ROYALTY"/>
      <sheetName val="MARKETING old"/>
      <sheetName val="MARKETING"/>
      <sheetName val="1-15 Sales"/>
      <sheetName val="16-31 Sales"/>
      <sheetName val="SUMMARY"/>
      <sheetName val="1-15 SC sched"/>
      <sheetName val="SC Summary 1-15"/>
      <sheetName val="1-15 SC report"/>
      <sheetName val="16-31 SC sched"/>
      <sheetName val="Bank 1-15"/>
      <sheetName val="SC Summary 16-31"/>
      <sheetName val="16-31 SC report"/>
      <sheetName val="Bank 16-31"/>
      <sheetName val="C1"/>
      <sheetName val="S1"/>
      <sheetName val="C2"/>
      <sheetName val="S2"/>
      <sheetName val="C3"/>
      <sheetName val="S3"/>
      <sheetName val="C4"/>
      <sheetName val="S4"/>
      <sheetName val="C5"/>
      <sheetName val="S5"/>
      <sheetName val="C6"/>
      <sheetName val="S6"/>
      <sheetName val="C7"/>
      <sheetName val="S7"/>
      <sheetName val="C8"/>
      <sheetName val="S8"/>
      <sheetName val="C9"/>
      <sheetName val="S9"/>
      <sheetName val="C10"/>
      <sheetName val="S10"/>
      <sheetName val="C11"/>
      <sheetName val="S11"/>
      <sheetName val="C12"/>
      <sheetName val="S12"/>
      <sheetName val="C13"/>
      <sheetName val="S13"/>
      <sheetName val="C14"/>
      <sheetName val="S14"/>
      <sheetName val="C15"/>
      <sheetName val="S15"/>
      <sheetName val="C16"/>
      <sheetName val="S16"/>
      <sheetName val="C17"/>
      <sheetName val="S17"/>
      <sheetName val="C18"/>
      <sheetName val="S18"/>
      <sheetName val="C19"/>
      <sheetName val="S19"/>
      <sheetName val="C20"/>
      <sheetName val="S20"/>
      <sheetName val="C21"/>
      <sheetName val="S21"/>
      <sheetName val="C22"/>
      <sheetName val="S22"/>
      <sheetName val="C23"/>
      <sheetName val="S23"/>
      <sheetName val="C24"/>
      <sheetName val="S24"/>
      <sheetName val="C25"/>
      <sheetName val="S25"/>
      <sheetName val="C26"/>
      <sheetName val="S26"/>
      <sheetName val="C27"/>
      <sheetName val="S27"/>
      <sheetName val="C28"/>
      <sheetName val="S28"/>
      <sheetName val="C29"/>
      <sheetName val="S29"/>
      <sheetName val="C30"/>
      <sheetName val="S30"/>
      <sheetName val="C31"/>
      <sheetName val="S31"/>
      <sheetName val="SALL"/>
    </sheetNames>
    <sheetDataSet>
      <sheetData sheetId="0" refreshError="1">
        <row r="25">
          <cell r="F25">
            <v>2500</v>
          </cell>
        </row>
        <row r="26">
          <cell r="F26">
            <v>1000</v>
          </cell>
        </row>
        <row r="27">
          <cell r="F27">
            <v>500</v>
          </cell>
        </row>
        <row r="28">
          <cell r="F28">
            <v>500</v>
          </cell>
        </row>
        <row r="29">
          <cell r="F29">
            <v>500</v>
          </cell>
        </row>
        <row r="30">
          <cell r="F30">
            <v>500</v>
          </cell>
        </row>
        <row r="31">
          <cell r="F3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workbookViewId="0">
      <selection activeCell="AH12" sqref="AH5:AH12"/>
    </sheetView>
  </sheetViews>
  <sheetFormatPr defaultRowHeight="11.25" x14ac:dyDescent="0.2"/>
  <cols>
    <col min="1" max="1" width="8.140625" style="6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hidden="1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57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31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40490</v>
      </c>
      <c r="B5" s="17"/>
      <c r="C5" s="24" t="s">
        <v>37</v>
      </c>
      <c r="D5" s="18"/>
      <c r="E5" s="18"/>
      <c r="F5" s="57"/>
      <c r="G5" s="57" t="s">
        <v>58</v>
      </c>
      <c r="H5" s="59">
        <v>50</v>
      </c>
      <c r="I5" s="57"/>
      <c r="J5" s="59"/>
      <c r="K5" s="59"/>
      <c r="L5" s="58"/>
      <c r="M5" s="26">
        <f t="shared" ref="M5:M14" si="0">SUM(H5:J5,K5/1.12)</f>
        <v>50</v>
      </c>
      <c r="N5" s="26">
        <f t="shared" ref="N5:N14" si="1">K5/1.12*0.12</f>
        <v>0</v>
      </c>
      <c r="O5" s="26">
        <f t="shared" ref="O5:O14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/>
      <c r="Z5" s="33"/>
      <c r="AA5" s="33">
        <v>50</v>
      </c>
      <c r="AB5" s="34"/>
      <c r="AC5" s="34"/>
      <c r="AD5" s="33"/>
      <c r="AE5" s="33"/>
      <c r="AF5" s="26">
        <f t="shared" ref="AF5:AF13" si="3">-SUM(N5:AE5)</f>
        <v>-50</v>
      </c>
      <c r="AG5" s="27">
        <f t="shared" ref="AG5:AG15" si="4">SUM(H5:K5)+AF5+O5</f>
        <v>0</v>
      </c>
      <c r="AH5" s="87">
        <f>-AF5</f>
        <v>50</v>
      </c>
    </row>
    <row r="6" spans="1:34" s="10" customFormat="1" ht="19.5" customHeight="1" x14ac:dyDescent="0.2">
      <c r="A6" s="56">
        <v>40487</v>
      </c>
      <c r="B6" s="17"/>
      <c r="C6" s="57" t="s">
        <v>59</v>
      </c>
      <c r="D6" s="18"/>
      <c r="E6" s="18"/>
      <c r="F6" s="57"/>
      <c r="G6" s="57" t="s">
        <v>60</v>
      </c>
      <c r="H6" s="57"/>
      <c r="I6" s="57"/>
      <c r="J6" s="59">
        <v>1150</v>
      </c>
      <c r="K6" s="59"/>
      <c r="L6" s="58"/>
      <c r="M6" s="26">
        <f t="shared" si="0"/>
        <v>1150</v>
      </c>
      <c r="N6" s="26">
        <f t="shared" si="1"/>
        <v>0</v>
      </c>
      <c r="O6" s="26">
        <f t="shared" si="2"/>
        <v>0</v>
      </c>
      <c r="P6" s="26">
        <v>1150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-1150</v>
      </c>
      <c r="AG6" s="27">
        <f t="shared" si="4"/>
        <v>0</v>
      </c>
      <c r="AH6" s="87">
        <f t="shared" ref="AH6:AH12" si="5">-AF6</f>
        <v>1150</v>
      </c>
    </row>
    <row r="7" spans="1:34" s="10" customFormat="1" ht="19.5" customHeight="1" x14ac:dyDescent="0.2">
      <c r="A7" s="56">
        <v>40487</v>
      </c>
      <c r="B7" s="17"/>
      <c r="C7" s="57" t="s">
        <v>59</v>
      </c>
      <c r="D7" s="18"/>
      <c r="E7" s="18"/>
      <c r="F7" s="57"/>
      <c r="G7" s="57" t="s">
        <v>61</v>
      </c>
      <c r="H7" s="57"/>
      <c r="I7" s="57"/>
      <c r="J7" s="59">
        <v>455</v>
      </c>
      <c r="K7" s="59"/>
      <c r="L7" s="58"/>
      <c r="M7" s="26">
        <f t="shared" ref="M7:M10" si="6">SUM(H7:J7,K7/1.12)</f>
        <v>455</v>
      </c>
      <c r="N7" s="26">
        <f t="shared" ref="N7:N10" si="7">K7/1.12*0.12</f>
        <v>0</v>
      </c>
      <c r="O7" s="26">
        <f t="shared" ref="O7:O10" si="8">-SUM(I7:J7,K7/1.12)*L7</f>
        <v>0</v>
      </c>
      <c r="P7" s="26">
        <v>455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ref="AF7:AF10" si="9">-SUM(N7:AE7)</f>
        <v>-455</v>
      </c>
      <c r="AG7" s="27">
        <f t="shared" ref="AG7:AG10" si="10">SUM(H7:K7)+AF7+O7</f>
        <v>0</v>
      </c>
      <c r="AH7" s="87">
        <f t="shared" si="5"/>
        <v>455</v>
      </c>
    </row>
    <row r="8" spans="1:34" s="10" customFormat="1" ht="19.5" customHeight="1" x14ac:dyDescent="0.2">
      <c r="A8" s="56">
        <v>40487</v>
      </c>
      <c r="B8" s="17"/>
      <c r="C8" s="57" t="s">
        <v>62</v>
      </c>
      <c r="D8" s="18"/>
      <c r="E8" s="18"/>
      <c r="F8" s="57">
        <v>2474</v>
      </c>
      <c r="G8" s="57" t="s">
        <v>63</v>
      </c>
      <c r="H8" s="57"/>
      <c r="I8" s="57"/>
      <c r="J8" s="59">
        <v>1600</v>
      </c>
      <c r="K8" s="59"/>
      <c r="L8" s="58"/>
      <c r="M8" s="26">
        <f t="shared" si="6"/>
        <v>1600</v>
      </c>
      <c r="N8" s="26">
        <f t="shared" si="7"/>
        <v>0</v>
      </c>
      <c r="O8" s="26">
        <f t="shared" si="8"/>
        <v>0</v>
      </c>
      <c r="P8" s="26">
        <v>1600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9"/>
        <v>-1600</v>
      </c>
      <c r="AG8" s="27">
        <f t="shared" si="10"/>
        <v>0</v>
      </c>
      <c r="AH8" s="87">
        <f t="shared" si="5"/>
        <v>1600</v>
      </c>
    </row>
    <row r="9" spans="1:34" s="10" customFormat="1" ht="19.5" customHeight="1" x14ac:dyDescent="0.2">
      <c r="A9" s="56">
        <v>40487</v>
      </c>
      <c r="B9" s="17"/>
      <c r="C9" s="24" t="s">
        <v>36</v>
      </c>
      <c r="D9" s="18"/>
      <c r="E9" s="18"/>
      <c r="F9" s="57">
        <v>243012</v>
      </c>
      <c r="G9" s="57" t="s">
        <v>64</v>
      </c>
      <c r="H9" s="57"/>
      <c r="I9" s="57"/>
      <c r="J9" s="59"/>
      <c r="K9" s="59">
        <f>1444.2+173.3</f>
        <v>1617.5</v>
      </c>
      <c r="L9" s="58"/>
      <c r="M9" s="26">
        <f t="shared" si="6"/>
        <v>1444.1964285714284</v>
      </c>
      <c r="N9" s="26">
        <f t="shared" si="7"/>
        <v>173.30357142857142</v>
      </c>
      <c r="O9" s="26">
        <f t="shared" si="8"/>
        <v>0</v>
      </c>
      <c r="P9" s="26">
        <v>1444.2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9"/>
        <v>-1617.5035714285714</v>
      </c>
      <c r="AG9" s="27">
        <f t="shared" si="10"/>
        <v>-3.5714285713766003E-3</v>
      </c>
      <c r="AH9" s="87">
        <f t="shared" si="5"/>
        <v>1617.5035714285714</v>
      </c>
    </row>
    <row r="10" spans="1:34" s="10" customFormat="1" ht="21" customHeight="1" x14ac:dyDescent="0.2">
      <c r="A10" s="56">
        <v>40487</v>
      </c>
      <c r="B10" s="17"/>
      <c r="C10" s="24" t="s">
        <v>36</v>
      </c>
      <c r="D10" s="18"/>
      <c r="E10" s="18"/>
      <c r="F10" s="57">
        <v>243012</v>
      </c>
      <c r="G10" s="57" t="s">
        <v>65</v>
      </c>
      <c r="H10" s="59"/>
      <c r="I10" s="57"/>
      <c r="J10" s="59">
        <v>127.5</v>
      </c>
      <c r="K10" s="59"/>
      <c r="L10" s="58"/>
      <c r="M10" s="26">
        <f t="shared" si="6"/>
        <v>127.5</v>
      </c>
      <c r="N10" s="26">
        <f t="shared" si="7"/>
        <v>0</v>
      </c>
      <c r="O10" s="26">
        <f t="shared" si="8"/>
        <v>0</v>
      </c>
      <c r="P10" s="26">
        <v>127.5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9"/>
        <v>-127.5</v>
      </c>
      <c r="AG10" s="27">
        <f t="shared" si="10"/>
        <v>0</v>
      </c>
      <c r="AH10" s="87">
        <f t="shared" si="5"/>
        <v>127.5</v>
      </c>
    </row>
    <row r="11" spans="1:34" s="10" customFormat="1" ht="18" customHeight="1" x14ac:dyDescent="0.2">
      <c r="A11" s="56">
        <v>40487</v>
      </c>
      <c r="B11" s="17"/>
      <c r="C11" s="24" t="s">
        <v>45</v>
      </c>
      <c r="D11" s="18"/>
      <c r="E11" s="18"/>
      <c r="F11" s="57">
        <v>3012</v>
      </c>
      <c r="G11" s="57" t="s">
        <v>66</v>
      </c>
      <c r="H11" s="59"/>
      <c r="I11" s="18"/>
      <c r="J11" s="18"/>
      <c r="K11" s="59">
        <v>232</v>
      </c>
      <c r="L11" s="19"/>
      <c r="M11" s="26">
        <f t="shared" si="0"/>
        <v>207.14285714285711</v>
      </c>
      <c r="N11" s="26">
        <f t="shared" si="1"/>
        <v>24.857142857142854</v>
      </c>
      <c r="O11" s="26">
        <f t="shared" si="2"/>
        <v>0</v>
      </c>
      <c r="P11" s="26">
        <v>207.14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-231.99714285714285</v>
      </c>
      <c r="AG11" s="27">
        <f t="shared" si="4"/>
        <v>2.8571428571524393E-3</v>
      </c>
      <c r="AH11" s="87">
        <f t="shared" si="5"/>
        <v>231.99714285714285</v>
      </c>
    </row>
    <row r="12" spans="1:34" s="10" customFormat="1" ht="21.75" customHeight="1" x14ac:dyDescent="0.2">
      <c r="A12" s="56">
        <v>40488</v>
      </c>
      <c r="B12" s="17"/>
      <c r="C12" s="24" t="s">
        <v>45</v>
      </c>
      <c r="D12" s="18"/>
      <c r="E12" s="18"/>
      <c r="F12" s="57">
        <v>4258</v>
      </c>
      <c r="G12" s="57" t="s">
        <v>67</v>
      </c>
      <c r="H12" s="59"/>
      <c r="I12" s="57"/>
      <c r="J12" s="57">
        <v>79.099999999999994</v>
      </c>
      <c r="K12" s="59"/>
      <c r="L12" s="19"/>
      <c r="M12" s="26">
        <f t="shared" si="0"/>
        <v>79.099999999999994</v>
      </c>
      <c r="N12" s="26">
        <f t="shared" si="1"/>
        <v>0</v>
      </c>
      <c r="O12" s="26">
        <f t="shared" si="2"/>
        <v>0</v>
      </c>
      <c r="P12" s="26">
        <v>79.099999999999994</v>
      </c>
      <c r="Q12" s="33"/>
      <c r="R12" s="33"/>
      <c r="S12" s="63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-79.099999999999994</v>
      </c>
      <c r="AG12" s="27">
        <f t="shared" si="4"/>
        <v>0</v>
      </c>
      <c r="AH12" s="87">
        <f t="shared" si="5"/>
        <v>79.099999999999994</v>
      </c>
    </row>
    <row r="13" spans="1:34" s="10" customFormat="1" ht="25.5" customHeight="1" x14ac:dyDescent="0.2">
      <c r="A13" s="56"/>
      <c r="B13" s="17"/>
      <c r="C13" s="24"/>
      <c r="D13" s="57"/>
      <c r="E13" s="57"/>
      <c r="F13" s="57"/>
      <c r="G13" s="57"/>
      <c r="H13" s="57"/>
      <c r="I13" s="57"/>
      <c r="J13" s="62"/>
      <c r="K13" s="59"/>
      <c r="L13" s="19"/>
      <c r="M13" s="26">
        <f t="shared" si="0"/>
        <v>0</v>
      </c>
      <c r="N13" s="26">
        <f t="shared" si="1"/>
        <v>0</v>
      </c>
      <c r="O13" s="26">
        <f t="shared" si="2"/>
        <v>0</v>
      </c>
      <c r="P13" s="26"/>
      <c r="Q13" s="33"/>
      <c r="R13" s="33"/>
      <c r="S13" s="34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0</v>
      </c>
      <c r="AG13" s="27">
        <f t="shared" si="4"/>
        <v>0</v>
      </c>
    </row>
    <row r="14" spans="1:34" s="11" customFormat="1" ht="23.25" customHeight="1" x14ac:dyDescent="0.2">
      <c r="A14" s="29"/>
      <c r="B14" s="30"/>
      <c r="C14" s="24"/>
      <c r="D14" s="24"/>
      <c r="E14" s="24"/>
      <c r="F14" s="25"/>
      <c r="G14" s="25"/>
      <c r="H14" s="31"/>
      <c r="I14" s="31"/>
      <c r="J14" s="31"/>
      <c r="K14" s="31"/>
      <c r="L14" s="32"/>
      <c r="M14" s="26">
        <f t="shared" si="0"/>
        <v>0</v>
      </c>
      <c r="N14" s="26">
        <f t="shared" si="1"/>
        <v>0</v>
      </c>
      <c r="O14" s="26">
        <f t="shared" si="2"/>
        <v>0</v>
      </c>
      <c r="P14" s="26"/>
      <c r="Q14" s="33"/>
      <c r="R14" s="33"/>
      <c r="S14" s="34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ref="AF14:AF15" si="11">-SUM(N14:AE14)</f>
        <v>0</v>
      </c>
      <c r="AG14" s="27">
        <f t="shared" si="4"/>
        <v>0</v>
      </c>
    </row>
    <row r="15" spans="1:34" s="11" customFormat="1" ht="12" thickBot="1" x14ac:dyDescent="0.25">
      <c r="A15" s="29"/>
      <c r="B15" s="30"/>
      <c r="C15" s="35"/>
      <c r="D15" s="35"/>
      <c r="E15" s="35"/>
      <c r="F15" s="25"/>
      <c r="G15" s="28"/>
      <c r="H15" s="31"/>
      <c r="I15" s="31"/>
      <c r="J15" s="31"/>
      <c r="K15" s="31"/>
      <c r="L15" s="32"/>
      <c r="M15" s="33">
        <f>SUM(H15:J15,K15/1.12)</f>
        <v>0</v>
      </c>
      <c r="N15" s="33">
        <f>K15/1.12*0.12</f>
        <v>0</v>
      </c>
      <c r="O15" s="33">
        <f>-SUM(I15:J15,K15/1.12)*L15</f>
        <v>0</v>
      </c>
      <c r="P15" s="33"/>
      <c r="Q15" s="33"/>
      <c r="R15" s="33"/>
      <c r="S15" s="33"/>
      <c r="T15" s="34"/>
      <c r="U15" s="43"/>
      <c r="V15" s="34"/>
      <c r="W15" s="34"/>
      <c r="X15" s="34"/>
      <c r="Y15" s="36"/>
      <c r="Z15" s="33"/>
      <c r="AA15" s="43"/>
      <c r="AB15" s="33"/>
      <c r="AC15" s="34"/>
      <c r="AD15" s="34"/>
      <c r="AE15" s="37"/>
      <c r="AF15" s="26">
        <f t="shared" si="11"/>
        <v>0</v>
      </c>
      <c r="AG15" s="27">
        <f t="shared" si="4"/>
        <v>0</v>
      </c>
    </row>
    <row r="16" spans="1:34" s="9" customFormat="1" ht="12.75" thickTop="1" thickBot="1" x14ac:dyDescent="0.25">
      <c r="A16" s="38"/>
      <c r="B16" s="39"/>
      <c r="C16" s="40"/>
      <c r="D16" s="41"/>
      <c r="E16" s="41"/>
      <c r="F16" s="42"/>
      <c r="G16" s="40"/>
      <c r="H16" s="43">
        <f>SUM(H5:H14)</f>
        <v>50</v>
      </c>
      <c r="I16" s="43">
        <f>SUM(I14:I15)</f>
        <v>0</v>
      </c>
      <c r="J16" s="43">
        <f>SUM(J5:J14)</f>
        <v>3411.6</v>
      </c>
      <c r="K16" s="43">
        <f>SUM(K5:K14)</f>
        <v>1849.5</v>
      </c>
      <c r="L16" s="43">
        <f>SUM(L14:L15)</f>
        <v>0</v>
      </c>
      <c r="M16" s="43">
        <f>SUM(M5:M14)</f>
        <v>5112.9392857142857</v>
      </c>
      <c r="N16" s="43">
        <f>SUM(N5:N14)</f>
        <v>198.16071428571428</v>
      </c>
      <c r="O16" s="43">
        <f>SUM(O14:O15)</f>
        <v>0</v>
      </c>
      <c r="P16" s="43">
        <f>SUM(P5:P14)</f>
        <v>5062.9400000000005</v>
      </c>
      <c r="Q16" s="43">
        <f>SUM(Q5:Q14)</f>
        <v>0</v>
      </c>
      <c r="R16" s="43">
        <f>SUM(R5:R14)</f>
        <v>0</v>
      </c>
      <c r="S16" s="43">
        <f>SUM(S10:S15)</f>
        <v>0</v>
      </c>
      <c r="T16" s="43">
        <f>SUM(T10:T15)</f>
        <v>0</v>
      </c>
      <c r="U16" s="43">
        <f>SUM(U10:U15)</f>
        <v>0</v>
      </c>
      <c r="V16" s="43">
        <f>SUM(V14:V15)</f>
        <v>0</v>
      </c>
      <c r="W16" s="43">
        <f>SUM(W14:W15)</f>
        <v>0</v>
      </c>
      <c r="X16" s="43">
        <f>SUM(X14:X15)</f>
        <v>0</v>
      </c>
      <c r="Y16" s="43">
        <f>SUM(Y14:Y15)</f>
        <v>0</v>
      </c>
      <c r="Z16" s="43">
        <f>SUM(Z14:Z15)</f>
        <v>0</v>
      </c>
      <c r="AA16" s="43">
        <f>SUM(AA5:AA14)</f>
        <v>50</v>
      </c>
      <c r="AB16" s="43">
        <f>SUM(AB14:AB15)</f>
        <v>0</v>
      </c>
      <c r="AC16" s="43">
        <f>SUM(AC5:AC14)</f>
        <v>0</v>
      </c>
      <c r="AD16" s="43">
        <f>SUM(AD5:AD14)</f>
        <v>0</v>
      </c>
      <c r="AE16" s="43">
        <f>SUM(AE14:AE15)</f>
        <v>0</v>
      </c>
      <c r="AF16" s="43">
        <f>SUM(AF5:AF14)</f>
        <v>-5311.1007142857143</v>
      </c>
      <c r="AG16" s="43">
        <f>SUM(AG14:AG15)</f>
        <v>0</v>
      </c>
    </row>
    <row r="17" spans="1:32" s="86" customFormat="1" ht="12" thickTop="1" x14ac:dyDescent="0.2"/>
    <row r="18" spans="1:32" ht="12" x14ac:dyDescent="0.2">
      <c r="K18" s="44">
        <f>H16+J16+K16</f>
        <v>5311.1</v>
      </c>
      <c r="L18" s="8"/>
      <c r="M18" s="7"/>
      <c r="AF18" s="45">
        <f>+AF16</f>
        <v>-5311.1007142857143</v>
      </c>
    </row>
    <row r="19" spans="1:32" ht="12" x14ac:dyDescent="0.2">
      <c r="K19" s="44"/>
      <c r="L19" s="8"/>
      <c r="M19" s="7"/>
      <c r="AF19" s="45"/>
    </row>
    <row r="20" spans="1:32" ht="12" x14ac:dyDescent="0.2">
      <c r="K20" s="44"/>
      <c r="L20" s="8"/>
      <c r="M20" s="7"/>
      <c r="AF20" s="45"/>
    </row>
    <row r="21" spans="1:32" x14ac:dyDescent="0.2">
      <c r="K21" s="7"/>
      <c r="L21" s="8"/>
      <c r="M21" s="7"/>
    </row>
    <row r="22" spans="1:32" ht="12.75" x14ac:dyDescent="0.2">
      <c r="C22" s="46" t="s">
        <v>46</v>
      </c>
      <c r="G22" s="9"/>
      <c r="J22" s="48" t="s">
        <v>39</v>
      </c>
      <c r="K22" s="50">
        <f>J6+J7+J8+K9+J10+K11+J12</f>
        <v>5261.1</v>
      </c>
      <c r="L22" s="47"/>
      <c r="M22" s="47"/>
      <c r="N22" s="45"/>
      <c r="O22" s="45"/>
      <c r="P22" s="45"/>
      <c r="Q22" s="45"/>
    </row>
    <row r="23" spans="1:32" ht="12.75" x14ac:dyDescent="0.2">
      <c r="C23" s="46"/>
      <c r="G23" s="9"/>
      <c r="J23" s="48" t="s">
        <v>44</v>
      </c>
      <c r="K23" s="50">
        <v>0</v>
      </c>
      <c r="L23" s="47"/>
      <c r="M23" s="47"/>
      <c r="N23" s="45"/>
      <c r="O23" s="45"/>
      <c r="P23" s="45"/>
      <c r="Q23" s="45"/>
    </row>
    <row r="24" spans="1:32" ht="12.75" x14ac:dyDescent="0.2">
      <c r="J24" s="48" t="s">
        <v>40</v>
      </c>
      <c r="K24" s="49">
        <f>K6</f>
        <v>0</v>
      </c>
      <c r="L24" s="8"/>
      <c r="M24" s="7"/>
    </row>
    <row r="25" spans="1:32" ht="12.75" x14ac:dyDescent="0.2">
      <c r="J25" s="48" t="s">
        <v>41</v>
      </c>
      <c r="K25" s="49">
        <f>H5</f>
        <v>50</v>
      </c>
      <c r="L25" s="8"/>
      <c r="M25" s="7"/>
    </row>
    <row r="26" spans="1:32" ht="12.75" x14ac:dyDescent="0.2">
      <c r="A26" s="1"/>
      <c r="B26" s="1"/>
      <c r="D26" s="1"/>
      <c r="E26" s="1"/>
      <c r="F26" s="1"/>
      <c r="H26" s="1"/>
      <c r="I26" s="1"/>
      <c r="J26" s="51" t="s">
        <v>42</v>
      </c>
      <c r="K26" s="52">
        <f>SUM(K22:K25)</f>
        <v>5311.1</v>
      </c>
      <c r="L26" s="8"/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Z26" s="1"/>
      <c r="AA26" s="1"/>
      <c r="AB26" s="1"/>
      <c r="AC26" s="1"/>
      <c r="AD26" s="1"/>
      <c r="AE26" s="1"/>
      <c r="AF26" s="1"/>
    </row>
    <row r="27" spans="1:32" ht="12" x14ac:dyDescent="0.2">
      <c r="J27" s="45" t="s">
        <v>49</v>
      </c>
      <c r="K27" s="45">
        <v>5000</v>
      </c>
    </row>
    <row r="28" spans="1:32" ht="12" x14ac:dyDescent="0.2">
      <c r="H28" s="53"/>
      <c r="I28" s="53"/>
      <c r="J28" s="53"/>
      <c r="K28" s="53">
        <f>K27-K26</f>
        <v>-311.10000000000036</v>
      </c>
      <c r="L28" s="60"/>
      <c r="M28" s="61"/>
    </row>
    <row r="29" spans="1:32" ht="12" x14ac:dyDescent="0.2">
      <c r="H29" s="53"/>
      <c r="I29" s="53"/>
      <c r="J29" s="53"/>
      <c r="K29" s="53"/>
    </row>
    <row r="30" spans="1:32" ht="12" x14ac:dyDescent="0.2">
      <c r="H30" s="53"/>
      <c r="I30" s="53"/>
      <c r="J30" s="53"/>
      <c r="K30" s="53"/>
    </row>
    <row r="31" spans="1:32" ht="12" x14ac:dyDescent="0.2">
      <c r="H31" s="53"/>
      <c r="I31" s="53"/>
      <c r="J31" s="53"/>
      <c r="K31" s="53"/>
    </row>
    <row r="32" spans="1:32" ht="12" x14ac:dyDescent="0.2">
      <c r="H32" s="53"/>
      <c r="I32" s="53"/>
      <c r="J32" s="53"/>
      <c r="K32" s="53"/>
    </row>
    <row r="33" spans="1:32" ht="12" x14ac:dyDescent="0.2">
      <c r="H33" s="53"/>
      <c r="I33" s="53"/>
      <c r="J33" s="53"/>
      <c r="K33" s="53"/>
      <c r="Q33" s="2">
        <v>0</v>
      </c>
    </row>
    <row r="34" spans="1:32" ht="12" x14ac:dyDescent="0.2">
      <c r="A34" s="1"/>
      <c r="B34" s="1"/>
      <c r="D34" s="1"/>
      <c r="E34" s="1"/>
      <c r="F34" s="1"/>
      <c r="H34" s="54"/>
      <c r="I34" s="54"/>
      <c r="J34" s="54"/>
      <c r="K34" s="54"/>
      <c r="L34" s="1"/>
      <c r="M34" s="1"/>
      <c r="N34" s="1"/>
      <c r="O34" s="1"/>
      <c r="P34" s="1"/>
      <c r="Q34" s="1"/>
      <c r="R34" s="1"/>
      <c r="S34" s="1"/>
      <c r="Z34" s="1"/>
      <c r="AA34" s="1"/>
      <c r="AB34" s="1"/>
      <c r="AC34" s="1"/>
      <c r="AD34" s="1"/>
      <c r="AE34" s="1"/>
      <c r="AF34" s="1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x14ac:dyDescent="0.2">
      <c r="H39" s="55"/>
      <c r="I39" s="55"/>
      <c r="J39" s="55"/>
      <c r="K39" s="55"/>
    </row>
    <row r="40" spans="1:32" x14ac:dyDescent="0.2">
      <c r="H40" s="55"/>
      <c r="I40" s="55"/>
      <c r="J40" s="55"/>
      <c r="K40" s="55"/>
    </row>
    <row r="41" spans="1:32" x14ac:dyDescent="0.2">
      <c r="A41" s="1"/>
      <c r="B41" s="1"/>
      <c r="D41" s="1"/>
      <c r="E41" s="1"/>
      <c r="F41" s="1"/>
      <c r="H41" s="55"/>
      <c r="I41" s="55"/>
      <c r="J41" s="55"/>
      <c r="K41" s="5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D42" s="1"/>
      <c r="E42" s="1"/>
      <c r="F42" s="1"/>
      <c r="H42" s="55"/>
      <c r="I42" s="55"/>
      <c r="J42" s="55"/>
      <c r="K42" s="5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D43" s="1"/>
      <c r="E43" s="1"/>
      <c r="F43" s="1"/>
      <c r="H43" s="55"/>
      <c r="I43" s="55"/>
      <c r="J43" s="55"/>
      <c r="K43" s="5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</sheetData>
  <mergeCells count="1">
    <mergeCell ref="A17:XFD17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0"/>
  <sheetViews>
    <sheetView workbookViewId="0">
      <pane ySplit="4" topLeftCell="A5" activePane="bottomLeft" state="frozen"/>
      <selection pane="bottomLeft" activeCell="AH5" sqref="AH5:AH19"/>
    </sheetView>
  </sheetViews>
  <sheetFormatPr defaultRowHeight="11.25" x14ac:dyDescent="0.2"/>
  <cols>
    <col min="1" max="1" width="8.140625" style="65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customWidth="1"/>
    <col min="21" max="21" width="9.140625" style="2" hidden="1" customWidth="1"/>
    <col min="22" max="22" width="10.5703125" style="2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68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40486</v>
      </c>
      <c r="B5" s="17"/>
      <c r="C5" s="24" t="s">
        <v>35</v>
      </c>
      <c r="D5" s="18"/>
      <c r="E5" s="18"/>
      <c r="F5" s="57">
        <v>35454</v>
      </c>
      <c r="G5" s="57" t="s">
        <v>69</v>
      </c>
      <c r="H5" s="59"/>
      <c r="I5" s="57"/>
      <c r="J5" s="59"/>
      <c r="K5" s="59">
        <v>60</v>
      </c>
      <c r="L5" s="58"/>
      <c r="M5" s="26">
        <f t="shared" ref="M5:M21" si="0">SUM(H5:J5,K5/1.12)</f>
        <v>53.571428571428569</v>
      </c>
      <c r="N5" s="26">
        <f t="shared" ref="N5:N21" si="1">K5/1.12*0.12</f>
        <v>6.4285714285714279</v>
      </c>
      <c r="O5" s="26">
        <f t="shared" ref="O5:O21" si="2">-SUM(I5:J5,K5/1.12)*L5</f>
        <v>0</v>
      </c>
      <c r="P5" s="26"/>
      <c r="Q5" s="33"/>
      <c r="R5" s="33"/>
      <c r="S5" s="34"/>
      <c r="T5" s="34">
        <v>53.57</v>
      </c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22" si="3">-SUM(N5:AE5)</f>
        <v>-59.998571428571431</v>
      </c>
      <c r="AG5" s="27">
        <f t="shared" ref="AG5:AG22" si="4">SUM(H5:K5)+AF5+O5</f>
        <v>1.4285714285691142E-3</v>
      </c>
      <c r="AH5" s="87">
        <f>-AF5</f>
        <v>59.998571428571431</v>
      </c>
    </row>
    <row r="6" spans="1:34" s="10" customFormat="1" ht="19.5" hidden="1" customHeight="1" x14ac:dyDescent="0.2">
      <c r="A6" s="56">
        <v>40487</v>
      </c>
      <c r="B6" s="17"/>
      <c r="C6" s="57" t="s">
        <v>35</v>
      </c>
      <c r="D6" s="18"/>
      <c r="E6" s="18"/>
      <c r="F6" s="57">
        <v>65654</v>
      </c>
      <c r="G6" s="57" t="s">
        <v>70</v>
      </c>
      <c r="H6" s="57"/>
      <c r="I6" s="57"/>
      <c r="J6" s="59"/>
      <c r="K6" s="59">
        <v>30</v>
      </c>
      <c r="L6" s="58"/>
      <c r="M6" s="26">
        <f t="shared" si="0"/>
        <v>26.785714285714285</v>
      </c>
      <c r="N6" s="26">
        <f t="shared" si="1"/>
        <v>3.214285714285714</v>
      </c>
      <c r="O6" s="26">
        <f t="shared" si="2"/>
        <v>0</v>
      </c>
      <c r="P6" s="26">
        <v>26.79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-30.004285714285714</v>
      </c>
      <c r="AG6" s="27">
        <f t="shared" si="4"/>
        <v>-4.2857142857144481E-3</v>
      </c>
      <c r="AH6" s="87">
        <f t="shared" ref="AH6:AH19" si="5">-AF6</f>
        <v>30.004285714285714</v>
      </c>
    </row>
    <row r="7" spans="1:34" s="10" customFormat="1" ht="19.5" hidden="1" customHeight="1" x14ac:dyDescent="0.2">
      <c r="A7" s="56">
        <v>40487</v>
      </c>
      <c r="B7" s="17"/>
      <c r="C7" s="57" t="s">
        <v>48</v>
      </c>
      <c r="D7" s="18"/>
      <c r="E7" s="18"/>
      <c r="F7" s="57"/>
      <c r="G7" s="57" t="s">
        <v>71</v>
      </c>
      <c r="H7" s="59">
        <v>130</v>
      </c>
      <c r="I7" s="57"/>
      <c r="J7" s="59"/>
      <c r="K7" s="59"/>
      <c r="L7" s="58"/>
      <c r="M7" s="26">
        <f t="shared" si="0"/>
        <v>130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>
        <v>130</v>
      </c>
      <c r="AB7" s="34"/>
      <c r="AC7" s="34"/>
      <c r="AD7" s="33"/>
      <c r="AE7" s="33"/>
      <c r="AF7" s="26">
        <f t="shared" si="3"/>
        <v>-130</v>
      </c>
      <c r="AG7" s="27">
        <f t="shared" si="4"/>
        <v>0</v>
      </c>
      <c r="AH7" s="87">
        <f t="shared" si="5"/>
        <v>130</v>
      </c>
    </row>
    <row r="8" spans="1:34" s="10" customFormat="1" ht="19.5" hidden="1" customHeight="1" x14ac:dyDescent="0.2">
      <c r="A8" s="56">
        <v>40488</v>
      </c>
      <c r="B8" s="17"/>
      <c r="C8" s="24" t="s">
        <v>45</v>
      </c>
      <c r="D8" s="18"/>
      <c r="E8" s="18"/>
      <c r="F8" s="57">
        <v>4378</v>
      </c>
      <c r="G8" s="57" t="s">
        <v>72</v>
      </c>
      <c r="H8" s="57"/>
      <c r="I8" s="57"/>
      <c r="J8" s="59"/>
      <c r="K8" s="59">
        <v>78</v>
      </c>
      <c r="L8" s="58"/>
      <c r="M8" s="26">
        <f t="shared" si="0"/>
        <v>69.642857142857139</v>
      </c>
      <c r="N8" s="26">
        <f t="shared" si="1"/>
        <v>8.3571428571428559</v>
      </c>
      <c r="O8" s="26">
        <f t="shared" si="2"/>
        <v>0</v>
      </c>
      <c r="P8" s="26">
        <v>69.64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-77.997142857142862</v>
      </c>
      <c r="AG8" s="27">
        <f t="shared" si="4"/>
        <v>2.8571428571382285E-3</v>
      </c>
      <c r="AH8" s="87">
        <f t="shared" si="5"/>
        <v>77.997142857142862</v>
      </c>
    </row>
    <row r="9" spans="1:34" s="10" customFormat="1" ht="19.5" hidden="1" customHeight="1" x14ac:dyDescent="0.2">
      <c r="A9" s="56">
        <v>40488</v>
      </c>
      <c r="B9" s="17"/>
      <c r="C9" s="24" t="s">
        <v>73</v>
      </c>
      <c r="D9" s="18"/>
      <c r="E9" s="18"/>
      <c r="F9" s="57">
        <v>10483107</v>
      </c>
      <c r="G9" s="57" t="s">
        <v>74</v>
      </c>
      <c r="H9" s="57"/>
      <c r="I9" s="57"/>
      <c r="J9" s="59">
        <v>301.77999999999997</v>
      </c>
      <c r="K9" s="59"/>
      <c r="L9" s="58"/>
      <c r="M9" s="26">
        <f t="shared" si="0"/>
        <v>301.77999999999997</v>
      </c>
      <c r="N9" s="26">
        <f t="shared" si="1"/>
        <v>0</v>
      </c>
      <c r="O9" s="26">
        <f t="shared" si="2"/>
        <v>0</v>
      </c>
      <c r="P9" s="26">
        <v>301.77999999999997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-301.77999999999997</v>
      </c>
      <c r="AG9" s="27">
        <f t="shared" si="4"/>
        <v>0</v>
      </c>
      <c r="AH9" s="87">
        <f t="shared" si="5"/>
        <v>301.77999999999997</v>
      </c>
    </row>
    <row r="10" spans="1:34" s="10" customFormat="1" ht="21" hidden="1" customHeight="1" x14ac:dyDescent="0.2">
      <c r="A10" s="56">
        <v>40488</v>
      </c>
      <c r="B10" s="17"/>
      <c r="C10" s="24" t="s">
        <v>73</v>
      </c>
      <c r="D10" s="18"/>
      <c r="E10" s="18"/>
      <c r="F10" s="57">
        <v>10483107</v>
      </c>
      <c r="G10" s="57" t="s">
        <v>75</v>
      </c>
      <c r="H10" s="59"/>
      <c r="I10" s="57"/>
      <c r="J10" s="59"/>
      <c r="K10" s="59">
        <f>87.75+373.5+143</f>
        <v>604.25</v>
      </c>
      <c r="L10" s="58"/>
      <c r="M10" s="26">
        <f t="shared" si="0"/>
        <v>539.50892857142856</v>
      </c>
      <c r="N10" s="26">
        <f t="shared" si="1"/>
        <v>64.741071428571431</v>
      </c>
      <c r="O10" s="26">
        <f t="shared" si="2"/>
        <v>0</v>
      </c>
      <c r="P10" s="26">
        <v>539.51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-604.25107142857144</v>
      </c>
      <c r="AG10" s="27">
        <f t="shared" si="4"/>
        <v>-1.0714285714357175E-3</v>
      </c>
      <c r="AH10" s="87">
        <f t="shared" si="5"/>
        <v>604.25107142857144</v>
      </c>
    </row>
    <row r="11" spans="1:34" s="10" customFormat="1" ht="18" hidden="1" customHeight="1" x14ac:dyDescent="0.2">
      <c r="A11" s="56">
        <v>40488</v>
      </c>
      <c r="B11" s="17"/>
      <c r="C11" s="24" t="s">
        <v>73</v>
      </c>
      <c r="D11" s="18"/>
      <c r="E11" s="18"/>
      <c r="F11" s="57">
        <v>10483107</v>
      </c>
      <c r="G11" s="57" t="s">
        <v>51</v>
      </c>
      <c r="H11" s="59"/>
      <c r="I11" s="18"/>
      <c r="J11" s="57">
        <v>157.75</v>
      </c>
      <c r="K11" s="59"/>
      <c r="L11" s="19"/>
      <c r="M11" s="26">
        <f t="shared" si="0"/>
        <v>157.75</v>
      </c>
      <c r="N11" s="26">
        <f t="shared" si="1"/>
        <v>0</v>
      </c>
      <c r="O11" s="26">
        <f t="shared" si="2"/>
        <v>0</v>
      </c>
      <c r="P11" s="26"/>
      <c r="Q11" s="33"/>
      <c r="R11" s="33">
        <v>157.75</v>
      </c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-157.75</v>
      </c>
      <c r="AG11" s="27">
        <f t="shared" si="4"/>
        <v>0</v>
      </c>
      <c r="AH11" s="87">
        <f t="shared" si="5"/>
        <v>157.75</v>
      </c>
    </row>
    <row r="12" spans="1:34" s="10" customFormat="1" ht="21.75" hidden="1" customHeight="1" x14ac:dyDescent="0.2">
      <c r="A12" s="56">
        <v>40488</v>
      </c>
      <c r="B12" s="17"/>
      <c r="C12" s="24" t="s">
        <v>45</v>
      </c>
      <c r="D12" s="18"/>
      <c r="E12" s="18"/>
      <c r="F12" s="57">
        <v>4377</v>
      </c>
      <c r="G12" s="57" t="s">
        <v>76</v>
      </c>
      <c r="H12" s="59"/>
      <c r="I12" s="57"/>
      <c r="J12" s="57"/>
      <c r="K12" s="59">
        <v>375</v>
      </c>
      <c r="L12" s="19"/>
      <c r="M12" s="26">
        <f t="shared" si="0"/>
        <v>334.82142857142856</v>
      </c>
      <c r="N12" s="26">
        <f t="shared" si="1"/>
        <v>40.178571428571423</v>
      </c>
      <c r="O12" s="26">
        <f t="shared" si="2"/>
        <v>0</v>
      </c>
      <c r="P12" s="26"/>
      <c r="Q12" s="33"/>
      <c r="R12" s="33"/>
      <c r="S12" s="63"/>
      <c r="T12" s="34"/>
      <c r="U12" s="34"/>
      <c r="V12" s="34"/>
      <c r="W12" s="34">
        <v>334.82</v>
      </c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-374.99857142857144</v>
      </c>
      <c r="AG12" s="27">
        <f t="shared" si="4"/>
        <v>1.4285714285620088E-3</v>
      </c>
      <c r="AH12" s="87">
        <f t="shared" si="5"/>
        <v>374.99857142857144</v>
      </c>
    </row>
    <row r="13" spans="1:34" s="10" customFormat="1" ht="21.75" hidden="1" customHeight="1" x14ac:dyDescent="0.2">
      <c r="A13" s="56">
        <v>40488</v>
      </c>
      <c r="B13" s="17"/>
      <c r="C13" s="57" t="s">
        <v>35</v>
      </c>
      <c r="D13" s="18"/>
      <c r="E13" s="18"/>
      <c r="F13" s="57">
        <v>65544</v>
      </c>
      <c r="G13" s="57" t="s">
        <v>34</v>
      </c>
      <c r="H13" s="59"/>
      <c r="I13" s="57"/>
      <c r="J13" s="57"/>
      <c r="K13" s="59">
        <v>42</v>
      </c>
      <c r="L13" s="19"/>
      <c r="M13" s="26">
        <f t="shared" ref="M13:M20" si="6">SUM(H13:J13,K13/1.12)</f>
        <v>37.499999999999993</v>
      </c>
      <c r="N13" s="26">
        <f t="shared" ref="N13:N20" si="7">K13/1.12*0.12</f>
        <v>4.4999999999999991</v>
      </c>
      <c r="O13" s="26">
        <f t="shared" ref="O13:O20" si="8">-SUM(I13:J13,K13/1.12)*L13</f>
        <v>0</v>
      </c>
      <c r="P13" s="26"/>
      <c r="Q13" s="33">
        <v>37.5</v>
      </c>
      <c r="R13" s="33"/>
      <c r="S13" s="63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ref="AF13:AF20" si="9">-SUM(N13:AE13)</f>
        <v>-42</v>
      </c>
      <c r="AG13" s="27">
        <f t="shared" ref="AG13:AG20" si="10">SUM(H13:K13)+AF13+O13</f>
        <v>0</v>
      </c>
      <c r="AH13" s="87">
        <f t="shared" si="5"/>
        <v>42</v>
      </c>
    </row>
    <row r="14" spans="1:34" s="10" customFormat="1" ht="21.75" hidden="1" customHeight="1" x14ac:dyDescent="0.2">
      <c r="A14" s="56">
        <v>40489</v>
      </c>
      <c r="B14" s="17"/>
      <c r="C14" s="24" t="s">
        <v>77</v>
      </c>
      <c r="D14" s="18"/>
      <c r="E14" s="18"/>
      <c r="F14" s="57">
        <v>205089</v>
      </c>
      <c r="G14" s="57" t="s">
        <v>78</v>
      </c>
      <c r="H14" s="59"/>
      <c r="I14" s="57"/>
      <c r="J14" s="59">
        <v>2768</v>
      </c>
      <c r="K14" s="59"/>
      <c r="L14" s="19"/>
      <c r="M14" s="26">
        <f t="shared" ref="M14:M17" si="11">SUM(H14:J14,K14/1.12)</f>
        <v>2768</v>
      </c>
      <c r="N14" s="26">
        <f t="shared" ref="N14:N17" si="12">K14/1.12*0.12</f>
        <v>0</v>
      </c>
      <c r="O14" s="26">
        <f t="shared" ref="O14:O17" si="13">-SUM(I14:J14,K14/1.12)*L14</f>
        <v>0</v>
      </c>
      <c r="P14" s="26"/>
      <c r="Q14" s="33"/>
      <c r="R14" s="33">
        <v>2768</v>
      </c>
      <c r="S14" s="63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ref="AF14:AF17" si="14">-SUM(N14:AE14)</f>
        <v>-2768</v>
      </c>
      <c r="AG14" s="27">
        <f t="shared" ref="AG14:AG17" si="15">SUM(H14:K14)+AF14+O14</f>
        <v>0</v>
      </c>
      <c r="AH14" s="87">
        <f t="shared" si="5"/>
        <v>2768</v>
      </c>
    </row>
    <row r="15" spans="1:34" s="10" customFormat="1" ht="21.75" hidden="1" customHeight="1" x14ac:dyDescent="0.2">
      <c r="A15" s="56">
        <v>40489</v>
      </c>
      <c r="B15" s="17"/>
      <c r="C15" s="24" t="s">
        <v>45</v>
      </c>
      <c r="D15" s="18"/>
      <c r="E15" s="18"/>
      <c r="F15" s="57">
        <v>4407</v>
      </c>
      <c r="G15" s="57" t="s">
        <v>79</v>
      </c>
      <c r="H15" s="59"/>
      <c r="I15" s="57"/>
      <c r="J15" s="57"/>
      <c r="K15" s="59">
        <v>76</v>
      </c>
      <c r="L15" s="19"/>
      <c r="M15" s="26">
        <f t="shared" si="11"/>
        <v>67.857142857142847</v>
      </c>
      <c r="N15" s="26">
        <f t="shared" si="12"/>
        <v>8.1428571428571406</v>
      </c>
      <c r="O15" s="26">
        <f t="shared" si="13"/>
        <v>0</v>
      </c>
      <c r="P15" s="26"/>
      <c r="Q15" s="33"/>
      <c r="R15" s="33"/>
      <c r="S15" s="63"/>
      <c r="T15" s="34"/>
      <c r="U15" s="34"/>
      <c r="V15" s="34">
        <v>67.86</v>
      </c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14"/>
        <v>-76.002857142857138</v>
      </c>
      <c r="AG15" s="27">
        <f t="shared" si="15"/>
        <v>-2.8571428571382285E-3</v>
      </c>
      <c r="AH15" s="87">
        <f t="shared" si="5"/>
        <v>76.002857142857138</v>
      </c>
    </row>
    <row r="16" spans="1:34" s="10" customFormat="1" ht="21.75" hidden="1" customHeight="1" x14ac:dyDescent="0.2">
      <c r="A16" s="56">
        <v>40489</v>
      </c>
      <c r="B16" s="17"/>
      <c r="C16" s="24" t="s">
        <v>38</v>
      </c>
      <c r="D16" s="18"/>
      <c r="E16" s="18"/>
      <c r="F16" s="57"/>
      <c r="G16" s="57" t="s">
        <v>80</v>
      </c>
      <c r="H16" s="59">
        <v>80</v>
      </c>
      <c r="I16" s="57"/>
      <c r="J16" s="57"/>
      <c r="K16" s="59"/>
      <c r="L16" s="19"/>
      <c r="M16" s="26">
        <f t="shared" si="11"/>
        <v>80</v>
      </c>
      <c r="N16" s="26">
        <f t="shared" si="12"/>
        <v>0</v>
      </c>
      <c r="O16" s="26">
        <f t="shared" si="13"/>
        <v>0</v>
      </c>
      <c r="P16" s="26"/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>
        <v>80</v>
      </c>
      <c r="AB16" s="34"/>
      <c r="AC16" s="34"/>
      <c r="AD16" s="33"/>
      <c r="AE16" s="33"/>
      <c r="AF16" s="26">
        <f t="shared" si="14"/>
        <v>-80</v>
      </c>
      <c r="AG16" s="27">
        <f t="shared" si="15"/>
        <v>0</v>
      </c>
      <c r="AH16" s="87">
        <f t="shared" si="5"/>
        <v>80</v>
      </c>
    </row>
    <row r="17" spans="1:34" s="10" customFormat="1" ht="21.75" hidden="1" customHeight="1" x14ac:dyDescent="0.2">
      <c r="A17" s="56">
        <v>40489</v>
      </c>
      <c r="B17" s="17"/>
      <c r="C17" s="57" t="s">
        <v>35</v>
      </c>
      <c r="D17" s="18"/>
      <c r="E17" s="18"/>
      <c r="F17" s="57">
        <v>731652</v>
      </c>
      <c r="G17" s="57" t="s">
        <v>34</v>
      </c>
      <c r="H17" s="59"/>
      <c r="I17" s="57"/>
      <c r="J17" s="57"/>
      <c r="K17" s="59">
        <v>42</v>
      </c>
      <c r="L17" s="19"/>
      <c r="M17" s="26">
        <f t="shared" si="11"/>
        <v>37.499999999999993</v>
      </c>
      <c r="N17" s="26">
        <f t="shared" si="12"/>
        <v>4.4999999999999991</v>
      </c>
      <c r="O17" s="26">
        <f t="shared" si="13"/>
        <v>0</v>
      </c>
      <c r="P17" s="26"/>
      <c r="Q17" s="33">
        <v>37.5</v>
      </c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14"/>
        <v>-42</v>
      </c>
      <c r="AG17" s="27">
        <f t="shared" si="15"/>
        <v>0</v>
      </c>
      <c r="AH17" s="87">
        <f t="shared" si="5"/>
        <v>42</v>
      </c>
    </row>
    <row r="18" spans="1:34" s="10" customFormat="1" ht="21.75" hidden="1" customHeight="1" x14ac:dyDescent="0.2">
      <c r="A18" s="73">
        <v>40492</v>
      </c>
      <c r="B18" s="74"/>
      <c r="C18" s="75" t="s">
        <v>47</v>
      </c>
      <c r="D18" s="76"/>
      <c r="E18" s="76"/>
      <c r="F18" s="77">
        <v>825479</v>
      </c>
      <c r="G18" s="77" t="s">
        <v>81</v>
      </c>
      <c r="H18" s="78"/>
      <c r="I18" s="77"/>
      <c r="J18" s="77"/>
      <c r="K18" s="78">
        <v>116</v>
      </c>
      <c r="L18" s="19"/>
      <c r="M18" s="26">
        <f t="shared" si="6"/>
        <v>103.57142857142856</v>
      </c>
      <c r="N18" s="26">
        <f t="shared" si="7"/>
        <v>12.428571428571427</v>
      </c>
      <c r="O18" s="26">
        <f t="shared" si="8"/>
        <v>0</v>
      </c>
      <c r="P18" s="26"/>
      <c r="Q18" s="33"/>
      <c r="R18" s="33"/>
      <c r="S18" s="63"/>
      <c r="T18" s="34">
        <v>103.57</v>
      </c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9"/>
        <v>-115.99857142857142</v>
      </c>
      <c r="AG18" s="27">
        <f t="shared" si="10"/>
        <v>1.4285714285762197E-3</v>
      </c>
      <c r="AH18" s="87">
        <f t="shared" si="5"/>
        <v>115.99857142857142</v>
      </c>
    </row>
    <row r="19" spans="1:34" s="10" customFormat="1" ht="21.75" customHeight="1" x14ac:dyDescent="0.2">
      <c r="A19" s="73">
        <v>40492</v>
      </c>
      <c r="B19" s="74"/>
      <c r="C19" s="75" t="s">
        <v>48</v>
      </c>
      <c r="D19" s="76"/>
      <c r="E19" s="76"/>
      <c r="F19" s="77"/>
      <c r="G19" s="77" t="s">
        <v>82</v>
      </c>
      <c r="H19" s="78">
        <v>161</v>
      </c>
      <c r="I19" s="77"/>
      <c r="J19" s="77"/>
      <c r="K19" s="78"/>
      <c r="L19" s="19"/>
      <c r="M19" s="26">
        <f t="shared" si="6"/>
        <v>161</v>
      </c>
      <c r="N19" s="26">
        <f t="shared" si="7"/>
        <v>0</v>
      </c>
      <c r="O19" s="26">
        <f t="shared" si="8"/>
        <v>0</v>
      </c>
      <c r="P19" s="26"/>
      <c r="Q19" s="33"/>
      <c r="R19" s="33"/>
      <c r="S19" s="63"/>
      <c r="T19" s="34"/>
      <c r="U19" s="34"/>
      <c r="V19" s="34"/>
      <c r="W19" s="34"/>
      <c r="X19" s="33"/>
      <c r="Y19" s="33"/>
      <c r="Z19" s="33"/>
      <c r="AA19" s="33">
        <v>161</v>
      </c>
      <c r="AB19" s="34"/>
      <c r="AC19" s="34"/>
      <c r="AD19" s="33"/>
      <c r="AE19" s="33"/>
      <c r="AF19" s="26">
        <f t="shared" si="9"/>
        <v>-161</v>
      </c>
      <c r="AG19" s="27">
        <f t="shared" si="10"/>
        <v>0</v>
      </c>
      <c r="AH19" s="87">
        <f t="shared" si="5"/>
        <v>161</v>
      </c>
    </row>
    <row r="20" spans="1:34" s="10" customFormat="1" ht="21.75" customHeight="1" x14ac:dyDescent="0.2">
      <c r="A20" s="56"/>
      <c r="B20" s="17"/>
      <c r="C20" s="24"/>
      <c r="D20" s="18"/>
      <c r="E20" s="18"/>
      <c r="F20" s="57"/>
      <c r="G20" s="57"/>
      <c r="H20" s="59"/>
      <c r="I20" s="57"/>
      <c r="J20" s="57"/>
      <c r="K20" s="59"/>
      <c r="L20" s="19"/>
      <c r="M20" s="26">
        <f t="shared" si="6"/>
        <v>0</v>
      </c>
      <c r="N20" s="26">
        <f t="shared" si="7"/>
        <v>0</v>
      </c>
      <c r="O20" s="26">
        <f t="shared" si="8"/>
        <v>0</v>
      </c>
      <c r="P20" s="26"/>
      <c r="Q20" s="33"/>
      <c r="R20" s="33"/>
      <c r="S20" s="6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9"/>
        <v>0</v>
      </c>
      <c r="AG20" s="27">
        <f t="shared" si="10"/>
        <v>0</v>
      </c>
    </row>
    <row r="21" spans="1:34" s="11" customFormat="1" ht="23.25" customHeight="1" x14ac:dyDescent="0.2">
      <c r="A21" s="29"/>
      <c r="B21" s="30"/>
      <c r="C21" s="24"/>
      <c r="D21" s="24"/>
      <c r="E21" s="24"/>
      <c r="F21" s="25"/>
      <c r="G21" s="25"/>
      <c r="H21" s="31"/>
      <c r="I21" s="31"/>
      <c r="J21" s="31"/>
      <c r="K21" s="31"/>
      <c r="L21" s="32"/>
      <c r="M21" s="26">
        <f t="shared" si="0"/>
        <v>0</v>
      </c>
      <c r="N21" s="26">
        <f t="shared" si="1"/>
        <v>0</v>
      </c>
      <c r="O21" s="26">
        <f t="shared" si="2"/>
        <v>0</v>
      </c>
      <c r="P21" s="26"/>
      <c r="Q21" s="33"/>
      <c r="R21" s="33"/>
      <c r="S21" s="34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3"/>
        <v>0</v>
      </c>
      <c r="AG21" s="27">
        <f t="shared" si="4"/>
        <v>0</v>
      </c>
    </row>
    <row r="22" spans="1:34" s="11" customFormat="1" ht="12" thickBot="1" x14ac:dyDescent="0.25">
      <c r="A22" s="29"/>
      <c r="B22" s="30"/>
      <c r="C22" s="35"/>
      <c r="D22" s="35"/>
      <c r="E22" s="35"/>
      <c r="F22" s="25"/>
      <c r="G22" s="28"/>
      <c r="H22" s="31"/>
      <c r="I22" s="31"/>
      <c r="J22" s="31"/>
      <c r="K22" s="31"/>
      <c r="L22" s="32"/>
      <c r="M22" s="33">
        <f>SUM(H22:J22,K22/1.12)</f>
        <v>0</v>
      </c>
      <c r="N22" s="33">
        <f>K22/1.12*0.12</f>
        <v>0</v>
      </c>
      <c r="O22" s="33">
        <f>-SUM(I22:J22,K22/1.12)*L22</f>
        <v>0</v>
      </c>
      <c r="P22" s="33"/>
      <c r="Q22" s="33"/>
      <c r="R22" s="33"/>
      <c r="S22" s="33"/>
      <c r="T22" s="34"/>
      <c r="U22" s="43"/>
      <c r="V22" s="34"/>
      <c r="W22" s="34"/>
      <c r="X22" s="34"/>
      <c r="Y22" s="36"/>
      <c r="Z22" s="33"/>
      <c r="AA22" s="43"/>
      <c r="AB22" s="33"/>
      <c r="AC22" s="34"/>
      <c r="AD22" s="34"/>
      <c r="AE22" s="37"/>
      <c r="AF22" s="26">
        <f t="shared" si="3"/>
        <v>0</v>
      </c>
      <c r="AG22" s="27">
        <f t="shared" si="4"/>
        <v>0</v>
      </c>
    </row>
    <row r="23" spans="1:34" s="9" customFormat="1" ht="12.75" thickTop="1" thickBot="1" x14ac:dyDescent="0.25">
      <c r="A23" s="38"/>
      <c r="B23" s="39"/>
      <c r="C23" s="40"/>
      <c r="D23" s="41"/>
      <c r="E23" s="41"/>
      <c r="F23" s="42"/>
      <c r="G23" s="40"/>
      <c r="H23" s="43">
        <f>SUM(H5:H21)</f>
        <v>371</v>
      </c>
      <c r="I23" s="43">
        <f>SUM(I21:I22)</f>
        <v>0</v>
      </c>
      <c r="J23" s="43">
        <f>SUM(J5:J21)</f>
        <v>3227.5299999999997</v>
      </c>
      <c r="K23" s="43">
        <f>SUM(K5:K21)</f>
        <v>1423.25</v>
      </c>
      <c r="L23" s="43">
        <f>SUM(L21:L22)</f>
        <v>0</v>
      </c>
      <c r="M23" s="43">
        <f>SUM(M5:M21)</f>
        <v>4869.2889285714291</v>
      </c>
      <c r="N23" s="43">
        <f>SUM(N5:N21)</f>
        <v>152.49107142857142</v>
      </c>
      <c r="O23" s="43">
        <f>SUM(O21:O22)</f>
        <v>0</v>
      </c>
      <c r="P23" s="43">
        <f>SUM(P5:P21)</f>
        <v>937.72</v>
      </c>
      <c r="Q23" s="43">
        <f>SUM(Q5:Q21)</f>
        <v>75</v>
      </c>
      <c r="R23" s="43">
        <f>SUM(R5:R21)</f>
        <v>2925.75</v>
      </c>
      <c r="S23" s="43">
        <f>SUM(S10:S22)</f>
        <v>0</v>
      </c>
      <c r="T23" s="43">
        <f>SUM(T10:T22)</f>
        <v>103.57</v>
      </c>
      <c r="U23" s="43">
        <f>SUM(U10:U22)</f>
        <v>0</v>
      </c>
      <c r="V23" s="43">
        <f>SUM(V10:V22)</f>
        <v>67.86</v>
      </c>
      <c r="W23" s="43">
        <f>SUM(W21:W22)</f>
        <v>0</v>
      </c>
      <c r="X23" s="43">
        <f>SUM(X21:X22)</f>
        <v>0</v>
      </c>
      <c r="Y23" s="43">
        <f>SUM(Y21:Y22)</f>
        <v>0</v>
      </c>
      <c r="Z23" s="43">
        <f>SUM(Z21:Z22)</f>
        <v>0</v>
      </c>
      <c r="AA23" s="43">
        <f>SUM(AA5:AA21)</f>
        <v>371</v>
      </c>
      <c r="AB23" s="43">
        <f>SUM(AB21:AB22)</f>
        <v>0</v>
      </c>
      <c r="AC23" s="43">
        <f>SUM(AC5:AC21)</f>
        <v>0</v>
      </c>
      <c r="AD23" s="43">
        <f>SUM(AD5:AD21)</f>
        <v>0</v>
      </c>
      <c r="AE23" s="43">
        <f>SUM(AE21:AE22)</f>
        <v>0</v>
      </c>
      <c r="AF23" s="43">
        <f>SUM(AF5:AF21)</f>
        <v>-5021.7810714285715</v>
      </c>
      <c r="AG23" s="43">
        <f>SUM(AG21:AG22)</f>
        <v>0</v>
      </c>
    </row>
    <row r="24" spans="1:34" s="86" customFormat="1" ht="12" thickTop="1" x14ac:dyDescent="0.2"/>
    <row r="25" spans="1:34" ht="12" x14ac:dyDescent="0.2">
      <c r="K25" s="44">
        <f>H23+J23+K23</f>
        <v>5021.78</v>
      </c>
      <c r="L25" s="8"/>
      <c r="M25" s="7"/>
      <c r="AF25" s="45">
        <f>+AF23</f>
        <v>-5021.7810714285715</v>
      </c>
    </row>
    <row r="26" spans="1:34" ht="12" x14ac:dyDescent="0.2">
      <c r="K26" s="44"/>
      <c r="L26" s="8"/>
      <c r="M26" s="7"/>
      <c r="AF26" s="45"/>
    </row>
    <row r="27" spans="1:34" ht="12" x14ac:dyDescent="0.2">
      <c r="K27" s="44"/>
      <c r="L27" s="8"/>
      <c r="M27" s="7"/>
      <c r="AF27" s="45"/>
    </row>
    <row r="28" spans="1:34" x14ac:dyDescent="0.2">
      <c r="K28" s="7"/>
      <c r="L28" s="8"/>
      <c r="M28" s="7"/>
    </row>
    <row r="29" spans="1:34" ht="12.75" x14ac:dyDescent="0.2">
      <c r="C29" s="46" t="s">
        <v>46</v>
      </c>
      <c r="G29" s="9"/>
      <c r="J29" s="48" t="s">
        <v>39</v>
      </c>
      <c r="K29" s="50">
        <f>K6+K8+J9+K10+K13+K17</f>
        <v>1098.03</v>
      </c>
      <c r="L29" s="47"/>
      <c r="M29" s="47"/>
      <c r="N29" s="45"/>
      <c r="O29" s="45"/>
      <c r="P29" s="45"/>
      <c r="Q29" s="45"/>
    </row>
    <row r="30" spans="1:34" ht="12.75" x14ac:dyDescent="0.2">
      <c r="C30" s="46"/>
      <c r="G30" s="9"/>
      <c r="J30" s="48" t="s">
        <v>44</v>
      </c>
      <c r="K30" s="50">
        <f>K5+J11+K12+K15+K18</f>
        <v>784.75</v>
      </c>
      <c r="L30" s="47"/>
      <c r="M30" s="47"/>
      <c r="N30" s="45"/>
      <c r="O30" s="45"/>
      <c r="P30" s="45"/>
      <c r="Q30" s="45"/>
    </row>
    <row r="31" spans="1:34" ht="12.75" x14ac:dyDescent="0.2">
      <c r="J31" s="48" t="s">
        <v>40</v>
      </c>
      <c r="K31" s="49">
        <f>J14</f>
        <v>2768</v>
      </c>
      <c r="L31" s="8"/>
      <c r="M31" s="7"/>
    </row>
    <row r="32" spans="1:34" ht="12.75" x14ac:dyDescent="0.2">
      <c r="J32" s="48" t="s">
        <v>41</v>
      </c>
      <c r="K32" s="49">
        <f>H23</f>
        <v>371</v>
      </c>
      <c r="L32" s="8"/>
      <c r="M32" s="7"/>
    </row>
    <row r="33" spans="1:32" ht="12.75" x14ac:dyDescent="0.2">
      <c r="A33" s="1"/>
      <c r="B33" s="1"/>
      <c r="D33" s="1"/>
      <c r="E33" s="1"/>
      <c r="F33" s="1"/>
      <c r="H33" s="1"/>
      <c r="I33" s="1"/>
      <c r="J33" s="51" t="s">
        <v>42</v>
      </c>
      <c r="K33" s="52">
        <f>SUM(K29:K32)</f>
        <v>5021.78</v>
      </c>
      <c r="L33" s="8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</row>
    <row r="34" spans="1:32" ht="12" x14ac:dyDescent="0.2">
      <c r="J34" s="45" t="s">
        <v>49</v>
      </c>
      <c r="K34" s="45">
        <v>5000</v>
      </c>
    </row>
    <row r="35" spans="1:32" ht="12" x14ac:dyDescent="0.2">
      <c r="H35" s="53"/>
      <c r="I35" s="53"/>
      <c r="J35" s="53"/>
      <c r="K35" s="53">
        <f>K34-K33</f>
        <v>-21.779999999999745</v>
      </c>
      <c r="L35" s="60"/>
      <c r="M35" s="61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  <c r="Q40" s="2">
        <v>0</v>
      </c>
    </row>
    <row r="41" spans="1:32" ht="12" x14ac:dyDescent="0.2">
      <c r="A41" s="1"/>
      <c r="B41" s="1"/>
      <c r="D41" s="1"/>
      <c r="E41" s="1"/>
      <c r="F41" s="1"/>
      <c r="H41" s="54"/>
      <c r="I41" s="54"/>
      <c r="J41" s="54"/>
      <c r="K41" s="54"/>
      <c r="L41" s="1"/>
      <c r="M41" s="1"/>
      <c r="N41" s="1"/>
      <c r="O41" s="1"/>
      <c r="P41" s="1"/>
      <c r="Q41" s="1"/>
      <c r="R41" s="1"/>
      <c r="S41" s="1"/>
      <c r="Z41" s="1"/>
      <c r="AA41" s="1"/>
      <c r="AB41" s="1"/>
      <c r="AC41" s="1"/>
      <c r="AD41" s="1"/>
      <c r="AE41" s="1"/>
      <c r="AF41" s="1"/>
    </row>
    <row r="42" spans="1:32" ht="12" x14ac:dyDescent="0.2">
      <c r="H42" s="53"/>
      <c r="I42" s="53"/>
      <c r="J42" s="53"/>
      <c r="K42" s="53"/>
    </row>
    <row r="43" spans="1:32" ht="12" x14ac:dyDescent="0.2">
      <c r="H43" s="53"/>
      <c r="I43" s="53"/>
      <c r="J43" s="53"/>
      <c r="K43" s="53"/>
    </row>
    <row r="44" spans="1:32" ht="12" x14ac:dyDescent="0.2">
      <c r="H44" s="53"/>
      <c r="I44" s="53"/>
      <c r="J44" s="53"/>
      <c r="K44" s="53"/>
    </row>
    <row r="45" spans="1:32" ht="12" x14ac:dyDescent="0.2">
      <c r="H45" s="53"/>
      <c r="I45" s="53"/>
      <c r="J45" s="53"/>
      <c r="K45" s="53"/>
    </row>
    <row r="46" spans="1:32" x14ac:dyDescent="0.2">
      <c r="H46" s="55"/>
      <c r="I46" s="55"/>
      <c r="J46" s="55"/>
      <c r="K46" s="55"/>
    </row>
    <row r="47" spans="1:32" x14ac:dyDescent="0.2">
      <c r="H47" s="55"/>
      <c r="I47" s="55"/>
      <c r="J47" s="55"/>
      <c r="K47" s="55"/>
    </row>
    <row r="48" spans="1:32" x14ac:dyDescent="0.2">
      <c r="A48" s="1"/>
      <c r="B48" s="1"/>
      <c r="D48" s="1"/>
      <c r="E48" s="1"/>
      <c r="F48" s="1"/>
      <c r="H48" s="55"/>
      <c r="I48" s="55"/>
      <c r="J48" s="55"/>
      <c r="K48" s="5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D49" s="1"/>
      <c r="E49" s="1"/>
      <c r="F49" s="1"/>
      <c r="H49" s="55"/>
      <c r="I49" s="55"/>
      <c r="J49" s="55"/>
      <c r="K49" s="5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D50" s="1"/>
      <c r="E50" s="1"/>
      <c r="F50" s="1"/>
      <c r="H50" s="55"/>
      <c r="I50" s="55"/>
      <c r="J50" s="55"/>
      <c r="K50" s="5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</sheetData>
  <mergeCells count="1">
    <mergeCell ref="A24:XFD24"/>
  </mergeCells>
  <pageMargins left="0.7" right="0.7" top="0.75" bottom="0.75" header="0.3" footer="0.3"/>
  <pageSetup paperSize="5" scale="85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1"/>
  <sheetViews>
    <sheetView workbookViewId="0">
      <pane ySplit="4" topLeftCell="A5" activePane="bottomLeft" state="frozen"/>
      <selection pane="bottomLeft" activeCell="AH5" sqref="AH5:AH20"/>
    </sheetView>
  </sheetViews>
  <sheetFormatPr defaultRowHeight="11.25" x14ac:dyDescent="0.2"/>
  <cols>
    <col min="1" max="1" width="8.140625" style="65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hidden="1" customWidth="1"/>
    <col min="21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91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40489</v>
      </c>
      <c r="B5" s="17"/>
      <c r="C5" s="24" t="s">
        <v>53</v>
      </c>
      <c r="D5" s="18"/>
      <c r="E5" s="18"/>
      <c r="F5" s="57"/>
      <c r="G5" s="57" t="s">
        <v>83</v>
      </c>
      <c r="H5" s="59">
        <v>500</v>
      </c>
      <c r="I5" s="57"/>
      <c r="J5" s="59"/>
      <c r="K5" s="59"/>
      <c r="L5" s="58"/>
      <c r="M5" s="26">
        <f t="shared" ref="M5:M22" si="0">SUM(H5:J5,K5/1.12)</f>
        <v>500</v>
      </c>
      <c r="N5" s="26">
        <f t="shared" ref="N5:N22" si="1">K5/1.12*0.12</f>
        <v>0</v>
      </c>
      <c r="O5" s="26">
        <f t="shared" ref="O5:O22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/>
      <c r="Z5" s="33"/>
      <c r="AA5" s="33">
        <v>500</v>
      </c>
      <c r="AB5" s="34"/>
      <c r="AC5" s="34"/>
      <c r="AD5" s="33"/>
      <c r="AE5" s="33"/>
      <c r="AF5" s="26">
        <f t="shared" ref="AF5:AF23" si="3">-SUM(N5:AE5)</f>
        <v>-500</v>
      </c>
      <c r="AG5" s="27">
        <f t="shared" ref="AG5:AG23" si="4">SUM(H5:K5)+AF5+O5</f>
        <v>0</v>
      </c>
      <c r="AH5" s="87">
        <f>-AF5</f>
        <v>500</v>
      </c>
    </row>
    <row r="6" spans="1:34" s="10" customFormat="1" ht="19.5" hidden="1" customHeight="1" x14ac:dyDescent="0.2">
      <c r="A6" s="56">
        <v>40492</v>
      </c>
      <c r="B6" s="17"/>
      <c r="C6" s="57" t="s">
        <v>55</v>
      </c>
      <c r="D6" s="18"/>
      <c r="E6" s="18"/>
      <c r="F6" s="57"/>
      <c r="G6" s="57" t="s">
        <v>56</v>
      </c>
      <c r="H6" s="59">
        <v>30</v>
      </c>
      <c r="I6" s="57"/>
      <c r="J6" s="59"/>
      <c r="K6" s="59"/>
      <c r="L6" s="58"/>
      <c r="M6" s="26">
        <f t="shared" ref="M6" si="5">SUM(H6:J6,K6/1.12)</f>
        <v>30</v>
      </c>
      <c r="N6" s="26">
        <f t="shared" ref="N6" si="6">K6/1.12*0.12</f>
        <v>0</v>
      </c>
      <c r="O6" s="26">
        <f t="shared" ref="O6" si="7">-SUM(I6:J6,K6/1.12)*L6</f>
        <v>0</v>
      </c>
      <c r="P6" s="26"/>
      <c r="Q6" s="33"/>
      <c r="R6" s="33"/>
      <c r="S6" s="34"/>
      <c r="T6" s="34"/>
      <c r="U6" s="34"/>
      <c r="V6" s="34"/>
      <c r="W6" s="34"/>
      <c r="X6" s="33"/>
      <c r="Y6" s="33"/>
      <c r="Z6" s="33"/>
      <c r="AA6" s="33">
        <v>30</v>
      </c>
      <c r="AB6" s="34"/>
      <c r="AC6" s="34"/>
      <c r="AD6" s="33"/>
      <c r="AE6" s="33"/>
      <c r="AF6" s="26">
        <f t="shared" ref="AF6" si="8">-SUM(N6:AE6)</f>
        <v>-30</v>
      </c>
      <c r="AG6" s="27">
        <f t="shared" ref="AG6" si="9">SUM(H6:K6)+AF6+O6</f>
        <v>0</v>
      </c>
      <c r="AH6" s="87">
        <f t="shared" ref="AH6:AH20" si="10">-AF6</f>
        <v>30</v>
      </c>
    </row>
    <row r="7" spans="1:34" s="10" customFormat="1" ht="19.5" hidden="1" customHeight="1" x14ac:dyDescent="0.2">
      <c r="A7" s="56">
        <v>40491</v>
      </c>
      <c r="B7" s="17"/>
      <c r="C7" s="57" t="s">
        <v>35</v>
      </c>
      <c r="D7" s="18"/>
      <c r="E7" s="18"/>
      <c r="F7" s="57">
        <v>65981</v>
      </c>
      <c r="G7" s="57" t="s">
        <v>84</v>
      </c>
      <c r="H7" s="59"/>
      <c r="I7" s="57"/>
      <c r="J7" s="59"/>
      <c r="K7" s="59">
        <v>100</v>
      </c>
      <c r="L7" s="58"/>
      <c r="M7" s="26">
        <f t="shared" si="0"/>
        <v>89.285714285714278</v>
      </c>
      <c r="N7" s="26">
        <f t="shared" si="1"/>
        <v>10.714285714285714</v>
      </c>
      <c r="O7" s="26">
        <f t="shared" si="2"/>
        <v>0</v>
      </c>
      <c r="P7" s="26"/>
      <c r="Q7" s="33"/>
      <c r="R7" s="33"/>
      <c r="S7" s="34"/>
      <c r="T7" s="34">
        <v>89.29</v>
      </c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-100.00428571428571</v>
      </c>
      <c r="AG7" s="27">
        <f t="shared" si="4"/>
        <v>-4.2857142857144481E-3</v>
      </c>
      <c r="AH7" s="87">
        <f t="shared" si="10"/>
        <v>100.00428571428571</v>
      </c>
    </row>
    <row r="8" spans="1:34" s="10" customFormat="1" ht="19.5" hidden="1" customHeight="1" x14ac:dyDescent="0.2">
      <c r="A8" s="56">
        <v>40491</v>
      </c>
      <c r="B8" s="17"/>
      <c r="C8" s="24" t="s">
        <v>45</v>
      </c>
      <c r="D8" s="18"/>
      <c r="E8" s="18"/>
      <c r="F8" s="57">
        <v>4665</v>
      </c>
      <c r="G8" s="57" t="s">
        <v>85</v>
      </c>
      <c r="H8" s="57"/>
      <c r="I8" s="57"/>
      <c r="J8" s="59"/>
      <c r="K8" s="59">
        <v>650</v>
      </c>
      <c r="L8" s="58"/>
      <c r="M8" s="26">
        <f t="shared" si="0"/>
        <v>580.35714285714278</v>
      </c>
      <c r="N8" s="26">
        <f t="shared" si="1"/>
        <v>69.642857142857125</v>
      </c>
      <c r="O8" s="26">
        <f t="shared" si="2"/>
        <v>0</v>
      </c>
      <c r="P8" s="26">
        <v>580.36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-650.00285714285712</v>
      </c>
      <c r="AG8" s="27">
        <f t="shared" si="4"/>
        <v>-2.8571428571240176E-3</v>
      </c>
      <c r="AH8" s="87">
        <f t="shared" si="10"/>
        <v>650.00285714285712</v>
      </c>
    </row>
    <row r="9" spans="1:34" s="10" customFormat="1" ht="19.5" hidden="1" customHeight="1" x14ac:dyDescent="0.2">
      <c r="A9" s="56">
        <v>40492</v>
      </c>
      <c r="B9" s="17"/>
      <c r="C9" s="24" t="s">
        <v>86</v>
      </c>
      <c r="D9" s="18"/>
      <c r="E9" s="18"/>
      <c r="F9" s="57">
        <v>516959</v>
      </c>
      <c r="G9" s="57" t="s">
        <v>54</v>
      </c>
      <c r="H9" s="57"/>
      <c r="I9" s="57"/>
      <c r="J9" s="59"/>
      <c r="K9" s="59">
        <v>125</v>
      </c>
      <c r="L9" s="58"/>
      <c r="M9" s="26">
        <f t="shared" si="0"/>
        <v>111.60714285714285</v>
      </c>
      <c r="N9" s="26">
        <f t="shared" si="1"/>
        <v>13.392857142857141</v>
      </c>
      <c r="O9" s="26">
        <f t="shared" si="2"/>
        <v>0</v>
      </c>
      <c r="P9" s="26"/>
      <c r="Q9" s="33">
        <v>111.61</v>
      </c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-125.00285714285714</v>
      </c>
      <c r="AG9" s="27">
        <f t="shared" si="4"/>
        <v>-2.8571428571382285E-3</v>
      </c>
      <c r="AH9" s="87">
        <f t="shared" si="10"/>
        <v>125.00285714285714</v>
      </c>
    </row>
    <row r="10" spans="1:34" s="10" customFormat="1" ht="30.75" hidden="1" customHeight="1" x14ac:dyDescent="0.2">
      <c r="A10" s="56">
        <v>40492</v>
      </c>
      <c r="B10" s="17"/>
      <c r="C10" s="24" t="s">
        <v>36</v>
      </c>
      <c r="D10" s="18"/>
      <c r="E10" s="18"/>
      <c r="F10" s="57">
        <v>277039</v>
      </c>
      <c r="G10" s="57" t="s">
        <v>95</v>
      </c>
      <c r="H10" s="59"/>
      <c r="I10" s="57"/>
      <c r="J10" s="59"/>
      <c r="K10" s="59">
        <v>5988.6</v>
      </c>
      <c r="L10" s="58"/>
      <c r="M10" s="26">
        <f t="shared" si="0"/>
        <v>5346.9642857142853</v>
      </c>
      <c r="N10" s="26">
        <f t="shared" si="1"/>
        <v>641.63571428571424</v>
      </c>
      <c r="O10" s="26">
        <f t="shared" si="2"/>
        <v>0</v>
      </c>
      <c r="P10" s="26">
        <v>5346.96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-5988.5957142857142</v>
      </c>
      <c r="AG10" s="27">
        <f t="shared" si="4"/>
        <v>4.2857142861976172E-3</v>
      </c>
      <c r="AH10" s="87">
        <f t="shared" si="10"/>
        <v>5988.5957142857142</v>
      </c>
    </row>
    <row r="11" spans="1:34" s="10" customFormat="1" ht="18" hidden="1" customHeight="1" x14ac:dyDescent="0.2">
      <c r="A11" s="56">
        <v>40492</v>
      </c>
      <c r="B11" s="17"/>
      <c r="C11" s="24" t="s">
        <v>36</v>
      </c>
      <c r="D11" s="18"/>
      <c r="E11" s="18"/>
      <c r="F11" s="57">
        <v>277039</v>
      </c>
      <c r="G11" s="57" t="s">
        <v>87</v>
      </c>
      <c r="H11" s="59"/>
      <c r="I11" s="18"/>
      <c r="J11" s="59">
        <v>292.89999999999998</v>
      </c>
      <c r="K11" s="59"/>
      <c r="L11" s="19"/>
      <c r="M11" s="26">
        <f t="shared" si="0"/>
        <v>292.89999999999998</v>
      </c>
      <c r="N11" s="26">
        <f t="shared" si="1"/>
        <v>0</v>
      </c>
      <c r="O11" s="26">
        <f t="shared" si="2"/>
        <v>0</v>
      </c>
      <c r="P11" s="26">
        <v>292.89999999999998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-292.89999999999998</v>
      </c>
      <c r="AG11" s="27">
        <f t="shared" si="4"/>
        <v>0</v>
      </c>
      <c r="AH11" s="87">
        <f t="shared" si="10"/>
        <v>292.89999999999998</v>
      </c>
    </row>
    <row r="12" spans="1:34" s="10" customFormat="1" ht="21.75" hidden="1" customHeight="1" x14ac:dyDescent="0.2">
      <c r="A12" s="56">
        <v>40492</v>
      </c>
      <c r="B12" s="17"/>
      <c r="C12" s="24" t="s">
        <v>88</v>
      </c>
      <c r="D12" s="18"/>
      <c r="E12" s="18"/>
      <c r="F12" s="57"/>
      <c r="G12" s="57" t="s">
        <v>89</v>
      </c>
      <c r="H12" s="59">
        <v>80</v>
      </c>
      <c r="I12" s="57"/>
      <c r="J12" s="57"/>
      <c r="K12" s="59"/>
      <c r="L12" s="19"/>
      <c r="M12" s="26">
        <f t="shared" si="0"/>
        <v>80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63"/>
      <c r="T12" s="34"/>
      <c r="U12" s="34"/>
      <c r="V12" s="34"/>
      <c r="W12" s="34"/>
      <c r="X12" s="33"/>
      <c r="Y12" s="33"/>
      <c r="Z12" s="33"/>
      <c r="AA12" s="33">
        <v>80</v>
      </c>
      <c r="AB12" s="34"/>
      <c r="AC12" s="34"/>
      <c r="AD12" s="33"/>
      <c r="AE12" s="33"/>
      <c r="AF12" s="26">
        <f t="shared" si="3"/>
        <v>-80</v>
      </c>
      <c r="AG12" s="27">
        <f t="shared" si="4"/>
        <v>0</v>
      </c>
      <c r="AH12" s="87">
        <f t="shared" si="10"/>
        <v>80</v>
      </c>
    </row>
    <row r="13" spans="1:34" s="10" customFormat="1" ht="21.75" hidden="1" customHeight="1" x14ac:dyDescent="0.2">
      <c r="A13" s="56">
        <v>40492</v>
      </c>
      <c r="B13" s="17"/>
      <c r="C13" s="24" t="s">
        <v>45</v>
      </c>
      <c r="D13" s="18"/>
      <c r="E13" s="18"/>
      <c r="F13" s="57">
        <v>4803</v>
      </c>
      <c r="G13" s="57" t="s">
        <v>90</v>
      </c>
      <c r="H13" s="59"/>
      <c r="I13" s="57"/>
      <c r="J13" s="57"/>
      <c r="K13" s="59">
        <v>350.53</v>
      </c>
      <c r="L13" s="19"/>
      <c r="M13" s="26">
        <f t="shared" si="0"/>
        <v>312.97321428571422</v>
      </c>
      <c r="N13" s="26">
        <f t="shared" si="1"/>
        <v>37.556785714285702</v>
      </c>
      <c r="O13" s="26">
        <f t="shared" si="2"/>
        <v>0</v>
      </c>
      <c r="P13" s="26">
        <v>312.97000000000003</v>
      </c>
      <c r="Q13" s="33">
        <v>0</v>
      </c>
      <c r="R13" s="33"/>
      <c r="S13" s="63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-350.52678571428572</v>
      </c>
      <c r="AG13" s="27">
        <f t="shared" si="4"/>
        <v>3.214285714250309E-3</v>
      </c>
      <c r="AH13" s="87">
        <f t="shared" si="10"/>
        <v>350.52678571428572</v>
      </c>
    </row>
    <row r="14" spans="1:34" s="10" customFormat="1" ht="21.75" hidden="1" customHeight="1" x14ac:dyDescent="0.2">
      <c r="A14" s="56">
        <v>44146</v>
      </c>
      <c r="B14" s="17"/>
      <c r="C14" s="24" t="s">
        <v>36</v>
      </c>
      <c r="D14" s="18"/>
      <c r="E14" s="18"/>
      <c r="F14" s="57">
        <v>209412</v>
      </c>
      <c r="G14" s="57" t="s">
        <v>92</v>
      </c>
      <c r="H14" s="59"/>
      <c r="I14" s="57"/>
      <c r="J14" s="59"/>
      <c r="K14" s="59">
        <f>348+260</f>
        <v>608</v>
      </c>
      <c r="L14" s="19"/>
      <c r="M14" s="26">
        <f t="shared" si="0"/>
        <v>542.85714285714278</v>
      </c>
      <c r="N14" s="26">
        <f t="shared" si="1"/>
        <v>65.142857142857125</v>
      </c>
      <c r="O14" s="26">
        <f t="shared" si="2"/>
        <v>0</v>
      </c>
      <c r="P14" s="26">
        <v>542.86</v>
      </c>
      <c r="Q14" s="33"/>
      <c r="R14" s="33"/>
      <c r="S14" s="63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-608.00285714285712</v>
      </c>
      <c r="AG14" s="27">
        <f t="shared" si="4"/>
        <v>-2.8571428571240176E-3</v>
      </c>
      <c r="AH14" s="87">
        <f t="shared" si="10"/>
        <v>608.00285714285712</v>
      </c>
    </row>
    <row r="15" spans="1:34" s="10" customFormat="1" ht="21.75" hidden="1" customHeight="1" x14ac:dyDescent="0.2">
      <c r="A15" s="56">
        <v>44146</v>
      </c>
      <c r="B15" s="17"/>
      <c r="C15" s="24" t="s">
        <v>36</v>
      </c>
      <c r="D15" s="18"/>
      <c r="E15" s="18"/>
      <c r="F15" s="57">
        <v>209412</v>
      </c>
      <c r="G15" s="57" t="s">
        <v>51</v>
      </c>
      <c r="H15" s="59"/>
      <c r="I15" s="57"/>
      <c r="J15" s="57"/>
      <c r="K15" s="59">
        <v>73</v>
      </c>
      <c r="L15" s="19"/>
      <c r="M15" s="26">
        <f t="shared" si="0"/>
        <v>65.178571428571416</v>
      </c>
      <c r="N15" s="26">
        <f t="shared" si="1"/>
        <v>7.8214285714285694</v>
      </c>
      <c r="O15" s="26">
        <f t="shared" si="2"/>
        <v>0</v>
      </c>
      <c r="P15" s="26"/>
      <c r="Q15" s="33"/>
      <c r="R15" s="33"/>
      <c r="S15" s="63"/>
      <c r="T15" s="34"/>
      <c r="U15" s="34">
        <v>65.180000000000007</v>
      </c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-73.001428571428576</v>
      </c>
      <c r="AG15" s="27">
        <f t="shared" si="4"/>
        <v>-1.4285714285762197E-3</v>
      </c>
      <c r="AH15" s="87">
        <f t="shared" si="10"/>
        <v>73.001428571428576</v>
      </c>
    </row>
    <row r="16" spans="1:34" s="10" customFormat="1" ht="21.75" hidden="1" customHeight="1" x14ac:dyDescent="0.2">
      <c r="A16" s="56">
        <v>44146</v>
      </c>
      <c r="B16" s="17"/>
      <c r="C16" s="24" t="s">
        <v>45</v>
      </c>
      <c r="D16" s="18"/>
      <c r="E16" s="18"/>
      <c r="F16" s="57">
        <v>4992</v>
      </c>
      <c r="G16" s="57" t="s">
        <v>93</v>
      </c>
      <c r="H16" s="59"/>
      <c r="I16" s="57"/>
      <c r="J16" s="57"/>
      <c r="K16" s="59">
        <v>24</v>
      </c>
      <c r="L16" s="19"/>
      <c r="M16" s="26">
        <f t="shared" si="0"/>
        <v>21.428571428571427</v>
      </c>
      <c r="N16" s="26">
        <f t="shared" si="1"/>
        <v>2.5714285714285712</v>
      </c>
      <c r="O16" s="26">
        <f t="shared" si="2"/>
        <v>0</v>
      </c>
      <c r="P16" s="26">
        <v>21.43</v>
      </c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-24.001428571428569</v>
      </c>
      <c r="AG16" s="27">
        <f t="shared" si="4"/>
        <v>-1.4285714285691142E-3</v>
      </c>
      <c r="AH16" s="87">
        <f t="shared" si="10"/>
        <v>24.001428571428569</v>
      </c>
    </row>
    <row r="17" spans="1:34" s="10" customFormat="1" ht="21.75" hidden="1" customHeight="1" x14ac:dyDescent="0.2">
      <c r="A17" s="56">
        <v>44146</v>
      </c>
      <c r="B17" s="17"/>
      <c r="C17" s="57" t="s">
        <v>94</v>
      </c>
      <c r="D17" s="18"/>
      <c r="E17" s="18"/>
      <c r="F17" s="57">
        <v>639</v>
      </c>
      <c r="G17" s="57" t="s">
        <v>96</v>
      </c>
      <c r="H17" s="59"/>
      <c r="I17" s="57"/>
      <c r="J17" s="59">
        <v>8400</v>
      </c>
      <c r="K17" s="59"/>
      <c r="L17" s="19"/>
      <c r="M17" s="26">
        <f t="shared" si="0"/>
        <v>8400</v>
      </c>
      <c r="N17" s="26">
        <f t="shared" si="1"/>
        <v>0</v>
      </c>
      <c r="O17" s="26">
        <f t="shared" si="2"/>
        <v>0</v>
      </c>
      <c r="P17" s="26">
        <v>8400</v>
      </c>
      <c r="Q17" s="33"/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-8400</v>
      </c>
      <c r="AG17" s="27">
        <f t="shared" si="4"/>
        <v>0</v>
      </c>
      <c r="AH17" s="87">
        <f t="shared" si="10"/>
        <v>8400</v>
      </c>
    </row>
    <row r="18" spans="1:34" s="11" customFormat="1" ht="23.25" hidden="1" customHeight="1" x14ac:dyDescent="0.2">
      <c r="A18" s="29">
        <v>40496</v>
      </c>
      <c r="B18" s="30"/>
      <c r="C18" s="24" t="s">
        <v>100</v>
      </c>
      <c r="D18" s="24"/>
      <c r="E18" s="24"/>
      <c r="F18" s="25"/>
      <c r="G18" s="25" t="s">
        <v>108</v>
      </c>
      <c r="H18" s="31"/>
      <c r="I18" s="31"/>
      <c r="J18" s="31">
        <v>150</v>
      </c>
      <c r="K18" s="31"/>
      <c r="L18" s="32"/>
      <c r="M18" s="26">
        <f t="shared" ref="M18:M21" si="11">SUM(H18:J18,K18/1.12)</f>
        <v>150</v>
      </c>
      <c r="N18" s="26">
        <f t="shared" ref="N18:N21" si="12">K18/1.12*0.12</f>
        <v>0</v>
      </c>
      <c r="O18" s="26">
        <f t="shared" ref="O18:O21" si="13">-SUM(I18:J18,K18/1.12)*L18</f>
        <v>0</v>
      </c>
      <c r="P18" s="26">
        <v>150</v>
      </c>
      <c r="Q18" s="33"/>
      <c r="R18" s="33"/>
      <c r="S18" s="34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ref="AF18:AF21" si="14">-SUM(N18:AE18)</f>
        <v>-150</v>
      </c>
      <c r="AG18" s="27">
        <f t="shared" ref="AG18:AG21" si="15">SUM(H18:K18)+AF18+O18</f>
        <v>0</v>
      </c>
      <c r="AH18" s="87">
        <f t="shared" si="10"/>
        <v>150</v>
      </c>
    </row>
    <row r="19" spans="1:34" s="11" customFormat="1" ht="23.25" hidden="1" customHeight="1" x14ac:dyDescent="0.2">
      <c r="A19" s="29">
        <v>40496</v>
      </c>
      <c r="B19" s="30"/>
      <c r="C19" s="24" t="s">
        <v>109</v>
      </c>
      <c r="D19" s="24"/>
      <c r="E19" s="24"/>
      <c r="F19" s="25">
        <v>205392</v>
      </c>
      <c r="G19" s="25" t="s">
        <v>110</v>
      </c>
      <c r="H19" s="31"/>
      <c r="I19" s="31"/>
      <c r="J19" s="31"/>
      <c r="K19" s="31">
        <v>542</v>
      </c>
      <c r="L19" s="32"/>
      <c r="M19" s="26">
        <f t="shared" si="11"/>
        <v>483.92857142857139</v>
      </c>
      <c r="N19" s="26">
        <f t="shared" si="12"/>
        <v>58.071428571428562</v>
      </c>
      <c r="O19" s="26">
        <f t="shared" si="13"/>
        <v>0</v>
      </c>
      <c r="P19" s="26"/>
      <c r="Q19" s="33"/>
      <c r="R19" s="33">
        <v>483.93</v>
      </c>
      <c r="S19" s="34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14"/>
        <v>-542.00142857142862</v>
      </c>
      <c r="AG19" s="27">
        <f t="shared" si="15"/>
        <v>-1.4285714286188522E-3</v>
      </c>
      <c r="AH19" s="87">
        <f t="shared" si="10"/>
        <v>542.00142857142862</v>
      </c>
    </row>
    <row r="20" spans="1:34" s="11" customFormat="1" ht="23.25" customHeight="1" x14ac:dyDescent="0.2">
      <c r="A20" s="29">
        <v>40496</v>
      </c>
      <c r="B20" s="30"/>
      <c r="C20" s="24" t="s">
        <v>38</v>
      </c>
      <c r="D20" s="24"/>
      <c r="E20" s="24"/>
      <c r="F20" s="25"/>
      <c r="G20" s="25" t="s">
        <v>111</v>
      </c>
      <c r="H20" s="31">
        <v>70</v>
      </c>
      <c r="I20" s="31"/>
      <c r="J20" s="31"/>
      <c r="K20" s="31"/>
      <c r="L20" s="32"/>
      <c r="M20" s="26">
        <f t="shared" si="11"/>
        <v>70</v>
      </c>
      <c r="N20" s="26">
        <f t="shared" si="12"/>
        <v>0</v>
      </c>
      <c r="O20" s="26">
        <f t="shared" si="13"/>
        <v>0</v>
      </c>
      <c r="P20" s="26"/>
      <c r="Q20" s="33"/>
      <c r="R20" s="33"/>
      <c r="S20" s="34"/>
      <c r="T20" s="34"/>
      <c r="U20" s="34"/>
      <c r="V20" s="34"/>
      <c r="W20" s="34"/>
      <c r="X20" s="33"/>
      <c r="Y20" s="33"/>
      <c r="Z20" s="33"/>
      <c r="AA20" s="33">
        <v>70</v>
      </c>
      <c r="AB20" s="34"/>
      <c r="AC20" s="34"/>
      <c r="AD20" s="33"/>
      <c r="AE20" s="33"/>
      <c r="AF20" s="26">
        <f t="shared" si="14"/>
        <v>-70</v>
      </c>
      <c r="AG20" s="27">
        <f t="shared" si="15"/>
        <v>0</v>
      </c>
      <c r="AH20" s="87">
        <f t="shared" si="10"/>
        <v>70</v>
      </c>
    </row>
    <row r="21" spans="1:34" s="11" customFormat="1" ht="23.25" customHeight="1" x14ac:dyDescent="0.2">
      <c r="A21" s="29"/>
      <c r="B21" s="30"/>
      <c r="C21" s="24"/>
      <c r="D21" s="24"/>
      <c r="E21" s="24"/>
      <c r="F21" s="25"/>
      <c r="G21" s="25"/>
      <c r="H21" s="31"/>
      <c r="I21" s="31"/>
      <c r="J21" s="31"/>
      <c r="K21" s="31"/>
      <c r="L21" s="32"/>
      <c r="M21" s="26">
        <f t="shared" si="11"/>
        <v>0</v>
      </c>
      <c r="N21" s="26">
        <f t="shared" si="12"/>
        <v>0</v>
      </c>
      <c r="O21" s="26">
        <f t="shared" si="13"/>
        <v>0</v>
      </c>
      <c r="P21" s="26"/>
      <c r="Q21" s="33"/>
      <c r="R21" s="33"/>
      <c r="S21" s="34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14"/>
        <v>0</v>
      </c>
      <c r="AG21" s="27">
        <f t="shared" si="15"/>
        <v>0</v>
      </c>
    </row>
    <row r="22" spans="1:34" s="11" customFormat="1" ht="23.25" customHeight="1" x14ac:dyDescent="0.2">
      <c r="A22" s="29"/>
      <c r="B22" s="30"/>
      <c r="C22" s="24"/>
      <c r="D22" s="24"/>
      <c r="E22" s="24"/>
      <c r="F22" s="25"/>
      <c r="G22" s="25"/>
      <c r="H22" s="31"/>
      <c r="I22" s="31"/>
      <c r="J22" s="31"/>
      <c r="K22" s="31"/>
      <c r="L22" s="32"/>
      <c r="M22" s="26">
        <f t="shared" si="0"/>
        <v>0</v>
      </c>
      <c r="N22" s="26">
        <f t="shared" si="1"/>
        <v>0</v>
      </c>
      <c r="O22" s="26">
        <f t="shared" si="2"/>
        <v>0</v>
      </c>
      <c r="P22" s="26"/>
      <c r="Q22" s="33"/>
      <c r="R22" s="33"/>
      <c r="S22" s="34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3"/>
      <c r="AE22" s="33"/>
      <c r="AF22" s="26">
        <f t="shared" si="3"/>
        <v>0</v>
      </c>
      <c r="AG22" s="27">
        <f t="shared" si="4"/>
        <v>0</v>
      </c>
    </row>
    <row r="23" spans="1:34" s="11" customFormat="1" ht="12" thickBot="1" x14ac:dyDescent="0.25">
      <c r="A23" s="29"/>
      <c r="B23" s="30"/>
      <c r="C23" s="35"/>
      <c r="D23" s="35"/>
      <c r="E23" s="35"/>
      <c r="F23" s="25"/>
      <c r="G23" s="28"/>
      <c r="H23" s="31"/>
      <c r="I23" s="31"/>
      <c r="J23" s="31"/>
      <c r="K23" s="31"/>
      <c r="L23" s="32"/>
      <c r="M23" s="33">
        <f>SUM(H23:J23,K23/1.12)</f>
        <v>0</v>
      </c>
      <c r="N23" s="33">
        <f>K23/1.12*0.12</f>
        <v>0</v>
      </c>
      <c r="O23" s="33">
        <f>-SUM(I23:J23,K23/1.12)*L23</f>
        <v>0</v>
      </c>
      <c r="P23" s="33"/>
      <c r="Q23" s="33"/>
      <c r="R23" s="33"/>
      <c r="S23" s="33"/>
      <c r="T23" s="34"/>
      <c r="U23" s="43"/>
      <c r="V23" s="34"/>
      <c r="W23" s="34"/>
      <c r="X23" s="34"/>
      <c r="Y23" s="36"/>
      <c r="Z23" s="33"/>
      <c r="AA23" s="43"/>
      <c r="AB23" s="33"/>
      <c r="AC23" s="34"/>
      <c r="AD23" s="34"/>
      <c r="AE23" s="37"/>
      <c r="AF23" s="26">
        <f t="shared" si="3"/>
        <v>0</v>
      </c>
      <c r="AG23" s="27">
        <f t="shared" si="4"/>
        <v>0</v>
      </c>
    </row>
    <row r="24" spans="1:34" s="9" customFormat="1" ht="12.75" thickTop="1" thickBot="1" x14ac:dyDescent="0.25">
      <c r="A24" s="38"/>
      <c r="B24" s="39"/>
      <c r="C24" s="40"/>
      <c r="D24" s="41"/>
      <c r="E24" s="41"/>
      <c r="F24" s="42"/>
      <c r="G24" s="40"/>
      <c r="H24" s="43">
        <f>SUM(H5:H22)</f>
        <v>680</v>
      </c>
      <c r="I24" s="43">
        <f>SUM(I22:I23)</f>
        <v>0</v>
      </c>
      <c r="J24" s="43">
        <f>SUM(J5:J22)</f>
        <v>8842.9</v>
      </c>
      <c r="K24" s="43">
        <f>SUM(K5:K22)</f>
        <v>8461.130000000001</v>
      </c>
      <c r="L24" s="43">
        <f>SUM(L22:L23)</f>
        <v>0</v>
      </c>
      <c r="M24" s="43">
        <f>SUM(M5:M22)</f>
        <v>17077.480357142857</v>
      </c>
      <c r="N24" s="43">
        <f>SUM(N5:N22)</f>
        <v>906.54964285714277</v>
      </c>
      <c r="O24" s="43">
        <f>SUM(O22:O23)</f>
        <v>0</v>
      </c>
      <c r="P24" s="43">
        <f>SUM(P5:P22)</f>
        <v>15647.48</v>
      </c>
      <c r="Q24" s="43">
        <f>SUM(Q5:Q22)</f>
        <v>111.61</v>
      </c>
      <c r="R24" s="43">
        <f>SUM(R5:R22)</f>
        <v>483.93</v>
      </c>
      <c r="S24" s="43">
        <f>SUM(S10:S23)</f>
        <v>0</v>
      </c>
      <c r="T24" s="43">
        <f>SUM(T10:T23)</f>
        <v>0</v>
      </c>
      <c r="U24" s="43">
        <f>SUM(U10:U23)</f>
        <v>65.180000000000007</v>
      </c>
      <c r="V24" s="43">
        <f>SUM(V10:V23)</f>
        <v>0</v>
      </c>
      <c r="W24" s="43">
        <f>SUM(W22:W23)</f>
        <v>0</v>
      </c>
      <c r="X24" s="43">
        <f>SUM(X22:X23)</f>
        <v>0</v>
      </c>
      <c r="Y24" s="43">
        <f>SUM(Y22:Y23)</f>
        <v>0</v>
      </c>
      <c r="Z24" s="43">
        <f>SUM(Z22:Z23)</f>
        <v>0</v>
      </c>
      <c r="AA24" s="43">
        <f>SUM(AA5:AA22)</f>
        <v>680</v>
      </c>
      <c r="AB24" s="43">
        <f>SUM(AB22:AB23)</f>
        <v>0</v>
      </c>
      <c r="AC24" s="43">
        <f>SUM(AC5:AC22)</f>
        <v>0</v>
      </c>
      <c r="AD24" s="43">
        <f>SUM(AD5:AD22)</f>
        <v>0</v>
      </c>
      <c r="AE24" s="43">
        <f>SUM(AE22:AE23)</f>
        <v>0</v>
      </c>
      <c r="AF24" s="43">
        <f>SUM(AF5:AF22)</f>
        <v>-17984.03964285714</v>
      </c>
      <c r="AG24" s="43">
        <f>SUM(AG22:AG23)</f>
        <v>0</v>
      </c>
    </row>
    <row r="25" spans="1:34" s="86" customFormat="1" ht="12" thickTop="1" x14ac:dyDescent="0.2"/>
    <row r="26" spans="1:34" ht="12" x14ac:dyDescent="0.2">
      <c r="K26" s="44">
        <f ca="1">H24+J24+K24+1:1048576+AA24</f>
        <v>0</v>
      </c>
      <c r="L26" s="8"/>
      <c r="M26" s="7"/>
      <c r="AF26" s="45">
        <f>+AF24</f>
        <v>-17984.03964285714</v>
      </c>
    </row>
    <row r="27" spans="1:34" ht="12" x14ac:dyDescent="0.2">
      <c r="K27" s="44"/>
      <c r="L27" s="8"/>
      <c r="M27" s="7"/>
      <c r="AF27" s="45"/>
    </row>
    <row r="28" spans="1:34" ht="12" x14ac:dyDescent="0.2">
      <c r="K28" s="44"/>
      <c r="L28" s="8"/>
      <c r="M28" s="7"/>
      <c r="AF28" s="45"/>
    </row>
    <row r="29" spans="1:34" x14ac:dyDescent="0.2">
      <c r="K29" s="7"/>
      <c r="L29" s="8"/>
      <c r="M29" s="7"/>
    </row>
    <row r="30" spans="1:34" ht="12.75" x14ac:dyDescent="0.2">
      <c r="C30" s="46" t="s">
        <v>46</v>
      </c>
      <c r="G30" s="9"/>
      <c r="J30" s="48" t="s">
        <v>39</v>
      </c>
      <c r="K30" s="50">
        <f>K8+K9+K10+J11+K13+K14+K16+J17+J18</f>
        <v>16589.03</v>
      </c>
      <c r="L30" s="47"/>
      <c r="M30" s="47"/>
      <c r="N30" s="45"/>
      <c r="O30" s="45"/>
      <c r="P30" s="45"/>
      <c r="Q30" s="45"/>
    </row>
    <row r="31" spans="1:34" ht="12.75" x14ac:dyDescent="0.2">
      <c r="C31" s="46"/>
      <c r="G31" s="9"/>
      <c r="J31" s="48" t="s">
        <v>44</v>
      </c>
      <c r="K31" s="50">
        <f>K7++K15</f>
        <v>173</v>
      </c>
      <c r="L31" s="47"/>
      <c r="M31" s="47"/>
      <c r="N31" s="45"/>
      <c r="O31" s="45"/>
      <c r="P31" s="45"/>
      <c r="Q31" s="45"/>
    </row>
    <row r="32" spans="1:34" ht="12.75" x14ac:dyDescent="0.2">
      <c r="J32" s="48" t="s">
        <v>40</v>
      </c>
      <c r="K32" s="49">
        <f>K19</f>
        <v>542</v>
      </c>
      <c r="L32" s="8"/>
      <c r="M32" s="7"/>
    </row>
    <row r="33" spans="1:32" ht="12.75" x14ac:dyDescent="0.2">
      <c r="J33" s="48" t="s">
        <v>41</v>
      </c>
      <c r="K33" s="49">
        <f>H24</f>
        <v>680</v>
      </c>
      <c r="L33" s="8"/>
      <c r="M33" s="7"/>
    </row>
    <row r="34" spans="1:32" ht="12.75" x14ac:dyDescent="0.2">
      <c r="A34" s="1"/>
      <c r="B34" s="1"/>
      <c r="D34" s="1"/>
      <c r="E34" s="1"/>
      <c r="F34" s="1"/>
      <c r="H34" s="1"/>
      <c r="I34" s="1"/>
      <c r="J34" s="51" t="s">
        <v>42</v>
      </c>
      <c r="K34" s="52">
        <f>SUM(K30:K33)</f>
        <v>17984.03</v>
      </c>
      <c r="L34" s="8"/>
      <c r="M34" s="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</row>
    <row r="35" spans="1:32" ht="12" x14ac:dyDescent="0.2">
      <c r="J35" s="45" t="s">
        <v>49</v>
      </c>
      <c r="K35" s="45">
        <v>18000</v>
      </c>
    </row>
    <row r="36" spans="1:32" ht="12" x14ac:dyDescent="0.2">
      <c r="H36" s="53"/>
      <c r="I36" s="53"/>
      <c r="J36" s="53"/>
      <c r="K36" s="53">
        <f>K35-K34</f>
        <v>15.970000000001164</v>
      </c>
      <c r="L36" s="60"/>
      <c r="M36" s="61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</row>
    <row r="41" spans="1:32" ht="12" x14ac:dyDescent="0.2">
      <c r="H41" s="53"/>
      <c r="I41" s="53"/>
      <c r="J41" s="53"/>
      <c r="K41" s="53"/>
      <c r="Q41" s="2">
        <v>0</v>
      </c>
    </row>
    <row r="42" spans="1:32" ht="12" x14ac:dyDescent="0.2">
      <c r="A42" s="1"/>
      <c r="B42" s="1"/>
      <c r="D42" s="1"/>
      <c r="E42" s="1"/>
      <c r="F42" s="1"/>
      <c r="H42" s="54"/>
      <c r="I42" s="54"/>
      <c r="J42" s="54"/>
      <c r="K42" s="54"/>
      <c r="L42" s="1"/>
      <c r="M42" s="1"/>
      <c r="N42" s="1"/>
      <c r="O42" s="1"/>
      <c r="P42" s="1"/>
      <c r="Q42" s="1"/>
      <c r="R42" s="1"/>
      <c r="S42" s="1"/>
      <c r="Z42" s="1"/>
      <c r="AA42" s="1"/>
      <c r="AB42" s="1"/>
      <c r="AC42" s="1"/>
      <c r="AD42" s="1"/>
      <c r="AE42" s="1"/>
      <c r="AF42" s="1"/>
    </row>
    <row r="43" spans="1:32" ht="12" x14ac:dyDescent="0.2">
      <c r="H43" s="53"/>
      <c r="I43" s="53"/>
      <c r="J43" s="53"/>
      <c r="K43" s="53"/>
    </row>
    <row r="44" spans="1:32" ht="12" x14ac:dyDescent="0.2">
      <c r="H44" s="53"/>
      <c r="I44" s="53"/>
      <c r="J44" s="53"/>
      <c r="K44" s="53"/>
    </row>
    <row r="45" spans="1:32" ht="12" x14ac:dyDescent="0.2">
      <c r="H45" s="53"/>
      <c r="I45" s="53"/>
      <c r="J45" s="53"/>
      <c r="K45" s="53"/>
    </row>
    <row r="46" spans="1:32" ht="12" x14ac:dyDescent="0.2">
      <c r="H46" s="53"/>
      <c r="I46" s="53"/>
      <c r="J46" s="53"/>
      <c r="K46" s="53"/>
    </row>
    <row r="47" spans="1:32" x14ac:dyDescent="0.2">
      <c r="H47" s="55"/>
      <c r="I47" s="55"/>
      <c r="J47" s="55"/>
      <c r="K47" s="55"/>
    </row>
    <row r="48" spans="1:32" x14ac:dyDescent="0.2">
      <c r="H48" s="55"/>
      <c r="I48" s="55"/>
      <c r="J48" s="55"/>
      <c r="K48" s="55"/>
    </row>
    <row r="49" spans="1:32" x14ac:dyDescent="0.2">
      <c r="A49" s="1"/>
      <c r="B49" s="1"/>
      <c r="D49" s="1"/>
      <c r="E49" s="1"/>
      <c r="F49" s="1"/>
      <c r="H49" s="55"/>
      <c r="I49" s="55"/>
      <c r="J49" s="55"/>
      <c r="K49" s="5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D50" s="1"/>
      <c r="E50" s="1"/>
      <c r="F50" s="1"/>
      <c r="H50" s="55"/>
      <c r="I50" s="55"/>
      <c r="J50" s="55"/>
      <c r="K50" s="5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D51" s="1"/>
      <c r="E51" s="1"/>
      <c r="F51" s="1"/>
      <c r="H51" s="55"/>
      <c r="I51" s="55"/>
      <c r="J51" s="55"/>
      <c r="K51" s="55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</sheetData>
  <mergeCells count="1">
    <mergeCell ref="A25:XFD25"/>
  </mergeCells>
  <pageMargins left="0.7" right="0.7" top="0.75" bottom="0.75" header="0.3" footer="0.3"/>
  <pageSetup paperSize="5" scale="85" orientation="landscape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1"/>
  <sheetViews>
    <sheetView workbookViewId="0">
      <selection activeCell="AH11" sqref="AH5:AH11"/>
    </sheetView>
  </sheetViews>
  <sheetFormatPr defaultRowHeight="11.25" x14ac:dyDescent="0.2"/>
  <cols>
    <col min="1" max="1" width="8.140625" style="71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hidden="1" customWidth="1"/>
    <col min="20" max="20" width="9.140625" style="2" customWidth="1"/>
    <col min="21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12" t="s">
        <v>97</v>
      </c>
      <c r="B3" s="13"/>
      <c r="C3" s="14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40495</v>
      </c>
      <c r="B5" s="17"/>
      <c r="C5" s="24" t="s">
        <v>98</v>
      </c>
      <c r="D5" s="18"/>
      <c r="E5" s="18"/>
      <c r="F5" s="57"/>
      <c r="G5" s="57" t="s">
        <v>99</v>
      </c>
      <c r="H5" s="59">
        <v>50</v>
      </c>
      <c r="I5" s="57"/>
      <c r="J5" s="59"/>
      <c r="K5" s="59"/>
      <c r="L5" s="58"/>
      <c r="M5" s="26">
        <f t="shared" ref="M5:M12" si="0">SUM(H5:J5,K5/1.12)</f>
        <v>50</v>
      </c>
      <c r="N5" s="26">
        <f t="shared" ref="N5:N12" si="1">K5/1.12*0.12</f>
        <v>0</v>
      </c>
      <c r="O5" s="26">
        <f t="shared" ref="O5:O12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/>
      <c r="Z5" s="33"/>
      <c r="AA5" s="33">
        <v>50</v>
      </c>
      <c r="AB5" s="34"/>
      <c r="AC5" s="34"/>
      <c r="AD5" s="33"/>
      <c r="AE5" s="33"/>
      <c r="AF5" s="26">
        <f t="shared" ref="AF5:AF13" si="3">-SUM(N5:AE5)</f>
        <v>-50</v>
      </c>
      <c r="AG5" s="27">
        <f t="shared" ref="AG5:AG13" si="4">SUM(H5:K5)+AF5+O5</f>
        <v>0</v>
      </c>
      <c r="AH5" s="87">
        <f>-AF5</f>
        <v>50</v>
      </c>
    </row>
    <row r="6" spans="1:34" s="10" customFormat="1" ht="19.5" hidden="1" customHeight="1" x14ac:dyDescent="0.2">
      <c r="A6" s="56">
        <v>40495</v>
      </c>
      <c r="B6" s="17"/>
      <c r="C6" s="57" t="s">
        <v>100</v>
      </c>
      <c r="D6" s="18"/>
      <c r="E6" s="18"/>
      <c r="F6" s="57"/>
      <c r="G6" s="57" t="s">
        <v>101</v>
      </c>
      <c r="H6" s="59"/>
      <c r="I6" s="57"/>
      <c r="J6" s="59">
        <v>280</v>
      </c>
      <c r="K6" s="59"/>
      <c r="L6" s="58"/>
      <c r="M6" s="26">
        <f t="shared" si="0"/>
        <v>280</v>
      </c>
      <c r="N6" s="26">
        <f t="shared" si="1"/>
        <v>0</v>
      </c>
      <c r="O6" s="26">
        <f t="shared" si="2"/>
        <v>0</v>
      </c>
      <c r="P6" s="26">
        <v>280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-280</v>
      </c>
      <c r="AG6" s="27">
        <f t="shared" si="4"/>
        <v>0</v>
      </c>
      <c r="AH6" s="87">
        <f t="shared" ref="AH6:AH11" si="5">-AF6</f>
        <v>280</v>
      </c>
    </row>
    <row r="7" spans="1:34" s="10" customFormat="1" ht="19.5" hidden="1" customHeight="1" x14ac:dyDescent="0.2">
      <c r="A7" s="56">
        <v>40495</v>
      </c>
      <c r="B7" s="17"/>
      <c r="C7" s="57" t="s">
        <v>100</v>
      </c>
      <c r="D7" s="18"/>
      <c r="E7" s="18"/>
      <c r="F7" s="57"/>
      <c r="G7" s="57" t="s">
        <v>102</v>
      </c>
      <c r="H7" s="59"/>
      <c r="I7" s="57"/>
      <c r="J7" s="59">
        <v>1200</v>
      </c>
      <c r="K7" s="59"/>
      <c r="L7" s="58"/>
      <c r="M7" s="26">
        <f t="shared" si="0"/>
        <v>1200</v>
      </c>
      <c r="N7" s="26">
        <f t="shared" si="1"/>
        <v>0</v>
      </c>
      <c r="O7" s="26">
        <f t="shared" si="2"/>
        <v>0</v>
      </c>
      <c r="P7" s="26">
        <v>1200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-1200</v>
      </c>
      <c r="AG7" s="27">
        <f t="shared" si="4"/>
        <v>0</v>
      </c>
      <c r="AH7" s="87">
        <f t="shared" si="5"/>
        <v>1200</v>
      </c>
    </row>
    <row r="8" spans="1:34" s="10" customFormat="1" ht="19.5" hidden="1" customHeight="1" x14ac:dyDescent="0.2">
      <c r="A8" s="56">
        <v>40495</v>
      </c>
      <c r="B8" s="17"/>
      <c r="C8" s="24" t="s">
        <v>47</v>
      </c>
      <c r="D8" s="18"/>
      <c r="E8" s="18"/>
      <c r="F8" s="57">
        <v>826780</v>
      </c>
      <c r="G8" s="57" t="s">
        <v>103</v>
      </c>
      <c r="H8" s="57"/>
      <c r="I8" s="57"/>
      <c r="J8" s="59"/>
      <c r="K8" s="59">
        <v>205</v>
      </c>
      <c r="L8" s="58"/>
      <c r="M8" s="26">
        <f t="shared" si="0"/>
        <v>183.03571428571428</v>
      </c>
      <c r="N8" s="26">
        <f t="shared" si="1"/>
        <v>21.964285714285712</v>
      </c>
      <c r="O8" s="26">
        <f t="shared" si="2"/>
        <v>0</v>
      </c>
      <c r="P8" s="26"/>
      <c r="Q8" s="33"/>
      <c r="R8" s="33"/>
      <c r="S8" s="34"/>
      <c r="T8" s="34">
        <v>183.04</v>
      </c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-205.00428571428571</v>
      </c>
      <c r="AG8" s="27">
        <f t="shared" si="4"/>
        <v>-4.2857142857144481E-3</v>
      </c>
      <c r="AH8" s="87">
        <f t="shared" si="5"/>
        <v>205.00428571428571</v>
      </c>
    </row>
    <row r="9" spans="1:34" s="10" customFormat="1" ht="19.5" hidden="1" customHeight="1" x14ac:dyDescent="0.2">
      <c r="A9" s="56">
        <v>40495</v>
      </c>
      <c r="B9" s="17"/>
      <c r="C9" s="24" t="s">
        <v>104</v>
      </c>
      <c r="D9" s="18"/>
      <c r="E9" s="18"/>
      <c r="F9" s="57">
        <v>2840827</v>
      </c>
      <c r="G9" s="57" t="s">
        <v>105</v>
      </c>
      <c r="H9" s="57"/>
      <c r="I9" s="57"/>
      <c r="J9" s="59"/>
      <c r="K9" s="59">
        <v>110</v>
      </c>
      <c r="L9" s="58"/>
      <c r="M9" s="26">
        <f t="shared" si="0"/>
        <v>98.214285714285708</v>
      </c>
      <c r="N9" s="26">
        <f t="shared" si="1"/>
        <v>11.785714285714285</v>
      </c>
      <c r="O9" s="26">
        <f t="shared" si="2"/>
        <v>0</v>
      </c>
      <c r="P9" s="26"/>
      <c r="Q9" s="33">
        <v>98.21</v>
      </c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-109.99571428571429</v>
      </c>
      <c r="AG9" s="27">
        <f t="shared" si="4"/>
        <v>4.2857142857144481E-3</v>
      </c>
      <c r="AH9" s="87">
        <f t="shared" si="5"/>
        <v>109.99571428571429</v>
      </c>
    </row>
    <row r="10" spans="1:34" s="10" customFormat="1" ht="21" hidden="1" customHeight="1" x14ac:dyDescent="0.2">
      <c r="A10" s="56">
        <v>40495</v>
      </c>
      <c r="B10" s="17"/>
      <c r="C10" s="24" t="s">
        <v>45</v>
      </c>
      <c r="D10" s="18"/>
      <c r="E10" s="18"/>
      <c r="F10" s="57">
        <v>3966</v>
      </c>
      <c r="G10" s="57" t="s">
        <v>106</v>
      </c>
      <c r="H10" s="59"/>
      <c r="I10" s="57"/>
      <c r="J10" s="59"/>
      <c r="K10" s="59">
        <v>126</v>
      </c>
      <c r="L10" s="58"/>
      <c r="M10" s="26">
        <f t="shared" si="0"/>
        <v>112.49999999999999</v>
      </c>
      <c r="N10" s="26">
        <f t="shared" si="1"/>
        <v>13.499999999999998</v>
      </c>
      <c r="O10" s="26">
        <f t="shared" si="2"/>
        <v>0</v>
      </c>
      <c r="P10" s="26"/>
      <c r="Q10" s="33">
        <v>112.5</v>
      </c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-126</v>
      </c>
      <c r="AG10" s="27">
        <f t="shared" si="4"/>
        <v>0</v>
      </c>
      <c r="AH10" s="87">
        <f t="shared" si="5"/>
        <v>126</v>
      </c>
    </row>
    <row r="11" spans="1:34" s="10" customFormat="1" ht="18" customHeight="1" x14ac:dyDescent="0.2">
      <c r="A11" s="56">
        <v>40495</v>
      </c>
      <c r="B11" s="17"/>
      <c r="C11" s="24" t="s">
        <v>45</v>
      </c>
      <c r="D11" s="18"/>
      <c r="E11" s="18"/>
      <c r="F11" s="57">
        <v>5248</v>
      </c>
      <c r="G11" s="57" t="s">
        <v>107</v>
      </c>
      <c r="H11" s="59"/>
      <c r="I11" s="18"/>
      <c r="J11" s="57"/>
      <c r="K11" s="59">
        <v>82</v>
      </c>
      <c r="L11" s="19"/>
      <c r="M11" s="26">
        <f t="shared" si="0"/>
        <v>73.214285714285708</v>
      </c>
      <c r="N11" s="26">
        <f t="shared" si="1"/>
        <v>8.7857142857142847</v>
      </c>
      <c r="O11" s="26">
        <f t="shared" si="2"/>
        <v>0</v>
      </c>
      <c r="P11" s="26">
        <v>73.209999999999994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-81.995714285714286</v>
      </c>
      <c r="AG11" s="27">
        <f t="shared" si="4"/>
        <v>4.2857142857144481E-3</v>
      </c>
      <c r="AH11" s="87">
        <f t="shared" si="5"/>
        <v>81.995714285714286</v>
      </c>
    </row>
    <row r="12" spans="1:34" s="11" customFormat="1" ht="23.25" customHeight="1" x14ac:dyDescent="0.2">
      <c r="A12" s="29"/>
      <c r="B12" s="30"/>
      <c r="C12" s="24"/>
      <c r="D12" s="24"/>
      <c r="E12" s="24"/>
      <c r="F12" s="25"/>
      <c r="G12" s="25"/>
      <c r="H12" s="31"/>
      <c r="I12" s="31"/>
      <c r="J12" s="31"/>
      <c r="K12" s="31"/>
      <c r="L12" s="32"/>
      <c r="M12" s="26">
        <f t="shared" si="0"/>
        <v>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0</v>
      </c>
      <c r="AG12" s="27">
        <f t="shared" si="4"/>
        <v>0</v>
      </c>
    </row>
    <row r="13" spans="1:34" s="11" customFormat="1" ht="12" thickBot="1" x14ac:dyDescent="0.25">
      <c r="A13" s="29"/>
      <c r="B13" s="30"/>
      <c r="C13" s="35"/>
      <c r="D13" s="35"/>
      <c r="E13" s="35"/>
      <c r="F13" s="25"/>
      <c r="G13" s="28"/>
      <c r="H13" s="31"/>
      <c r="I13" s="31"/>
      <c r="J13" s="31"/>
      <c r="K13" s="31"/>
      <c r="L13" s="32"/>
      <c r="M13" s="33">
        <f>SUM(H13:J13,K13/1.12)</f>
        <v>0</v>
      </c>
      <c r="N13" s="33">
        <f>K13/1.12*0.12</f>
        <v>0</v>
      </c>
      <c r="O13" s="33">
        <f>-SUM(I13:J13,K13/1.12)*L13</f>
        <v>0</v>
      </c>
      <c r="P13" s="33"/>
      <c r="Q13" s="33"/>
      <c r="R13" s="33"/>
      <c r="S13" s="33"/>
      <c r="T13" s="34"/>
      <c r="U13" s="43"/>
      <c r="V13" s="34"/>
      <c r="W13" s="34"/>
      <c r="X13" s="34"/>
      <c r="Y13" s="36"/>
      <c r="Z13" s="33"/>
      <c r="AA13" s="43"/>
      <c r="AB13" s="33"/>
      <c r="AC13" s="34"/>
      <c r="AD13" s="34"/>
      <c r="AE13" s="37"/>
      <c r="AF13" s="26">
        <f t="shared" si="3"/>
        <v>0</v>
      </c>
      <c r="AG13" s="27">
        <f t="shared" si="4"/>
        <v>0</v>
      </c>
    </row>
    <row r="14" spans="1:34" s="9" customFormat="1" ht="12.75" thickTop="1" thickBot="1" x14ac:dyDescent="0.25">
      <c r="A14" s="38"/>
      <c r="B14" s="39"/>
      <c r="C14" s="40"/>
      <c r="D14" s="41"/>
      <c r="E14" s="41"/>
      <c r="F14" s="42"/>
      <c r="G14" s="40"/>
      <c r="H14" s="43">
        <f>SUM(H5:H12)</f>
        <v>50</v>
      </c>
      <c r="I14" s="43">
        <f>SUM(I12:I13)</f>
        <v>0</v>
      </c>
      <c r="J14" s="43">
        <f>SUM(J5:J12)</f>
        <v>1480</v>
      </c>
      <c r="K14" s="43">
        <f>SUM(K5:K12)</f>
        <v>523</v>
      </c>
      <c r="L14" s="43">
        <f>SUM(L12:L13)</f>
        <v>0</v>
      </c>
      <c r="M14" s="43">
        <f>SUM(M5:M12)</f>
        <v>1996.9642857142858</v>
      </c>
      <c r="N14" s="43">
        <f>SUM(N5:N12)</f>
        <v>56.035714285714285</v>
      </c>
      <c r="O14" s="43">
        <f>SUM(O12:O13)</f>
        <v>0</v>
      </c>
      <c r="P14" s="43">
        <f>SUM(P5:P12)</f>
        <v>1553.21</v>
      </c>
      <c r="Q14" s="43">
        <f>SUM(Q5:Q12)</f>
        <v>210.70999999999998</v>
      </c>
      <c r="R14" s="43">
        <f>SUM(R5:R12)</f>
        <v>0</v>
      </c>
      <c r="S14" s="43">
        <f>SUM(S10:S13)</f>
        <v>0</v>
      </c>
      <c r="T14" s="43">
        <f>SUM(T5:T12)</f>
        <v>183.04</v>
      </c>
      <c r="U14" s="43">
        <f>SUM(U10:U13)</f>
        <v>0</v>
      </c>
      <c r="V14" s="43">
        <f>SUM(V10:V13)</f>
        <v>0</v>
      </c>
      <c r="W14" s="43">
        <f>SUM(W12:W13)</f>
        <v>0</v>
      </c>
      <c r="X14" s="43">
        <f>SUM(X12:X13)</f>
        <v>0</v>
      </c>
      <c r="Y14" s="43">
        <f>SUM(Y12:Y13)</f>
        <v>0</v>
      </c>
      <c r="Z14" s="43">
        <f>SUM(Z12:Z13)</f>
        <v>0</v>
      </c>
      <c r="AA14" s="43">
        <f>SUM(AA5:AA12)</f>
        <v>50</v>
      </c>
      <c r="AB14" s="43">
        <f>SUM(AB12:AB13)</f>
        <v>0</v>
      </c>
      <c r="AC14" s="43">
        <f>SUM(AC5:AC12)</f>
        <v>0</v>
      </c>
      <c r="AD14" s="43">
        <f>SUM(AD5:AD12)</f>
        <v>0</v>
      </c>
      <c r="AE14" s="43">
        <f>SUM(AE12:AE13)</f>
        <v>0</v>
      </c>
      <c r="AF14" s="43">
        <f>SUM(AF5:AF12)</f>
        <v>-2052.9957142857143</v>
      </c>
      <c r="AG14" s="43">
        <f>SUM(AG12:AG13)</f>
        <v>0</v>
      </c>
    </row>
    <row r="15" spans="1:34" s="86" customFormat="1" ht="12" thickTop="1" x14ac:dyDescent="0.2"/>
    <row r="16" spans="1:34" ht="12" x14ac:dyDescent="0.2">
      <c r="K16" s="44">
        <f>H14+J14+K14</f>
        <v>2053</v>
      </c>
      <c r="L16" s="8"/>
      <c r="M16" s="7"/>
      <c r="AF16" s="45">
        <f>+AF14</f>
        <v>-2052.9957142857143</v>
      </c>
    </row>
    <row r="17" spans="1:32" ht="12" x14ac:dyDescent="0.2">
      <c r="K17" s="44"/>
      <c r="L17" s="8"/>
      <c r="M17" s="7"/>
      <c r="AF17" s="45"/>
    </row>
    <row r="18" spans="1:32" ht="12" x14ac:dyDescent="0.2">
      <c r="K18" s="44"/>
      <c r="L18" s="8"/>
      <c r="M18" s="7"/>
      <c r="AF18" s="45"/>
    </row>
    <row r="19" spans="1:32" x14ac:dyDescent="0.2">
      <c r="K19" s="7"/>
      <c r="L19" s="8"/>
      <c r="M19" s="7"/>
    </row>
    <row r="20" spans="1:32" ht="12.75" x14ac:dyDescent="0.2">
      <c r="C20" s="46" t="s">
        <v>46</v>
      </c>
      <c r="G20" s="9"/>
      <c r="J20" s="48" t="s">
        <v>39</v>
      </c>
      <c r="K20" s="50">
        <f>H6+H7+K9+K10+K11+J6+J7</f>
        <v>1798</v>
      </c>
      <c r="L20" s="47"/>
      <c r="M20" s="47"/>
      <c r="N20" s="45"/>
      <c r="O20" s="45"/>
      <c r="P20" s="45"/>
      <c r="Q20" s="45"/>
    </row>
    <row r="21" spans="1:32" ht="12.75" x14ac:dyDescent="0.2">
      <c r="C21" s="46"/>
      <c r="G21" s="9"/>
      <c r="J21" s="48" t="s">
        <v>44</v>
      </c>
      <c r="K21" s="50">
        <f>K8</f>
        <v>205</v>
      </c>
      <c r="L21" s="47"/>
      <c r="M21" s="47"/>
      <c r="N21" s="45"/>
      <c r="O21" s="45"/>
      <c r="P21" s="45"/>
      <c r="Q21" s="45"/>
    </row>
    <row r="22" spans="1:32" ht="12.75" x14ac:dyDescent="0.2">
      <c r="J22" s="48" t="s">
        <v>40</v>
      </c>
      <c r="K22" s="49">
        <v>0</v>
      </c>
      <c r="L22" s="8"/>
      <c r="M22" s="7"/>
    </row>
    <row r="23" spans="1:32" ht="12.75" x14ac:dyDescent="0.2">
      <c r="J23" s="48" t="s">
        <v>41</v>
      </c>
      <c r="K23" s="49">
        <f>H5</f>
        <v>50</v>
      </c>
      <c r="L23" s="8"/>
      <c r="M23" s="7"/>
    </row>
    <row r="24" spans="1:32" ht="12.75" x14ac:dyDescent="0.2">
      <c r="A24" s="1"/>
      <c r="B24" s="1"/>
      <c r="D24" s="1"/>
      <c r="E24" s="1"/>
      <c r="F24" s="1"/>
      <c r="H24" s="1"/>
      <c r="I24" s="1"/>
      <c r="J24" s="51" t="s">
        <v>42</v>
      </c>
      <c r="K24" s="52">
        <f>SUM(K20:K23)</f>
        <v>2053</v>
      </c>
      <c r="L24" s="8"/>
      <c r="M24" s="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</row>
    <row r="25" spans="1:32" ht="12" x14ac:dyDescent="0.2">
      <c r="J25" s="45" t="s">
        <v>49</v>
      </c>
      <c r="K25" s="45">
        <v>0</v>
      </c>
    </row>
    <row r="26" spans="1:32" ht="12" x14ac:dyDescent="0.2">
      <c r="H26" s="53"/>
      <c r="I26" s="53"/>
      <c r="J26" s="53"/>
      <c r="K26" s="53">
        <f>K25-K24</f>
        <v>-2053</v>
      </c>
      <c r="L26" s="60"/>
      <c r="M26" s="61"/>
    </row>
    <row r="27" spans="1:32" ht="12" x14ac:dyDescent="0.2">
      <c r="H27" s="53"/>
      <c r="I27" s="53"/>
      <c r="J27" s="53"/>
      <c r="K27" s="53"/>
    </row>
    <row r="28" spans="1:32" ht="12" x14ac:dyDescent="0.2">
      <c r="H28" s="53"/>
      <c r="I28" s="53"/>
      <c r="J28" s="53"/>
      <c r="K28" s="53"/>
    </row>
    <row r="29" spans="1:32" ht="12" x14ac:dyDescent="0.2">
      <c r="H29" s="53"/>
      <c r="I29" s="53"/>
      <c r="J29" s="53"/>
      <c r="K29" s="53"/>
    </row>
    <row r="30" spans="1:32" ht="12" x14ac:dyDescent="0.2">
      <c r="H30" s="53"/>
      <c r="I30" s="53"/>
      <c r="J30" s="53"/>
      <c r="K30" s="53"/>
    </row>
    <row r="31" spans="1:32" ht="12" x14ac:dyDescent="0.2">
      <c r="H31" s="53"/>
      <c r="I31" s="53"/>
      <c r="J31" s="53"/>
      <c r="K31" s="53"/>
      <c r="Q31" s="2">
        <v>0</v>
      </c>
    </row>
    <row r="32" spans="1:32" ht="12" x14ac:dyDescent="0.2">
      <c r="A32" s="1"/>
      <c r="B32" s="1"/>
      <c r="D32" s="1"/>
      <c r="E32" s="1"/>
      <c r="F32" s="1"/>
      <c r="H32" s="54"/>
      <c r="I32" s="54"/>
      <c r="J32" s="54"/>
      <c r="K32" s="54"/>
      <c r="L32" s="1"/>
      <c r="M32" s="1"/>
      <c r="N32" s="1"/>
      <c r="O32" s="1"/>
      <c r="P32" s="1"/>
      <c r="Q32" s="1"/>
      <c r="R32" s="1"/>
      <c r="S32" s="1"/>
      <c r="Z32" s="1"/>
      <c r="AA32" s="1"/>
      <c r="AB32" s="1"/>
      <c r="AC32" s="1"/>
      <c r="AD32" s="1"/>
      <c r="AE32" s="1"/>
      <c r="AF32" s="1"/>
    </row>
    <row r="33" spans="1:32" ht="12" x14ac:dyDescent="0.2">
      <c r="H33" s="53"/>
      <c r="I33" s="53"/>
      <c r="J33" s="53"/>
      <c r="K33" s="53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</row>
    <row r="37" spans="1:32" x14ac:dyDescent="0.2">
      <c r="H37" s="55"/>
      <c r="I37" s="55"/>
      <c r="J37" s="55"/>
      <c r="K37" s="55"/>
    </row>
    <row r="38" spans="1:32" x14ac:dyDescent="0.2">
      <c r="H38" s="55"/>
      <c r="I38" s="55"/>
      <c r="J38" s="55"/>
      <c r="K38" s="55"/>
    </row>
    <row r="39" spans="1:32" x14ac:dyDescent="0.2">
      <c r="A39" s="1"/>
      <c r="B39" s="1"/>
      <c r="D39" s="1"/>
      <c r="E39" s="1"/>
      <c r="F39" s="1"/>
      <c r="H39" s="55"/>
      <c r="I39" s="55"/>
      <c r="J39" s="55"/>
      <c r="K39" s="5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D40" s="1"/>
      <c r="E40" s="1"/>
      <c r="F40" s="1"/>
      <c r="H40" s="55"/>
      <c r="I40" s="55"/>
      <c r="J40" s="55"/>
      <c r="K40" s="5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D41" s="1"/>
      <c r="E41" s="1"/>
      <c r="F41" s="1"/>
      <c r="H41" s="55"/>
      <c r="I41" s="55"/>
      <c r="J41" s="55"/>
      <c r="K41" s="5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</sheetData>
  <mergeCells count="1">
    <mergeCell ref="A15:XFD15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54"/>
  <sheetViews>
    <sheetView workbookViewId="0">
      <selection activeCell="AH5" sqref="AH5:AH25"/>
    </sheetView>
  </sheetViews>
  <sheetFormatPr defaultRowHeight="11.25" x14ac:dyDescent="0.2"/>
  <cols>
    <col min="1" max="1" width="8.140625" style="72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9.85546875" style="2" customWidth="1"/>
    <col min="19" max="19" width="9.5703125" style="2" hidden="1" customWidth="1"/>
    <col min="20" max="20" width="10.5703125" style="2" customWidth="1"/>
    <col min="21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112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6</v>
      </c>
      <c r="S4" s="20" t="s">
        <v>50</v>
      </c>
      <c r="T4" s="20" t="s">
        <v>143</v>
      </c>
      <c r="U4" s="20" t="s">
        <v>125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44149</v>
      </c>
      <c r="B5" s="17"/>
      <c r="C5" s="24" t="s">
        <v>36</v>
      </c>
      <c r="D5" s="18"/>
      <c r="E5" s="18"/>
      <c r="F5" s="57"/>
      <c r="G5" s="57" t="s">
        <v>113</v>
      </c>
      <c r="H5" s="59"/>
      <c r="I5" s="57"/>
      <c r="J5" s="59"/>
      <c r="K5" s="59">
        <f>104+26+130+580+130+130+615</f>
        <v>1715</v>
      </c>
      <c r="L5" s="58"/>
      <c r="M5" s="26">
        <f t="shared" ref="M5:M25" si="0">SUM(H5:J5,K5/1.12)</f>
        <v>1531.2499999999998</v>
      </c>
      <c r="N5" s="26">
        <f t="shared" ref="N5:N25" si="1">K5/1.12*0.12</f>
        <v>183.74999999999997</v>
      </c>
      <c r="O5" s="26">
        <f t="shared" ref="O5:O25" si="2">-SUM(I5:J5,K5/1.12)*L5</f>
        <v>0</v>
      </c>
      <c r="P5" s="26"/>
      <c r="Q5" s="33">
        <v>1531.25</v>
      </c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26" si="3">-SUM(N5:AE5)</f>
        <v>-1715</v>
      </c>
      <c r="AG5" s="27">
        <f t="shared" ref="AG5:AG26" si="4">SUM(H5:K5)+AF5+O5</f>
        <v>0</v>
      </c>
      <c r="AH5" s="87">
        <f>-AF5</f>
        <v>1715</v>
      </c>
    </row>
    <row r="6" spans="1:34" s="10" customFormat="1" ht="19.5" hidden="1" customHeight="1" x14ac:dyDescent="0.2">
      <c r="A6" s="56">
        <v>44149</v>
      </c>
      <c r="B6" s="17"/>
      <c r="C6" s="24" t="s">
        <v>36</v>
      </c>
      <c r="D6" s="18"/>
      <c r="E6" s="18"/>
      <c r="F6" s="57"/>
      <c r="G6" s="57" t="s">
        <v>114</v>
      </c>
      <c r="H6" s="59"/>
      <c r="I6" s="57"/>
      <c r="J6" s="59"/>
      <c r="K6" s="59">
        <f>3296.6-K5</f>
        <v>1581.6</v>
      </c>
      <c r="L6" s="58"/>
      <c r="M6" s="26">
        <f t="shared" si="0"/>
        <v>1412.1428571428569</v>
      </c>
      <c r="N6" s="26">
        <f t="shared" si="1"/>
        <v>169.45714285714283</v>
      </c>
      <c r="O6" s="26">
        <f t="shared" si="2"/>
        <v>0</v>
      </c>
      <c r="P6" s="26">
        <v>1412.14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-1581.5971428571429</v>
      </c>
      <c r="AG6" s="27">
        <f t="shared" si="4"/>
        <v>2.8571428570103308E-3</v>
      </c>
      <c r="AH6" s="87">
        <f t="shared" ref="AH6:AH25" si="5">-AF6</f>
        <v>1581.5971428571429</v>
      </c>
    </row>
    <row r="7" spans="1:34" s="10" customFormat="1" ht="19.5" hidden="1" customHeight="1" x14ac:dyDescent="0.2">
      <c r="A7" s="56">
        <v>44149</v>
      </c>
      <c r="B7" s="17"/>
      <c r="C7" s="57" t="s">
        <v>38</v>
      </c>
      <c r="D7" s="18"/>
      <c r="E7" s="18"/>
      <c r="F7" s="57"/>
      <c r="G7" s="57" t="s">
        <v>115</v>
      </c>
      <c r="H7" s="59">
        <v>100</v>
      </c>
      <c r="I7" s="57"/>
      <c r="J7" s="59"/>
      <c r="K7" s="59"/>
      <c r="L7" s="58"/>
      <c r="M7" s="26">
        <f t="shared" si="0"/>
        <v>100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>
        <v>100</v>
      </c>
      <c r="AB7" s="34"/>
      <c r="AC7" s="34"/>
      <c r="AD7" s="33"/>
      <c r="AE7" s="33"/>
      <c r="AF7" s="26">
        <f t="shared" si="3"/>
        <v>-100</v>
      </c>
      <c r="AG7" s="27">
        <f t="shared" si="4"/>
        <v>0</v>
      </c>
      <c r="AH7" s="87">
        <f t="shared" si="5"/>
        <v>100</v>
      </c>
    </row>
    <row r="8" spans="1:34" s="10" customFormat="1" ht="19.5" hidden="1" customHeight="1" x14ac:dyDescent="0.2">
      <c r="A8" s="56">
        <v>44151</v>
      </c>
      <c r="B8" s="17"/>
      <c r="C8" s="24" t="s">
        <v>116</v>
      </c>
      <c r="D8" s="18"/>
      <c r="E8" s="18"/>
      <c r="F8" s="57"/>
      <c r="G8" s="57" t="s">
        <v>117</v>
      </c>
      <c r="H8" s="57"/>
      <c r="I8" s="57"/>
      <c r="J8" s="59">
        <v>680</v>
      </c>
      <c r="K8" s="59"/>
      <c r="L8" s="58"/>
      <c r="M8" s="26">
        <f t="shared" si="0"/>
        <v>680</v>
      </c>
      <c r="N8" s="26">
        <f t="shared" si="1"/>
        <v>0</v>
      </c>
      <c r="O8" s="26">
        <f t="shared" si="2"/>
        <v>0</v>
      </c>
      <c r="P8" s="26">
        <v>680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-680</v>
      </c>
      <c r="AG8" s="27">
        <f t="shared" si="4"/>
        <v>0</v>
      </c>
      <c r="AH8" s="87">
        <f t="shared" si="5"/>
        <v>680</v>
      </c>
    </row>
    <row r="9" spans="1:34" s="10" customFormat="1" ht="19.5" hidden="1" customHeight="1" x14ac:dyDescent="0.2">
      <c r="A9" s="56">
        <v>44151</v>
      </c>
      <c r="B9" s="17"/>
      <c r="C9" s="24" t="s">
        <v>118</v>
      </c>
      <c r="D9" s="18"/>
      <c r="E9" s="18"/>
      <c r="F9" s="57"/>
      <c r="G9" s="57" t="s">
        <v>119</v>
      </c>
      <c r="H9" s="57"/>
      <c r="I9" s="57"/>
      <c r="J9" s="59">
        <v>500</v>
      </c>
      <c r="K9" s="59"/>
      <c r="L9" s="58"/>
      <c r="M9" s="26">
        <f t="shared" si="0"/>
        <v>500</v>
      </c>
      <c r="N9" s="26">
        <f t="shared" si="1"/>
        <v>0</v>
      </c>
      <c r="O9" s="26">
        <f t="shared" si="2"/>
        <v>0</v>
      </c>
      <c r="P9" s="26">
        <v>500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-500</v>
      </c>
      <c r="AG9" s="27">
        <f t="shared" si="4"/>
        <v>0</v>
      </c>
      <c r="AH9" s="87">
        <f t="shared" si="5"/>
        <v>500</v>
      </c>
    </row>
    <row r="10" spans="1:34" s="10" customFormat="1" ht="17.25" hidden="1" customHeight="1" x14ac:dyDescent="0.2">
      <c r="A10" s="56">
        <v>44151</v>
      </c>
      <c r="B10" s="17"/>
      <c r="C10" s="24" t="s">
        <v>120</v>
      </c>
      <c r="D10" s="18"/>
      <c r="E10" s="18"/>
      <c r="F10" s="57"/>
      <c r="G10" s="57" t="s">
        <v>121</v>
      </c>
      <c r="H10" s="59"/>
      <c r="I10" s="57"/>
      <c r="J10" s="59"/>
      <c r="K10" s="59">
        <v>329</v>
      </c>
      <c r="L10" s="58"/>
      <c r="M10" s="26">
        <f t="shared" si="0"/>
        <v>293.75</v>
      </c>
      <c r="N10" s="26">
        <f t="shared" si="1"/>
        <v>35.25</v>
      </c>
      <c r="O10" s="26">
        <f t="shared" si="2"/>
        <v>0</v>
      </c>
      <c r="P10" s="26">
        <v>293.75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-329</v>
      </c>
      <c r="AG10" s="27">
        <f t="shared" si="4"/>
        <v>0</v>
      </c>
      <c r="AH10" s="87">
        <f t="shared" si="5"/>
        <v>329</v>
      </c>
    </row>
    <row r="11" spans="1:34" s="10" customFormat="1" ht="18" hidden="1" customHeight="1" x14ac:dyDescent="0.2">
      <c r="A11" s="56">
        <v>44151</v>
      </c>
      <c r="B11" s="17"/>
      <c r="C11" s="24" t="s">
        <v>37</v>
      </c>
      <c r="D11" s="18"/>
      <c r="E11" s="18"/>
      <c r="F11" s="57"/>
      <c r="G11" s="57" t="s">
        <v>122</v>
      </c>
      <c r="H11" s="59">
        <v>100</v>
      </c>
      <c r="I11" s="18"/>
      <c r="J11" s="59"/>
      <c r="K11" s="59"/>
      <c r="L11" s="19"/>
      <c r="M11" s="26">
        <f t="shared" si="0"/>
        <v>100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>
        <v>100</v>
      </c>
      <c r="AB11" s="34"/>
      <c r="AC11" s="34"/>
      <c r="AD11" s="33"/>
      <c r="AE11" s="33"/>
      <c r="AF11" s="26">
        <f t="shared" si="3"/>
        <v>-100</v>
      </c>
      <c r="AG11" s="27">
        <f t="shared" si="4"/>
        <v>0</v>
      </c>
      <c r="AH11" s="87">
        <f t="shared" si="5"/>
        <v>100</v>
      </c>
    </row>
    <row r="12" spans="1:34" s="10" customFormat="1" ht="21.75" hidden="1" customHeight="1" x14ac:dyDescent="0.2">
      <c r="A12" s="56">
        <v>44151</v>
      </c>
      <c r="B12" s="17"/>
      <c r="C12" s="24" t="s">
        <v>36</v>
      </c>
      <c r="D12" s="18"/>
      <c r="E12" s="18"/>
      <c r="F12" s="57"/>
      <c r="G12" s="57" t="s">
        <v>123</v>
      </c>
      <c r="H12" s="59"/>
      <c r="I12" s="57"/>
      <c r="J12" s="57"/>
      <c r="K12" s="59">
        <f>3428.15-K13</f>
        <v>3188.55</v>
      </c>
      <c r="L12" s="19"/>
      <c r="M12" s="26">
        <f t="shared" si="0"/>
        <v>2846.9196428571427</v>
      </c>
      <c r="N12" s="26">
        <f t="shared" si="1"/>
        <v>341.63035714285712</v>
      </c>
      <c r="O12" s="26">
        <f t="shared" si="2"/>
        <v>0</v>
      </c>
      <c r="P12" s="26">
        <v>2846.92</v>
      </c>
      <c r="Q12" s="33"/>
      <c r="R12" s="33"/>
      <c r="S12" s="63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-3188.5503571428571</v>
      </c>
      <c r="AG12" s="27">
        <f t="shared" si="4"/>
        <v>-3.5714285695576109E-4</v>
      </c>
      <c r="AH12" s="87">
        <f t="shared" si="5"/>
        <v>3188.5503571428571</v>
      </c>
    </row>
    <row r="13" spans="1:34" s="10" customFormat="1" ht="21.75" hidden="1" customHeight="1" x14ac:dyDescent="0.2">
      <c r="A13" s="56">
        <v>44151</v>
      </c>
      <c r="B13" s="17"/>
      <c r="C13" s="24" t="s">
        <v>36</v>
      </c>
      <c r="D13" s="18"/>
      <c r="E13" s="18"/>
      <c r="F13" s="57"/>
      <c r="G13" s="57" t="s">
        <v>124</v>
      </c>
      <c r="H13" s="59"/>
      <c r="I13" s="57"/>
      <c r="J13" s="57"/>
      <c r="K13" s="59">
        <v>239.6</v>
      </c>
      <c r="L13" s="19"/>
      <c r="M13" s="26">
        <f t="shared" si="0"/>
        <v>213.92857142857142</v>
      </c>
      <c r="N13" s="26">
        <f t="shared" si="1"/>
        <v>25.671428571428567</v>
      </c>
      <c r="O13" s="26">
        <f t="shared" si="2"/>
        <v>0</v>
      </c>
      <c r="P13" s="26"/>
      <c r="Q13" s="33"/>
      <c r="R13" s="33"/>
      <c r="S13" s="63"/>
      <c r="T13" s="34"/>
      <c r="U13" s="34">
        <v>213.93</v>
      </c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-239.60142857142858</v>
      </c>
      <c r="AG13" s="27">
        <f t="shared" si="4"/>
        <v>-1.4285714285904305E-3</v>
      </c>
      <c r="AH13" s="87">
        <f t="shared" si="5"/>
        <v>239.60142857142858</v>
      </c>
    </row>
    <row r="14" spans="1:34" s="10" customFormat="1" ht="21.75" hidden="1" customHeight="1" x14ac:dyDescent="0.2">
      <c r="A14" s="56">
        <v>44151</v>
      </c>
      <c r="B14" s="17"/>
      <c r="C14" s="24" t="s">
        <v>37</v>
      </c>
      <c r="D14" s="18"/>
      <c r="E14" s="18"/>
      <c r="F14" s="57"/>
      <c r="G14" s="57" t="s">
        <v>115</v>
      </c>
      <c r="H14" s="59">
        <v>80</v>
      </c>
      <c r="I14" s="57"/>
      <c r="J14" s="57"/>
      <c r="K14" s="59"/>
      <c r="L14" s="19"/>
      <c r="M14" s="26"/>
      <c r="N14" s="26">
        <f t="shared" ref="N14" si="6">K14/1.12*0.12</f>
        <v>0</v>
      </c>
      <c r="O14" s="26">
        <f t="shared" ref="O14" si="7">-SUM(I14:J14,K14/1.12)*L14</f>
        <v>0</v>
      </c>
      <c r="P14" s="26"/>
      <c r="Q14" s="33"/>
      <c r="R14" s="33"/>
      <c r="S14" s="63"/>
      <c r="T14" s="34"/>
      <c r="U14" s="34"/>
      <c r="V14" s="34"/>
      <c r="W14" s="34"/>
      <c r="X14" s="33"/>
      <c r="Y14" s="33"/>
      <c r="Z14" s="33"/>
      <c r="AA14" s="33">
        <v>80</v>
      </c>
      <c r="AB14" s="34"/>
      <c r="AC14" s="34"/>
      <c r="AD14" s="33"/>
      <c r="AE14" s="33"/>
      <c r="AF14" s="26">
        <f t="shared" ref="AF14" si="8">-SUM(N14:AE14)</f>
        <v>-80</v>
      </c>
      <c r="AG14" s="27"/>
      <c r="AH14" s="87">
        <f t="shared" si="5"/>
        <v>80</v>
      </c>
    </row>
    <row r="15" spans="1:34" s="10" customFormat="1" ht="21.75" hidden="1" customHeight="1" x14ac:dyDescent="0.2">
      <c r="A15" s="56">
        <v>44151</v>
      </c>
      <c r="B15" s="17"/>
      <c r="C15" s="24" t="s">
        <v>53</v>
      </c>
      <c r="D15" s="18"/>
      <c r="E15" s="18"/>
      <c r="F15" s="57"/>
      <c r="G15" s="57" t="s">
        <v>126</v>
      </c>
      <c r="H15" s="59">
        <v>20</v>
      </c>
      <c r="I15" s="57"/>
      <c r="J15" s="59"/>
      <c r="K15" s="59"/>
      <c r="L15" s="19"/>
      <c r="M15" s="26">
        <f t="shared" si="0"/>
        <v>20</v>
      </c>
      <c r="N15" s="26">
        <f t="shared" si="1"/>
        <v>0</v>
      </c>
      <c r="O15" s="26">
        <f t="shared" si="2"/>
        <v>0</v>
      </c>
      <c r="P15" s="26"/>
      <c r="Q15" s="33"/>
      <c r="R15" s="33"/>
      <c r="S15" s="63"/>
      <c r="T15" s="34"/>
      <c r="U15" s="34">
        <v>20</v>
      </c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-20</v>
      </c>
      <c r="AG15" s="27">
        <f t="shared" si="4"/>
        <v>0</v>
      </c>
      <c r="AH15" s="87">
        <f t="shared" si="5"/>
        <v>20</v>
      </c>
    </row>
    <row r="16" spans="1:34" s="10" customFormat="1" ht="21.75" hidden="1" customHeight="1" x14ac:dyDescent="0.2">
      <c r="A16" s="56">
        <v>44151</v>
      </c>
      <c r="B16" s="17"/>
      <c r="C16" s="24" t="s">
        <v>127</v>
      </c>
      <c r="D16" s="18"/>
      <c r="E16" s="18"/>
      <c r="F16" s="57"/>
      <c r="G16" s="57" t="s">
        <v>128</v>
      </c>
      <c r="H16" s="59"/>
      <c r="I16" s="57"/>
      <c r="J16" s="59">
        <v>148</v>
      </c>
      <c r="K16" s="59"/>
      <c r="L16" s="19"/>
      <c r="M16" s="26">
        <f t="shared" si="0"/>
        <v>148</v>
      </c>
      <c r="N16" s="26">
        <f t="shared" si="1"/>
        <v>0</v>
      </c>
      <c r="O16" s="26">
        <f t="shared" si="2"/>
        <v>0</v>
      </c>
      <c r="P16" s="26">
        <v>148</v>
      </c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-148</v>
      </c>
      <c r="AG16" s="27">
        <f t="shared" si="4"/>
        <v>0</v>
      </c>
      <c r="AH16" s="87">
        <f t="shared" si="5"/>
        <v>148</v>
      </c>
    </row>
    <row r="17" spans="1:34" s="10" customFormat="1" ht="21.75" hidden="1" customHeight="1" x14ac:dyDescent="0.2">
      <c r="A17" s="56">
        <v>44151</v>
      </c>
      <c r="B17" s="17"/>
      <c r="C17" s="24" t="s">
        <v>127</v>
      </c>
      <c r="D17" s="18"/>
      <c r="E17" s="18"/>
      <c r="F17" s="57"/>
      <c r="G17" s="57" t="s">
        <v>129</v>
      </c>
      <c r="H17" s="59"/>
      <c r="I17" s="57"/>
      <c r="J17" s="57"/>
      <c r="K17" s="59">
        <v>195</v>
      </c>
      <c r="L17" s="19"/>
      <c r="M17" s="26">
        <f t="shared" si="0"/>
        <v>174.10714285714283</v>
      </c>
      <c r="N17" s="26">
        <f t="shared" si="1"/>
        <v>20.892857142857139</v>
      </c>
      <c r="O17" s="26">
        <f t="shared" si="2"/>
        <v>0</v>
      </c>
      <c r="P17" s="26">
        <v>174.11</v>
      </c>
      <c r="Q17" s="33"/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-195.00285714285715</v>
      </c>
      <c r="AG17" s="27">
        <f t="shared" si="4"/>
        <v>-2.8571428571524393E-3</v>
      </c>
      <c r="AH17" s="87">
        <f t="shared" si="5"/>
        <v>195.00285714285715</v>
      </c>
    </row>
    <row r="18" spans="1:34" s="10" customFormat="1" ht="21.75" hidden="1" customHeight="1" x14ac:dyDescent="0.2">
      <c r="A18" s="56">
        <v>44151</v>
      </c>
      <c r="B18" s="17"/>
      <c r="C18" s="57" t="s">
        <v>53</v>
      </c>
      <c r="D18" s="18"/>
      <c r="E18" s="18"/>
      <c r="F18" s="57"/>
      <c r="G18" s="57" t="s">
        <v>130</v>
      </c>
      <c r="H18" s="59">
        <v>180</v>
      </c>
      <c r="I18" s="57"/>
      <c r="J18" s="59"/>
      <c r="K18" s="59"/>
      <c r="L18" s="19"/>
      <c r="M18" s="26">
        <f t="shared" si="0"/>
        <v>180</v>
      </c>
      <c r="N18" s="26">
        <f t="shared" si="1"/>
        <v>0</v>
      </c>
      <c r="O18" s="26">
        <f t="shared" si="2"/>
        <v>0</v>
      </c>
      <c r="P18" s="26"/>
      <c r="Q18" s="33"/>
      <c r="R18" s="33"/>
      <c r="S18" s="63"/>
      <c r="T18" s="34"/>
      <c r="U18" s="34"/>
      <c r="V18" s="34"/>
      <c r="W18" s="34"/>
      <c r="X18" s="33"/>
      <c r="Y18" s="33"/>
      <c r="Z18" s="33"/>
      <c r="AA18" s="33">
        <v>180</v>
      </c>
      <c r="AB18" s="34"/>
      <c r="AC18" s="34"/>
      <c r="AD18" s="33"/>
      <c r="AE18" s="33"/>
      <c r="AF18" s="26">
        <f t="shared" si="3"/>
        <v>-180</v>
      </c>
      <c r="AG18" s="27">
        <f t="shared" si="4"/>
        <v>0</v>
      </c>
      <c r="AH18" s="87">
        <f t="shared" si="5"/>
        <v>180</v>
      </c>
    </row>
    <row r="19" spans="1:34" s="11" customFormat="1" ht="23.25" hidden="1" customHeight="1" x14ac:dyDescent="0.2">
      <c r="A19" s="56">
        <v>44152</v>
      </c>
      <c r="B19" s="30"/>
      <c r="C19" s="79" t="s">
        <v>47</v>
      </c>
      <c r="D19" s="24"/>
      <c r="E19" s="24"/>
      <c r="F19" s="25"/>
      <c r="G19" s="25" t="s">
        <v>131</v>
      </c>
      <c r="H19" s="31"/>
      <c r="I19" s="31"/>
      <c r="J19" s="31"/>
      <c r="K19" s="31">
        <v>297.25</v>
      </c>
      <c r="L19" s="32"/>
      <c r="M19" s="26">
        <f t="shared" si="0"/>
        <v>265.40178571428567</v>
      </c>
      <c r="N19" s="26">
        <f t="shared" si="1"/>
        <v>31.848214285714278</v>
      </c>
      <c r="O19" s="26">
        <f t="shared" si="2"/>
        <v>0</v>
      </c>
      <c r="P19" s="26"/>
      <c r="Q19" s="33"/>
      <c r="R19" s="33">
        <v>265.39999999999998</v>
      </c>
      <c r="S19" s="34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3"/>
        <v>-297.24821428571425</v>
      </c>
      <c r="AG19" s="27">
        <f t="shared" si="4"/>
        <v>1.7857142857451436E-3</v>
      </c>
      <c r="AH19" s="87">
        <f t="shared" si="5"/>
        <v>297.24821428571425</v>
      </c>
    </row>
    <row r="20" spans="1:34" s="11" customFormat="1" ht="23.25" hidden="1" customHeight="1" x14ac:dyDescent="0.2">
      <c r="A20" s="56">
        <v>44153</v>
      </c>
      <c r="B20" s="30"/>
      <c r="C20" s="24" t="s">
        <v>139</v>
      </c>
      <c r="D20" s="24"/>
      <c r="E20" s="24"/>
      <c r="F20" s="25"/>
      <c r="G20" s="25" t="s">
        <v>140</v>
      </c>
      <c r="H20" s="31">
        <v>164</v>
      </c>
      <c r="I20" s="31"/>
      <c r="J20" s="31"/>
      <c r="K20" s="31"/>
      <c r="L20" s="32"/>
      <c r="M20" s="26">
        <f t="shared" si="0"/>
        <v>164</v>
      </c>
      <c r="N20" s="26">
        <f t="shared" si="1"/>
        <v>0</v>
      </c>
      <c r="O20" s="26">
        <f t="shared" si="2"/>
        <v>0</v>
      </c>
      <c r="P20" s="26"/>
      <c r="Q20" s="33"/>
      <c r="R20" s="33"/>
      <c r="S20" s="34"/>
      <c r="T20" s="34"/>
      <c r="U20" s="34"/>
      <c r="V20" s="34"/>
      <c r="W20" s="34"/>
      <c r="X20" s="33"/>
      <c r="Y20" s="33"/>
      <c r="Z20" s="33"/>
      <c r="AA20" s="33">
        <v>164</v>
      </c>
      <c r="AB20" s="34"/>
      <c r="AC20" s="34"/>
      <c r="AD20" s="33"/>
      <c r="AE20" s="33"/>
      <c r="AF20" s="26">
        <f t="shared" si="3"/>
        <v>-164</v>
      </c>
      <c r="AG20" s="27">
        <f t="shared" si="4"/>
        <v>0</v>
      </c>
      <c r="AH20" s="87">
        <f t="shared" si="5"/>
        <v>164</v>
      </c>
    </row>
    <row r="21" spans="1:34" s="11" customFormat="1" ht="23.25" hidden="1" customHeight="1" x14ac:dyDescent="0.2">
      <c r="A21" s="56">
        <v>44153</v>
      </c>
      <c r="B21" s="30"/>
      <c r="C21" s="24" t="s">
        <v>141</v>
      </c>
      <c r="D21" s="24"/>
      <c r="E21" s="24"/>
      <c r="F21" s="25"/>
      <c r="G21" s="25" t="s">
        <v>142</v>
      </c>
      <c r="H21" s="31"/>
      <c r="I21" s="31"/>
      <c r="J21" s="31"/>
      <c r="K21" s="31">
        <v>1491</v>
      </c>
      <c r="L21" s="32"/>
      <c r="M21" s="26">
        <f t="shared" ref="M21:M22" si="9">SUM(H21:J21,K21/1.12)</f>
        <v>1331.2499999999998</v>
      </c>
      <c r="N21" s="26">
        <f t="shared" ref="N21:N22" si="10">K21/1.12*0.12</f>
        <v>159.74999999999997</v>
      </c>
      <c r="O21" s="26">
        <f t="shared" ref="O21:O22" si="11">-SUM(I21:J21,K21/1.12)*L21</f>
        <v>0</v>
      </c>
      <c r="P21" s="26"/>
      <c r="Q21" s="33"/>
      <c r="R21" s="33"/>
      <c r="S21" s="34"/>
      <c r="T21" s="34">
        <v>1331.25</v>
      </c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ref="AF21:AF22" si="12">-SUM(N21:AE21)</f>
        <v>-1491</v>
      </c>
      <c r="AG21" s="27"/>
      <c r="AH21" s="87">
        <f t="shared" si="5"/>
        <v>1491</v>
      </c>
    </row>
    <row r="22" spans="1:34" s="11" customFormat="1" ht="23.25" hidden="1" customHeight="1" x14ac:dyDescent="0.2">
      <c r="A22" s="56">
        <v>44153</v>
      </c>
      <c r="B22" s="30"/>
      <c r="C22" s="24" t="s">
        <v>144</v>
      </c>
      <c r="D22" s="24"/>
      <c r="E22" s="24"/>
      <c r="F22" s="25"/>
      <c r="G22" s="25" t="s">
        <v>145</v>
      </c>
      <c r="H22" s="31"/>
      <c r="I22" s="31"/>
      <c r="J22" s="31">
        <v>240</v>
      </c>
      <c r="K22" s="31"/>
      <c r="L22" s="32"/>
      <c r="M22" s="26">
        <f t="shared" si="9"/>
        <v>240</v>
      </c>
      <c r="N22" s="26">
        <f t="shared" si="10"/>
        <v>0</v>
      </c>
      <c r="O22" s="26">
        <f t="shared" si="11"/>
        <v>0</v>
      </c>
      <c r="P22" s="26">
        <v>240</v>
      </c>
      <c r="Q22" s="33"/>
      <c r="R22" s="33"/>
      <c r="S22" s="34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3"/>
      <c r="AE22" s="33"/>
      <c r="AF22" s="26">
        <f t="shared" si="12"/>
        <v>-240</v>
      </c>
      <c r="AG22" s="27"/>
      <c r="AH22" s="87">
        <f t="shared" si="5"/>
        <v>240</v>
      </c>
    </row>
    <row r="23" spans="1:34" s="11" customFormat="1" ht="23.25" hidden="1" customHeight="1" x14ac:dyDescent="0.2">
      <c r="A23" s="56">
        <v>44153</v>
      </c>
      <c r="B23" s="30"/>
      <c r="C23" s="24" t="s">
        <v>38</v>
      </c>
      <c r="D23" s="24"/>
      <c r="E23" s="24"/>
      <c r="F23" s="25"/>
      <c r="G23" s="25" t="s">
        <v>146</v>
      </c>
      <c r="H23" s="31">
        <v>70</v>
      </c>
      <c r="I23" s="31"/>
      <c r="J23" s="31"/>
      <c r="K23" s="31"/>
      <c r="L23" s="32"/>
      <c r="M23" s="26">
        <f t="shared" si="0"/>
        <v>70</v>
      </c>
      <c r="N23" s="26">
        <f t="shared" si="1"/>
        <v>0</v>
      </c>
      <c r="O23" s="26">
        <f t="shared" si="2"/>
        <v>0</v>
      </c>
      <c r="P23" s="26"/>
      <c r="Q23" s="33"/>
      <c r="R23" s="33"/>
      <c r="S23" s="34"/>
      <c r="T23" s="34"/>
      <c r="U23" s="34"/>
      <c r="V23" s="34"/>
      <c r="W23" s="34"/>
      <c r="X23" s="33"/>
      <c r="Y23" s="33"/>
      <c r="Z23" s="33"/>
      <c r="AA23" s="33">
        <v>70</v>
      </c>
      <c r="AB23" s="34"/>
      <c r="AC23" s="34"/>
      <c r="AD23" s="33"/>
      <c r="AE23" s="33"/>
      <c r="AF23" s="26">
        <f t="shared" si="3"/>
        <v>-70</v>
      </c>
      <c r="AG23" s="27">
        <f t="shared" si="4"/>
        <v>0</v>
      </c>
      <c r="AH23" s="87">
        <f t="shared" si="5"/>
        <v>70</v>
      </c>
    </row>
    <row r="24" spans="1:34" s="11" customFormat="1" ht="23.25" hidden="1" customHeight="1" x14ac:dyDescent="0.2">
      <c r="A24" s="56">
        <v>44154</v>
      </c>
      <c r="B24" s="30"/>
      <c r="C24" s="79" t="s">
        <v>47</v>
      </c>
      <c r="D24" s="24"/>
      <c r="E24" s="24"/>
      <c r="F24" s="25"/>
      <c r="G24" s="25" t="s">
        <v>147</v>
      </c>
      <c r="H24" s="31"/>
      <c r="I24" s="31"/>
      <c r="J24" s="31"/>
      <c r="K24" s="31">
        <v>475</v>
      </c>
      <c r="L24" s="32"/>
      <c r="M24" s="26">
        <f t="shared" si="0"/>
        <v>424.10714285714283</v>
      </c>
      <c r="N24" s="26">
        <f t="shared" si="1"/>
        <v>50.892857142857139</v>
      </c>
      <c r="O24" s="26">
        <f t="shared" si="2"/>
        <v>0</v>
      </c>
      <c r="P24" s="26"/>
      <c r="Q24" s="33"/>
      <c r="R24" s="33">
        <v>424.11</v>
      </c>
      <c r="S24" s="34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3"/>
      <c r="AE24" s="33"/>
      <c r="AF24" s="26">
        <f t="shared" si="3"/>
        <v>-475.00285714285712</v>
      </c>
      <c r="AG24" s="27">
        <f t="shared" si="4"/>
        <v>-2.8571428571240176E-3</v>
      </c>
      <c r="AH24" s="87">
        <f t="shared" si="5"/>
        <v>475.00285714285712</v>
      </c>
    </row>
    <row r="25" spans="1:34" s="11" customFormat="1" ht="23.25" customHeight="1" x14ac:dyDescent="0.2">
      <c r="A25" s="56">
        <v>44154</v>
      </c>
      <c r="B25" s="30"/>
      <c r="C25" s="24" t="s">
        <v>148</v>
      </c>
      <c r="D25" s="24"/>
      <c r="E25" s="24"/>
      <c r="F25" s="25"/>
      <c r="G25" s="25" t="s">
        <v>149</v>
      </c>
      <c r="H25" s="31"/>
      <c r="I25" s="31"/>
      <c r="J25" s="31"/>
      <c r="K25" s="31">
        <v>244.75</v>
      </c>
      <c r="L25" s="32"/>
      <c r="M25" s="26">
        <f t="shared" si="0"/>
        <v>218.52678571428569</v>
      </c>
      <c r="N25" s="26">
        <f t="shared" si="1"/>
        <v>26.223214285714281</v>
      </c>
      <c r="O25" s="26">
        <f t="shared" si="2"/>
        <v>0</v>
      </c>
      <c r="P25" s="26">
        <v>218.53</v>
      </c>
      <c r="Q25" s="33"/>
      <c r="R25" s="33"/>
      <c r="S25" s="34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3"/>
      <c r="AE25" s="33"/>
      <c r="AF25" s="26">
        <f t="shared" si="3"/>
        <v>-244.75321428571428</v>
      </c>
      <c r="AG25" s="27">
        <f t="shared" si="4"/>
        <v>-3.2142857142787307E-3</v>
      </c>
      <c r="AH25" s="87">
        <f t="shared" si="5"/>
        <v>244.75321428571428</v>
      </c>
    </row>
    <row r="26" spans="1:34" s="11" customFormat="1" ht="12" thickBot="1" x14ac:dyDescent="0.25">
      <c r="A26" s="29"/>
      <c r="B26" s="30"/>
      <c r="C26" s="35"/>
      <c r="D26" s="35"/>
      <c r="E26" s="35"/>
      <c r="F26" s="25"/>
      <c r="G26" s="28"/>
      <c r="H26" s="31"/>
      <c r="I26" s="31"/>
      <c r="J26" s="31"/>
      <c r="K26" s="31"/>
      <c r="L26" s="32"/>
      <c r="M26" s="33">
        <f>SUM(H26:J26,K26/1.12)</f>
        <v>0</v>
      </c>
      <c r="N26" s="33">
        <f>K26/1.12*0.12</f>
        <v>0</v>
      </c>
      <c r="O26" s="33">
        <f>-SUM(I26:J26,K26/1.12)*L26</f>
        <v>0</v>
      </c>
      <c r="P26" s="33"/>
      <c r="Q26" s="33"/>
      <c r="R26" s="33"/>
      <c r="S26" s="33"/>
      <c r="T26" s="34"/>
      <c r="U26" s="43"/>
      <c r="V26" s="34"/>
      <c r="W26" s="34"/>
      <c r="X26" s="34"/>
      <c r="Y26" s="36"/>
      <c r="Z26" s="33"/>
      <c r="AA26" s="43"/>
      <c r="AB26" s="33"/>
      <c r="AC26" s="34"/>
      <c r="AD26" s="34"/>
      <c r="AE26" s="37"/>
      <c r="AF26" s="26">
        <f t="shared" si="3"/>
        <v>0</v>
      </c>
      <c r="AG26" s="27">
        <f t="shared" si="4"/>
        <v>0</v>
      </c>
    </row>
    <row r="27" spans="1:34" s="9" customFormat="1" ht="12.75" thickTop="1" thickBot="1" x14ac:dyDescent="0.25">
      <c r="A27" s="38"/>
      <c r="B27" s="39"/>
      <c r="C27" s="40"/>
      <c r="D27" s="41"/>
      <c r="E27" s="41"/>
      <c r="F27" s="42"/>
      <c r="G27" s="40"/>
      <c r="H27" s="43">
        <f>SUM(H5:H25)</f>
        <v>714</v>
      </c>
      <c r="I27" s="43">
        <f>SUM(I25:I26)</f>
        <v>0</v>
      </c>
      <c r="J27" s="43">
        <f>SUM(J5:J25)</f>
        <v>1568</v>
      </c>
      <c r="K27" s="43">
        <f>SUM(K5:K25)</f>
        <v>9756.75</v>
      </c>
      <c r="L27" s="43">
        <f>SUM(L25:L26)</f>
        <v>0</v>
      </c>
      <c r="M27" s="43">
        <f>SUM(M5:M25)</f>
        <v>10913.383928571429</v>
      </c>
      <c r="N27" s="43">
        <f>SUM(N5:N25)</f>
        <v>1045.3660714285711</v>
      </c>
      <c r="O27" s="43">
        <f>SUM(O25:O26)</f>
        <v>0</v>
      </c>
      <c r="P27" s="43">
        <f>SUM(P5:P25)</f>
        <v>6513.45</v>
      </c>
      <c r="Q27" s="43">
        <f>SUM(Q5:Q25)</f>
        <v>1531.25</v>
      </c>
      <c r="R27" s="43">
        <f>SUM(R5:R25)</f>
        <v>689.51</v>
      </c>
      <c r="S27" s="43">
        <f>SUM(S10:S26)</f>
        <v>0</v>
      </c>
      <c r="T27" s="43">
        <f>SUM(T10:T26)</f>
        <v>1331.25</v>
      </c>
      <c r="U27" s="43">
        <f>SUM(U10:U26)</f>
        <v>233.93</v>
      </c>
      <c r="V27" s="43">
        <f>SUM(V10:V26)</f>
        <v>0</v>
      </c>
      <c r="W27" s="43">
        <f>SUM(W25:W26)</f>
        <v>0</v>
      </c>
      <c r="X27" s="43">
        <f>SUM(X25:X26)</f>
        <v>0</v>
      </c>
      <c r="Y27" s="43">
        <f>SUM(Y25:Y26)</f>
        <v>0</v>
      </c>
      <c r="Z27" s="43">
        <f>SUM(Z25:Z26)</f>
        <v>0</v>
      </c>
      <c r="AA27" s="43">
        <f>SUM(AA5:AA25)</f>
        <v>694</v>
      </c>
      <c r="AB27" s="43">
        <f>SUM(AB25:AB26)</f>
        <v>0</v>
      </c>
      <c r="AC27" s="43">
        <f>SUM(AC5:AC25)</f>
        <v>0</v>
      </c>
      <c r="AD27" s="43">
        <f>SUM(AD5:AD25)</f>
        <v>0</v>
      </c>
      <c r="AE27" s="43">
        <f>SUM(AE25:AE26)</f>
        <v>0</v>
      </c>
      <c r="AF27" s="43">
        <f>SUM(AF5:AF25)</f>
        <v>-12038.75607142857</v>
      </c>
      <c r="AG27" s="43">
        <f>SUM(AG25:AG26)</f>
        <v>-3.2142857142787307E-3</v>
      </c>
    </row>
    <row r="28" spans="1:34" s="86" customFormat="1" ht="12" thickTop="1" x14ac:dyDescent="0.2"/>
    <row r="29" spans="1:34" ht="12" x14ac:dyDescent="0.2">
      <c r="K29" s="44">
        <f>H27+J27+K27</f>
        <v>12038.75</v>
      </c>
      <c r="L29" s="8"/>
      <c r="M29" s="7"/>
      <c r="AF29" s="45">
        <f>+AF27</f>
        <v>-12038.75607142857</v>
      </c>
    </row>
    <row r="30" spans="1:34" ht="12" x14ac:dyDescent="0.2">
      <c r="K30" s="44"/>
      <c r="L30" s="8"/>
      <c r="M30" s="7"/>
      <c r="AF30" s="45"/>
    </row>
    <row r="31" spans="1:34" ht="12" x14ac:dyDescent="0.2">
      <c r="K31" s="44"/>
      <c r="L31" s="8"/>
      <c r="M31" s="7"/>
      <c r="AF31" s="45"/>
    </row>
    <row r="32" spans="1:34" x14ac:dyDescent="0.2">
      <c r="K32" s="7"/>
      <c r="L32" s="8"/>
      <c r="M32" s="7"/>
    </row>
    <row r="33" spans="1:32" ht="12.75" x14ac:dyDescent="0.2">
      <c r="C33" s="46" t="s">
        <v>138</v>
      </c>
      <c r="G33" s="9"/>
      <c r="J33" s="48" t="s">
        <v>39</v>
      </c>
      <c r="K33" s="50">
        <f>K6+J8+J9+K10+K12+J16+K17+J22+K25</f>
        <v>7106.9</v>
      </c>
      <c r="L33" s="47"/>
      <c r="M33" s="47"/>
      <c r="N33" s="45"/>
      <c r="O33" s="45"/>
      <c r="P33" s="45" t="s">
        <v>134</v>
      </c>
      <c r="Q33" s="45">
        <v>10000</v>
      </c>
    </row>
    <row r="34" spans="1:32" ht="12.75" x14ac:dyDescent="0.2">
      <c r="C34" s="46"/>
      <c r="G34" s="9"/>
      <c r="J34" s="48" t="s">
        <v>44</v>
      </c>
      <c r="K34" s="50">
        <f>1715+K21</f>
        <v>3206</v>
      </c>
      <c r="L34" s="47"/>
      <c r="M34" s="47"/>
      <c r="N34" s="45"/>
      <c r="O34" s="45"/>
      <c r="P34" s="45" t="s">
        <v>133</v>
      </c>
      <c r="Q34" s="45">
        <v>2000</v>
      </c>
      <c r="R34" s="2" t="s">
        <v>135</v>
      </c>
    </row>
    <row r="35" spans="1:32" ht="12.75" x14ac:dyDescent="0.2">
      <c r="J35" s="48" t="s">
        <v>132</v>
      </c>
      <c r="K35" s="49">
        <f>297.25+239.6+20+K24</f>
        <v>1031.8499999999999</v>
      </c>
      <c r="L35" s="8"/>
      <c r="M35" s="7"/>
      <c r="P35" s="2" t="s">
        <v>42</v>
      </c>
      <c r="Q35" s="2">
        <f>SUM(Q33:Q34)</f>
        <v>12000</v>
      </c>
    </row>
    <row r="36" spans="1:32" ht="12.75" x14ac:dyDescent="0.2">
      <c r="J36" s="48" t="s">
        <v>41</v>
      </c>
      <c r="K36" s="49">
        <f>AA27</f>
        <v>694</v>
      </c>
      <c r="L36" s="8"/>
      <c r="M36" s="7"/>
      <c r="P36" s="2" t="s">
        <v>136</v>
      </c>
      <c r="Q36" s="2">
        <f>K29</f>
        <v>12038.75</v>
      </c>
    </row>
    <row r="37" spans="1:32" ht="12.75" x14ac:dyDescent="0.2">
      <c r="A37" s="1"/>
      <c r="B37" s="1"/>
      <c r="D37" s="1"/>
      <c r="E37" s="1"/>
      <c r="F37" s="1"/>
      <c r="H37" s="1"/>
      <c r="I37" s="1"/>
      <c r="J37" s="51" t="s">
        <v>42</v>
      </c>
      <c r="K37" s="52">
        <f>SUM(K33:K36)</f>
        <v>12038.75</v>
      </c>
      <c r="L37" s="8"/>
      <c r="M37" s="7"/>
      <c r="N37" s="1"/>
      <c r="O37" s="1"/>
      <c r="P37" s="1" t="s">
        <v>137</v>
      </c>
      <c r="Q37" s="80">
        <f>Q35-Q36</f>
        <v>-38.75</v>
      </c>
      <c r="R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F37" s="1"/>
    </row>
    <row r="38" spans="1:32" ht="12" x14ac:dyDescent="0.2">
      <c r="J38" s="45" t="s">
        <v>49</v>
      </c>
      <c r="K38" s="45">
        <v>12000</v>
      </c>
    </row>
    <row r="39" spans="1:32" ht="12" x14ac:dyDescent="0.2">
      <c r="H39" s="53"/>
      <c r="I39" s="53"/>
      <c r="J39" s="53"/>
      <c r="K39" s="53">
        <f>K38-K37</f>
        <v>-38.75</v>
      </c>
      <c r="L39" s="60"/>
      <c r="M39" s="61"/>
    </row>
    <row r="40" spans="1:32" ht="12" x14ac:dyDescent="0.2">
      <c r="H40" s="53"/>
      <c r="I40" s="53"/>
      <c r="J40" s="53"/>
      <c r="K40" s="53"/>
    </row>
    <row r="41" spans="1:32" ht="12" x14ac:dyDescent="0.2">
      <c r="H41" s="53"/>
      <c r="I41" s="53"/>
      <c r="J41" s="53"/>
      <c r="K41" s="53"/>
    </row>
    <row r="42" spans="1:32" ht="12" x14ac:dyDescent="0.2">
      <c r="H42" s="53"/>
      <c r="I42" s="53"/>
      <c r="J42" s="53"/>
      <c r="K42" s="53"/>
    </row>
    <row r="43" spans="1:32" ht="12" x14ac:dyDescent="0.2">
      <c r="H43" s="53"/>
      <c r="I43" s="53"/>
      <c r="J43" s="53"/>
      <c r="K43" s="53"/>
    </row>
    <row r="44" spans="1:32" ht="12" x14ac:dyDescent="0.2">
      <c r="H44" s="53"/>
      <c r="I44" s="53"/>
      <c r="J44" s="53"/>
      <c r="K44" s="53"/>
      <c r="Q44" s="2">
        <v>0</v>
      </c>
    </row>
    <row r="45" spans="1:32" ht="12" x14ac:dyDescent="0.2">
      <c r="A45" s="1"/>
      <c r="B45" s="1"/>
      <c r="D45" s="1"/>
      <c r="E45" s="1"/>
      <c r="F45" s="1"/>
      <c r="H45" s="54"/>
      <c r="I45" s="54"/>
      <c r="J45" s="54"/>
      <c r="K45" s="54"/>
      <c r="L45" s="1"/>
      <c r="M45" s="1"/>
      <c r="N45" s="1"/>
      <c r="O45" s="1"/>
      <c r="P45" s="1"/>
      <c r="Q45" s="1"/>
      <c r="R45" s="1"/>
      <c r="S45" s="1"/>
      <c r="Z45" s="1"/>
      <c r="AA45" s="1"/>
      <c r="AB45" s="1"/>
      <c r="AC45" s="1"/>
      <c r="AD45" s="1"/>
      <c r="AE45" s="1"/>
      <c r="AF45" s="1"/>
    </row>
    <row r="46" spans="1:32" ht="12" x14ac:dyDescent="0.2">
      <c r="H46" s="53"/>
      <c r="I46" s="53"/>
      <c r="J46" s="53"/>
      <c r="K46" s="53"/>
    </row>
    <row r="47" spans="1:32" ht="12" x14ac:dyDescent="0.2">
      <c r="H47" s="53"/>
      <c r="I47" s="53"/>
      <c r="J47" s="53"/>
      <c r="K47" s="53"/>
    </row>
    <row r="48" spans="1:32" ht="12" x14ac:dyDescent="0.2">
      <c r="H48" s="53"/>
      <c r="I48" s="53"/>
      <c r="J48" s="53"/>
      <c r="K48" s="53"/>
    </row>
    <row r="49" spans="1:32" ht="12" x14ac:dyDescent="0.2">
      <c r="H49" s="53"/>
      <c r="I49" s="53"/>
      <c r="J49" s="53"/>
      <c r="K49" s="53"/>
    </row>
    <row r="50" spans="1:32" x14ac:dyDescent="0.2">
      <c r="H50" s="55"/>
      <c r="I50" s="55"/>
      <c r="J50" s="55"/>
      <c r="K50" s="55"/>
    </row>
    <row r="51" spans="1:32" x14ac:dyDescent="0.2">
      <c r="H51" s="55"/>
      <c r="I51" s="55"/>
      <c r="J51" s="55"/>
      <c r="K51" s="55"/>
    </row>
    <row r="52" spans="1:32" x14ac:dyDescent="0.2">
      <c r="A52" s="1"/>
      <c r="B52" s="1"/>
      <c r="D52" s="1"/>
      <c r="E52" s="1"/>
      <c r="F52" s="1"/>
      <c r="H52" s="55"/>
      <c r="I52" s="55"/>
      <c r="J52" s="55"/>
      <c r="K52" s="55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D53" s="1"/>
      <c r="E53" s="1"/>
      <c r="F53" s="1"/>
      <c r="H53" s="55"/>
      <c r="I53" s="55"/>
      <c r="J53" s="55"/>
      <c r="K53" s="55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D54" s="1"/>
      <c r="E54" s="1"/>
      <c r="F54" s="1"/>
      <c r="H54" s="55"/>
      <c r="I54" s="55"/>
      <c r="J54" s="55"/>
      <c r="K54" s="55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</sheetData>
  <mergeCells count="1">
    <mergeCell ref="A28:XFD28"/>
  </mergeCells>
  <pageMargins left="0.7" right="0.7" top="0.25" bottom="0.75" header="0.3" footer="0.3"/>
  <pageSetup paperSize="5" scale="80" orientation="landscape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46"/>
  <sheetViews>
    <sheetView workbookViewId="0">
      <pane ySplit="4" topLeftCell="A5" activePane="bottomLeft" state="frozen"/>
      <selection activeCell="F1" sqref="F1"/>
      <selection pane="bottomLeft" activeCell="AH11" sqref="AH5:AH11"/>
    </sheetView>
  </sheetViews>
  <sheetFormatPr defaultRowHeight="11.25" x14ac:dyDescent="0.2"/>
  <cols>
    <col min="1" max="1" width="8.140625" style="81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150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44153</v>
      </c>
      <c r="B5" s="17"/>
      <c r="C5" s="24" t="s">
        <v>94</v>
      </c>
      <c r="D5" s="18"/>
      <c r="E5" s="18"/>
      <c r="F5" s="57">
        <v>647</v>
      </c>
      <c r="G5" s="57" t="s">
        <v>151</v>
      </c>
      <c r="H5" s="59"/>
      <c r="I5" s="57"/>
      <c r="J5" s="59">
        <v>8302</v>
      </c>
      <c r="K5" s="59"/>
      <c r="L5" s="58"/>
      <c r="M5" s="26">
        <f t="shared" ref="M5:M17" si="0">SUM(H5:J5,K5/1.12)</f>
        <v>8302</v>
      </c>
      <c r="N5" s="26">
        <f t="shared" ref="N5:N17" si="1">K5/1.12*0.12</f>
        <v>0</v>
      </c>
      <c r="O5" s="26">
        <f t="shared" ref="O5:O17" si="2">-SUM(I5:J5,K5/1.12)*L5</f>
        <v>0</v>
      </c>
      <c r="P5" s="26">
        <v>8302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8" si="3">-SUM(N5:AE5)</f>
        <v>-8302</v>
      </c>
      <c r="AG5" s="27">
        <f t="shared" ref="AG5:AG18" si="4">SUM(H5:K5)+AF5+O5</f>
        <v>0</v>
      </c>
      <c r="AH5" s="87">
        <f>-AF5</f>
        <v>8302</v>
      </c>
    </row>
    <row r="6" spans="1:34" s="10" customFormat="1" ht="19.5" hidden="1" customHeight="1" x14ac:dyDescent="0.2">
      <c r="A6" s="56">
        <v>44153</v>
      </c>
      <c r="B6" s="17"/>
      <c r="C6" s="24" t="s">
        <v>152</v>
      </c>
      <c r="D6" s="18"/>
      <c r="E6" s="18"/>
      <c r="F6" s="57">
        <v>254</v>
      </c>
      <c r="G6" s="57" t="s">
        <v>153</v>
      </c>
      <c r="H6" s="59"/>
      <c r="I6" s="57"/>
      <c r="J6" s="59">
        <v>2640.3</v>
      </c>
      <c r="K6" s="59"/>
      <c r="L6" s="58"/>
      <c r="M6" s="26">
        <f t="shared" si="0"/>
        <v>2640.3</v>
      </c>
      <c r="N6" s="26">
        <f t="shared" si="1"/>
        <v>0</v>
      </c>
      <c r="O6" s="26">
        <f t="shared" si="2"/>
        <v>0</v>
      </c>
      <c r="P6" s="26">
        <v>2640.3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-2640.3</v>
      </c>
      <c r="AG6" s="27">
        <f t="shared" si="4"/>
        <v>0</v>
      </c>
      <c r="AH6" s="87">
        <f t="shared" ref="AH6:AH11" si="5">-AF6</f>
        <v>2640.3</v>
      </c>
    </row>
    <row r="7" spans="1:34" s="10" customFormat="1" ht="19.5" hidden="1" customHeight="1" x14ac:dyDescent="0.2">
      <c r="A7" s="56">
        <v>44155</v>
      </c>
      <c r="B7" s="17"/>
      <c r="C7" s="24" t="s">
        <v>154</v>
      </c>
      <c r="D7" s="18"/>
      <c r="E7" s="18"/>
      <c r="F7" s="57"/>
      <c r="G7" s="57" t="s">
        <v>155</v>
      </c>
      <c r="H7" s="59">
        <v>100</v>
      </c>
      <c r="I7" s="57"/>
      <c r="J7" s="59"/>
      <c r="K7" s="59"/>
      <c r="L7" s="58"/>
      <c r="M7" s="26">
        <f t="shared" si="0"/>
        <v>100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>
        <v>100</v>
      </c>
      <c r="AB7" s="34"/>
      <c r="AC7" s="34"/>
      <c r="AD7" s="33"/>
      <c r="AE7" s="33"/>
      <c r="AF7" s="26">
        <f t="shared" si="3"/>
        <v>-100</v>
      </c>
      <c r="AG7" s="27">
        <f t="shared" si="4"/>
        <v>0</v>
      </c>
      <c r="AH7" s="87">
        <f t="shared" si="5"/>
        <v>100</v>
      </c>
    </row>
    <row r="8" spans="1:34" s="10" customFormat="1" ht="19.5" hidden="1" customHeight="1" x14ac:dyDescent="0.2">
      <c r="A8" s="56">
        <v>44155</v>
      </c>
      <c r="B8" s="17"/>
      <c r="C8" s="24" t="s">
        <v>53</v>
      </c>
      <c r="D8" s="18"/>
      <c r="E8" s="18"/>
      <c r="F8" s="57"/>
      <c r="G8" s="57" t="s">
        <v>56</v>
      </c>
      <c r="H8" s="59">
        <v>120</v>
      </c>
      <c r="I8" s="57"/>
      <c r="J8" s="59"/>
      <c r="K8" s="59"/>
      <c r="L8" s="58"/>
      <c r="M8" s="26">
        <f t="shared" si="0"/>
        <v>120</v>
      </c>
      <c r="N8" s="26">
        <f t="shared" si="1"/>
        <v>0</v>
      </c>
      <c r="O8" s="26">
        <f t="shared" si="2"/>
        <v>0</v>
      </c>
      <c r="P8" s="26"/>
      <c r="Q8" s="33"/>
      <c r="R8" s="33"/>
      <c r="S8" s="34"/>
      <c r="T8" s="34"/>
      <c r="U8" s="34"/>
      <c r="V8" s="34"/>
      <c r="W8" s="34"/>
      <c r="X8" s="33"/>
      <c r="Y8" s="33"/>
      <c r="Z8" s="33"/>
      <c r="AA8" s="33">
        <v>120</v>
      </c>
      <c r="AB8" s="34"/>
      <c r="AC8" s="34"/>
      <c r="AD8" s="33"/>
      <c r="AE8" s="33"/>
      <c r="AF8" s="26">
        <f t="shared" si="3"/>
        <v>-120</v>
      </c>
      <c r="AG8" s="27">
        <f t="shared" si="4"/>
        <v>0</v>
      </c>
      <c r="AH8" s="87">
        <f t="shared" si="5"/>
        <v>120</v>
      </c>
    </row>
    <row r="9" spans="1:34" s="10" customFormat="1" ht="19.5" hidden="1" customHeight="1" x14ac:dyDescent="0.2">
      <c r="A9" s="56">
        <v>44155</v>
      </c>
      <c r="B9" s="17"/>
      <c r="C9" s="24" t="s">
        <v>36</v>
      </c>
      <c r="D9" s="18"/>
      <c r="E9" s="18"/>
      <c r="F9" s="57">
        <v>319965</v>
      </c>
      <c r="G9" s="57" t="s">
        <v>156</v>
      </c>
      <c r="H9" s="59"/>
      <c r="I9" s="57"/>
      <c r="J9" s="59">
        <v>511.4</v>
      </c>
      <c r="K9" s="59"/>
      <c r="L9" s="58"/>
      <c r="M9" s="26">
        <f t="shared" si="0"/>
        <v>511.4</v>
      </c>
      <c r="N9" s="26">
        <f t="shared" si="1"/>
        <v>0</v>
      </c>
      <c r="O9" s="26">
        <f t="shared" si="2"/>
        <v>0</v>
      </c>
      <c r="P9" s="26">
        <v>511.4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-511.4</v>
      </c>
      <c r="AG9" s="27">
        <f t="shared" si="4"/>
        <v>0</v>
      </c>
      <c r="AH9" s="87">
        <f t="shared" si="5"/>
        <v>511.4</v>
      </c>
    </row>
    <row r="10" spans="1:34" s="10" customFormat="1" ht="21.75" hidden="1" customHeight="1" x14ac:dyDescent="0.2">
      <c r="A10" s="56">
        <v>44155</v>
      </c>
      <c r="B10" s="17"/>
      <c r="C10" s="24" t="s">
        <v>45</v>
      </c>
      <c r="D10" s="18"/>
      <c r="E10" s="18"/>
      <c r="F10" s="57">
        <v>3287</v>
      </c>
      <c r="G10" s="57" t="s">
        <v>72</v>
      </c>
      <c r="H10" s="59"/>
      <c r="I10" s="57"/>
      <c r="J10" s="59"/>
      <c r="K10" s="59">
        <v>156</v>
      </c>
      <c r="L10" s="58"/>
      <c r="M10" s="26">
        <f t="shared" si="0"/>
        <v>139.28571428571428</v>
      </c>
      <c r="N10" s="26">
        <f t="shared" si="1"/>
        <v>16.714285714285712</v>
      </c>
      <c r="O10" s="26">
        <f t="shared" si="2"/>
        <v>0</v>
      </c>
      <c r="P10" s="26">
        <v>139.29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-156.00428571428571</v>
      </c>
      <c r="AG10" s="27">
        <f t="shared" si="4"/>
        <v>-4.2857142857144481E-3</v>
      </c>
      <c r="AH10" s="87">
        <f t="shared" si="5"/>
        <v>156.00428571428571</v>
      </c>
    </row>
    <row r="11" spans="1:34" s="10" customFormat="1" ht="18" customHeight="1" x14ac:dyDescent="0.2">
      <c r="A11" s="56">
        <v>44155</v>
      </c>
      <c r="B11" s="17"/>
      <c r="C11" s="24" t="s">
        <v>157</v>
      </c>
      <c r="D11" s="18"/>
      <c r="E11" s="18"/>
      <c r="F11" s="57">
        <v>320525</v>
      </c>
      <c r="G11" s="57" t="s">
        <v>54</v>
      </c>
      <c r="H11" s="59"/>
      <c r="I11" s="18"/>
      <c r="J11" s="59"/>
      <c r="K11" s="59">
        <v>125</v>
      </c>
      <c r="L11" s="19"/>
      <c r="M11" s="26">
        <f t="shared" si="0"/>
        <v>111.60714285714285</v>
      </c>
      <c r="N11" s="26">
        <f t="shared" si="1"/>
        <v>13.392857142857141</v>
      </c>
      <c r="O11" s="26">
        <f t="shared" si="2"/>
        <v>0</v>
      </c>
      <c r="P11" s="26"/>
      <c r="Q11" s="33">
        <v>111.61</v>
      </c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-125.00285714285714</v>
      </c>
      <c r="AG11" s="27">
        <f t="shared" si="4"/>
        <v>-2.8571428571382285E-3</v>
      </c>
      <c r="AH11" s="87">
        <f t="shared" si="5"/>
        <v>125.00285714285714</v>
      </c>
    </row>
    <row r="12" spans="1:34" s="10" customFormat="1" ht="21.75" hidden="1" customHeight="1" x14ac:dyDescent="0.2">
      <c r="A12" s="56"/>
      <c r="B12" s="17"/>
      <c r="C12" s="24"/>
      <c r="D12" s="18"/>
      <c r="E12" s="18"/>
      <c r="F12" s="57"/>
      <c r="G12" s="57"/>
      <c r="H12" s="59"/>
      <c r="I12" s="57"/>
      <c r="J12" s="57"/>
      <c r="K12" s="59"/>
      <c r="L12" s="19"/>
      <c r="M12" s="26">
        <f t="shared" si="0"/>
        <v>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63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0</v>
      </c>
      <c r="AG12" s="27">
        <f t="shared" si="4"/>
        <v>0</v>
      </c>
    </row>
    <row r="13" spans="1:34" s="10" customFormat="1" ht="21.75" hidden="1" customHeight="1" x14ac:dyDescent="0.2">
      <c r="A13" s="56"/>
      <c r="B13" s="17"/>
      <c r="C13" s="24"/>
      <c r="D13" s="18"/>
      <c r="E13" s="18"/>
      <c r="F13" s="57"/>
      <c r="G13" s="57"/>
      <c r="H13" s="59"/>
      <c r="I13" s="57"/>
      <c r="J13" s="57"/>
      <c r="K13" s="59"/>
      <c r="L13" s="19"/>
      <c r="M13" s="26">
        <f t="shared" si="0"/>
        <v>0</v>
      </c>
      <c r="N13" s="26">
        <f t="shared" si="1"/>
        <v>0</v>
      </c>
      <c r="O13" s="26">
        <f t="shared" si="2"/>
        <v>0</v>
      </c>
      <c r="P13" s="26"/>
      <c r="Q13" s="33"/>
      <c r="R13" s="33"/>
      <c r="S13" s="63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0</v>
      </c>
      <c r="AG13" s="27">
        <f t="shared" si="4"/>
        <v>0</v>
      </c>
    </row>
    <row r="14" spans="1:34" s="10" customFormat="1" ht="21.75" hidden="1" customHeight="1" x14ac:dyDescent="0.2">
      <c r="A14" s="56"/>
      <c r="B14" s="17"/>
      <c r="C14" s="24"/>
      <c r="D14" s="18"/>
      <c r="E14" s="18"/>
      <c r="F14" s="57"/>
      <c r="G14" s="57"/>
      <c r="H14" s="59"/>
      <c r="I14" s="57"/>
      <c r="J14" s="59"/>
      <c r="K14" s="59"/>
      <c r="L14" s="19"/>
      <c r="M14" s="26">
        <f t="shared" si="0"/>
        <v>0</v>
      </c>
      <c r="N14" s="26">
        <f t="shared" si="1"/>
        <v>0</v>
      </c>
      <c r="O14" s="26">
        <f t="shared" si="2"/>
        <v>0</v>
      </c>
      <c r="P14" s="26"/>
      <c r="Q14" s="33"/>
      <c r="R14" s="33"/>
      <c r="S14" s="63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0</v>
      </c>
      <c r="AG14" s="27">
        <f t="shared" si="4"/>
        <v>0</v>
      </c>
    </row>
    <row r="15" spans="1:34" s="10" customFormat="1" ht="21.75" hidden="1" customHeight="1" x14ac:dyDescent="0.2">
      <c r="A15" s="56"/>
      <c r="B15" s="17"/>
      <c r="C15" s="24"/>
      <c r="D15" s="18"/>
      <c r="E15" s="18"/>
      <c r="F15" s="57"/>
      <c r="G15" s="57"/>
      <c r="H15" s="59"/>
      <c r="I15" s="57"/>
      <c r="J15" s="57"/>
      <c r="K15" s="59"/>
      <c r="L15" s="19"/>
      <c r="M15" s="26">
        <f t="shared" si="0"/>
        <v>0</v>
      </c>
      <c r="N15" s="26">
        <f t="shared" si="1"/>
        <v>0</v>
      </c>
      <c r="O15" s="26">
        <f t="shared" si="2"/>
        <v>0</v>
      </c>
      <c r="P15" s="26"/>
      <c r="Q15" s="33"/>
      <c r="R15" s="33"/>
      <c r="S15" s="63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0</v>
      </c>
      <c r="AG15" s="27">
        <f t="shared" si="4"/>
        <v>0</v>
      </c>
    </row>
    <row r="16" spans="1:34" s="10" customFormat="1" ht="21.75" customHeight="1" x14ac:dyDescent="0.2">
      <c r="A16" s="56"/>
      <c r="B16" s="17"/>
      <c r="C16" s="24"/>
      <c r="D16" s="18"/>
      <c r="E16" s="18"/>
      <c r="F16" s="57"/>
      <c r="G16" s="57"/>
      <c r="H16" s="59"/>
      <c r="I16" s="57"/>
      <c r="J16" s="57"/>
      <c r="K16" s="59"/>
      <c r="L16" s="19"/>
      <c r="M16" s="26">
        <f t="shared" si="0"/>
        <v>0</v>
      </c>
      <c r="N16" s="26">
        <f t="shared" si="1"/>
        <v>0</v>
      </c>
      <c r="O16" s="26">
        <f t="shared" si="2"/>
        <v>0</v>
      </c>
      <c r="P16" s="26"/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0</v>
      </c>
      <c r="AG16" s="27">
        <f t="shared" si="4"/>
        <v>0</v>
      </c>
    </row>
    <row r="17" spans="1:33" s="10" customFormat="1" ht="21.75" customHeight="1" x14ac:dyDescent="0.2">
      <c r="A17" s="56"/>
      <c r="B17" s="17"/>
      <c r="C17" s="57"/>
      <c r="D17" s="18"/>
      <c r="E17" s="18"/>
      <c r="F17" s="57"/>
      <c r="G17" s="82"/>
      <c r="H17" s="59"/>
      <c r="I17" s="57"/>
      <c r="J17" s="59"/>
      <c r="K17" s="59"/>
      <c r="L17" s="19"/>
      <c r="M17" s="26">
        <f t="shared" si="0"/>
        <v>0</v>
      </c>
      <c r="N17" s="26">
        <f t="shared" si="1"/>
        <v>0</v>
      </c>
      <c r="O17" s="26">
        <f t="shared" si="2"/>
        <v>0</v>
      </c>
      <c r="P17" s="26"/>
      <c r="Q17" s="33"/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0</v>
      </c>
      <c r="AG17" s="27">
        <f t="shared" si="4"/>
        <v>0</v>
      </c>
    </row>
    <row r="18" spans="1:33" s="11" customFormat="1" ht="12" thickBot="1" x14ac:dyDescent="0.25">
      <c r="A18" s="29"/>
      <c r="B18" s="30"/>
      <c r="C18" s="35"/>
      <c r="D18" s="35"/>
      <c r="E18" s="35"/>
      <c r="F18" s="25"/>
      <c r="G18" s="28"/>
      <c r="H18" s="31"/>
      <c r="I18" s="31"/>
      <c r="J18" s="31"/>
      <c r="K18" s="31"/>
      <c r="L18" s="32"/>
      <c r="M18" s="33">
        <f>SUM(H18:J18,K18/1.12)</f>
        <v>0</v>
      </c>
      <c r="N18" s="33">
        <f>K18/1.12*0.12</f>
        <v>0</v>
      </c>
      <c r="O18" s="33">
        <f>-SUM(I18:J18,K18/1.12)*L18</f>
        <v>0</v>
      </c>
      <c r="P18" s="33"/>
      <c r="Q18" s="33"/>
      <c r="R18" s="33"/>
      <c r="S18" s="33"/>
      <c r="T18" s="34"/>
      <c r="U18" s="43"/>
      <c r="V18" s="34"/>
      <c r="W18" s="34"/>
      <c r="X18" s="34"/>
      <c r="Y18" s="36"/>
      <c r="Z18" s="33"/>
      <c r="AA18" s="43"/>
      <c r="AB18" s="33"/>
      <c r="AC18" s="34"/>
      <c r="AD18" s="34"/>
      <c r="AE18" s="37"/>
      <c r="AF18" s="26">
        <f t="shared" si="3"/>
        <v>0</v>
      </c>
      <c r="AG18" s="27">
        <f t="shared" si="4"/>
        <v>0</v>
      </c>
    </row>
    <row r="19" spans="1:33" s="9" customFormat="1" ht="12.75" thickTop="1" thickBot="1" x14ac:dyDescent="0.25">
      <c r="A19" s="38"/>
      <c r="B19" s="39"/>
      <c r="C19" s="40"/>
      <c r="D19" s="41"/>
      <c r="E19" s="41"/>
      <c r="F19" s="42"/>
      <c r="G19" s="40"/>
      <c r="H19" s="43">
        <f>SUM(H5:H17)</f>
        <v>220</v>
      </c>
      <c r="I19" s="43">
        <f>SUM(I18:I18)</f>
        <v>0</v>
      </c>
      <c r="J19" s="43">
        <f>SUM(J5:J17)</f>
        <v>11453.699999999999</v>
      </c>
      <c r="K19" s="43">
        <f>SUM(K5:K17)</f>
        <v>281</v>
      </c>
      <c r="L19" s="43">
        <f>SUM(L18:L18)</f>
        <v>0</v>
      </c>
      <c r="M19" s="43">
        <f>SUM(M5:M17)</f>
        <v>11924.592857142856</v>
      </c>
      <c r="N19" s="43">
        <f>SUM(N5:N17)</f>
        <v>30.107142857142854</v>
      </c>
      <c r="O19" s="43">
        <f>SUM(O18:O18)</f>
        <v>0</v>
      </c>
      <c r="P19" s="43">
        <f>SUM(P5:P17)</f>
        <v>11592.99</v>
      </c>
      <c r="Q19" s="43">
        <f>SUM(Q5:Q17)</f>
        <v>111.61</v>
      </c>
      <c r="R19" s="43">
        <f>SUM(R5:R17)</f>
        <v>0</v>
      </c>
      <c r="S19" s="43">
        <f>SUM(S10:S18)</f>
        <v>0</v>
      </c>
      <c r="T19" s="43">
        <f>SUM(T10:T18)</f>
        <v>0</v>
      </c>
      <c r="U19" s="43">
        <f>SUM(U10:U18)</f>
        <v>0</v>
      </c>
      <c r="V19" s="43">
        <f>SUM(V10:V18)</f>
        <v>0</v>
      </c>
      <c r="W19" s="43">
        <f>SUM(W18:W18)</f>
        <v>0</v>
      </c>
      <c r="X19" s="43">
        <f>SUM(X18:X18)</f>
        <v>0</v>
      </c>
      <c r="Y19" s="43">
        <f>SUM(Y18:Y18)</f>
        <v>0</v>
      </c>
      <c r="Z19" s="43">
        <f>SUM(Z18:Z18)</f>
        <v>0</v>
      </c>
      <c r="AA19" s="43">
        <f>SUM(AA5:AA17)</f>
        <v>220</v>
      </c>
      <c r="AB19" s="43">
        <f>SUM(AB18:AB18)</f>
        <v>0</v>
      </c>
      <c r="AC19" s="43">
        <f>SUM(AC5:AC17)</f>
        <v>0</v>
      </c>
      <c r="AD19" s="43">
        <f>SUM(AD5:AD17)</f>
        <v>0</v>
      </c>
      <c r="AE19" s="43">
        <f>SUM(AE18:AE18)</f>
        <v>0</v>
      </c>
      <c r="AF19" s="43">
        <f>SUM(AF5:AF17)</f>
        <v>-11954.707142857142</v>
      </c>
      <c r="AG19" s="43">
        <f>SUM(AG18:AG18)</f>
        <v>0</v>
      </c>
    </row>
    <row r="20" spans="1:33" s="86" customFormat="1" ht="12" thickTop="1" x14ac:dyDescent="0.2"/>
    <row r="21" spans="1:33" ht="12" x14ac:dyDescent="0.2">
      <c r="K21" s="44">
        <f ca="1">H19+J19+K19+1:1048576+AA19</f>
        <v>0</v>
      </c>
      <c r="L21" s="8"/>
      <c r="M21" s="7"/>
      <c r="AF21" s="45">
        <f>+AF19</f>
        <v>-11954.707142857142</v>
      </c>
    </row>
    <row r="22" spans="1:33" ht="12" x14ac:dyDescent="0.2">
      <c r="K22" s="44"/>
      <c r="L22" s="8"/>
      <c r="M22" s="7"/>
      <c r="AF22" s="45"/>
    </row>
    <row r="23" spans="1:33" ht="12" x14ac:dyDescent="0.2">
      <c r="K23" s="44"/>
      <c r="L23" s="8"/>
      <c r="M23" s="7"/>
      <c r="AF23" s="45"/>
    </row>
    <row r="24" spans="1:33" x14ac:dyDescent="0.2">
      <c r="K24" s="7"/>
      <c r="L24" s="8"/>
      <c r="M24" s="7"/>
    </row>
    <row r="25" spans="1:33" ht="12.75" x14ac:dyDescent="0.2">
      <c r="C25" s="46" t="s">
        <v>46</v>
      </c>
      <c r="G25" s="9"/>
      <c r="J25" s="48" t="s">
        <v>39</v>
      </c>
      <c r="K25" s="50">
        <f>J5+J6+J9+K10+K11</f>
        <v>11734.699999999999</v>
      </c>
      <c r="L25" s="47"/>
      <c r="M25" s="47"/>
      <c r="N25" s="45"/>
      <c r="O25" s="45"/>
      <c r="P25" s="45"/>
      <c r="Q25" s="45"/>
    </row>
    <row r="26" spans="1:33" ht="12.75" x14ac:dyDescent="0.2">
      <c r="C26" s="46"/>
      <c r="G26" s="9"/>
      <c r="J26" s="48" t="s">
        <v>44</v>
      </c>
      <c r="K26" s="50">
        <f>K5</f>
        <v>0</v>
      </c>
      <c r="L26" s="47"/>
      <c r="M26" s="47"/>
      <c r="N26" s="45"/>
      <c r="O26" s="45"/>
      <c r="P26" s="45"/>
      <c r="Q26" s="45"/>
    </row>
    <row r="27" spans="1:33" ht="12.75" x14ac:dyDescent="0.2">
      <c r="J27" s="48" t="s">
        <v>40</v>
      </c>
      <c r="K27" s="49">
        <v>0</v>
      </c>
      <c r="L27" s="8"/>
      <c r="M27" s="7"/>
    </row>
    <row r="28" spans="1:33" ht="12.75" x14ac:dyDescent="0.2">
      <c r="J28" s="48" t="s">
        <v>41</v>
      </c>
      <c r="K28" s="49">
        <f>H19</f>
        <v>220</v>
      </c>
      <c r="L28" s="8"/>
      <c r="M28" s="7"/>
    </row>
    <row r="29" spans="1:33" ht="12.75" x14ac:dyDescent="0.2">
      <c r="A29" s="1"/>
      <c r="B29" s="1"/>
      <c r="D29" s="1"/>
      <c r="E29" s="1"/>
      <c r="F29" s="1"/>
      <c r="H29" s="1"/>
      <c r="I29" s="1"/>
      <c r="J29" s="51" t="s">
        <v>42</v>
      </c>
      <c r="K29" s="52">
        <f>SUM(K25:K28)</f>
        <v>11954.699999999999</v>
      </c>
      <c r="L29" s="8"/>
      <c r="M29" s="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</row>
    <row r="30" spans="1:33" ht="12" x14ac:dyDescent="0.2">
      <c r="J30" s="45" t="s">
        <v>49</v>
      </c>
      <c r="K30" s="45">
        <v>12000</v>
      </c>
    </row>
    <row r="31" spans="1:33" ht="12" x14ac:dyDescent="0.2">
      <c r="H31" s="53"/>
      <c r="I31" s="53"/>
      <c r="J31" s="53"/>
      <c r="K31" s="53">
        <f>K30-K29</f>
        <v>45.300000000001091</v>
      </c>
      <c r="L31" s="60"/>
      <c r="M31" s="61"/>
    </row>
    <row r="32" spans="1:33" ht="12" x14ac:dyDescent="0.2">
      <c r="H32" s="53"/>
      <c r="I32" s="53"/>
      <c r="J32" s="53"/>
      <c r="K32" s="53"/>
    </row>
    <row r="33" spans="1:32" ht="12" x14ac:dyDescent="0.2">
      <c r="H33" s="53"/>
      <c r="I33" s="53"/>
      <c r="J33" s="53"/>
      <c r="K33" s="53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ht="12" x14ac:dyDescent="0.2">
      <c r="H36" s="53"/>
      <c r="I36" s="53"/>
      <c r="J36" s="53"/>
      <c r="K36" s="53"/>
      <c r="Q36" s="2">
        <v>0</v>
      </c>
    </row>
    <row r="37" spans="1:32" ht="12" x14ac:dyDescent="0.2">
      <c r="A37" s="1"/>
      <c r="B37" s="1"/>
      <c r="D37" s="1"/>
      <c r="E37" s="1"/>
      <c r="F37" s="1"/>
      <c r="H37" s="54"/>
      <c r="I37" s="54"/>
      <c r="J37" s="54"/>
      <c r="K37" s="54"/>
      <c r="L37" s="1"/>
      <c r="M37" s="1"/>
      <c r="N37" s="1"/>
      <c r="O37" s="1"/>
      <c r="P37" s="1"/>
      <c r="Q37" s="1"/>
      <c r="R37" s="1"/>
      <c r="S37" s="1"/>
      <c r="Z37" s="1"/>
      <c r="AA37" s="1"/>
      <c r="AB37" s="1"/>
      <c r="AC37" s="1"/>
      <c r="AD37" s="1"/>
      <c r="AE37" s="1"/>
      <c r="AF37" s="1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</row>
    <row r="41" spans="1:32" ht="12" x14ac:dyDescent="0.2">
      <c r="H41" s="53"/>
      <c r="I41" s="53"/>
      <c r="J41" s="53"/>
      <c r="K41" s="53"/>
    </row>
    <row r="42" spans="1:32" x14ac:dyDescent="0.2">
      <c r="H42" s="55"/>
      <c r="I42" s="55"/>
      <c r="J42" s="55"/>
      <c r="K42" s="55"/>
    </row>
    <row r="43" spans="1:32" x14ac:dyDescent="0.2">
      <c r="H43" s="55"/>
      <c r="I43" s="55"/>
      <c r="J43" s="55"/>
      <c r="K43" s="55"/>
    </row>
    <row r="44" spans="1:32" x14ac:dyDescent="0.2">
      <c r="A44" s="1"/>
      <c r="B44" s="1"/>
      <c r="D44" s="1"/>
      <c r="E44" s="1"/>
      <c r="F44" s="1"/>
      <c r="H44" s="55"/>
      <c r="I44" s="55"/>
      <c r="J44" s="55"/>
      <c r="K44" s="5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D45" s="1"/>
      <c r="E45" s="1"/>
      <c r="F45" s="1"/>
      <c r="H45" s="55"/>
      <c r="I45" s="55"/>
      <c r="J45" s="55"/>
      <c r="K45" s="55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D46" s="1"/>
      <c r="E46" s="1"/>
      <c r="F46" s="1"/>
      <c r="H46" s="55"/>
      <c r="I46" s="55"/>
      <c r="J46" s="55"/>
      <c r="K46" s="55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1">
    <mergeCell ref="A20:XFD20"/>
  </mergeCells>
  <pageMargins left="0.7" right="0.7" top="0.75" bottom="0.75" header="0.3" footer="0.3"/>
  <pageSetup paperSize="5" scale="90" orientation="landscape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37"/>
  <sheetViews>
    <sheetView workbookViewId="0">
      <selection activeCell="AH7" sqref="AH5:AH7"/>
    </sheetView>
  </sheetViews>
  <sheetFormatPr defaultRowHeight="11.25" x14ac:dyDescent="0.2"/>
  <cols>
    <col min="1" max="1" width="8.140625" style="81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hidden="1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8.5703125" style="2" customWidth="1"/>
    <col min="15" max="15" width="9" style="2" hidden="1" customWidth="1"/>
    <col min="16" max="16" width="9.85546875" style="2" customWidth="1"/>
    <col min="17" max="17" width="10.85546875" style="2" hidden="1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customWidth="1"/>
    <col min="26" max="26" width="8.28515625" style="2" hidden="1" customWidth="1"/>
    <col min="27" max="27" width="8.7109375" style="2" hidden="1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158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9.5" customHeight="1" x14ac:dyDescent="0.2">
      <c r="A5" s="56">
        <v>44158</v>
      </c>
      <c r="B5" s="17"/>
      <c r="C5" s="24" t="s">
        <v>159</v>
      </c>
      <c r="D5" s="18"/>
      <c r="E5" s="18"/>
      <c r="F5" s="57">
        <v>220797</v>
      </c>
      <c r="G5" s="57" t="s">
        <v>160</v>
      </c>
      <c r="H5" s="59"/>
      <c r="I5" s="57"/>
      <c r="J5" s="59"/>
      <c r="K5" s="59">
        <v>240</v>
      </c>
      <c r="L5" s="58"/>
      <c r="M5" s="26">
        <f t="shared" ref="M5:M8" si="0">SUM(H5:J5,K5/1.12)</f>
        <v>214.28571428571428</v>
      </c>
      <c r="N5" s="26">
        <f t="shared" ref="N5:N8" si="1">K5/1.12*0.12</f>
        <v>25.714285714285712</v>
      </c>
      <c r="O5" s="26">
        <f t="shared" ref="O5:O8" si="2">-SUM(I5:J5,K5/1.12)*L5</f>
        <v>0</v>
      </c>
      <c r="P5" s="26"/>
      <c r="Q5" s="33"/>
      <c r="R5" s="33"/>
      <c r="S5" s="34"/>
      <c r="T5" s="34"/>
      <c r="U5" s="34"/>
      <c r="V5" s="34"/>
      <c r="W5" s="34"/>
      <c r="X5" s="33"/>
      <c r="Y5" s="33">
        <v>214.29</v>
      </c>
      <c r="Z5" s="33"/>
      <c r="AA5" s="33"/>
      <c r="AB5" s="34"/>
      <c r="AC5" s="34"/>
      <c r="AD5" s="33"/>
      <c r="AE5" s="33"/>
      <c r="AF5" s="26">
        <f t="shared" ref="AF5:AF9" si="3">-SUM(N5:AE5)</f>
        <v>-240.00428571428571</v>
      </c>
      <c r="AG5" s="27">
        <f t="shared" ref="AG5:AG9" si="4">SUM(H5:K5)+AF5+O5</f>
        <v>-4.2857142857144481E-3</v>
      </c>
      <c r="AH5" s="87">
        <f>-AF5</f>
        <v>240.00428571428571</v>
      </c>
    </row>
    <row r="6" spans="1:34" s="10" customFormat="1" ht="19.5" customHeight="1" x14ac:dyDescent="0.2">
      <c r="A6" s="56">
        <v>44158</v>
      </c>
      <c r="B6" s="17"/>
      <c r="C6" s="24" t="s">
        <v>36</v>
      </c>
      <c r="D6" s="18"/>
      <c r="E6" s="18"/>
      <c r="F6" s="57">
        <v>265098</v>
      </c>
      <c r="G6" s="57" t="s">
        <v>161</v>
      </c>
      <c r="H6" s="59"/>
      <c r="I6" s="57"/>
      <c r="J6" s="59"/>
      <c r="K6" s="59">
        <v>1639.6</v>
      </c>
      <c r="L6" s="58"/>
      <c r="M6" s="26">
        <f t="shared" si="0"/>
        <v>1463.9285714285711</v>
      </c>
      <c r="N6" s="26">
        <f t="shared" si="1"/>
        <v>175.67142857142852</v>
      </c>
      <c r="O6" s="26">
        <f t="shared" si="2"/>
        <v>0</v>
      </c>
      <c r="P6" s="26">
        <v>1463.93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-1639.6014285714286</v>
      </c>
      <c r="AG6" s="27">
        <f t="shared" si="4"/>
        <v>-1.4285714287325391E-3</v>
      </c>
      <c r="AH6" s="87">
        <f>-AF6</f>
        <v>1639.6014285714286</v>
      </c>
    </row>
    <row r="7" spans="1:34" s="10" customFormat="1" ht="19.5" customHeight="1" x14ac:dyDescent="0.2">
      <c r="A7" s="56">
        <v>40506</v>
      </c>
      <c r="B7" s="17"/>
      <c r="C7" s="24" t="s">
        <v>36</v>
      </c>
      <c r="D7" s="18"/>
      <c r="E7" s="18"/>
      <c r="F7" s="57">
        <v>123941</v>
      </c>
      <c r="G7" s="57" t="s">
        <v>162</v>
      </c>
      <c r="H7" s="59"/>
      <c r="I7" s="57"/>
      <c r="J7" s="59"/>
      <c r="K7" s="59">
        <v>639.5</v>
      </c>
      <c r="L7" s="58"/>
      <c r="M7" s="26">
        <f t="shared" si="0"/>
        <v>570.98214285714278</v>
      </c>
      <c r="N7" s="26">
        <f t="shared" si="1"/>
        <v>68.517857142857125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>
        <v>570.98</v>
      </c>
      <c r="Z7" s="33"/>
      <c r="AA7" s="33"/>
      <c r="AB7" s="34"/>
      <c r="AC7" s="34"/>
      <c r="AD7" s="33"/>
      <c r="AE7" s="33"/>
      <c r="AF7" s="26">
        <f t="shared" si="3"/>
        <v>-639.49785714285713</v>
      </c>
      <c r="AG7" s="27">
        <f t="shared" si="4"/>
        <v>2.1428571428714349E-3</v>
      </c>
      <c r="AH7" s="87">
        <f>-AF7</f>
        <v>639.49785714285713</v>
      </c>
    </row>
    <row r="8" spans="1:34" s="10" customFormat="1" ht="21.75" customHeight="1" x14ac:dyDescent="0.2">
      <c r="A8" s="56"/>
      <c r="B8" s="17"/>
      <c r="C8" s="57"/>
      <c r="D8" s="18"/>
      <c r="E8" s="18"/>
      <c r="F8" s="57"/>
      <c r="G8" s="82"/>
      <c r="H8" s="59"/>
      <c r="I8" s="57"/>
      <c r="J8" s="59"/>
      <c r="K8" s="59"/>
      <c r="L8" s="19"/>
      <c r="M8" s="26">
        <f t="shared" si="0"/>
        <v>0</v>
      </c>
      <c r="N8" s="26">
        <f t="shared" si="1"/>
        <v>0</v>
      </c>
      <c r="O8" s="26">
        <f t="shared" si="2"/>
        <v>0</v>
      </c>
      <c r="P8" s="26"/>
      <c r="Q8" s="33"/>
      <c r="R8" s="33"/>
      <c r="S8" s="63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0</v>
      </c>
      <c r="AG8" s="27">
        <f t="shared" si="4"/>
        <v>0</v>
      </c>
    </row>
    <row r="9" spans="1:34" s="11" customFormat="1" ht="12" thickBot="1" x14ac:dyDescent="0.25">
      <c r="A9" s="29"/>
      <c r="B9" s="30"/>
      <c r="C9" s="35"/>
      <c r="D9" s="35"/>
      <c r="E9" s="35"/>
      <c r="F9" s="25"/>
      <c r="G9" s="28"/>
      <c r="H9" s="31"/>
      <c r="I9" s="31"/>
      <c r="J9" s="31"/>
      <c r="K9" s="31"/>
      <c r="L9" s="32"/>
      <c r="M9" s="33">
        <f>SUM(H9:J9,K9/1.12)</f>
        <v>0</v>
      </c>
      <c r="N9" s="33">
        <f>K9/1.12*0.12</f>
        <v>0</v>
      </c>
      <c r="O9" s="33">
        <f>-SUM(I9:J9,K9/1.12)*L9</f>
        <v>0</v>
      </c>
      <c r="P9" s="33"/>
      <c r="Q9" s="33"/>
      <c r="R9" s="33"/>
      <c r="S9" s="33"/>
      <c r="T9" s="34"/>
      <c r="U9" s="43"/>
      <c r="V9" s="34"/>
      <c r="W9" s="34"/>
      <c r="X9" s="34"/>
      <c r="Y9" s="36"/>
      <c r="Z9" s="33"/>
      <c r="AA9" s="43"/>
      <c r="AB9" s="33"/>
      <c r="AC9" s="34"/>
      <c r="AD9" s="34"/>
      <c r="AE9" s="37"/>
      <c r="AF9" s="26">
        <f t="shared" si="3"/>
        <v>0</v>
      </c>
      <c r="AG9" s="27">
        <f t="shared" si="4"/>
        <v>0</v>
      </c>
    </row>
    <row r="10" spans="1:34" s="9" customFormat="1" ht="12.75" thickTop="1" thickBot="1" x14ac:dyDescent="0.25">
      <c r="A10" s="38"/>
      <c r="B10" s="39"/>
      <c r="C10" s="40"/>
      <c r="D10" s="41"/>
      <c r="E10" s="41"/>
      <c r="F10" s="42"/>
      <c r="G10" s="40"/>
      <c r="H10" s="43">
        <f>SUM(H5:H8)</f>
        <v>0</v>
      </c>
      <c r="I10" s="43">
        <f>SUM(I9:I9)</f>
        <v>0</v>
      </c>
      <c r="J10" s="43">
        <f>SUM(J5:J8)</f>
        <v>0</v>
      </c>
      <c r="K10" s="43">
        <f>SUM(K5:K8)</f>
        <v>2519.1</v>
      </c>
      <c r="L10" s="43">
        <f>SUM(L9:L9)</f>
        <v>0</v>
      </c>
      <c r="M10" s="43">
        <f>SUM(M5:M8)</f>
        <v>2249.196428571428</v>
      </c>
      <c r="N10" s="43">
        <f>SUM(N5:N8)</f>
        <v>269.90357142857135</v>
      </c>
      <c r="O10" s="43">
        <f>SUM(O9:O9)</f>
        <v>0</v>
      </c>
      <c r="P10" s="43">
        <f>SUM(P5:P8)</f>
        <v>1463.93</v>
      </c>
      <c r="Q10" s="43">
        <f>SUM(Q5:Q8)</f>
        <v>0</v>
      </c>
      <c r="R10" s="43">
        <f>SUM(R5:R8)</f>
        <v>0</v>
      </c>
      <c r="S10" s="43">
        <f>SUM(S8:S9)</f>
        <v>0</v>
      </c>
      <c r="T10" s="43">
        <f>SUM(T8:T9)</f>
        <v>0</v>
      </c>
      <c r="U10" s="43">
        <f>SUM(U8:U9)</f>
        <v>0</v>
      </c>
      <c r="V10" s="43">
        <f>SUM(V8:V9)</f>
        <v>0</v>
      </c>
      <c r="W10" s="43">
        <f>SUM(W9:W9)</f>
        <v>0</v>
      </c>
      <c r="X10" s="43">
        <f>SUM(X9:X9)</f>
        <v>0</v>
      </c>
      <c r="Y10" s="43">
        <f>SUM(Y9:Y9)</f>
        <v>0</v>
      </c>
      <c r="Z10" s="43">
        <f>SUM(Z9:Z9)</f>
        <v>0</v>
      </c>
      <c r="AA10" s="43">
        <f>SUM(AA5:AA8)</f>
        <v>0</v>
      </c>
      <c r="AB10" s="43">
        <f>SUM(AB9:AB9)</f>
        <v>0</v>
      </c>
      <c r="AC10" s="43">
        <f>SUM(AC5:AC8)</f>
        <v>0</v>
      </c>
      <c r="AD10" s="43">
        <f>SUM(AD5:AD8)</f>
        <v>0</v>
      </c>
      <c r="AE10" s="43">
        <f>SUM(AE9:AE9)</f>
        <v>0</v>
      </c>
      <c r="AF10" s="43">
        <f>SUM(AF5:AF8)</f>
        <v>-2519.1035714285717</v>
      </c>
      <c r="AG10" s="43">
        <f>SUM(AG9:AG9)</f>
        <v>0</v>
      </c>
    </row>
    <row r="11" spans="1:34" s="86" customFormat="1" ht="12" thickTop="1" x14ac:dyDescent="0.2"/>
    <row r="12" spans="1:34" ht="12" x14ac:dyDescent="0.2">
      <c r="K12" s="44">
        <f ca="1">H10+J10+K10+1:1048576+AA10</f>
        <v>0</v>
      </c>
      <c r="L12" s="8"/>
      <c r="M12" s="7"/>
      <c r="AF12" s="45">
        <f>+AF10</f>
        <v>-2519.1035714285717</v>
      </c>
    </row>
    <row r="13" spans="1:34" ht="12" x14ac:dyDescent="0.2">
      <c r="K13" s="44"/>
      <c r="L13" s="8"/>
      <c r="M13" s="7"/>
      <c r="AF13" s="45"/>
    </row>
    <row r="14" spans="1:34" ht="12" x14ac:dyDescent="0.2">
      <c r="K14" s="44"/>
      <c r="L14" s="8"/>
      <c r="M14" s="7"/>
      <c r="AF14" s="45"/>
    </row>
    <row r="15" spans="1:34" x14ac:dyDescent="0.2">
      <c r="K15" s="7"/>
      <c r="L15" s="8"/>
      <c r="M15" s="7"/>
    </row>
    <row r="16" spans="1:34" ht="12.75" x14ac:dyDescent="0.2">
      <c r="C16" s="46" t="s">
        <v>46</v>
      </c>
      <c r="G16" s="9"/>
      <c r="J16" s="48" t="s">
        <v>39</v>
      </c>
      <c r="K16" s="50">
        <f>K6</f>
        <v>1639.6</v>
      </c>
      <c r="L16" s="47"/>
      <c r="M16" s="47"/>
      <c r="N16" s="45"/>
      <c r="O16" s="45"/>
      <c r="P16" s="45"/>
      <c r="Q16" s="45"/>
    </row>
    <row r="17" spans="1:32" ht="12.75" x14ac:dyDescent="0.2">
      <c r="C17" s="46"/>
      <c r="G17" s="9"/>
      <c r="J17" s="48" t="s">
        <v>44</v>
      </c>
      <c r="K17" s="50">
        <f>K5+K7</f>
        <v>879.5</v>
      </c>
      <c r="L17" s="47"/>
      <c r="M17" s="47"/>
      <c r="N17" s="45"/>
      <c r="O17" s="45"/>
      <c r="P17" s="45"/>
      <c r="Q17" s="45"/>
    </row>
    <row r="18" spans="1:32" ht="12.75" x14ac:dyDescent="0.2">
      <c r="J18" s="48" t="s">
        <v>40</v>
      </c>
      <c r="K18" s="49">
        <v>0</v>
      </c>
      <c r="L18" s="8"/>
      <c r="M18" s="7"/>
    </row>
    <row r="19" spans="1:32" ht="12.75" x14ac:dyDescent="0.2">
      <c r="J19" s="48" t="s">
        <v>41</v>
      </c>
      <c r="K19" s="49">
        <v>0</v>
      </c>
      <c r="L19" s="8"/>
      <c r="M19" s="7"/>
    </row>
    <row r="20" spans="1:32" ht="12.75" x14ac:dyDescent="0.2">
      <c r="A20" s="1"/>
      <c r="B20" s="1"/>
      <c r="D20" s="1"/>
      <c r="E20" s="1"/>
      <c r="F20" s="1"/>
      <c r="H20" s="1"/>
      <c r="I20" s="1"/>
      <c r="J20" s="51" t="s">
        <v>42</v>
      </c>
      <c r="K20" s="52">
        <f>K16+K17+K18+K19</f>
        <v>2519.1</v>
      </c>
      <c r="L20" s="8"/>
      <c r="M20" s="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</row>
    <row r="21" spans="1:32" ht="12" x14ac:dyDescent="0.2">
      <c r="J21" s="45" t="s">
        <v>49</v>
      </c>
      <c r="K21" s="45">
        <v>2592</v>
      </c>
    </row>
    <row r="22" spans="1:32" ht="12" x14ac:dyDescent="0.2">
      <c r="H22" s="53"/>
      <c r="I22" s="53"/>
      <c r="J22" s="53"/>
      <c r="K22" s="53">
        <f>K21-K20</f>
        <v>72.900000000000091</v>
      </c>
      <c r="L22" s="60"/>
      <c r="M22" s="61"/>
    </row>
    <row r="23" spans="1:32" ht="12" x14ac:dyDescent="0.2">
      <c r="H23" s="53"/>
      <c r="I23" s="53"/>
      <c r="J23" s="53"/>
      <c r="K23" s="53"/>
    </row>
    <row r="24" spans="1:32" ht="12" x14ac:dyDescent="0.2">
      <c r="H24" s="53"/>
      <c r="I24" s="53"/>
      <c r="J24" s="53"/>
      <c r="K24" s="53"/>
    </row>
    <row r="25" spans="1:32" ht="12" x14ac:dyDescent="0.2">
      <c r="H25" s="53"/>
      <c r="I25" s="53"/>
      <c r="J25" s="53"/>
      <c r="K25" s="53"/>
    </row>
    <row r="26" spans="1:32" ht="12" x14ac:dyDescent="0.2">
      <c r="H26" s="53"/>
      <c r="I26" s="53"/>
      <c r="J26" s="53"/>
      <c r="K26" s="53"/>
    </row>
    <row r="27" spans="1:32" ht="12" x14ac:dyDescent="0.2">
      <c r="H27" s="53"/>
      <c r="I27" s="53"/>
      <c r="J27" s="53"/>
      <c r="K27" s="53"/>
      <c r="Q27" s="2">
        <v>0</v>
      </c>
    </row>
    <row r="28" spans="1:32" ht="12" x14ac:dyDescent="0.2">
      <c r="A28" s="1"/>
      <c r="B28" s="1"/>
      <c r="D28" s="1"/>
      <c r="E28" s="1"/>
      <c r="F28" s="1"/>
      <c r="H28" s="54"/>
      <c r="I28" s="54"/>
      <c r="J28" s="54"/>
      <c r="K28" s="54"/>
      <c r="L28" s="1"/>
      <c r="M28" s="1"/>
      <c r="N28" s="1"/>
      <c r="O28" s="1"/>
      <c r="P28" s="1"/>
      <c r="Q28" s="1"/>
      <c r="R28" s="1"/>
      <c r="S28" s="1"/>
      <c r="Z28" s="1"/>
      <c r="AA28" s="1"/>
      <c r="AB28" s="1"/>
      <c r="AC28" s="1"/>
      <c r="AD28" s="1"/>
      <c r="AE28" s="1"/>
      <c r="AF28" s="1"/>
    </row>
    <row r="29" spans="1:32" ht="12" x14ac:dyDescent="0.2">
      <c r="H29" s="53"/>
      <c r="I29" s="53"/>
      <c r="J29" s="53"/>
      <c r="K29" s="53"/>
    </row>
    <row r="30" spans="1:32" ht="12" x14ac:dyDescent="0.2">
      <c r="H30" s="53"/>
      <c r="I30" s="53"/>
      <c r="J30" s="53"/>
      <c r="K30" s="53"/>
    </row>
    <row r="31" spans="1:32" ht="12" x14ac:dyDescent="0.2">
      <c r="H31" s="53"/>
      <c r="I31" s="53"/>
      <c r="J31" s="53"/>
      <c r="K31" s="53"/>
    </row>
    <row r="32" spans="1:32" ht="12" x14ac:dyDescent="0.2">
      <c r="H32" s="53"/>
      <c r="I32" s="53"/>
      <c r="J32" s="53"/>
      <c r="K32" s="53"/>
    </row>
    <row r="33" spans="1:32" x14ac:dyDescent="0.2">
      <c r="H33" s="55"/>
      <c r="I33" s="55"/>
      <c r="J33" s="55"/>
      <c r="K33" s="55"/>
    </row>
    <row r="34" spans="1:32" x14ac:dyDescent="0.2">
      <c r="H34" s="55"/>
      <c r="I34" s="55"/>
      <c r="J34" s="55"/>
      <c r="K34" s="55"/>
    </row>
    <row r="35" spans="1:32" x14ac:dyDescent="0.2">
      <c r="A35" s="1"/>
      <c r="B35" s="1"/>
      <c r="D35" s="1"/>
      <c r="E35" s="1"/>
      <c r="F35" s="1"/>
      <c r="H35" s="55"/>
      <c r="I35" s="55"/>
      <c r="J35" s="55"/>
      <c r="K35" s="5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D36" s="1"/>
      <c r="E36" s="1"/>
      <c r="F36" s="1"/>
      <c r="H36" s="55"/>
      <c r="I36" s="55"/>
      <c r="J36" s="55"/>
      <c r="K36" s="5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D37" s="1"/>
      <c r="E37" s="1"/>
      <c r="F37" s="1"/>
      <c r="H37" s="55"/>
      <c r="I37" s="55"/>
      <c r="J37" s="55"/>
      <c r="K37" s="5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1">
    <mergeCell ref="A11:XFD11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44"/>
  <sheetViews>
    <sheetView workbookViewId="0">
      <selection activeCell="AH18" sqref="AH5:AH18"/>
    </sheetView>
  </sheetViews>
  <sheetFormatPr defaultRowHeight="11.25" x14ac:dyDescent="0.2"/>
  <cols>
    <col min="1" max="1" width="8.140625" style="83" customWidth="1"/>
    <col min="2" max="2" width="7.28515625" style="6" hidden="1" customWidth="1"/>
    <col min="3" max="3" width="23.85546875" style="1" customWidth="1"/>
    <col min="4" max="4" width="14" style="5" hidden="1" customWidth="1"/>
    <col min="5" max="5" width="29.28515625" style="5" hidden="1" customWidth="1"/>
    <col min="6" max="6" width="7.85546875" style="4" hidden="1" customWidth="1"/>
    <col min="7" max="7" width="26.5703125" style="1" customWidth="1"/>
    <col min="8" max="8" width="8.8554687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11.140625" style="2" customWidth="1"/>
    <col min="15" max="15" width="9" style="2" hidden="1" customWidth="1"/>
    <col min="16" max="16" width="9.85546875" style="2" customWidth="1"/>
    <col min="17" max="17" width="10.85546875" style="2" hidden="1" customWidth="1"/>
    <col min="18" max="18" width="10.7109375" style="2" customWidth="1"/>
    <col min="19" max="19" width="9.5703125" style="2" hidden="1" customWidth="1"/>
    <col min="20" max="20" width="9.140625" style="2" hidden="1" customWidth="1"/>
    <col min="21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178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27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35.25" customHeight="1" x14ac:dyDescent="0.2">
      <c r="A5" s="56">
        <v>44161</v>
      </c>
      <c r="B5" s="17"/>
      <c r="C5" s="24" t="s">
        <v>36</v>
      </c>
      <c r="D5" s="18"/>
      <c r="E5" s="18"/>
      <c r="F5" s="57">
        <v>265326</v>
      </c>
      <c r="G5" s="57" t="s">
        <v>163</v>
      </c>
      <c r="H5" s="59"/>
      <c r="I5" s="57"/>
      <c r="J5" s="59"/>
      <c r="K5" s="59">
        <v>4793.25</v>
      </c>
      <c r="L5" s="58"/>
      <c r="M5" s="26">
        <f t="shared" ref="M5:M21" si="0">SUM(H5:J5,K5/1.12)</f>
        <v>4279.6875</v>
      </c>
      <c r="N5" s="26">
        <f t="shared" ref="N5:N21" si="1">K5/1.12*0.12</f>
        <v>513.5625</v>
      </c>
      <c r="O5" s="26">
        <f t="shared" ref="O5:O21" si="2">-SUM(I5:J5,K5/1.12)*L5</f>
        <v>0</v>
      </c>
      <c r="P5" s="26">
        <v>4279.6899999999996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21" si="3">-SUM(N5:AE5)</f>
        <v>-4793.2524999999996</v>
      </c>
      <c r="AG5" s="27">
        <f t="shared" ref="AG5:AG21" si="4">SUM(H5:K5)+AF5+O5</f>
        <v>-2.4999999995998223E-3</v>
      </c>
      <c r="AH5" s="87">
        <f>-AF5</f>
        <v>4793.2524999999996</v>
      </c>
    </row>
    <row r="6" spans="1:34" s="10" customFormat="1" ht="19.5" hidden="1" customHeight="1" x14ac:dyDescent="0.2">
      <c r="A6" s="56">
        <v>44161</v>
      </c>
      <c r="B6" s="17"/>
      <c r="C6" s="24" t="s">
        <v>38</v>
      </c>
      <c r="D6" s="18"/>
      <c r="E6" s="18"/>
      <c r="F6" s="57"/>
      <c r="G6" s="57" t="s">
        <v>164</v>
      </c>
      <c r="H6" s="59">
        <v>90</v>
      </c>
      <c r="I6" s="57"/>
      <c r="J6" s="59"/>
      <c r="K6" s="59"/>
      <c r="L6" s="58"/>
      <c r="M6" s="26">
        <f t="shared" si="0"/>
        <v>90</v>
      </c>
      <c r="N6" s="26">
        <f t="shared" si="1"/>
        <v>0</v>
      </c>
      <c r="O6" s="26">
        <f t="shared" si="2"/>
        <v>0</v>
      </c>
      <c r="P6" s="26"/>
      <c r="Q6" s="33"/>
      <c r="R6" s="33"/>
      <c r="S6" s="34"/>
      <c r="T6" s="34"/>
      <c r="U6" s="34"/>
      <c r="V6" s="34"/>
      <c r="W6" s="34"/>
      <c r="X6" s="33"/>
      <c r="Y6" s="33"/>
      <c r="Z6" s="33"/>
      <c r="AA6" s="33">
        <v>90</v>
      </c>
      <c r="AB6" s="34"/>
      <c r="AC6" s="34"/>
      <c r="AD6" s="33"/>
      <c r="AE6" s="33"/>
      <c r="AF6" s="26">
        <f t="shared" si="3"/>
        <v>-90</v>
      </c>
      <c r="AG6" s="27">
        <f t="shared" si="4"/>
        <v>0</v>
      </c>
      <c r="AH6" s="87">
        <f t="shared" ref="AH6:AH18" si="5">-AF6</f>
        <v>90</v>
      </c>
    </row>
    <row r="7" spans="1:34" s="10" customFormat="1" ht="19.5" hidden="1" customHeight="1" x14ac:dyDescent="0.2">
      <c r="A7" s="56">
        <v>44161</v>
      </c>
      <c r="B7" s="17"/>
      <c r="C7" s="24" t="s">
        <v>45</v>
      </c>
      <c r="D7" s="18"/>
      <c r="E7" s="18"/>
      <c r="F7" s="57">
        <v>3888</v>
      </c>
      <c r="G7" s="57" t="s">
        <v>165</v>
      </c>
      <c r="H7" s="59"/>
      <c r="I7" s="57"/>
      <c r="J7" s="59"/>
      <c r="K7" s="59">
        <v>394</v>
      </c>
      <c r="L7" s="58"/>
      <c r="M7" s="26">
        <f t="shared" si="0"/>
        <v>351.78571428571428</v>
      </c>
      <c r="N7" s="26">
        <f t="shared" si="1"/>
        <v>42.214285714285708</v>
      </c>
      <c r="O7" s="26">
        <f t="shared" si="2"/>
        <v>0</v>
      </c>
      <c r="P7" s="26">
        <v>351.79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-394.00428571428574</v>
      </c>
      <c r="AG7" s="27">
        <f t="shared" si="4"/>
        <v>-4.2857142857428698E-3</v>
      </c>
      <c r="AH7" s="87">
        <f t="shared" si="5"/>
        <v>394.00428571428574</v>
      </c>
    </row>
    <row r="8" spans="1:34" s="10" customFormat="1" ht="19.5" hidden="1" customHeight="1" x14ac:dyDescent="0.2">
      <c r="A8" s="56">
        <v>44161</v>
      </c>
      <c r="B8" s="17"/>
      <c r="C8" s="24" t="s">
        <v>166</v>
      </c>
      <c r="D8" s="18"/>
      <c r="E8" s="18"/>
      <c r="F8" s="57"/>
      <c r="G8" s="57" t="s">
        <v>167</v>
      </c>
      <c r="H8" s="57"/>
      <c r="I8" s="57"/>
      <c r="J8" s="59"/>
      <c r="K8" s="59">
        <v>100</v>
      </c>
      <c r="L8" s="58"/>
      <c r="M8" s="26">
        <f t="shared" si="0"/>
        <v>89.285714285714278</v>
      </c>
      <c r="N8" s="26">
        <f t="shared" si="1"/>
        <v>10.714285714285714</v>
      </c>
      <c r="O8" s="26">
        <f t="shared" si="2"/>
        <v>0</v>
      </c>
      <c r="P8" s="26"/>
      <c r="Q8" s="33"/>
      <c r="R8" s="33"/>
      <c r="S8" s="34"/>
      <c r="T8" s="34"/>
      <c r="U8" s="34"/>
      <c r="V8" s="34"/>
      <c r="W8" s="34"/>
      <c r="X8" s="33"/>
      <c r="Y8" s="33">
        <v>89.29</v>
      </c>
      <c r="Z8" s="33"/>
      <c r="AA8" s="33"/>
      <c r="AB8" s="34"/>
      <c r="AC8" s="34"/>
      <c r="AD8" s="33"/>
      <c r="AE8" s="33"/>
      <c r="AF8" s="26">
        <f t="shared" si="3"/>
        <v>-100.00428571428571</v>
      </c>
      <c r="AG8" s="27">
        <f t="shared" si="4"/>
        <v>-4.2857142857144481E-3</v>
      </c>
      <c r="AH8" s="87">
        <f t="shared" si="5"/>
        <v>100.00428571428571</v>
      </c>
    </row>
    <row r="9" spans="1:34" s="10" customFormat="1" ht="19.5" hidden="1" customHeight="1" x14ac:dyDescent="0.2">
      <c r="A9" s="56">
        <v>44161</v>
      </c>
      <c r="B9" s="17"/>
      <c r="C9" s="24" t="s">
        <v>45</v>
      </c>
      <c r="D9" s="18"/>
      <c r="E9" s="18"/>
      <c r="F9" s="57">
        <v>3714</v>
      </c>
      <c r="G9" s="57" t="s">
        <v>168</v>
      </c>
      <c r="H9" s="59"/>
      <c r="I9" s="57"/>
      <c r="J9" s="59"/>
      <c r="K9" s="59">
        <v>605.5</v>
      </c>
      <c r="L9" s="58"/>
      <c r="M9" s="26">
        <f t="shared" si="0"/>
        <v>540.625</v>
      </c>
      <c r="N9" s="26">
        <f t="shared" si="1"/>
        <v>64.875</v>
      </c>
      <c r="O9" s="26">
        <f t="shared" si="2"/>
        <v>0</v>
      </c>
      <c r="P9" s="26">
        <v>540.63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-605.505</v>
      </c>
      <c r="AG9" s="27">
        <f t="shared" si="4"/>
        <v>-4.9999999999954525E-3</v>
      </c>
      <c r="AH9" s="87">
        <f t="shared" si="5"/>
        <v>605.505</v>
      </c>
    </row>
    <row r="10" spans="1:34" s="10" customFormat="1" ht="21.75" hidden="1" customHeight="1" x14ac:dyDescent="0.2">
      <c r="A10" s="56">
        <v>44161</v>
      </c>
      <c r="B10" s="17"/>
      <c r="C10" s="24" t="s">
        <v>169</v>
      </c>
      <c r="D10" s="18"/>
      <c r="E10" s="18"/>
      <c r="F10" s="57"/>
      <c r="G10" s="57" t="s">
        <v>60</v>
      </c>
      <c r="H10" s="59"/>
      <c r="I10" s="57"/>
      <c r="J10" s="59">
        <v>1250</v>
      </c>
      <c r="K10" s="59"/>
      <c r="L10" s="58"/>
      <c r="M10" s="26">
        <f t="shared" si="0"/>
        <v>1250</v>
      </c>
      <c r="N10" s="26">
        <f t="shared" si="1"/>
        <v>0</v>
      </c>
      <c r="O10" s="26">
        <f t="shared" si="2"/>
        <v>0</v>
      </c>
      <c r="P10" s="26">
        <v>1250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-1250</v>
      </c>
      <c r="AG10" s="27">
        <f t="shared" si="4"/>
        <v>0</v>
      </c>
      <c r="AH10" s="87">
        <f t="shared" si="5"/>
        <v>1250</v>
      </c>
    </row>
    <row r="11" spans="1:34" s="10" customFormat="1" ht="18" hidden="1" customHeight="1" x14ac:dyDescent="0.2">
      <c r="A11" s="56">
        <v>44161</v>
      </c>
      <c r="B11" s="17"/>
      <c r="C11" s="24" t="s">
        <v>38</v>
      </c>
      <c r="D11" s="18"/>
      <c r="E11" s="18"/>
      <c r="F11" s="57"/>
      <c r="G11" s="57" t="s">
        <v>99</v>
      </c>
      <c r="H11" s="59">
        <v>50</v>
      </c>
      <c r="I11" s="18"/>
      <c r="J11" s="59"/>
      <c r="K11" s="59"/>
      <c r="L11" s="19"/>
      <c r="M11" s="26">
        <f t="shared" si="0"/>
        <v>50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>
        <v>50</v>
      </c>
      <c r="AB11" s="34"/>
      <c r="AC11" s="34"/>
      <c r="AD11" s="33"/>
      <c r="AE11" s="33"/>
      <c r="AF11" s="26">
        <f t="shared" si="3"/>
        <v>-50</v>
      </c>
      <c r="AG11" s="27">
        <f t="shared" si="4"/>
        <v>0</v>
      </c>
      <c r="AH11" s="87">
        <f t="shared" si="5"/>
        <v>50</v>
      </c>
    </row>
    <row r="12" spans="1:34" s="10" customFormat="1" ht="21.75" hidden="1" customHeight="1" x14ac:dyDescent="0.2">
      <c r="A12" s="56">
        <v>44161</v>
      </c>
      <c r="B12" s="17"/>
      <c r="C12" s="24" t="s">
        <v>38</v>
      </c>
      <c r="D12" s="18"/>
      <c r="E12" s="18"/>
      <c r="F12" s="57"/>
      <c r="G12" s="57" t="s">
        <v>170</v>
      </c>
      <c r="H12" s="59">
        <v>70</v>
      </c>
      <c r="I12" s="57"/>
      <c r="J12" s="57"/>
      <c r="K12" s="59"/>
      <c r="L12" s="19"/>
      <c r="M12" s="26">
        <f t="shared" si="0"/>
        <v>70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63"/>
      <c r="T12" s="34"/>
      <c r="U12" s="34"/>
      <c r="V12" s="34"/>
      <c r="W12" s="34"/>
      <c r="X12" s="33"/>
      <c r="Y12" s="33"/>
      <c r="Z12" s="33"/>
      <c r="AA12" s="33">
        <v>70</v>
      </c>
      <c r="AB12" s="34"/>
      <c r="AC12" s="34"/>
      <c r="AD12" s="33"/>
      <c r="AE12" s="33"/>
      <c r="AF12" s="26">
        <f t="shared" si="3"/>
        <v>-70</v>
      </c>
      <c r="AG12" s="27">
        <f t="shared" si="4"/>
        <v>0</v>
      </c>
      <c r="AH12" s="87">
        <f t="shared" si="5"/>
        <v>70</v>
      </c>
    </row>
    <row r="13" spans="1:34" s="10" customFormat="1" ht="21.75" hidden="1" customHeight="1" x14ac:dyDescent="0.2">
      <c r="A13" s="56">
        <v>44161</v>
      </c>
      <c r="B13" s="17"/>
      <c r="C13" s="24" t="s">
        <v>171</v>
      </c>
      <c r="D13" s="18"/>
      <c r="E13" s="18"/>
      <c r="F13" s="57">
        <v>205958</v>
      </c>
      <c r="G13" s="57" t="s">
        <v>172</v>
      </c>
      <c r="H13" s="59"/>
      <c r="I13" s="57"/>
      <c r="J13" s="57"/>
      <c r="K13" s="59">
        <v>1116</v>
      </c>
      <c r="L13" s="19"/>
      <c r="M13" s="26">
        <f t="shared" si="0"/>
        <v>996.42857142857133</v>
      </c>
      <c r="N13" s="26">
        <f t="shared" si="1"/>
        <v>119.57142857142856</v>
      </c>
      <c r="O13" s="26">
        <f t="shared" si="2"/>
        <v>0</v>
      </c>
      <c r="P13" s="26"/>
      <c r="Q13" s="33"/>
      <c r="R13" s="33">
        <v>996.43</v>
      </c>
      <c r="S13" s="63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-1116.0014285714285</v>
      </c>
      <c r="AG13" s="27">
        <f t="shared" si="4"/>
        <v>-1.4285714285051654E-3</v>
      </c>
      <c r="AH13" s="87">
        <f t="shared" si="5"/>
        <v>1116.0014285714285</v>
      </c>
    </row>
    <row r="14" spans="1:34" s="10" customFormat="1" ht="21.75" hidden="1" customHeight="1" x14ac:dyDescent="0.2">
      <c r="A14" s="56">
        <v>44161</v>
      </c>
      <c r="B14" s="17"/>
      <c r="C14" s="24" t="s">
        <v>173</v>
      </c>
      <c r="D14" s="18"/>
      <c r="E14" s="18"/>
      <c r="F14" s="57">
        <v>828626</v>
      </c>
      <c r="G14" s="57" t="s">
        <v>81</v>
      </c>
      <c r="H14" s="59"/>
      <c r="I14" s="57"/>
      <c r="J14" s="59"/>
      <c r="K14" s="59">
        <v>176</v>
      </c>
      <c r="L14" s="19"/>
      <c r="M14" s="26">
        <f t="shared" si="0"/>
        <v>157.14285714285714</v>
      </c>
      <c r="N14" s="26">
        <f t="shared" si="1"/>
        <v>18.857142857142858</v>
      </c>
      <c r="O14" s="26">
        <f t="shared" si="2"/>
        <v>0</v>
      </c>
      <c r="P14" s="26"/>
      <c r="Q14" s="33"/>
      <c r="R14" s="33"/>
      <c r="S14" s="63"/>
      <c r="T14" s="34"/>
      <c r="U14" s="34">
        <v>157.13999999999999</v>
      </c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-175.99714285714285</v>
      </c>
      <c r="AG14" s="27">
        <f t="shared" si="4"/>
        <v>2.8571428571524393E-3</v>
      </c>
      <c r="AH14" s="87">
        <f t="shared" si="5"/>
        <v>175.99714285714285</v>
      </c>
    </row>
    <row r="15" spans="1:34" s="10" customFormat="1" ht="21.75" hidden="1" customHeight="1" x14ac:dyDescent="0.2">
      <c r="A15" s="56">
        <v>44161</v>
      </c>
      <c r="B15" s="17"/>
      <c r="C15" s="24" t="s">
        <v>45</v>
      </c>
      <c r="D15" s="18"/>
      <c r="E15" s="18"/>
      <c r="F15" s="57">
        <v>7104</v>
      </c>
      <c r="G15" s="57" t="s">
        <v>174</v>
      </c>
      <c r="H15" s="59"/>
      <c r="I15" s="57"/>
      <c r="J15" s="57"/>
      <c r="K15" s="59">
        <v>135</v>
      </c>
      <c r="L15" s="19"/>
      <c r="M15" s="26">
        <f t="shared" si="0"/>
        <v>120.53571428571428</v>
      </c>
      <c r="N15" s="26">
        <f t="shared" si="1"/>
        <v>14.464285714285714</v>
      </c>
      <c r="O15" s="26">
        <f t="shared" si="2"/>
        <v>0</v>
      </c>
      <c r="P15" s="26">
        <v>120.54</v>
      </c>
      <c r="Q15" s="33"/>
      <c r="R15" s="33"/>
      <c r="S15" s="63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-135.00428571428571</v>
      </c>
      <c r="AG15" s="27">
        <f t="shared" si="4"/>
        <v>-4.2857142857144481E-3</v>
      </c>
      <c r="AH15" s="87">
        <f t="shared" si="5"/>
        <v>135.00428571428571</v>
      </c>
    </row>
    <row r="16" spans="1:34" s="10" customFormat="1" ht="21.75" hidden="1" customHeight="1" x14ac:dyDescent="0.2">
      <c r="A16" s="56">
        <v>44162</v>
      </c>
      <c r="B16" s="17"/>
      <c r="C16" s="24" t="s">
        <v>38</v>
      </c>
      <c r="D16" s="18"/>
      <c r="E16" s="18"/>
      <c r="F16" s="57"/>
      <c r="G16" s="57" t="s">
        <v>175</v>
      </c>
      <c r="H16" s="59">
        <v>60</v>
      </c>
      <c r="I16" s="57"/>
      <c r="J16" s="57"/>
      <c r="K16" s="59"/>
      <c r="L16" s="19"/>
      <c r="M16" s="26">
        <f t="shared" si="0"/>
        <v>60</v>
      </c>
      <c r="N16" s="26">
        <f t="shared" si="1"/>
        <v>0</v>
      </c>
      <c r="O16" s="26">
        <f t="shared" si="2"/>
        <v>0</v>
      </c>
      <c r="P16" s="26"/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>
        <v>60</v>
      </c>
      <c r="AB16" s="34"/>
      <c r="AC16" s="34"/>
      <c r="AD16" s="33"/>
      <c r="AE16" s="33"/>
      <c r="AF16" s="26">
        <f t="shared" si="3"/>
        <v>-60</v>
      </c>
      <c r="AG16" s="27">
        <f t="shared" si="4"/>
        <v>0</v>
      </c>
      <c r="AH16" s="87">
        <f t="shared" si="5"/>
        <v>60</v>
      </c>
    </row>
    <row r="17" spans="1:34" s="10" customFormat="1" ht="21.75" hidden="1" customHeight="1" x14ac:dyDescent="0.2">
      <c r="A17" s="56">
        <v>44162</v>
      </c>
      <c r="B17" s="17"/>
      <c r="C17" s="24" t="s">
        <v>176</v>
      </c>
      <c r="D17" s="18"/>
      <c r="E17" s="18"/>
      <c r="F17" s="57">
        <v>5549</v>
      </c>
      <c r="G17" s="57" t="s">
        <v>177</v>
      </c>
      <c r="H17" s="59"/>
      <c r="I17" s="57"/>
      <c r="J17" s="57"/>
      <c r="K17" s="59">
        <v>1329.54</v>
      </c>
      <c r="L17" s="19"/>
      <c r="M17" s="26">
        <f t="shared" si="0"/>
        <v>1187.0892857142856</v>
      </c>
      <c r="N17" s="26">
        <f t="shared" si="1"/>
        <v>142.45071428571427</v>
      </c>
      <c r="O17" s="26">
        <f t="shared" si="2"/>
        <v>0</v>
      </c>
      <c r="P17" s="26">
        <v>1187.0899999999999</v>
      </c>
      <c r="Q17" s="33"/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-1329.5407142857141</v>
      </c>
      <c r="AG17" s="27">
        <f t="shared" si="4"/>
        <v>-7.1428571413889586E-4</v>
      </c>
      <c r="AH17" s="87">
        <f t="shared" si="5"/>
        <v>1329.5407142857141</v>
      </c>
    </row>
    <row r="18" spans="1:34" s="10" customFormat="1" ht="21.75" customHeight="1" x14ac:dyDescent="0.2">
      <c r="A18" s="56">
        <v>44162</v>
      </c>
      <c r="B18" s="17"/>
      <c r="C18" s="24" t="s">
        <v>166</v>
      </c>
      <c r="D18" s="18"/>
      <c r="E18" s="18"/>
      <c r="F18" s="57"/>
      <c r="G18" s="57" t="s">
        <v>34</v>
      </c>
      <c r="H18" s="59"/>
      <c r="I18" s="57"/>
      <c r="J18" s="57"/>
      <c r="K18" s="59">
        <v>50</v>
      </c>
      <c r="L18" s="19"/>
      <c r="M18" s="26">
        <f t="shared" si="0"/>
        <v>44.642857142857139</v>
      </c>
      <c r="N18" s="26">
        <f t="shared" si="1"/>
        <v>5.3571428571428568</v>
      </c>
      <c r="O18" s="26">
        <f t="shared" si="2"/>
        <v>0</v>
      </c>
      <c r="P18" s="26">
        <v>44.64</v>
      </c>
      <c r="Q18" s="33"/>
      <c r="R18" s="33"/>
      <c r="S18" s="6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3"/>
        <v>-49.997142857142855</v>
      </c>
      <c r="AG18" s="27">
        <f t="shared" si="4"/>
        <v>2.8571428571453339E-3</v>
      </c>
      <c r="AH18" s="87">
        <f t="shared" si="5"/>
        <v>49.997142857142855</v>
      </c>
    </row>
    <row r="19" spans="1:34" s="10" customFormat="1" ht="21.75" customHeight="1" x14ac:dyDescent="0.2">
      <c r="A19" s="56"/>
      <c r="B19" s="17"/>
      <c r="C19" s="24"/>
      <c r="D19" s="18"/>
      <c r="E19" s="18"/>
      <c r="F19" s="57"/>
      <c r="G19" s="57"/>
      <c r="H19" s="59"/>
      <c r="I19" s="57"/>
      <c r="J19" s="57"/>
      <c r="K19" s="59"/>
      <c r="L19" s="19"/>
      <c r="M19" s="26">
        <f t="shared" si="0"/>
        <v>0</v>
      </c>
      <c r="N19" s="26">
        <f t="shared" si="1"/>
        <v>0</v>
      </c>
      <c r="O19" s="26">
        <f t="shared" si="2"/>
        <v>0</v>
      </c>
      <c r="P19" s="26"/>
      <c r="Q19" s="33"/>
      <c r="R19" s="33"/>
      <c r="S19" s="6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3"/>
        <v>0</v>
      </c>
      <c r="AG19" s="27">
        <f t="shared" si="4"/>
        <v>0</v>
      </c>
    </row>
    <row r="20" spans="1:34" s="10" customFormat="1" ht="21.75" customHeight="1" x14ac:dyDescent="0.2">
      <c r="A20" s="56"/>
      <c r="B20" s="17"/>
      <c r="C20" s="57"/>
      <c r="D20" s="18"/>
      <c r="E20" s="18"/>
      <c r="F20" s="57"/>
      <c r="G20" s="82"/>
      <c r="H20" s="59"/>
      <c r="I20" s="57"/>
      <c r="J20" s="59"/>
      <c r="K20" s="59"/>
      <c r="L20" s="19"/>
      <c r="M20" s="26">
        <f t="shared" si="0"/>
        <v>0</v>
      </c>
      <c r="N20" s="26">
        <f t="shared" si="1"/>
        <v>0</v>
      </c>
      <c r="O20" s="26">
        <f t="shared" si="2"/>
        <v>0</v>
      </c>
      <c r="P20" s="26"/>
      <c r="Q20" s="33"/>
      <c r="R20" s="33"/>
      <c r="S20" s="6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3"/>
        <v>0</v>
      </c>
      <c r="AG20" s="27">
        <f t="shared" si="4"/>
        <v>0</v>
      </c>
    </row>
    <row r="21" spans="1:34" s="11" customFormat="1" ht="12" thickBot="1" x14ac:dyDescent="0.25">
      <c r="A21" s="29"/>
      <c r="B21" s="30"/>
      <c r="C21" s="35"/>
      <c r="D21" s="35"/>
      <c r="E21" s="35"/>
      <c r="F21" s="25"/>
      <c r="G21" s="28"/>
      <c r="H21" s="31"/>
      <c r="I21" s="31"/>
      <c r="J21" s="31"/>
      <c r="K21" s="31"/>
      <c r="L21" s="32"/>
      <c r="M21" s="33">
        <f t="shared" si="0"/>
        <v>0</v>
      </c>
      <c r="N21" s="33">
        <f t="shared" si="1"/>
        <v>0</v>
      </c>
      <c r="O21" s="33">
        <f t="shared" si="2"/>
        <v>0</v>
      </c>
      <c r="P21" s="33"/>
      <c r="Q21" s="33"/>
      <c r="R21" s="33"/>
      <c r="S21" s="33"/>
      <c r="T21" s="34"/>
      <c r="U21" s="43"/>
      <c r="V21" s="34"/>
      <c r="W21" s="34"/>
      <c r="X21" s="34"/>
      <c r="Y21" s="36"/>
      <c r="Z21" s="33"/>
      <c r="AA21" s="43"/>
      <c r="AB21" s="33"/>
      <c r="AC21" s="34"/>
      <c r="AD21" s="34"/>
      <c r="AE21" s="37"/>
      <c r="AF21" s="26">
        <f t="shared" si="3"/>
        <v>0</v>
      </c>
      <c r="AG21" s="27">
        <f t="shared" si="4"/>
        <v>0</v>
      </c>
    </row>
    <row r="22" spans="1:34" s="9" customFormat="1" ht="12.75" thickTop="1" thickBot="1" x14ac:dyDescent="0.25">
      <c r="A22" s="38"/>
      <c r="B22" s="39"/>
      <c r="C22" s="40"/>
      <c r="D22" s="41"/>
      <c r="E22" s="41"/>
      <c r="F22" s="42"/>
      <c r="G22" s="40"/>
      <c r="H22" s="43">
        <f>SUM(H5:H20)</f>
        <v>270</v>
      </c>
      <c r="I22" s="43">
        <f>SUM(I21:I21)</f>
        <v>0</v>
      </c>
      <c r="J22" s="43">
        <f>SUM(J5:J20)</f>
        <v>1250</v>
      </c>
      <c r="K22" s="43">
        <f>SUM(K5:K20)</f>
        <v>8699.2900000000009</v>
      </c>
      <c r="L22" s="43">
        <f>SUM(L21:L21)</f>
        <v>0</v>
      </c>
      <c r="M22" s="43">
        <f>SUM(M5:M20)</f>
        <v>9287.2232142857156</v>
      </c>
      <c r="N22" s="43">
        <f>SUM(N5:N20)</f>
        <v>932.06678571428563</v>
      </c>
      <c r="O22" s="43">
        <f>SUM(O21:O21)</f>
        <v>0</v>
      </c>
      <c r="P22" s="43">
        <f>SUM(P5:P20)</f>
        <v>7774.38</v>
      </c>
      <c r="Q22" s="43">
        <f>SUM(Q5:Q20)</f>
        <v>0</v>
      </c>
      <c r="R22" s="43">
        <f>SUM(R5:R20)</f>
        <v>996.43</v>
      </c>
      <c r="S22" s="43">
        <f>SUM(S10:S21)</f>
        <v>0</v>
      </c>
      <c r="T22" s="43">
        <f>SUM(T10:T21)</f>
        <v>0</v>
      </c>
      <c r="U22" s="43">
        <f>SUM(U10:U21)</f>
        <v>157.13999999999999</v>
      </c>
      <c r="V22" s="43">
        <f>SUM(V10:V21)</f>
        <v>0</v>
      </c>
      <c r="W22" s="43">
        <f>SUM(W21:W21)</f>
        <v>0</v>
      </c>
      <c r="X22" s="43">
        <f>SUM(X21:X21)</f>
        <v>0</v>
      </c>
      <c r="Y22" s="43">
        <f>SUM(Y21:Y21)</f>
        <v>0</v>
      </c>
      <c r="Z22" s="43">
        <f>SUM(Z21:Z21)</f>
        <v>0</v>
      </c>
      <c r="AA22" s="43">
        <f>SUM(AA5:AA20)</f>
        <v>270</v>
      </c>
      <c r="AB22" s="43">
        <f>SUM(AB21:AB21)</f>
        <v>0</v>
      </c>
      <c r="AC22" s="43">
        <f>SUM(AC5:AC20)</f>
        <v>0</v>
      </c>
      <c r="AD22" s="43">
        <f>SUM(AD5:AD20)</f>
        <v>0</v>
      </c>
      <c r="AE22" s="43">
        <f>SUM(AE21:AE21)</f>
        <v>0</v>
      </c>
      <c r="AF22" s="43">
        <f>SUM(AF5:AF20)</f>
        <v>-10219.306785714285</v>
      </c>
      <c r="AG22" s="43">
        <f>SUM(AG21:AG21)</f>
        <v>0</v>
      </c>
    </row>
    <row r="23" spans="1:34" s="86" customFormat="1" ht="12" thickTop="1" x14ac:dyDescent="0.2"/>
    <row r="24" spans="1:34" ht="12" x14ac:dyDescent="0.2">
      <c r="K24" s="44">
        <f ca="1">H22+J22+K22+1:1048576+AA22</f>
        <v>0</v>
      </c>
      <c r="L24" s="8"/>
      <c r="M24" s="7"/>
      <c r="AF24" s="45">
        <f>+AF22</f>
        <v>-10219.306785714285</v>
      </c>
    </row>
    <row r="25" spans="1:34" ht="12" x14ac:dyDescent="0.2">
      <c r="K25" s="44"/>
      <c r="L25" s="8"/>
      <c r="M25" s="7"/>
      <c r="AF25" s="45"/>
    </row>
    <row r="26" spans="1:34" x14ac:dyDescent="0.2">
      <c r="K26" s="7"/>
      <c r="L26" s="8"/>
      <c r="M26" s="7"/>
    </row>
    <row r="27" spans="1:34" ht="12.75" x14ac:dyDescent="0.2">
      <c r="C27" s="46" t="s">
        <v>46</v>
      </c>
      <c r="G27" s="9"/>
      <c r="J27" s="48" t="s">
        <v>39</v>
      </c>
      <c r="K27" s="50">
        <f>K5+K7+K9+J10+K15+K17+K18</f>
        <v>8557.2900000000009</v>
      </c>
      <c r="L27" s="47"/>
      <c r="M27" s="47"/>
      <c r="N27" s="45"/>
      <c r="O27" s="45"/>
      <c r="P27" s="45"/>
      <c r="Q27" s="45"/>
    </row>
    <row r="28" spans="1:34" ht="12.75" x14ac:dyDescent="0.2">
      <c r="C28" s="46"/>
      <c r="G28" s="9"/>
      <c r="J28" s="48" t="s">
        <v>44</v>
      </c>
      <c r="K28" s="50">
        <f>K8+K14</f>
        <v>276</v>
      </c>
      <c r="L28" s="47"/>
      <c r="M28" s="47"/>
      <c r="N28" s="45"/>
      <c r="O28" s="45"/>
      <c r="P28" s="45"/>
      <c r="Q28" s="45"/>
    </row>
    <row r="29" spans="1:34" ht="12.75" x14ac:dyDescent="0.2">
      <c r="J29" s="48" t="s">
        <v>40</v>
      </c>
      <c r="K29" s="49">
        <f>K13</f>
        <v>1116</v>
      </c>
      <c r="L29" s="8"/>
      <c r="M29" s="7"/>
    </row>
    <row r="30" spans="1:34" ht="12.75" x14ac:dyDescent="0.2">
      <c r="J30" s="48" t="s">
        <v>41</v>
      </c>
      <c r="K30" s="49">
        <f>H22</f>
        <v>270</v>
      </c>
      <c r="L30" s="8"/>
      <c r="M30" s="7"/>
    </row>
    <row r="31" spans="1:34" ht="12.75" x14ac:dyDescent="0.2">
      <c r="A31" s="1"/>
      <c r="B31" s="1"/>
      <c r="D31" s="1"/>
      <c r="E31" s="1"/>
      <c r="F31" s="1"/>
      <c r="H31" s="1"/>
      <c r="I31" s="1"/>
      <c r="J31" s="51" t="s">
        <v>42</v>
      </c>
      <c r="K31" s="52">
        <f>SUM(K27:K30)</f>
        <v>10219.290000000001</v>
      </c>
      <c r="L31" s="8"/>
      <c r="M31" s="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1"/>
      <c r="AA31" s="1"/>
      <c r="AB31" s="1"/>
      <c r="AC31" s="1"/>
      <c r="AD31" s="1"/>
      <c r="AE31" s="1"/>
      <c r="AF31" s="1"/>
    </row>
    <row r="32" spans="1:34" ht="12" x14ac:dyDescent="0.2">
      <c r="J32" s="45" t="s">
        <v>49</v>
      </c>
      <c r="K32" s="45">
        <v>11000</v>
      </c>
    </row>
    <row r="33" spans="1:32" ht="12" x14ac:dyDescent="0.2">
      <c r="H33" s="53"/>
      <c r="I33" s="53"/>
      <c r="J33" s="53"/>
      <c r="K33" s="53">
        <f>K32-K31</f>
        <v>780.70999999999913</v>
      </c>
      <c r="L33" s="60"/>
      <c r="M33" s="61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>
        <v>29</v>
      </c>
      <c r="M35" s="2">
        <f>10219</f>
        <v>10219</v>
      </c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x14ac:dyDescent="0.2">
      <c r="H40" s="55"/>
      <c r="I40" s="55"/>
      <c r="J40" s="55"/>
      <c r="K40" s="55"/>
    </row>
    <row r="41" spans="1:32" x14ac:dyDescent="0.2">
      <c r="H41" s="55"/>
      <c r="I41" s="55"/>
      <c r="J41" s="55"/>
      <c r="K41" s="55"/>
    </row>
    <row r="42" spans="1:32" x14ac:dyDescent="0.2">
      <c r="A42" s="1"/>
      <c r="B42" s="1"/>
      <c r="D42" s="1"/>
      <c r="E42" s="1"/>
      <c r="F42" s="1"/>
      <c r="H42" s="55"/>
      <c r="I42" s="55"/>
      <c r="J42" s="55"/>
      <c r="K42" s="55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D43" s="1"/>
      <c r="E43" s="1"/>
      <c r="F43" s="1"/>
      <c r="H43" s="55"/>
      <c r="I43" s="55"/>
      <c r="J43" s="55"/>
      <c r="K43" s="55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D44" s="1"/>
      <c r="E44" s="1"/>
      <c r="F44" s="1"/>
      <c r="H44" s="55"/>
      <c r="I44" s="55"/>
      <c r="J44" s="55"/>
      <c r="K44" s="55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mergeCells count="1">
    <mergeCell ref="A23:XFD23"/>
  </mergeCells>
  <pageMargins left="0.2" right="0.2" top="0.5" bottom="0.5" header="0.3" footer="0.3"/>
  <pageSetup scale="80" orientation="landscape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50"/>
  <sheetViews>
    <sheetView workbookViewId="0">
      <pane ySplit="4" topLeftCell="A5" activePane="bottomLeft" state="frozen"/>
      <selection pane="bottomLeft" activeCell="AH16" sqref="AH5:AH16"/>
    </sheetView>
  </sheetViews>
  <sheetFormatPr defaultRowHeight="11.25" x14ac:dyDescent="0.2"/>
  <cols>
    <col min="1" max="1" width="8.140625" style="81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11.1406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hidden="1" customWidth="1"/>
    <col min="21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190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183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35.25" customHeight="1" x14ac:dyDescent="0.2">
      <c r="A5" s="56">
        <v>44162</v>
      </c>
      <c r="B5" s="17"/>
      <c r="C5" s="24" t="s">
        <v>36</v>
      </c>
      <c r="D5" s="18"/>
      <c r="E5" s="18"/>
      <c r="F5" s="57"/>
      <c r="G5" s="57" t="s">
        <v>179</v>
      </c>
      <c r="H5" s="59"/>
      <c r="I5" s="57"/>
      <c r="J5" s="59"/>
      <c r="K5" s="59">
        <v>2108</v>
      </c>
      <c r="L5" s="58"/>
      <c r="M5" s="26">
        <f t="shared" ref="M5:M22" si="0">SUM(H5:J5,K5/1.12)</f>
        <v>1882.1428571428569</v>
      </c>
      <c r="N5" s="26">
        <f t="shared" ref="N5:N22" si="1">K5/1.12*0.12</f>
        <v>225.8571428571428</v>
      </c>
      <c r="O5" s="26">
        <f t="shared" ref="O5:O22" si="2">-SUM(I5:J5,K5/1.12)*L5</f>
        <v>0</v>
      </c>
      <c r="P5" s="26"/>
      <c r="Q5" s="33">
        <v>1882.14</v>
      </c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22" si="3">-SUM(N5:AE5)</f>
        <v>-2107.997142857143</v>
      </c>
      <c r="AG5" s="27">
        <f t="shared" ref="AG5:AG22" si="4">SUM(H5:K5)+AF5+O5</f>
        <v>2.8571428570103308E-3</v>
      </c>
      <c r="AH5" s="87">
        <f>-AF5</f>
        <v>2107.997142857143</v>
      </c>
    </row>
    <row r="6" spans="1:34" s="10" customFormat="1" ht="35.25" hidden="1" customHeight="1" x14ac:dyDescent="0.2">
      <c r="A6" s="56">
        <v>44162</v>
      </c>
      <c r="B6" s="17"/>
      <c r="C6" s="24" t="s">
        <v>36</v>
      </c>
      <c r="D6" s="18"/>
      <c r="E6" s="18"/>
      <c r="F6" s="57"/>
      <c r="G6" s="57" t="s">
        <v>180</v>
      </c>
      <c r="H6" s="59"/>
      <c r="I6" s="57"/>
      <c r="J6" s="59"/>
      <c r="K6" s="59">
        <f>2743.55-110.95</f>
        <v>2632.6000000000004</v>
      </c>
      <c r="L6" s="58"/>
      <c r="M6" s="26">
        <f t="shared" ref="M6" si="5">SUM(H6:J6,K6/1.12)</f>
        <v>2350.5357142857142</v>
      </c>
      <c r="N6" s="26">
        <f t="shared" ref="N6" si="6">K6/1.12*0.12</f>
        <v>282.06428571428569</v>
      </c>
      <c r="O6" s="26">
        <f t="shared" ref="O6" si="7">-SUM(I6:J6,K6/1.12)*L6</f>
        <v>0</v>
      </c>
      <c r="P6" s="26">
        <v>2350.54</v>
      </c>
      <c r="Q6" s="33"/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ref="AF6" si="8">-SUM(N6:AE6)</f>
        <v>-2632.6042857142857</v>
      </c>
      <c r="AG6" s="27">
        <f t="shared" ref="AG6" si="9">SUM(H6:K6)+AF6+O6</f>
        <v>-4.2857142852881225E-3</v>
      </c>
      <c r="AH6" s="87">
        <f t="shared" ref="AH6:AH16" si="10">-AF6</f>
        <v>2632.6042857142857</v>
      </c>
    </row>
    <row r="7" spans="1:34" s="10" customFormat="1" ht="19.5" hidden="1" customHeight="1" x14ac:dyDescent="0.2">
      <c r="A7" s="56">
        <v>44162</v>
      </c>
      <c r="B7" s="17"/>
      <c r="C7" s="24" t="s">
        <v>36</v>
      </c>
      <c r="D7" s="18"/>
      <c r="E7" s="18"/>
      <c r="F7" s="57"/>
      <c r="G7" s="57" t="s">
        <v>181</v>
      </c>
      <c r="H7" s="59"/>
      <c r="I7" s="57"/>
      <c r="J7" s="59">
        <f>40.6+70.35</f>
        <v>110.94999999999999</v>
      </c>
      <c r="K7" s="59"/>
      <c r="L7" s="58"/>
      <c r="M7" s="26">
        <f t="shared" si="0"/>
        <v>110.94999999999999</v>
      </c>
      <c r="N7" s="26">
        <f t="shared" si="1"/>
        <v>0</v>
      </c>
      <c r="O7" s="26">
        <f t="shared" si="2"/>
        <v>0</v>
      </c>
      <c r="P7" s="26">
        <v>110.95</v>
      </c>
      <c r="Q7" s="33"/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-110.95</v>
      </c>
      <c r="AG7" s="27">
        <f t="shared" si="4"/>
        <v>-1.4210854715202004E-14</v>
      </c>
      <c r="AH7" s="87">
        <f t="shared" si="10"/>
        <v>110.95</v>
      </c>
    </row>
    <row r="8" spans="1:34" s="10" customFormat="1" ht="19.5" hidden="1" customHeight="1" x14ac:dyDescent="0.2">
      <c r="A8" s="56">
        <v>44162</v>
      </c>
      <c r="B8" s="17"/>
      <c r="C8" s="24" t="s">
        <v>36</v>
      </c>
      <c r="D8" s="18"/>
      <c r="E8" s="18"/>
      <c r="F8" s="57"/>
      <c r="G8" s="57" t="s">
        <v>182</v>
      </c>
      <c r="H8" s="59"/>
      <c r="I8" s="57"/>
      <c r="J8" s="59"/>
      <c r="K8" s="59">
        <v>24.9</v>
      </c>
      <c r="L8" s="58"/>
      <c r="M8" s="26">
        <f t="shared" si="0"/>
        <v>22.232142857142854</v>
      </c>
      <c r="N8" s="26">
        <f t="shared" si="1"/>
        <v>2.6678571428571423</v>
      </c>
      <c r="O8" s="26">
        <f t="shared" si="2"/>
        <v>0</v>
      </c>
      <c r="P8" s="26"/>
      <c r="Q8" s="33"/>
      <c r="R8" s="33"/>
      <c r="S8" s="34"/>
      <c r="T8" s="34"/>
      <c r="U8" s="34">
        <v>22.23</v>
      </c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-24.897857142857141</v>
      </c>
      <c r="AG8" s="27">
        <f t="shared" si="4"/>
        <v>2.1428571428572241E-3</v>
      </c>
      <c r="AH8" s="87">
        <f t="shared" si="10"/>
        <v>24.897857142857141</v>
      </c>
    </row>
    <row r="9" spans="1:34" s="10" customFormat="1" ht="19.5" hidden="1" customHeight="1" x14ac:dyDescent="0.2">
      <c r="A9" s="56">
        <v>44162</v>
      </c>
      <c r="B9" s="17"/>
      <c r="C9" s="24" t="s">
        <v>38</v>
      </c>
      <c r="D9" s="18"/>
      <c r="E9" s="18"/>
      <c r="F9" s="57"/>
      <c r="G9" s="57" t="s">
        <v>164</v>
      </c>
      <c r="H9" s="59">
        <v>120</v>
      </c>
      <c r="I9" s="57"/>
      <c r="J9" s="59"/>
      <c r="K9" s="59"/>
      <c r="L9" s="58"/>
      <c r="M9" s="26">
        <f t="shared" si="0"/>
        <v>120</v>
      </c>
      <c r="N9" s="26">
        <f t="shared" si="1"/>
        <v>0</v>
      </c>
      <c r="O9" s="26">
        <f t="shared" si="2"/>
        <v>0</v>
      </c>
      <c r="P9" s="26"/>
      <c r="Q9" s="33"/>
      <c r="R9" s="33"/>
      <c r="S9" s="34"/>
      <c r="T9" s="34"/>
      <c r="U9" s="34"/>
      <c r="V9" s="34"/>
      <c r="W9" s="34"/>
      <c r="X9" s="33"/>
      <c r="Y9" s="33"/>
      <c r="Z9" s="33"/>
      <c r="AA9" s="33">
        <v>120</v>
      </c>
      <c r="AB9" s="34"/>
      <c r="AC9" s="34"/>
      <c r="AD9" s="33"/>
      <c r="AE9" s="33"/>
      <c r="AF9" s="26">
        <f t="shared" si="3"/>
        <v>-120</v>
      </c>
      <c r="AG9" s="27">
        <f t="shared" si="4"/>
        <v>0</v>
      </c>
      <c r="AH9" s="87">
        <f t="shared" si="10"/>
        <v>120</v>
      </c>
    </row>
    <row r="10" spans="1:34" s="10" customFormat="1" ht="19.5" hidden="1" customHeight="1" x14ac:dyDescent="0.2">
      <c r="A10" s="56">
        <v>44163</v>
      </c>
      <c r="B10" s="17"/>
      <c r="C10" s="24" t="s">
        <v>185</v>
      </c>
      <c r="D10" s="18"/>
      <c r="E10" s="18"/>
      <c r="F10" s="57"/>
      <c r="G10" s="57" t="s">
        <v>186</v>
      </c>
      <c r="H10" s="59"/>
      <c r="I10" s="57"/>
      <c r="J10" s="59">
        <v>500</v>
      </c>
      <c r="K10" s="59"/>
      <c r="L10" s="58"/>
      <c r="M10" s="26">
        <f t="shared" si="0"/>
        <v>500</v>
      </c>
      <c r="N10" s="26">
        <f t="shared" si="1"/>
        <v>0</v>
      </c>
      <c r="O10" s="26">
        <f t="shared" si="2"/>
        <v>0</v>
      </c>
      <c r="P10" s="26">
        <v>500</v>
      </c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-500</v>
      </c>
      <c r="AG10" s="27">
        <f t="shared" si="4"/>
        <v>0</v>
      </c>
      <c r="AH10" s="87">
        <f t="shared" si="10"/>
        <v>500</v>
      </c>
    </row>
    <row r="11" spans="1:34" s="10" customFormat="1" ht="21.75" hidden="1" customHeight="1" x14ac:dyDescent="0.2">
      <c r="A11" s="56">
        <v>44163</v>
      </c>
      <c r="B11" s="17"/>
      <c r="C11" s="24" t="s">
        <v>118</v>
      </c>
      <c r="D11" s="18"/>
      <c r="E11" s="18"/>
      <c r="F11" s="57"/>
      <c r="G11" s="57" t="s">
        <v>184</v>
      </c>
      <c r="H11" s="59"/>
      <c r="I11" s="57"/>
      <c r="J11" s="59">
        <v>560</v>
      </c>
      <c r="K11" s="59"/>
      <c r="L11" s="58"/>
      <c r="M11" s="26">
        <f t="shared" si="0"/>
        <v>560</v>
      </c>
      <c r="N11" s="26">
        <f t="shared" si="1"/>
        <v>0</v>
      </c>
      <c r="O11" s="26">
        <f t="shared" si="2"/>
        <v>0</v>
      </c>
      <c r="P11" s="26">
        <v>560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-560</v>
      </c>
      <c r="AG11" s="27">
        <f t="shared" si="4"/>
        <v>0</v>
      </c>
      <c r="AH11" s="87">
        <f t="shared" si="10"/>
        <v>560</v>
      </c>
    </row>
    <row r="12" spans="1:34" s="10" customFormat="1" ht="18" hidden="1" customHeight="1" x14ac:dyDescent="0.2">
      <c r="A12" s="56">
        <v>44163</v>
      </c>
      <c r="B12" s="17"/>
      <c r="C12" s="24" t="s">
        <v>120</v>
      </c>
      <c r="D12" s="18"/>
      <c r="E12" s="18"/>
      <c r="F12" s="57"/>
      <c r="G12" s="57" t="s">
        <v>187</v>
      </c>
      <c r="H12" s="59"/>
      <c r="I12" s="18"/>
      <c r="J12" s="59"/>
      <c r="K12" s="59">
        <v>802</v>
      </c>
      <c r="L12" s="19"/>
      <c r="M12" s="26">
        <f t="shared" si="0"/>
        <v>716.07142857142856</v>
      </c>
      <c r="N12" s="26">
        <f t="shared" si="1"/>
        <v>85.928571428571416</v>
      </c>
      <c r="O12" s="26">
        <f t="shared" si="2"/>
        <v>0</v>
      </c>
      <c r="P12" s="26">
        <v>716.07</v>
      </c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/>
      <c r="AB12" s="34"/>
      <c r="AC12" s="34"/>
      <c r="AD12" s="33"/>
      <c r="AE12" s="33"/>
      <c r="AF12" s="26">
        <f t="shared" si="3"/>
        <v>-801.99857142857149</v>
      </c>
      <c r="AG12" s="27">
        <f t="shared" si="4"/>
        <v>1.4285714285051654E-3</v>
      </c>
      <c r="AH12" s="87">
        <f t="shared" si="10"/>
        <v>801.99857142857149</v>
      </c>
    </row>
    <row r="13" spans="1:34" s="10" customFormat="1" ht="21.75" hidden="1" customHeight="1" x14ac:dyDescent="0.2">
      <c r="A13" s="56">
        <v>44163</v>
      </c>
      <c r="B13" s="17"/>
      <c r="C13" s="24" t="s">
        <v>116</v>
      </c>
      <c r="D13" s="18"/>
      <c r="E13" s="18"/>
      <c r="F13" s="57"/>
      <c r="G13" s="57" t="s">
        <v>188</v>
      </c>
      <c r="H13" s="59"/>
      <c r="I13" s="57"/>
      <c r="J13" s="59">
        <v>380</v>
      </c>
      <c r="K13" s="59"/>
      <c r="L13" s="19"/>
      <c r="M13" s="26">
        <f t="shared" si="0"/>
        <v>380</v>
      </c>
      <c r="N13" s="26">
        <f t="shared" si="1"/>
        <v>0</v>
      </c>
      <c r="O13" s="26">
        <f t="shared" si="2"/>
        <v>0</v>
      </c>
      <c r="P13" s="26">
        <v>380</v>
      </c>
      <c r="Q13" s="33"/>
      <c r="R13" s="33"/>
      <c r="S13" s="63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-380</v>
      </c>
      <c r="AG13" s="27">
        <f t="shared" si="4"/>
        <v>0</v>
      </c>
      <c r="AH13" s="87">
        <f t="shared" si="10"/>
        <v>380</v>
      </c>
    </row>
    <row r="14" spans="1:34" s="10" customFormat="1" ht="21.75" hidden="1" customHeight="1" x14ac:dyDescent="0.2">
      <c r="A14" s="56">
        <v>44163</v>
      </c>
      <c r="B14" s="17"/>
      <c r="C14" s="24" t="s">
        <v>37</v>
      </c>
      <c r="D14" s="18"/>
      <c r="E14" s="18"/>
      <c r="F14" s="57"/>
      <c r="G14" s="57" t="s">
        <v>189</v>
      </c>
      <c r="H14" s="59">
        <v>100</v>
      </c>
      <c r="I14" s="57"/>
      <c r="J14" s="57"/>
      <c r="K14" s="59"/>
      <c r="L14" s="19"/>
      <c r="M14" s="26">
        <f t="shared" si="0"/>
        <v>100</v>
      </c>
      <c r="N14" s="26">
        <f t="shared" si="1"/>
        <v>0</v>
      </c>
      <c r="O14" s="26">
        <f t="shared" si="2"/>
        <v>0</v>
      </c>
      <c r="P14" s="26"/>
      <c r="Q14" s="33"/>
      <c r="R14" s="33"/>
      <c r="S14" s="63"/>
      <c r="T14" s="34"/>
      <c r="U14" s="34"/>
      <c r="V14" s="34"/>
      <c r="W14" s="34"/>
      <c r="X14" s="33"/>
      <c r="Y14" s="33"/>
      <c r="Z14" s="33"/>
      <c r="AA14" s="33">
        <v>100</v>
      </c>
      <c r="AB14" s="34"/>
      <c r="AC14" s="34"/>
      <c r="AD14" s="33"/>
      <c r="AE14" s="33"/>
      <c r="AF14" s="26">
        <f t="shared" si="3"/>
        <v>-100</v>
      </c>
      <c r="AG14" s="27">
        <f t="shared" si="4"/>
        <v>0</v>
      </c>
      <c r="AH14" s="87">
        <f t="shared" si="10"/>
        <v>100</v>
      </c>
    </row>
    <row r="15" spans="1:34" s="10" customFormat="1" ht="21.75" hidden="1" customHeight="1" x14ac:dyDescent="0.2">
      <c r="A15" s="56">
        <v>44163</v>
      </c>
      <c r="B15" s="17"/>
      <c r="C15" s="24" t="s">
        <v>38</v>
      </c>
      <c r="D15" s="18"/>
      <c r="E15" s="18"/>
      <c r="F15" s="57"/>
      <c r="G15" s="57" t="s">
        <v>191</v>
      </c>
      <c r="H15" s="59">
        <v>70</v>
      </c>
      <c r="I15" s="57"/>
      <c r="J15" s="59"/>
      <c r="K15" s="59"/>
      <c r="L15" s="19"/>
      <c r="M15" s="26">
        <f t="shared" si="0"/>
        <v>70</v>
      </c>
      <c r="N15" s="26">
        <f t="shared" si="1"/>
        <v>0</v>
      </c>
      <c r="O15" s="26">
        <f t="shared" si="2"/>
        <v>0</v>
      </c>
      <c r="P15" s="26"/>
      <c r="Q15" s="33"/>
      <c r="R15" s="33"/>
      <c r="S15" s="63"/>
      <c r="T15" s="34"/>
      <c r="U15" s="34"/>
      <c r="V15" s="34"/>
      <c r="W15" s="34"/>
      <c r="X15" s="33"/>
      <c r="Y15" s="33"/>
      <c r="Z15" s="33"/>
      <c r="AA15" s="33">
        <v>70</v>
      </c>
      <c r="AB15" s="34"/>
      <c r="AC15" s="34"/>
      <c r="AD15" s="33"/>
      <c r="AE15" s="33"/>
      <c r="AF15" s="26">
        <f t="shared" si="3"/>
        <v>-70</v>
      </c>
      <c r="AG15" s="27">
        <f t="shared" si="4"/>
        <v>0</v>
      </c>
      <c r="AH15" s="87">
        <f t="shared" si="10"/>
        <v>70</v>
      </c>
    </row>
    <row r="16" spans="1:34" s="10" customFormat="1" ht="34.5" customHeight="1" x14ac:dyDescent="0.2">
      <c r="A16" s="56">
        <v>44165</v>
      </c>
      <c r="B16" s="17"/>
      <c r="C16" s="24" t="s">
        <v>36</v>
      </c>
      <c r="D16" s="18"/>
      <c r="E16" s="18"/>
      <c r="F16" s="57"/>
      <c r="G16" s="57" t="s">
        <v>192</v>
      </c>
      <c r="H16" s="59"/>
      <c r="I16" s="57"/>
      <c r="J16" s="57"/>
      <c r="K16" s="59">
        <v>3440.05</v>
      </c>
      <c r="L16" s="19"/>
      <c r="M16" s="26">
        <f t="shared" si="0"/>
        <v>3071.4732142857142</v>
      </c>
      <c r="N16" s="26">
        <f t="shared" si="1"/>
        <v>368.57678571428568</v>
      </c>
      <c r="O16" s="26">
        <f t="shared" si="2"/>
        <v>0</v>
      </c>
      <c r="P16" s="26">
        <v>3071.47</v>
      </c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-3440.0467857142853</v>
      </c>
      <c r="AG16" s="27">
        <f t="shared" si="4"/>
        <v>3.2142857148755866E-3</v>
      </c>
      <c r="AH16" s="87">
        <f t="shared" si="10"/>
        <v>3440.0467857142853</v>
      </c>
    </row>
    <row r="17" spans="1:33" s="10" customFormat="1" ht="21.75" customHeight="1" x14ac:dyDescent="0.2">
      <c r="A17" s="56"/>
      <c r="B17" s="17"/>
      <c r="C17" s="24"/>
      <c r="D17" s="18"/>
      <c r="E17" s="18"/>
      <c r="F17" s="57"/>
      <c r="G17" s="57"/>
      <c r="H17" s="59"/>
      <c r="I17" s="57"/>
      <c r="J17" s="57"/>
      <c r="K17" s="59"/>
      <c r="L17" s="19"/>
      <c r="M17" s="26">
        <f t="shared" ref="M17:M19" si="11">SUM(H17:J17,K17/1.12)</f>
        <v>0</v>
      </c>
      <c r="N17" s="26">
        <f t="shared" ref="N17:N19" si="12">K17/1.12*0.12</f>
        <v>0</v>
      </c>
      <c r="O17" s="26">
        <f t="shared" ref="O17:O19" si="13">-SUM(I17:J17,K17/1.12)*L17</f>
        <v>0</v>
      </c>
      <c r="P17" s="26"/>
      <c r="Q17" s="33"/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ref="AF17:AF19" si="14">-SUM(N17:AE17)</f>
        <v>0</v>
      </c>
      <c r="AG17" s="27">
        <f t="shared" ref="AG17:AG19" si="15">SUM(H17:K17)+AF17+O17</f>
        <v>0</v>
      </c>
    </row>
    <row r="18" spans="1:33" s="10" customFormat="1" ht="21.75" customHeight="1" x14ac:dyDescent="0.2">
      <c r="A18" s="56"/>
      <c r="B18" s="17"/>
      <c r="C18" s="24"/>
      <c r="D18" s="18"/>
      <c r="E18" s="18"/>
      <c r="F18" s="57"/>
      <c r="G18" s="57"/>
      <c r="H18" s="59"/>
      <c r="I18" s="57"/>
      <c r="J18" s="57"/>
      <c r="K18" s="59"/>
      <c r="L18" s="19"/>
      <c r="M18" s="26">
        <f t="shared" si="11"/>
        <v>0</v>
      </c>
      <c r="N18" s="26">
        <f t="shared" si="12"/>
        <v>0</v>
      </c>
      <c r="O18" s="26">
        <f t="shared" si="13"/>
        <v>0</v>
      </c>
      <c r="P18" s="26"/>
      <c r="Q18" s="33"/>
      <c r="R18" s="33"/>
      <c r="S18" s="6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14"/>
        <v>0</v>
      </c>
      <c r="AG18" s="27">
        <f t="shared" si="15"/>
        <v>0</v>
      </c>
    </row>
    <row r="19" spans="1:33" s="10" customFormat="1" ht="21.75" customHeight="1" x14ac:dyDescent="0.2">
      <c r="A19" s="56"/>
      <c r="B19" s="17"/>
      <c r="C19" s="24"/>
      <c r="D19" s="18"/>
      <c r="E19" s="18"/>
      <c r="F19" s="57"/>
      <c r="G19" s="57"/>
      <c r="H19" s="59"/>
      <c r="I19" s="57"/>
      <c r="J19" s="57"/>
      <c r="K19" s="59"/>
      <c r="L19" s="19"/>
      <c r="M19" s="26">
        <f t="shared" si="11"/>
        <v>0</v>
      </c>
      <c r="N19" s="26">
        <f t="shared" si="12"/>
        <v>0</v>
      </c>
      <c r="O19" s="26">
        <f t="shared" si="13"/>
        <v>0</v>
      </c>
      <c r="P19" s="26"/>
      <c r="Q19" s="33"/>
      <c r="R19" s="33"/>
      <c r="S19" s="6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14"/>
        <v>0</v>
      </c>
      <c r="AG19" s="27">
        <f t="shared" si="15"/>
        <v>0</v>
      </c>
    </row>
    <row r="20" spans="1:33" s="10" customFormat="1" ht="21.75" customHeight="1" x14ac:dyDescent="0.2">
      <c r="A20" s="56"/>
      <c r="B20" s="17"/>
      <c r="C20" s="24"/>
      <c r="D20" s="18"/>
      <c r="E20" s="18"/>
      <c r="F20" s="57"/>
      <c r="G20" s="57"/>
      <c r="H20" s="59"/>
      <c r="I20" s="57"/>
      <c r="J20" s="57"/>
      <c r="K20" s="59"/>
      <c r="L20" s="19"/>
      <c r="M20" s="26">
        <f t="shared" si="0"/>
        <v>0</v>
      </c>
      <c r="N20" s="26">
        <f t="shared" si="1"/>
        <v>0</v>
      </c>
      <c r="O20" s="26">
        <f t="shared" si="2"/>
        <v>0</v>
      </c>
      <c r="P20" s="26"/>
      <c r="Q20" s="33"/>
      <c r="R20" s="33"/>
      <c r="S20" s="6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3"/>
        <v>0</v>
      </c>
      <c r="AG20" s="27">
        <f t="shared" si="4"/>
        <v>0</v>
      </c>
    </row>
    <row r="21" spans="1:33" s="10" customFormat="1" ht="21.75" customHeight="1" x14ac:dyDescent="0.2">
      <c r="A21" s="56"/>
      <c r="B21" s="17"/>
      <c r="C21" s="57"/>
      <c r="D21" s="18"/>
      <c r="E21" s="18"/>
      <c r="F21" s="57"/>
      <c r="G21" s="82"/>
      <c r="H21" s="59"/>
      <c r="I21" s="57"/>
      <c r="J21" s="59"/>
      <c r="K21" s="59"/>
      <c r="L21" s="19"/>
      <c r="M21" s="26">
        <f t="shared" si="0"/>
        <v>0</v>
      </c>
      <c r="N21" s="26">
        <f t="shared" si="1"/>
        <v>0</v>
      </c>
      <c r="O21" s="26">
        <f t="shared" si="2"/>
        <v>0</v>
      </c>
      <c r="P21" s="26"/>
      <c r="Q21" s="33"/>
      <c r="R21" s="33"/>
      <c r="S21" s="6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3"/>
        <v>0</v>
      </c>
      <c r="AG21" s="27">
        <f t="shared" si="4"/>
        <v>0</v>
      </c>
    </row>
    <row r="22" spans="1:33" s="11" customFormat="1" ht="12" thickBot="1" x14ac:dyDescent="0.25">
      <c r="A22" s="29"/>
      <c r="B22" s="30"/>
      <c r="C22" s="35"/>
      <c r="D22" s="35"/>
      <c r="E22" s="35"/>
      <c r="F22" s="25"/>
      <c r="G22" s="28"/>
      <c r="H22" s="31"/>
      <c r="I22" s="31"/>
      <c r="J22" s="31"/>
      <c r="K22" s="31"/>
      <c r="L22" s="32"/>
      <c r="M22" s="33">
        <f t="shared" si="0"/>
        <v>0</v>
      </c>
      <c r="N22" s="33">
        <f t="shared" si="1"/>
        <v>0</v>
      </c>
      <c r="O22" s="33">
        <f t="shared" si="2"/>
        <v>0</v>
      </c>
      <c r="P22" s="33"/>
      <c r="Q22" s="33"/>
      <c r="R22" s="33"/>
      <c r="S22" s="33"/>
      <c r="T22" s="34"/>
      <c r="U22" s="43"/>
      <c r="V22" s="34"/>
      <c r="W22" s="34"/>
      <c r="X22" s="34"/>
      <c r="Y22" s="36"/>
      <c r="Z22" s="33"/>
      <c r="AA22" s="43"/>
      <c r="AB22" s="33"/>
      <c r="AC22" s="34"/>
      <c r="AD22" s="34"/>
      <c r="AE22" s="37"/>
      <c r="AF22" s="26">
        <f t="shared" si="3"/>
        <v>0</v>
      </c>
      <c r="AG22" s="27">
        <f t="shared" si="4"/>
        <v>0</v>
      </c>
    </row>
    <row r="23" spans="1:33" s="9" customFormat="1" ht="12.75" thickTop="1" thickBot="1" x14ac:dyDescent="0.25">
      <c r="A23" s="38"/>
      <c r="B23" s="39"/>
      <c r="C23" s="40"/>
      <c r="D23" s="41"/>
      <c r="E23" s="41"/>
      <c r="F23" s="42"/>
      <c r="G23" s="40"/>
      <c r="H23" s="43">
        <f>SUM(H5:H21)</f>
        <v>290</v>
      </c>
      <c r="I23" s="43">
        <f>SUM(I22:I22)</f>
        <v>0</v>
      </c>
      <c r="J23" s="43">
        <f>SUM(J5:J21)</f>
        <v>1550.95</v>
      </c>
      <c r="K23" s="43">
        <f>SUM(K5:K21)</f>
        <v>9007.5499999999993</v>
      </c>
      <c r="L23" s="43">
        <f>SUM(L22:L22)</f>
        <v>0</v>
      </c>
      <c r="M23" s="43">
        <f>SUM(M5:M21)</f>
        <v>9883.4053571428558</v>
      </c>
      <c r="N23" s="43">
        <f>SUM(N5:N21)</f>
        <v>965.09464285714262</v>
      </c>
      <c r="O23" s="43">
        <f>SUM(O22:O22)</f>
        <v>0</v>
      </c>
      <c r="P23" s="43">
        <f>SUM(P5:P21)</f>
        <v>7689.0299999999988</v>
      </c>
      <c r="Q23" s="43">
        <f>SUM(Q5:Q21)</f>
        <v>1882.14</v>
      </c>
      <c r="R23" s="43">
        <f>SUM(R5:R21)</f>
        <v>0</v>
      </c>
      <c r="S23" s="43">
        <f>SUM(S11:S22)</f>
        <v>0</v>
      </c>
      <c r="T23" s="43">
        <f>SUM(T11:T22)</f>
        <v>0</v>
      </c>
      <c r="U23" s="43">
        <f>SUM(U11:U22)</f>
        <v>0</v>
      </c>
      <c r="V23" s="43">
        <f>SUM(V11:V22)</f>
        <v>0</v>
      </c>
      <c r="W23" s="43">
        <f>SUM(W22:W22)</f>
        <v>0</v>
      </c>
      <c r="X23" s="43">
        <f>SUM(X22:X22)</f>
        <v>0</v>
      </c>
      <c r="Y23" s="43">
        <f>SUM(Y22:Y22)</f>
        <v>0</v>
      </c>
      <c r="Z23" s="43">
        <f>SUM(Z22:Z22)</f>
        <v>0</v>
      </c>
      <c r="AA23" s="43">
        <f>SUM(AA5:AA21)</f>
        <v>290</v>
      </c>
      <c r="AB23" s="43">
        <f>SUM(AB22:AB22)</f>
        <v>0</v>
      </c>
      <c r="AC23" s="43">
        <f>SUM(AC5:AC21)</f>
        <v>0</v>
      </c>
      <c r="AD23" s="43">
        <f>SUM(AD5:AD21)</f>
        <v>0</v>
      </c>
      <c r="AE23" s="43">
        <f>SUM(AE22:AE22)</f>
        <v>0</v>
      </c>
      <c r="AF23" s="43">
        <f>SUM(AF5:AF21)</f>
        <v>-10848.494642857142</v>
      </c>
      <c r="AG23" s="43">
        <f>SUM(AG22:AG22)</f>
        <v>0</v>
      </c>
    </row>
    <row r="24" spans="1:33" s="86" customFormat="1" ht="12" thickTop="1" x14ac:dyDescent="0.2"/>
    <row r="25" spans="1:33" ht="12" x14ac:dyDescent="0.2">
      <c r="K25" s="44">
        <f ca="1">H23+J23+K23+1:1048576+AA23</f>
        <v>0</v>
      </c>
      <c r="L25" s="8"/>
      <c r="M25" s="7"/>
      <c r="AF25" s="45">
        <f>+AF23</f>
        <v>-10848.494642857142</v>
      </c>
    </row>
    <row r="26" spans="1:33" ht="12" x14ac:dyDescent="0.2">
      <c r="K26" s="44"/>
      <c r="L26" s="8"/>
      <c r="M26" s="7"/>
      <c r="AF26" s="45"/>
    </row>
    <row r="27" spans="1:33" ht="12" x14ac:dyDescent="0.2">
      <c r="K27" s="44"/>
      <c r="L27" s="8"/>
      <c r="M27" s="7"/>
      <c r="AF27" s="45"/>
    </row>
    <row r="28" spans="1:33" x14ac:dyDescent="0.2">
      <c r="K28" s="7"/>
      <c r="L28" s="8"/>
      <c r="M28" s="7"/>
    </row>
    <row r="29" spans="1:33" ht="12.75" x14ac:dyDescent="0.2">
      <c r="C29" s="46" t="s">
        <v>46</v>
      </c>
      <c r="G29" s="9"/>
      <c r="J29" s="48" t="s">
        <v>39</v>
      </c>
      <c r="K29" s="50">
        <f>K6+J7+J10+J11+K12+J13+K16</f>
        <v>8425.6</v>
      </c>
      <c r="L29" s="47"/>
      <c r="M29" s="47"/>
      <c r="N29" s="45"/>
      <c r="O29" s="45"/>
      <c r="P29" s="45"/>
      <c r="Q29" s="45"/>
    </row>
    <row r="30" spans="1:33" ht="12.75" x14ac:dyDescent="0.2">
      <c r="C30" s="46"/>
      <c r="G30" s="9"/>
      <c r="J30" s="48" t="s">
        <v>44</v>
      </c>
      <c r="K30" s="50">
        <f>K5+K8</f>
        <v>2132.9</v>
      </c>
      <c r="L30" s="47"/>
      <c r="M30" s="47"/>
      <c r="N30" s="45"/>
      <c r="O30" s="45"/>
      <c r="P30" s="45"/>
      <c r="Q30" s="45"/>
    </row>
    <row r="31" spans="1:33" ht="12.75" x14ac:dyDescent="0.2">
      <c r="J31" s="48" t="s">
        <v>40</v>
      </c>
      <c r="K31" s="49">
        <f>K14</f>
        <v>0</v>
      </c>
      <c r="L31" s="8"/>
      <c r="M31" s="7"/>
    </row>
    <row r="32" spans="1:33" ht="12.75" x14ac:dyDescent="0.2">
      <c r="J32" s="48" t="s">
        <v>41</v>
      </c>
      <c r="K32" s="49">
        <f>H23</f>
        <v>290</v>
      </c>
      <c r="L32" s="8"/>
      <c r="M32" s="7"/>
    </row>
    <row r="33" spans="1:32" ht="12.75" x14ac:dyDescent="0.2">
      <c r="A33" s="1"/>
      <c r="B33" s="1"/>
      <c r="D33" s="1"/>
      <c r="E33" s="1"/>
      <c r="F33" s="1"/>
      <c r="H33" s="1"/>
      <c r="I33" s="1"/>
      <c r="J33" s="51" t="s">
        <v>42</v>
      </c>
      <c r="K33" s="52">
        <f>SUM(K29:K32)</f>
        <v>10848.5</v>
      </c>
      <c r="L33" s="8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</row>
    <row r="34" spans="1:32" ht="12" x14ac:dyDescent="0.2">
      <c r="J34" s="45" t="s">
        <v>49</v>
      </c>
      <c r="K34" s="45">
        <v>10000</v>
      </c>
    </row>
    <row r="35" spans="1:32" ht="12" x14ac:dyDescent="0.2">
      <c r="H35" s="53"/>
      <c r="I35" s="53"/>
      <c r="J35" s="53"/>
      <c r="K35" s="53">
        <f>K34-K33</f>
        <v>-848.5</v>
      </c>
      <c r="L35" s="60"/>
      <c r="M35" s="61" t="s">
        <v>193</v>
      </c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  <c r="Q40" s="2">
        <v>0</v>
      </c>
    </row>
    <row r="41" spans="1:32" ht="12" x14ac:dyDescent="0.2">
      <c r="A41" s="1"/>
      <c r="B41" s="1"/>
      <c r="D41" s="1"/>
      <c r="E41" s="1"/>
      <c r="F41" s="1"/>
      <c r="H41" s="54"/>
      <c r="I41" s="54"/>
      <c r="J41" s="54"/>
      <c r="K41" s="54"/>
      <c r="L41" s="1"/>
      <c r="M41" s="1"/>
      <c r="N41" s="1"/>
      <c r="O41" s="1"/>
      <c r="P41" s="1"/>
      <c r="Q41" s="1"/>
      <c r="R41" s="1"/>
      <c r="S41" s="1"/>
      <c r="Z41" s="1"/>
      <c r="AA41" s="1"/>
      <c r="AB41" s="1"/>
      <c r="AC41" s="1"/>
      <c r="AD41" s="1"/>
      <c r="AE41" s="1"/>
      <c r="AF41" s="1"/>
    </row>
    <row r="42" spans="1:32" ht="12" x14ac:dyDescent="0.2">
      <c r="H42" s="53"/>
      <c r="I42" s="53"/>
      <c r="J42" s="53"/>
      <c r="K42" s="53"/>
    </row>
    <row r="43" spans="1:32" ht="12" x14ac:dyDescent="0.2">
      <c r="H43" s="53"/>
      <c r="I43" s="53"/>
      <c r="J43" s="53"/>
      <c r="K43" s="53"/>
    </row>
    <row r="44" spans="1:32" ht="12" x14ac:dyDescent="0.2">
      <c r="H44" s="53"/>
      <c r="I44" s="53"/>
      <c r="J44" s="53"/>
      <c r="K44" s="53"/>
    </row>
    <row r="45" spans="1:32" ht="12" x14ac:dyDescent="0.2">
      <c r="H45" s="53"/>
      <c r="I45" s="53"/>
      <c r="J45" s="53"/>
      <c r="K45" s="53"/>
    </row>
    <row r="46" spans="1:32" x14ac:dyDescent="0.2">
      <c r="H46" s="55"/>
      <c r="I46" s="55"/>
      <c r="J46" s="55"/>
      <c r="K46" s="55"/>
    </row>
    <row r="47" spans="1:32" x14ac:dyDescent="0.2">
      <c r="H47" s="55"/>
      <c r="I47" s="55"/>
      <c r="J47" s="55"/>
      <c r="K47" s="55"/>
    </row>
    <row r="48" spans="1:32" x14ac:dyDescent="0.2">
      <c r="A48" s="1"/>
      <c r="B48" s="1"/>
      <c r="D48" s="1"/>
      <c r="E48" s="1"/>
      <c r="F48" s="1"/>
      <c r="H48" s="55"/>
      <c r="I48" s="55"/>
      <c r="J48" s="55"/>
      <c r="K48" s="5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D49" s="1"/>
      <c r="E49" s="1"/>
      <c r="F49" s="1"/>
      <c r="H49" s="55"/>
      <c r="I49" s="55"/>
      <c r="J49" s="55"/>
      <c r="K49" s="5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D50" s="1"/>
      <c r="E50" s="1"/>
      <c r="F50" s="1"/>
      <c r="H50" s="55"/>
      <c r="I50" s="55"/>
      <c r="J50" s="55"/>
      <c r="K50" s="5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</sheetData>
  <mergeCells count="1">
    <mergeCell ref="A24:XFD24"/>
  </mergeCells>
  <pageMargins left="0.7" right="0.7" top="0.25" bottom="0.5" header="0.3" footer="0.3"/>
  <pageSetup paperSize="5" scale="85" orientation="landscape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40"/>
  <sheetViews>
    <sheetView workbookViewId="0">
      <selection activeCell="AH9" sqref="AH5:AH9"/>
    </sheetView>
  </sheetViews>
  <sheetFormatPr defaultRowHeight="11.25" x14ac:dyDescent="0.2"/>
  <cols>
    <col min="1" max="1" width="8.140625" style="84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11.1406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hidden="1" customWidth="1"/>
    <col min="19" max="19" width="9.5703125" style="2" hidden="1" customWidth="1"/>
    <col min="20" max="21" width="9.140625" style="2" hidden="1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211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183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16.5" customHeight="1" x14ac:dyDescent="0.2">
      <c r="A5" s="56">
        <v>44161</v>
      </c>
      <c r="B5" s="17"/>
      <c r="C5" s="24" t="s">
        <v>104</v>
      </c>
      <c r="D5" s="18"/>
      <c r="E5" s="18"/>
      <c r="F5" s="57">
        <v>32315</v>
      </c>
      <c r="G5" s="57" t="s">
        <v>212</v>
      </c>
      <c r="H5" s="59"/>
      <c r="I5" s="57"/>
      <c r="J5" s="59"/>
      <c r="K5" s="59">
        <v>50</v>
      </c>
      <c r="L5" s="58"/>
      <c r="M5" s="26">
        <f t="shared" ref="M5:M12" si="0">SUM(H5:J5,K5/1.12)</f>
        <v>44.642857142857139</v>
      </c>
      <c r="N5" s="26">
        <f t="shared" ref="N5:N12" si="1">K5/1.12*0.12</f>
        <v>5.3571428571428568</v>
      </c>
      <c r="O5" s="26">
        <f t="shared" ref="O5:O12" si="2">-SUM(I5:J5,K5/1.12)*L5</f>
        <v>0</v>
      </c>
      <c r="P5" s="26"/>
      <c r="Q5" s="33"/>
      <c r="R5" s="33"/>
      <c r="S5" s="34"/>
      <c r="T5" s="34"/>
      <c r="U5" s="34">
        <v>44.64</v>
      </c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12" si="3">-SUM(N5:AE5)</f>
        <v>-49.997142857142855</v>
      </c>
      <c r="AG5" s="27">
        <f t="shared" ref="AG5:AG12" si="4">SUM(H5:K5)+AF5+O5</f>
        <v>2.8571428571453339E-3</v>
      </c>
      <c r="AH5" s="87">
        <f>-AF5</f>
        <v>49.997142857142855</v>
      </c>
    </row>
    <row r="6" spans="1:34" s="10" customFormat="1" ht="21" hidden="1" customHeight="1" x14ac:dyDescent="0.2">
      <c r="A6" s="56">
        <v>44161</v>
      </c>
      <c r="B6" s="17"/>
      <c r="C6" s="24" t="s">
        <v>213</v>
      </c>
      <c r="D6" s="18"/>
      <c r="E6" s="18"/>
      <c r="F6" s="57">
        <v>120559</v>
      </c>
      <c r="G6" s="57" t="s">
        <v>214</v>
      </c>
      <c r="H6" s="59"/>
      <c r="I6" s="57"/>
      <c r="J6" s="59"/>
      <c r="K6" s="59">
        <v>2080</v>
      </c>
      <c r="L6" s="58"/>
      <c r="M6" s="26">
        <f t="shared" si="0"/>
        <v>1857.1428571428569</v>
      </c>
      <c r="N6" s="26">
        <f t="shared" si="1"/>
        <v>222.8571428571428</v>
      </c>
      <c r="O6" s="26">
        <f t="shared" si="2"/>
        <v>0</v>
      </c>
      <c r="P6" s="26"/>
      <c r="Q6" s="33">
        <v>1857.14</v>
      </c>
      <c r="R6" s="33"/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-2079.997142857143</v>
      </c>
      <c r="AG6" s="27">
        <f t="shared" si="4"/>
        <v>2.8571428570103308E-3</v>
      </c>
      <c r="AH6" s="87">
        <f t="shared" ref="AH6:AH9" si="5">-AF6</f>
        <v>2079.997142857143</v>
      </c>
    </row>
    <row r="7" spans="1:34" s="10" customFormat="1" ht="19.5" hidden="1" customHeight="1" x14ac:dyDescent="0.2">
      <c r="A7" s="56">
        <v>44161</v>
      </c>
      <c r="B7" s="17"/>
      <c r="C7" s="24" t="s">
        <v>38</v>
      </c>
      <c r="D7" s="18"/>
      <c r="E7" s="18"/>
      <c r="F7" s="57"/>
      <c r="G7" s="57" t="s">
        <v>215</v>
      </c>
      <c r="H7" s="59">
        <v>60</v>
      </c>
      <c r="I7" s="57"/>
      <c r="J7" s="59"/>
      <c r="K7" s="59"/>
      <c r="L7" s="58"/>
      <c r="M7" s="26">
        <f t="shared" si="0"/>
        <v>60</v>
      </c>
      <c r="N7" s="26">
        <f t="shared" si="1"/>
        <v>0</v>
      </c>
      <c r="O7" s="26">
        <f t="shared" si="2"/>
        <v>0</v>
      </c>
      <c r="P7" s="26"/>
      <c r="Q7" s="33"/>
      <c r="R7" s="33"/>
      <c r="S7" s="34"/>
      <c r="T7" s="34"/>
      <c r="U7" s="34"/>
      <c r="V7" s="34"/>
      <c r="W7" s="34"/>
      <c r="X7" s="33"/>
      <c r="Y7" s="33"/>
      <c r="Z7" s="33"/>
      <c r="AA7" s="33">
        <v>60</v>
      </c>
      <c r="AB7" s="34"/>
      <c r="AC7" s="34"/>
      <c r="AD7" s="33"/>
      <c r="AE7" s="33"/>
      <c r="AF7" s="26">
        <f t="shared" si="3"/>
        <v>-60</v>
      </c>
      <c r="AG7" s="27">
        <f t="shared" si="4"/>
        <v>0</v>
      </c>
      <c r="AH7" s="87">
        <f t="shared" si="5"/>
        <v>60</v>
      </c>
    </row>
    <row r="8" spans="1:34" s="10" customFormat="1" ht="19.5" hidden="1" customHeight="1" x14ac:dyDescent="0.2">
      <c r="A8" s="56">
        <v>44161</v>
      </c>
      <c r="B8" s="17"/>
      <c r="C8" s="24" t="s">
        <v>36</v>
      </c>
      <c r="D8" s="18"/>
      <c r="E8" s="18"/>
      <c r="F8" s="57">
        <v>239459</v>
      </c>
      <c r="G8" s="57" t="s">
        <v>216</v>
      </c>
      <c r="H8" s="59"/>
      <c r="I8" s="57"/>
      <c r="J8" s="59"/>
      <c r="K8" s="59">
        <v>492</v>
      </c>
      <c r="L8" s="58"/>
      <c r="M8" s="26">
        <f t="shared" si="0"/>
        <v>439.28571428571422</v>
      </c>
      <c r="N8" s="26">
        <f t="shared" si="1"/>
        <v>52.714285714285701</v>
      </c>
      <c r="O8" s="26">
        <f t="shared" si="2"/>
        <v>0</v>
      </c>
      <c r="P8" s="26"/>
      <c r="Q8" s="33">
        <v>439.29</v>
      </c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-492.00428571428574</v>
      </c>
      <c r="AG8" s="27">
        <f t="shared" si="4"/>
        <v>-4.2857142857428698E-3</v>
      </c>
      <c r="AH8" s="87">
        <f t="shared" si="5"/>
        <v>492.00428571428574</v>
      </c>
    </row>
    <row r="9" spans="1:34" s="10" customFormat="1" ht="19.5" customHeight="1" x14ac:dyDescent="0.2">
      <c r="A9" s="56">
        <v>44161</v>
      </c>
      <c r="B9" s="17"/>
      <c r="C9" s="24" t="s">
        <v>36</v>
      </c>
      <c r="D9" s="18"/>
      <c r="E9" s="18"/>
      <c r="F9" s="57">
        <v>239459</v>
      </c>
      <c r="G9" s="57" t="s">
        <v>217</v>
      </c>
      <c r="H9" s="59"/>
      <c r="I9" s="57"/>
      <c r="J9" s="59"/>
      <c r="K9" s="59">
        <v>592.9</v>
      </c>
      <c r="L9" s="58"/>
      <c r="M9" s="26">
        <f t="shared" si="0"/>
        <v>529.37499999999989</v>
      </c>
      <c r="N9" s="26">
        <f t="shared" si="1"/>
        <v>63.524999999999984</v>
      </c>
      <c r="O9" s="26">
        <f t="shared" si="2"/>
        <v>0</v>
      </c>
      <c r="P9" s="26">
        <v>529.38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-592.90499999999997</v>
      </c>
      <c r="AG9" s="27">
        <f t="shared" si="4"/>
        <v>-4.9999999999954525E-3</v>
      </c>
      <c r="AH9" s="87">
        <f t="shared" si="5"/>
        <v>592.90499999999997</v>
      </c>
    </row>
    <row r="10" spans="1:34" s="10" customFormat="1" ht="20.25" customHeight="1" x14ac:dyDescent="0.2">
      <c r="A10" s="56"/>
      <c r="B10" s="17"/>
      <c r="C10" s="24"/>
      <c r="D10" s="18"/>
      <c r="E10" s="18"/>
      <c r="F10" s="57"/>
      <c r="G10" s="57"/>
      <c r="H10" s="59"/>
      <c r="I10" s="57"/>
      <c r="J10" s="59"/>
      <c r="K10" s="59"/>
      <c r="L10" s="58"/>
      <c r="M10" s="26">
        <f t="shared" si="0"/>
        <v>0</v>
      </c>
      <c r="N10" s="26">
        <f t="shared" si="1"/>
        <v>0</v>
      </c>
      <c r="O10" s="26">
        <f t="shared" si="2"/>
        <v>0</v>
      </c>
      <c r="P10" s="26"/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/>
      <c r="AB10" s="34"/>
      <c r="AC10" s="34"/>
      <c r="AD10" s="33"/>
      <c r="AE10" s="33"/>
      <c r="AF10" s="26">
        <f t="shared" si="3"/>
        <v>0</v>
      </c>
      <c r="AG10" s="27">
        <f t="shared" si="4"/>
        <v>0</v>
      </c>
    </row>
    <row r="11" spans="1:34" s="10" customFormat="1" ht="21.75" customHeight="1" x14ac:dyDescent="0.2">
      <c r="A11" s="56"/>
      <c r="B11" s="17"/>
      <c r="C11" s="57"/>
      <c r="D11" s="18"/>
      <c r="E11" s="18"/>
      <c r="F11" s="57"/>
      <c r="G11" s="82"/>
      <c r="H11" s="59"/>
      <c r="I11" s="57"/>
      <c r="J11" s="59"/>
      <c r="K11" s="59"/>
      <c r="L11" s="19"/>
      <c r="M11" s="26">
        <f t="shared" si="0"/>
        <v>0</v>
      </c>
      <c r="N11" s="26">
        <f t="shared" si="1"/>
        <v>0</v>
      </c>
      <c r="O11" s="26">
        <f t="shared" si="2"/>
        <v>0</v>
      </c>
      <c r="P11" s="26"/>
      <c r="Q11" s="33"/>
      <c r="R11" s="33"/>
      <c r="S11" s="63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0</v>
      </c>
      <c r="AG11" s="27">
        <f t="shared" si="4"/>
        <v>0</v>
      </c>
    </row>
    <row r="12" spans="1:34" s="11" customFormat="1" ht="12" thickBot="1" x14ac:dyDescent="0.25">
      <c r="A12" s="29"/>
      <c r="B12" s="30"/>
      <c r="C12" s="35"/>
      <c r="D12" s="35"/>
      <c r="E12" s="35"/>
      <c r="F12" s="25"/>
      <c r="G12" s="28"/>
      <c r="H12" s="31"/>
      <c r="I12" s="31"/>
      <c r="J12" s="31"/>
      <c r="K12" s="31"/>
      <c r="L12" s="32"/>
      <c r="M12" s="33">
        <f t="shared" si="0"/>
        <v>0</v>
      </c>
      <c r="N12" s="33">
        <f t="shared" si="1"/>
        <v>0</v>
      </c>
      <c r="O12" s="33">
        <f t="shared" si="2"/>
        <v>0</v>
      </c>
      <c r="P12" s="33"/>
      <c r="Q12" s="33"/>
      <c r="R12" s="33"/>
      <c r="S12" s="33"/>
      <c r="T12" s="34"/>
      <c r="U12" s="43"/>
      <c r="V12" s="34"/>
      <c r="W12" s="34"/>
      <c r="X12" s="34"/>
      <c r="Y12" s="36"/>
      <c r="Z12" s="33"/>
      <c r="AA12" s="43"/>
      <c r="AB12" s="33"/>
      <c r="AC12" s="34"/>
      <c r="AD12" s="34"/>
      <c r="AE12" s="37"/>
      <c r="AF12" s="26">
        <f t="shared" si="3"/>
        <v>0</v>
      </c>
      <c r="AG12" s="27">
        <f t="shared" si="4"/>
        <v>0</v>
      </c>
    </row>
    <row r="13" spans="1:34" s="9" customFormat="1" ht="12.75" thickTop="1" thickBot="1" x14ac:dyDescent="0.25">
      <c r="A13" s="38"/>
      <c r="B13" s="39"/>
      <c r="C13" s="40"/>
      <c r="D13" s="41"/>
      <c r="E13" s="41"/>
      <c r="F13" s="42"/>
      <c r="G13" s="40"/>
      <c r="H13" s="43">
        <f>SUM(H5:H11)</f>
        <v>60</v>
      </c>
      <c r="I13" s="43">
        <f>SUM(I12:I12)</f>
        <v>0</v>
      </c>
      <c r="J13" s="43">
        <f>SUM(J5:J11)</f>
        <v>0</v>
      </c>
      <c r="K13" s="43">
        <f>SUM(K5:K11)</f>
        <v>3214.9</v>
      </c>
      <c r="L13" s="43">
        <f>SUM(L12:L12)</f>
        <v>0</v>
      </c>
      <c r="M13" s="43">
        <f>SUM(M5:M11)</f>
        <v>2930.4464285714284</v>
      </c>
      <c r="N13" s="43">
        <f>SUM(N5:N11)</f>
        <v>344.45357142857137</v>
      </c>
      <c r="O13" s="43">
        <f>SUM(O12:O12)</f>
        <v>0</v>
      </c>
      <c r="P13" s="43">
        <f>SUM(P5:P11)</f>
        <v>529.38</v>
      </c>
      <c r="Q13" s="43">
        <f>SUM(Q5:Q11)</f>
        <v>2296.4300000000003</v>
      </c>
      <c r="R13" s="43">
        <f>SUM(R5:R11)</f>
        <v>0</v>
      </c>
      <c r="S13" s="43">
        <f>SUM(S11:S12)</f>
        <v>0</v>
      </c>
      <c r="T13" s="43">
        <f>SUM(T11:T12)</f>
        <v>0</v>
      </c>
      <c r="U13" s="43">
        <f>SUM(U11:U12)</f>
        <v>0</v>
      </c>
      <c r="V13" s="43">
        <f>SUM(V11:V12)</f>
        <v>0</v>
      </c>
      <c r="W13" s="43">
        <f>SUM(W12:W12)</f>
        <v>0</v>
      </c>
      <c r="X13" s="43">
        <f>SUM(X12:X12)</f>
        <v>0</v>
      </c>
      <c r="Y13" s="43">
        <f>SUM(Y12:Y12)</f>
        <v>0</v>
      </c>
      <c r="Z13" s="43">
        <f>SUM(Z12:Z12)</f>
        <v>0</v>
      </c>
      <c r="AA13" s="43">
        <f>SUM(AA5:AA11)</f>
        <v>60</v>
      </c>
      <c r="AB13" s="43">
        <f>SUM(AB12:AB12)</f>
        <v>0</v>
      </c>
      <c r="AC13" s="43">
        <f>SUM(AC5:AC11)</f>
        <v>0</v>
      </c>
      <c r="AD13" s="43">
        <f>SUM(AD5:AD11)</f>
        <v>0</v>
      </c>
      <c r="AE13" s="43">
        <f>SUM(AE12:AE12)</f>
        <v>0</v>
      </c>
      <c r="AF13" s="43">
        <f>SUM(AF5:AF11)</f>
        <v>-3274.9035714285719</v>
      </c>
      <c r="AG13" s="43">
        <f>SUM(AG12:AG12)</f>
        <v>0</v>
      </c>
    </row>
    <row r="14" spans="1:34" s="86" customFormat="1" ht="12" thickTop="1" x14ac:dyDescent="0.2"/>
    <row r="15" spans="1:34" ht="12" x14ac:dyDescent="0.2">
      <c r="K15" s="44">
        <f ca="1">H13+J13+K13+1:1048576+AA13</f>
        <v>0</v>
      </c>
      <c r="L15" s="8"/>
      <c r="M15" s="7"/>
      <c r="AF15" s="45">
        <f>+AF13</f>
        <v>-3274.9035714285719</v>
      </c>
    </row>
    <row r="16" spans="1:34" ht="12" x14ac:dyDescent="0.2">
      <c r="K16" s="44"/>
      <c r="L16" s="8"/>
      <c r="M16" s="7"/>
      <c r="AF16" s="45"/>
    </row>
    <row r="17" spans="1:32" ht="12" x14ac:dyDescent="0.2">
      <c r="K17" s="44"/>
      <c r="L17" s="8"/>
      <c r="M17" s="7"/>
      <c r="AF17" s="45"/>
    </row>
    <row r="18" spans="1:32" x14ac:dyDescent="0.2">
      <c r="K18" s="7"/>
      <c r="L18" s="8"/>
      <c r="M18" s="7"/>
    </row>
    <row r="19" spans="1:32" ht="12.75" x14ac:dyDescent="0.2">
      <c r="C19" s="46" t="s">
        <v>46</v>
      </c>
      <c r="G19" s="9"/>
      <c r="J19" s="48" t="s">
        <v>39</v>
      </c>
      <c r="K19" s="50">
        <f>K13</f>
        <v>3214.9</v>
      </c>
      <c r="L19" s="47"/>
      <c r="M19" s="47"/>
      <c r="N19" s="45"/>
      <c r="O19" s="45"/>
      <c r="P19" s="45"/>
      <c r="Q19" s="45"/>
    </row>
    <row r="20" spans="1:32" ht="12.75" x14ac:dyDescent="0.2">
      <c r="C20" s="46"/>
      <c r="G20" s="9"/>
      <c r="J20" s="48" t="s">
        <v>44</v>
      </c>
      <c r="K20" s="50"/>
      <c r="L20" s="47"/>
      <c r="M20" s="47"/>
      <c r="N20" s="45"/>
      <c r="O20" s="45"/>
      <c r="P20" s="45"/>
      <c r="Q20" s="45"/>
    </row>
    <row r="21" spans="1:32" ht="12.75" x14ac:dyDescent="0.2">
      <c r="J21" s="48" t="s">
        <v>40</v>
      </c>
      <c r="K21" s="49">
        <v>0</v>
      </c>
      <c r="L21" s="8"/>
      <c r="M21" s="7"/>
    </row>
    <row r="22" spans="1:32" ht="12.75" x14ac:dyDescent="0.2">
      <c r="J22" s="48" t="s">
        <v>41</v>
      </c>
      <c r="K22" s="49">
        <f>H13</f>
        <v>60</v>
      </c>
      <c r="L22" s="8"/>
      <c r="M22" s="7"/>
    </row>
    <row r="23" spans="1:32" ht="12.75" x14ac:dyDescent="0.2">
      <c r="A23" s="1"/>
      <c r="B23" s="1"/>
      <c r="D23" s="1"/>
      <c r="E23" s="1"/>
      <c r="F23" s="1"/>
      <c r="H23" s="1"/>
      <c r="I23" s="1"/>
      <c r="J23" s="51" t="s">
        <v>42</v>
      </c>
      <c r="K23" s="52">
        <f>SUM(K19:K22)</f>
        <v>3274.9</v>
      </c>
      <c r="L23" s="8"/>
      <c r="M23" s="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</row>
    <row r="24" spans="1:32" ht="12" x14ac:dyDescent="0.2">
      <c r="J24" s="45" t="s">
        <v>49</v>
      </c>
      <c r="K24" s="45"/>
    </row>
    <row r="25" spans="1:32" ht="12" x14ac:dyDescent="0.2">
      <c r="H25" s="53"/>
      <c r="I25" s="53"/>
      <c r="J25" s="53"/>
      <c r="K25" s="53"/>
      <c r="L25" s="60"/>
      <c r="M25" s="61"/>
    </row>
    <row r="26" spans="1:32" ht="12" x14ac:dyDescent="0.2">
      <c r="H26" s="53"/>
      <c r="I26" s="53"/>
      <c r="J26" s="53"/>
      <c r="K26" s="53"/>
    </row>
    <row r="27" spans="1:32" ht="12" x14ac:dyDescent="0.2">
      <c r="H27" s="53"/>
      <c r="I27" s="53"/>
      <c r="J27" s="53"/>
      <c r="K27" s="53"/>
    </row>
    <row r="28" spans="1:32" ht="12" x14ac:dyDescent="0.2">
      <c r="H28" s="53"/>
      <c r="I28" s="53"/>
      <c r="J28" s="53"/>
      <c r="K28" s="53"/>
    </row>
    <row r="29" spans="1:32" ht="12" x14ac:dyDescent="0.2">
      <c r="H29" s="53"/>
      <c r="I29" s="53"/>
      <c r="J29" s="53"/>
      <c r="K29" s="53"/>
    </row>
    <row r="30" spans="1:32" ht="12" x14ac:dyDescent="0.2">
      <c r="H30" s="53"/>
      <c r="I30" s="53"/>
      <c r="J30" s="53"/>
      <c r="K30" s="53"/>
      <c r="Q30" s="2">
        <v>0</v>
      </c>
    </row>
    <row r="31" spans="1:32" ht="12" x14ac:dyDescent="0.2">
      <c r="A31" s="1"/>
      <c r="B31" s="1"/>
      <c r="D31" s="1"/>
      <c r="E31" s="1"/>
      <c r="F31" s="1"/>
      <c r="H31" s="54"/>
      <c r="I31" s="54"/>
      <c r="J31" s="54"/>
      <c r="K31" s="54"/>
      <c r="L31" s="1"/>
      <c r="M31" s="1"/>
      <c r="N31" s="1"/>
      <c r="O31" s="1"/>
      <c r="P31" s="1"/>
      <c r="Q31" s="1"/>
      <c r="R31" s="1"/>
      <c r="S31" s="1"/>
      <c r="Z31" s="1"/>
      <c r="AA31" s="1"/>
      <c r="AB31" s="1"/>
      <c r="AC31" s="1"/>
      <c r="AD31" s="1"/>
      <c r="AE31" s="1"/>
      <c r="AF31" s="1"/>
    </row>
    <row r="32" spans="1:32" ht="12" x14ac:dyDescent="0.2">
      <c r="H32" s="53"/>
      <c r="I32" s="53"/>
      <c r="J32" s="53"/>
      <c r="K32" s="53"/>
    </row>
    <row r="33" spans="1:32" ht="12" x14ac:dyDescent="0.2">
      <c r="H33" s="53"/>
      <c r="I33" s="53"/>
      <c r="J33" s="53"/>
      <c r="K33" s="53"/>
    </row>
    <row r="34" spans="1:32" ht="12" x14ac:dyDescent="0.2">
      <c r="H34" s="53"/>
      <c r="I34" s="53"/>
      <c r="J34" s="53"/>
      <c r="K34" s="53"/>
    </row>
    <row r="35" spans="1:32" ht="12" x14ac:dyDescent="0.2">
      <c r="H35" s="53"/>
      <c r="I35" s="53"/>
      <c r="J35" s="53"/>
      <c r="K35" s="53"/>
    </row>
    <row r="36" spans="1:32" x14ac:dyDescent="0.2">
      <c r="H36" s="55"/>
      <c r="I36" s="55"/>
      <c r="J36" s="55"/>
      <c r="K36" s="55"/>
    </row>
    <row r="37" spans="1:32" x14ac:dyDescent="0.2">
      <c r="H37" s="55"/>
      <c r="I37" s="55"/>
      <c r="J37" s="55"/>
      <c r="K37" s="55"/>
    </row>
    <row r="38" spans="1:32" x14ac:dyDescent="0.2">
      <c r="A38" s="1"/>
      <c r="B38" s="1"/>
      <c r="D38" s="1"/>
      <c r="E38" s="1"/>
      <c r="F38" s="1"/>
      <c r="H38" s="55"/>
      <c r="I38" s="55"/>
      <c r="J38" s="55"/>
      <c r="K38" s="5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D39" s="1"/>
      <c r="E39" s="1"/>
      <c r="F39" s="1"/>
      <c r="H39" s="55"/>
      <c r="I39" s="55"/>
      <c r="J39" s="55"/>
      <c r="K39" s="55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D40" s="1"/>
      <c r="E40" s="1"/>
      <c r="F40" s="1"/>
      <c r="H40" s="55"/>
      <c r="I40" s="55"/>
      <c r="J40" s="55"/>
      <c r="K40" s="5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</sheetData>
  <mergeCells count="1">
    <mergeCell ref="A14:XFD14"/>
  </mergeCells>
  <pageMargins left="0.7" right="0.7" top="0.75" bottom="0.75" header="0.3" footer="0.3"/>
  <pageSetup paperSize="5" orientation="landscape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50"/>
  <sheetViews>
    <sheetView tabSelected="1" workbookViewId="0">
      <selection activeCell="AH16" sqref="AH5:AH16"/>
    </sheetView>
  </sheetViews>
  <sheetFormatPr defaultRowHeight="11.25" x14ac:dyDescent="0.2"/>
  <cols>
    <col min="1" max="1" width="8.140625" style="85" customWidth="1"/>
    <col min="2" max="2" width="7.28515625" style="6" hidden="1" customWidth="1"/>
    <col min="3" max="3" width="26.140625" style="1" customWidth="1"/>
    <col min="4" max="4" width="14" style="5" hidden="1" customWidth="1"/>
    <col min="5" max="5" width="29.28515625" style="5" hidden="1" customWidth="1"/>
    <col min="6" max="6" width="7.85546875" style="4" customWidth="1"/>
    <col min="7" max="7" width="26.5703125" style="1" customWidth="1"/>
    <col min="8" max="8" width="11.140625" style="2" customWidth="1"/>
    <col min="9" max="9" width="9.5703125" style="2" hidden="1" customWidth="1"/>
    <col min="10" max="10" width="9.7109375" style="2" customWidth="1"/>
    <col min="11" max="11" width="10.42578125" style="2" customWidth="1"/>
    <col min="12" max="12" width="7.85546875" style="3" hidden="1" customWidth="1"/>
    <col min="13" max="13" width="9.7109375" style="2" customWidth="1"/>
    <col min="14" max="14" width="11.140625" style="2" customWidth="1"/>
    <col min="15" max="15" width="9" style="2" hidden="1" customWidth="1"/>
    <col min="16" max="16" width="9.85546875" style="2" customWidth="1"/>
    <col min="17" max="17" width="10.85546875" style="2" customWidth="1"/>
    <col min="18" max="18" width="10.7109375" style="2" customWidth="1"/>
    <col min="19" max="19" width="9.5703125" style="2" hidden="1" customWidth="1"/>
    <col min="20" max="20" width="9.140625" style="2" hidden="1" customWidth="1"/>
    <col min="21" max="21" width="9.140625" style="2" customWidth="1"/>
    <col min="22" max="22" width="10.5703125" style="2" hidden="1" customWidth="1"/>
    <col min="23" max="23" width="8.140625" style="2" hidden="1" customWidth="1"/>
    <col min="24" max="24" width="9.85546875" style="2" hidden="1" customWidth="1"/>
    <col min="25" max="25" width="9.28515625" style="2" hidden="1" customWidth="1"/>
    <col min="26" max="26" width="8.28515625" style="2" hidden="1" customWidth="1"/>
    <col min="27" max="27" width="8.7109375" style="2" customWidth="1"/>
    <col min="28" max="28" width="9.5703125" style="2" hidden="1" customWidth="1"/>
    <col min="29" max="30" width="8" style="2" hidden="1" customWidth="1"/>
    <col min="31" max="31" width="10.140625" style="2" hidden="1" customWidth="1"/>
    <col min="32" max="32" width="10.7109375" style="2" customWidth="1"/>
    <col min="33" max="33" width="8.85546875" style="1" customWidth="1"/>
    <col min="34" max="16384" width="9.140625" style="1"/>
  </cols>
  <sheetData>
    <row r="1" spans="1:34" ht="12" customHeight="1" x14ac:dyDescent="0.2">
      <c r="A1" s="12" t="s">
        <v>29</v>
      </c>
      <c r="C1" s="13"/>
    </row>
    <row r="2" spans="1:34" ht="12" customHeight="1" x14ac:dyDescent="0.2">
      <c r="A2" s="12" t="s">
        <v>25</v>
      </c>
    </row>
    <row r="3" spans="1:34" ht="12" customHeight="1" x14ac:dyDescent="0.2">
      <c r="A3" s="66" t="s">
        <v>194</v>
      </c>
      <c r="B3" s="67"/>
      <c r="C3" s="68"/>
      <c r="D3" s="69"/>
      <c r="E3" s="69"/>
      <c r="F3" s="70"/>
      <c r="N3" s="15">
        <v>1301</v>
      </c>
      <c r="O3" s="15">
        <v>2402</v>
      </c>
      <c r="P3" s="15">
        <v>5001</v>
      </c>
      <c r="Q3" s="15">
        <v>5002</v>
      </c>
      <c r="R3" s="15">
        <v>6220</v>
      </c>
      <c r="S3" s="15">
        <v>6219</v>
      </c>
      <c r="T3" s="15">
        <v>6212</v>
      </c>
      <c r="U3" s="15"/>
      <c r="V3" s="15"/>
      <c r="W3" s="15"/>
      <c r="X3" s="15"/>
      <c r="Y3" s="15" t="s">
        <v>24</v>
      </c>
      <c r="Z3" s="15"/>
      <c r="AA3" s="15">
        <v>6230</v>
      </c>
      <c r="AB3" s="15" t="s">
        <v>23</v>
      </c>
      <c r="AC3" s="15">
        <v>6202</v>
      </c>
      <c r="AD3" s="15"/>
      <c r="AE3" s="15">
        <v>6109</v>
      </c>
      <c r="AF3" s="15">
        <v>1002</v>
      </c>
    </row>
    <row r="4" spans="1:34" s="10" customFormat="1" ht="44.25" customHeight="1" x14ac:dyDescent="0.25">
      <c r="A4" s="16" t="s">
        <v>22</v>
      </c>
      <c r="B4" s="17" t="s">
        <v>21</v>
      </c>
      <c r="C4" s="18" t="s">
        <v>20</v>
      </c>
      <c r="D4" s="18" t="s">
        <v>19</v>
      </c>
      <c r="E4" s="18" t="s">
        <v>26</v>
      </c>
      <c r="F4" s="18" t="s">
        <v>18</v>
      </c>
      <c r="G4" s="18" t="s">
        <v>17</v>
      </c>
      <c r="H4" s="18" t="s">
        <v>16</v>
      </c>
      <c r="I4" s="18" t="s">
        <v>15</v>
      </c>
      <c r="J4" s="18" t="s">
        <v>14</v>
      </c>
      <c r="K4" s="18" t="s">
        <v>13</v>
      </c>
      <c r="L4" s="19" t="s">
        <v>12</v>
      </c>
      <c r="M4" s="18" t="s">
        <v>11</v>
      </c>
      <c r="N4" s="20" t="s">
        <v>10</v>
      </c>
      <c r="O4" s="20" t="s">
        <v>9</v>
      </c>
      <c r="P4" s="20" t="s">
        <v>8</v>
      </c>
      <c r="Q4" s="20" t="s">
        <v>7</v>
      </c>
      <c r="R4" s="20" t="s">
        <v>30</v>
      </c>
      <c r="S4" s="20" t="s">
        <v>50</v>
      </c>
      <c r="T4" s="20" t="s">
        <v>6</v>
      </c>
      <c r="U4" s="20" t="s">
        <v>183</v>
      </c>
      <c r="V4" s="20" t="s">
        <v>43</v>
      </c>
      <c r="W4" s="20" t="s">
        <v>32</v>
      </c>
      <c r="X4" s="20" t="s">
        <v>33</v>
      </c>
      <c r="Y4" s="20" t="s">
        <v>5</v>
      </c>
      <c r="Z4" s="20" t="s">
        <v>28</v>
      </c>
      <c r="AA4" s="20" t="s">
        <v>4</v>
      </c>
      <c r="AB4" s="20" t="s">
        <v>3</v>
      </c>
      <c r="AC4" s="21" t="s">
        <v>52</v>
      </c>
      <c r="AD4" s="20" t="s">
        <v>1</v>
      </c>
      <c r="AE4" s="22" t="s">
        <v>2</v>
      </c>
      <c r="AF4" s="23" t="s">
        <v>0</v>
      </c>
    </row>
    <row r="5" spans="1:34" s="10" customFormat="1" ht="35.25" customHeight="1" x14ac:dyDescent="0.2">
      <c r="A5" s="56">
        <v>44163</v>
      </c>
      <c r="B5" s="17"/>
      <c r="C5" s="24" t="s">
        <v>195</v>
      </c>
      <c r="D5" s="18"/>
      <c r="E5" s="18"/>
      <c r="F5" s="57"/>
      <c r="G5" s="57" t="s">
        <v>196</v>
      </c>
      <c r="H5" s="59"/>
      <c r="I5" s="57"/>
      <c r="J5" s="59">
        <v>100</v>
      </c>
      <c r="K5" s="59"/>
      <c r="L5" s="58"/>
      <c r="M5" s="26">
        <f t="shared" ref="M5:M22" si="0">SUM(H5:J5,K5/1.12)</f>
        <v>100</v>
      </c>
      <c r="N5" s="26">
        <f t="shared" ref="N5:N22" si="1">K5/1.12*0.12</f>
        <v>0</v>
      </c>
      <c r="O5" s="26">
        <f t="shared" ref="O5:O22" si="2">-SUM(I5:J5,K5/1.12)*L5</f>
        <v>0</v>
      </c>
      <c r="P5" s="26">
        <v>100</v>
      </c>
      <c r="Q5" s="33"/>
      <c r="R5" s="33"/>
      <c r="S5" s="34"/>
      <c r="T5" s="34"/>
      <c r="U5" s="34"/>
      <c r="V5" s="34"/>
      <c r="W5" s="34"/>
      <c r="X5" s="33"/>
      <c r="Y5" s="33"/>
      <c r="Z5" s="33"/>
      <c r="AA5" s="33"/>
      <c r="AB5" s="34"/>
      <c r="AC5" s="34"/>
      <c r="AD5" s="33"/>
      <c r="AE5" s="33"/>
      <c r="AF5" s="26">
        <f t="shared" ref="AF5:AF22" si="3">-SUM(N5:AE5)</f>
        <v>-100</v>
      </c>
      <c r="AG5" s="27">
        <f t="shared" ref="AG5:AG22" si="4">SUM(H5:K5)+AF5+O5</f>
        <v>0</v>
      </c>
      <c r="AH5" s="87">
        <f>-AF5</f>
        <v>100</v>
      </c>
    </row>
    <row r="6" spans="1:34" s="10" customFormat="1" ht="35.25" hidden="1" customHeight="1" x14ac:dyDescent="0.2">
      <c r="A6" s="56">
        <v>44163</v>
      </c>
      <c r="B6" s="17"/>
      <c r="C6" s="24" t="s">
        <v>171</v>
      </c>
      <c r="D6" s="18"/>
      <c r="E6" s="18"/>
      <c r="F6" s="57">
        <v>205958</v>
      </c>
      <c r="G6" s="57" t="s">
        <v>172</v>
      </c>
      <c r="H6" s="59"/>
      <c r="I6" s="57"/>
      <c r="J6" s="59"/>
      <c r="K6" s="59">
        <v>1155</v>
      </c>
      <c r="L6" s="58"/>
      <c r="M6" s="26">
        <f t="shared" si="0"/>
        <v>1031.25</v>
      </c>
      <c r="N6" s="26">
        <f t="shared" si="1"/>
        <v>123.75</v>
      </c>
      <c r="O6" s="26">
        <f t="shared" si="2"/>
        <v>0</v>
      </c>
      <c r="P6" s="26"/>
      <c r="Q6" s="33"/>
      <c r="R6" s="33">
        <v>1031.25</v>
      </c>
      <c r="S6" s="34"/>
      <c r="T6" s="34"/>
      <c r="U6" s="34"/>
      <c r="V6" s="34"/>
      <c r="W6" s="34"/>
      <c r="X6" s="33"/>
      <c r="Y6" s="33"/>
      <c r="Z6" s="33"/>
      <c r="AA6" s="33"/>
      <c r="AB6" s="34"/>
      <c r="AC6" s="34"/>
      <c r="AD6" s="33"/>
      <c r="AE6" s="33"/>
      <c r="AF6" s="26">
        <f t="shared" si="3"/>
        <v>-1155</v>
      </c>
      <c r="AG6" s="27">
        <f t="shared" si="4"/>
        <v>0</v>
      </c>
      <c r="AH6" s="87">
        <f t="shared" ref="AH6:AH16" si="5">-AF6</f>
        <v>1155</v>
      </c>
    </row>
    <row r="7" spans="1:34" s="10" customFormat="1" ht="19.5" hidden="1" customHeight="1" x14ac:dyDescent="0.2">
      <c r="A7" s="56">
        <v>44165</v>
      </c>
      <c r="B7" s="17"/>
      <c r="C7" s="24" t="s">
        <v>197</v>
      </c>
      <c r="D7" s="18"/>
      <c r="E7" s="18"/>
      <c r="F7" s="57"/>
      <c r="G7" s="57" t="s">
        <v>198</v>
      </c>
      <c r="H7" s="59"/>
      <c r="I7" s="57"/>
      <c r="J7" s="59"/>
      <c r="K7" s="59">
        <v>125</v>
      </c>
      <c r="L7" s="58"/>
      <c r="M7" s="26">
        <f t="shared" si="0"/>
        <v>111.60714285714285</v>
      </c>
      <c r="N7" s="26">
        <f t="shared" si="1"/>
        <v>13.392857142857141</v>
      </c>
      <c r="O7" s="26">
        <f t="shared" si="2"/>
        <v>0</v>
      </c>
      <c r="P7" s="26"/>
      <c r="Q7" s="33">
        <v>111.61</v>
      </c>
      <c r="R7" s="33"/>
      <c r="S7" s="34"/>
      <c r="T7" s="34"/>
      <c r="U7" s="34"/>
      <c r="V7" s="34"/>
      <c r="W7" s="34"/>
      <c r="X7" s="33"/>
      <c r="Y7" s="33"/>
      <c r="Z7" s="33"/>
      <c r="AA7" s="33"/>
      <c r="AB7" s="34"/>
      <c r="AC7" s="34"/>
      <c r="AD7" s="33"/>
      <c r="AE7" s="33"/>
      <c r="AF7" s="26">
        <f t="shared" si="3"/>
        <v>-125.00285714285714</v>
      </c>
      <c r="AG7" s="27">
        <f t="shared" si="4"/>
        <v>-2.8571428571382285E-3</v>
      </c>
      <c r="AH7" s="87">
        <f t="shared" si="5"/>
        <v>125.00285714285714</v>
      </c>
    </row>
    <row r="8" spans="1:34" s="10" customFormat="1" ht="19.5" hidden="1" customHeight="1" x14ac:dyDescent="0.2">
      <c r="A8" s="56">
        <v>44166</v>
      </c>
      <c r="B8" s="17"/>
      <c r="C8" s="24" t="s">
        <v>127</v>
      </c>
      <c r="D8" s="18"/>
      <c r="E8" s="18"/>
      <c r="F8" s="57"/>
      <c r="G8" s="57" t="s">
        <v>199</v>
      </c>
      <c r="H8" s="59"/>
      <c r="I8" s="57"/>
      <c r="J8" s="59"/>
      <c r="K8" s="59">
        <v>197.5</v>
      </c>
      <c r="L8" s="58"/>
      <c r="M8" s="26">
        <f t="shared" si="0"/>
        <v>176.33928571428569</v>
      </c>
      <c r="N8" s="26">
        <f t="shared" si="1"/>
        <v>21.160714285714281</v>
      </c>
      <c r="O8" s="26">
        <f t="shared" si="2"/>
        <v>0</v>
      </c>
      <c r="P8" s="26">
        <v>176.34</v>
      </c>
      <c r="Q8" s="33"/>
      <c r="R8" s="33"/>
      <c r="S8" s="34"/>
      <c r="T8" s="34"/>
      <c r="U8" s="34"/>
      <c r="V8" s="34"/>
      <c r="W8" s="34"/>
      <c r="X8" s="33"/>
      <c r="Y8" s="33"/>
      <c r="Z8" s="33"/>
      <c r="AA8" s="33"/>
      <c r="AB8" s="34"/>
      <c r="AC8" s="34"/>
      <c r="AD8" s="33"/>
      <c r="AE8" s="33"/>
      <c r="AF8" s="26">
        <f t="shared" si="3"/>
        <v>-197.50071428571428</v>
      </c>
      <c r="AG8" s="27">
        <f t="shared" si="4"/>
        <v>-7.142857142810044E-4</v>
      </c>
      <c r="AH8" s="87">
        <f t="shared" si="5"/>
        <v>197.50071428571428</v>
      </c>
    </row>
    <row r="9" spans="1:34" s="10" customFormat="1" ht="19.5" hidden="1" customHeight="1" x14ac:dyDescent="0.2">
      <c r="A9" s="56">
        <v>44167</v>
      </c>
      <c r="B9" s="17"/>
      <c r="C9" s="24" t="s">
        <v>200</v>
      </c>
      <c r="D9" s="18"/>
      <c r="E9" s="18"/>
      <c r="F9" s="57"/>
      <c r="G9" s="57" t="s">
        <v>201</v>
      </c>
      <c r="H9" s="59"/>
      <c r="I9" s="57"/>
      <c r="J9" s="59">
        <v>1200</v>
      </c>
      <c r="K9" s="59"/>
      <c r="L9" s="58"/>
      <c r="M9" s="26">
        <f t="shared" si="0"/>
        <v>1200</v>
      </c>
      <c r="N9" s="26">
        <f t="shared" si="1"/>
        <v>0</v>
      </c>
      <c r="O9" s="26">
        <f t="shared" si="2"/>
        <v>0</v>
      </c>
      <c r="P9" s="26">
        <v>1200</v>
      </c>
      <c r="Q9" s="33"/>
      <c r="R9" s="33"/>
      <c r="S9" s="34"/>
      <c r="T9" s="34"/>
      <c r="U9" s="34"/>
      <c r="V9" s="34"/>
      <c r="W9" s="34"/>
      <c r="X9" s="33"/>
      <c r="Y9" s="33"/>
      <c r="Z9" s="33"/>
      <c r="AA9" s="33"/>
      <c r="AB9" s="34"/>
      <c r="AC9" s="34"/>
      <c r="AD9" s="33"/>
      <c r="AE9" s="33"/>
      <c r="AF9" s="26">
        <f t="shared" si="3"/>
        <v>-1200</v>
      </c>
      <c r="AG9" s="27">
        <f t="shared" si="4"/>
        <v>0</v>
      </c>
      <c r="AH9" s="87">
        <f t="shared" si="5"/>
        <v>1200</v>
      </c>
    </row>
    <row r="10" spans="1:34" s="10" customFormat="1" ht="19.5" hidden="1" customHeight="1" x14ac:dyDescent="0.2">
      <c r="A10" s="56">
        <v>44167</v>
      </c>
      <c r="B10" s="17"/>
      <c r="C10" s="24" t="s">
        <v>38</v>
      </c>
      <c r="D10" s="18"/>
      <c r="E10" s="18"/>
      <c r="F10" s="57"/>
      <c r="G10" s="57" t="s">
        <v>202</v>
      </c>
      <c r="H10" s="59">
        <v>60</v>
      </c>
      <c r="I10" s="57"/>
      <c r="J10" s="59"/>
      <c r="K10" s="59"/>
      <c r="L10" s="58"/>
      <c r="M10" s="26">
        <f t="shared" si="0"/>
        <v>60</v>
      </c>
      <c r="N10" s="26">
        <f t="shared" si="1"/>
        <v>0</v>
      </c>
      <c r="O10" s="26">
        <f t="shared" si="2"/>
        <v>0</v>
      </c>
      <c r="P10" s="26"/>
      <c r="Q10" s="33"/>
      <c r="R10" s="33"/>
      <c r="S10" s="34"/>
      <c r="T10" s="34"/>
      <c r="U10" s="34"/>
      <c r="V10" s="34"/>
      <c r="W10" s="34"/>
      <c r="X10" s="33"/>
      <c r="Y10" s="33"/>
      <c r="Z10" s="33"/>
      <c r="AA10" s="33">
        <v>60</v>
      </c>
      <c r="AB10" s="34"/>
      <c r="AC10" s="34"/>
      <c r="AD10" s="33"/>
      <c r="AE10" s="33"/>
      <c r="AF10" s="26">
        <f t="shared" si="3"/>
        <v>-60</v>
      </c>
      <c r="AG10" s="27">
        <f t="shared" si="4"/>
        <v>0</v>
      </c>
      <c r="AH10" s="87">
        <f t="shared" si="5"/>
        <v>60</v>
      </c>
    </row>
    <row r="11" spans="1:34" s="10" customFormat="1" ht="21.75" hidden="1" customHeight="1" x14ac:dyDescent="0.2">
      <c r="A11" s="56">
        <v>44167</v>
      </c>
      <c r="B11" s="17"/>
      <c r="C11" s="24" t="s">
        <v>203</v>
      </c>
      <c r="D11" s="18"/>
      <c r="E11" s="18"/>
      <c r="F11" s="57"/>
      <c r="G11" s="57" t="s">
        <v>204</v>
      </c>
      <c r="H11" s="59"/>
      <c r="I11" s="57"/>
      <c r="J11" s="59">
        <v>2160.9699999999998</v>
      </c>
      <c r="K11" s="59"/>
      <c r="L11" s="58"/>
      <c r="M11" s="26">
        <f t="shared" si="0"/>
        <v>2160.9699999999998</v>
      </c>
      <c r="N11" s="26">
        <f t="shared" si="1"/>
        <v>0</v>
      </c>
      <c r="O11" s="26">
        <f t="shared" si="2"/>
        <v>0</v>
      </c>
      <c r="P11" s="26">
        <v>2160.9699999999998</v>
      </c>
      <c r="Q11" s="33"/>
      <c r="R11" s="33"/>
      <c r="S11" s="34"/>
      <c r="T11" s="34"/>
      <c r="U11" s="34"/>
      <c r="V11" s="34"/>
      <c r="W11" s="34"/>
      <c r="X11" s="33"/>
      <c r="Y11" s="33"/>
      <c r="Z11" s="33"/>
      <c r="AA11" s="33"/>
      <c r="AB11" s="34"/>
      <c r="AC11" s="34"/>
      <c r="AD11" s="33"/>
      <c r="AE11" s="33"/>
      <c r="AF11" s="26">
        <f t="shared" si="3"/>
        <v>-2160.9699999999998</v>
      </c>
      <c r="AG11" s="27">
        <f t="shared" si="4"/>
        <v>0</v>
      </c>
      <c r="AH11" s="87">
        <f t="shared" si="5"/>
        <v>2160.9699999999998</v>
      </c>
    </row>
    <row r="12" spans="1:34" s="10" customFormat="1" ht="18" hidden="1" customHeight="1" x14ac:dyDescent="0.2">
      <c r="A12" s="56">
        <v>44167</v>
      </c>
      <c r="B12" s="17"/>
      <c r="C12" s="24" t="s">
        <v>37</v>
      </c>
      <c r="D12" s="18"/>
      <c r="E12" s="18"/>
      <c r="F12" s="57"/>
      <c r="G12" s="57" t="s">
        <v>205</v>
      </c>
      <c r="H12" s="59">
        <v>50</v>
      </c>
      <c r="I12" s="18"/>
      <c r="J12" s="59"/>
      <c r="K12" s="59"/>
      <c r="L12" s="19"/>
      <c r="M12" s="26">
        <f t="shared" si="0"/>
        <v>50</v>
      </c>
      <c r="N12" s="26">
        <f t="shared" si="1"/>
        <v>0</v>
      </c>
      <c r="O12" s="26">
        <f t="shared" si="2"/>
        <v>0</v>
      </c>
      <c r="P12" s="26"/>
      <c r="Q12" s="33"/>
      <c r="R12" s="33"/>
      <c r="S12" s="34"/>
      <c r="T12" s="34"/>
      <c r="U12" s="34"/>
      <c r="V12" s="34"/>
      <c r="W12" s="34"/>
      <c r="X12" s="33"/>
      <c r="Y12" s="33"/>
      <c r="Z12" s="33"/>
      <c r="AA12" s="33">
        <v>50</v>
      </c>
      <c r="AB12" s="34"/>
      <c r="AC12" s="34"/>
      <c r="AD12" s="33"/>
      <c r="AE12" s="33"/>
      <c r="AF12" s="26">
        <f t="shared" si="3"/>
        <v>-50</v>
      </c>
      <c r="AG12" s="27">
        <f t="shared" si="4"/>
        <v>0</v>
      </c>
      <c r="AH12" s="87">
        <f t="shared" si="5"/>
        <v>50</v>
      </c>
    </row>
    <row r="13" spans="1:34" s="10" customFormat="1" ht="21.75" hidden="1" customHeight="1" x14ac:dyDescent="0.2">
      <c r="A13" s="56">
        <v>44168</v>
      </c>
      <c r="B13" s="17"/>
      <c r="C13" s="24" t="s">
        <v>127</v>
      </c>
      <c r="D13" s="18"/>
      <c r="E13" s="18"/>
      <c r="F13" s="57"/>
      <c r="G13" s="57" t="s">
        <v>206</v>
      </c>
      <c r="H13" s="59"/>
      <c r="I13" s="57"/>
      <c r="J13" s="59"/>
      <c r="K13" s="59">
        <v>313</v>
      </c>
      <c r="L13" s="19"/>
      <c r="M13" s="26">
        <f t="shared" si="0"/>
        <v>279.46428571428567</v>
      </c>
      <c r="N13" s="26">
        <f t="shared" si="1"/>
        <v>33.535714285714278</v>
      </c>
      <c r="O13" s="26">
        <f t="shared" si="2"/>
        <v>0</v>
      </c>
      <c r="P13" s="26">
        <v>279.45999999999998</v>
      </c>
      <c r="Q13" s="33"/>
      <c r="R13" s="33"/>
      <c r="S13" s="63"/>
      <c r="T13" s="34"/>
      <c r="U13" s="34"/>
      <c r="V13" s="34"/>
      <c r="W13" s="34"/>
      <c r="X13" s="33"/>
      <c r="Y13" s="33"/>
      <c r="Z13" s="33"/>
      <c r="AA13" s="33"/>
      <c r="AB13" s="34"/>
      <c r="AC13" s="34"/>
      <c r="AD13" s="33"/>
      <c r="AE13" s="33"/>
      <c r="AF13" s="26">
        <f t="shared" si="3"/>
        <v>-312.99571428571426</v>
      </c>
      <c r="AG13" s="27">
        <f t="shared" si="4"/>
        <v>4.2857142857428698E-3</v>
      </c>
      <c r="AH13" s="87">
        <f t="shared" si="5"/>
        <v>312.99571428571426</v>
      </c>
    </row>
    <row r="14" spans="1:34" s="10" customFormat="1" ht="21.75" hidden="1" customHeight="1" x14ac:dyDescent="0.2">
      <c r="A14" s="56">
        <v>44168</v>
      </c>
      <c r="B14" s="17"/>
      <c r="C14" s="24" t="s">
        <v>207</v>
      </c>
      <c r="D14" s="18"/>
      <c r="E14" s="18"/>
      <c r="F14" s="57"/>
      <c r="G14" s="57" t="s">
        <v>208</v>
      </c>
      <c r="H14" s="59"/>
      <c r="I14" s="57"/>
      <c r="J14" s="57"/>
      <c r="K14" s="59">
        <v>1270</v>
      </c>
      <c r="L14" s="19"/>
      <c r="M14" s="26">
        <f t="shared" si="0"/>
        <v>1133.9285714285713</v>
      </c>
      <c r="N14" s="26">
        <f t="shared" si="1"/>
        <v>136.07142857142856</v>
      </c>
      <c r="O14" s="26">
        <f t="shared" si="2"/>
        <v>0</v>
      </c>
      <c r="P14" s="26">
        <v>1133.93</v>
      </c>
      <c r="Q14" s="33"/>
      <c r="R14" s="33"/>
      <c r="S14" s="63"/>
      <c r="T14" s="34"/>
      <c r="U14" s="34"/>
      <c r="V14" s="34"/>
      <c r="W14" s="34"/>
      <c r="X14" s="33"/>
      <c r="Y14" s="33"/>
      <c r="Z14" s="33"/>
      <c r="AA14" s="33"/>
      <c r="AB14" s="34"/>
      <c r="AC14" s="34"/>
      <c r="AD14" s="33"/>
      <c r="AE14" s="33"/>
      <c r="AF14" s="26">
        <f t="shared" si="3"/>
        <v>-1270.0014285714287</v>
      </c>
      <c r="AG14" s="27">
        <f t="shared" si="4"/>
        <v>-1.4285714287325391E-3</v>
      </c>
      <c r="AH14" s="87">
        <f t="shared" si="5"/>
        <v>1270.0014285714287</v>
      </c>
    </row>
    <row r="15" spans="1:34" s="10" customFormat="1" ht="21.75" hidden="1" customHeight="1" x14ac:dyDescent="0.2">
      <c r="A15" s="56">
        <v>44168</v>
      </c>
      <c r="B15" s="17"/>
      <c r="C15" s="24" t="s">
        <v>36</v>
      </c>
      <c r="D15" s="18"/>
      <c r="E15" s="18"/>
      <c r="F15" s="57"/>
      <c r="G15" s="57" t="s">
        <v>209</v>
      </c>
      <c r="H15" s="59"/>
      <c r="I15" s="57"/>
      <c r="J15" s="59">
        <v>886</v>
      </c>
      <c r="K15" s="59"/>
      <c r="L15" s="19"/>
      <c r="M15" s="26">
        <f t="shared" si="0"/>
        <v>886</v>
      </c>
      <c r="N15" s="26">
        <f t="shared" si="1"/>
        <v>0</v>
      </c>
      <c r="O15" s="26">
        <f t="shared" si="2"/>
        <v>0</v>
      </c>
      <c r="P15" s="26">
        <v>886</v>
      </c>
      <c r="Q15" s="33"/>
      <c r="R15" s="33"/>
      <c r="S15" s="63"/>
      <c r="T15" s="34"/>
      <c r="U15" s="34"/>
      <c r="V15" s="34"/>
      <c r="W15" s="34"/>
      <c r="X15" s="33"/>
      <c r="Y15" s="33"/>
      <c r="Z15" s="33"/>
      <c r="AA15" s="33"/>
      <c r="AB15" s="34"/>
      <c r="AC15" s="34"/>
      <c r="AD15" s="33"/>
      <c r="AE15" s="33"/>
      <c r="AF15" s="26">
        <f t="shared" si="3"/>
        <v>-886</v>
      </c>
      <c r="AG15" s="27">
        <f t="shared" si="4"/>
        <v>0</v>
      </c>
      <c r="AH15" s="87">
        <f t="shared" si="5"/>
        <v>886</v>
      </c>
    </row>
    <row r="16" spans="1:34" s="10" customFormat="1" ht="34.5" customHeight="1" x14ac:dyDescent="0.2">
      <c r="A16" s="56">
        <v>44168</v>
      </c>
      <c r="B16" s="17"/>
      <c r="C16" s="24" t="s">
        <v>36</v>
      </c>
      <c r="D16" s="18"/>
      <c r="E16" s="18"/>
      <c r="F16" s="57"/>
      <c r="G16" s="57" t="s">
        <v>210</v>
      </c>
      <c r="H16" s="59"/>
      <c r="I16" s="57"/>
      <c r="J16" s="57"/>
      <c r="K16" s="59">
        <v>640.4</v>
      </c>
      <c r="L16" s="19"/>
      <c r="M16" s="26">
        <f t="shared" si="0"/>
        <v>571.78571428571422</v>
      </c>
      <c r="N16" s="26">
        <f t="shared" si="1"/>
        <v>68.6142857142857</v>
      </c>
      <c r="O16" s="26">
        <f t="shared" si="2"/>
        <v>0</v>
      </c>
      <c r="P16" s="26">
        <v>571.79</v>
      </c>
      <c r="Q16" s="33"/>
      <c r="R16" s="33"/>
      <c r="S16" s="6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3"/>
      <c r="AE16" s="33"/>
      <c r="AF16" s="26">
        <f t="shared" si="3"/>
        <v>-640.40428571428561</v>
      </c>
      <c r="AG16" s="27">
        <f t="shared" si="4"/>
        <v>-4.285714285629183E-3</v>
      </c>
      <c r="AH16" s="87">
        <f t="shared" si="5"/>
        <v>640.40428571428561</v>
      </c>
    </row>
    <row r="17" spans="1:33" s="10" customFormat="1" ht="21.75" customHeight="1" x14ac:dyDescent="0.2">
      <c r="A17" s="56"/>
      <c r="B17" s="17"/>
      <c r="C17" s="24"/>
      <c r="D17" s="18"/>
      <c r="E17" s="18"/>
      <c r="F17" s="57"/>
      <c r="G17" s="57"/>
      <c r="H17" s="59"/>
      <c r="I17" s="57"/>
      <c r="J17" s="57"/>
      <c r="K17" s="59"/>
      <c r="L17" s="19"/>
      <c r="M17" s="26">
        <f t="shared" si="0"/>
        <v>0</v>
      </c>
      <c r="N17" s="26">
        <f t="shared" si="1"/>
        <v>0</v>
      </c>
      <c r="O17" s="26">
        <f t="shared" si="2"/>
        <v>0</v>
      </c>
      <c r="P17" s="26"/>
      <c r="Q17" s="33"/>
      <c r="R17" s="33"/>
      <c r="S17" s="6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3"/>
      <c r="AE17" s="33"/>
      <c r="AF17" s="26">
        <f t="shared" si="3"/>
        <v>0</v>
      </c>
      <c r="AG17" s="27">
        <f t="shared" si="4"/>
        <v>0</v>
      </c>
    </row>
    <row r="18" spans="1:33" s="10" customFormat="1" ht="21.75" customHeight="1" x14ac:dyDescent="0.2">
      <c r="A18" s="56"/>
      <c r="B18" s="17"/>
      <c r="C18" s="24"/>
      <c r="D18" s="18"/>
      <c r="E18" s="18"/>
      <c r="F18" s="57"/>
      <c r="G18" s="57"/>
      <c r="H18" s="59"/>
      <c r="I18" s="57"/>
      <c r="J18" s="57"/>
      <c r="K18" s="59"/>
      <c r="L18" s="19"/>
      <c r="M18" s="26">
        <f t="shared" si="0"/>
        <v>0</v>
      </c>
      <c r="N18" s="26">
        <f t="shared" si="1"/>
        <v>0</v>
      </c>
      <c r="O18" s="26">
        <f t="shared" si="2"/>
        <v>0</v>
      </c>
      <c r="P18" s="26"/>
      <c r="Q18" s="33"/>
      <c r="R18" s="33"/>
      <c r="S18" s="6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3"/>
      <c r="AE18" s="33"/>
      <c r="AF18" s="26">
        <f t="shared" si="3"/>
        <v>0</v>
      </c>
      <c r="AG18" s="27">
        <f t="shared" si="4"/>
        <v>0</v>
      </c>
    </row>
    <row r="19" spans="1:33" s="10" customFormat="1" ht="21.75" customHeight="1" x14ac:dyDescent="0.2">
      <c r="A19" s="56"/>
      <c r="B19" s="17"/>
      <c r="C19" s="24"/>
      <c r="D19" s="18"/>
      <c r="E19" s="18"/>
      <c r="F19" s="57"/>
      <c r="G19" s="57"/>
      <c r="H19" s="59"/>
      <c r="I19" s="57"/>
      <c r="J19" s="57"/>
      <c r="K19" s="59"/>
      <c r="L19" s="19"/>
      <c r="M19" s="26">
        <f t="shared" si="0"/>
        <v>0</v>
      </c>
      <c r="N19" s="26">
        <f t="shared" si="1"/>
        <v>0</v>
      </c>
      <c r="O19" s="26">
        <f t="shared" si="2"/>
        <v>0</v>
      </c>
      <c r="P19" s="26"/>
      <c r="Q19" s="33"/>
      <c r="R19" s="33"/>
      <c r="S19" s="6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3"/>
      <c r="AE19" s="33"/>
      <c r="AF19" s="26">
        <f t="shared" si="3"/>
        <v>0</v>
      </c>
      <c r="AG19" s="27">
        <f t="shared" si="4"/>
        <v>0</v>
      </c>
    </row>
    <row r="20" spans="1:33" s="10" customFormat="1" ht="21.75" customHeight="1" x14ac:dyDescent="0.2">
      <c r="A20" s="56"/>
      <c r="B20" s="17"/>
      <c r="C20" s="24"/>
      <c r="D20" s="18"/>
      <c r="E20" s="18"/>
      <c r="F20" s="57"/>
      <c r="G20" s="57"/>
      <c r="H20" s="59"/>
      <c r="I20" s="57"/>
      <c r="J20" s="57"/>
      <c r="K20" s="59"/>
      <c r="L20" s="19"/>
      <c r="M20" s="26">
        <f t="shared" si="0"/>
        <v>0</v>
      </c>
      <c r="N20" s="26">
        <f t="shared" si="1"/>
        <v>0</v>
      </c>
      <c r="O20" s="26">
        <f t="shared" si="2"/>
        <v>0</v>
      </c>
      <c r="P20" s="26"/>
      <c r="Q20" s="33"/>
      <c r="R20" s="33"/>
      <c r="S20" s="6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3"/>
      <c r="AE20" s="33"/>
      <c r="AF20" s="26">
        <f t="shared" si="3"/>
        <v>0</v>
      </c>
      <c r="AG20" s="27">
        <f t="shared" si="4"/>
        <v>0</v>
      </c>
    </row>
    <row r="21" spans="1:33" s="10" customFormat="1" ht="21.75" customHeight="1" x14ac:dyDescent="0.2">
      <c r="A21" s="56"/>
      <c r="B21" s="17"/>
      <c r="C21" s="57"/>
      <c r="D21" s="18"/>
      <c r="E21" s="18"/>
      <c r="F21" s="57"/>
      <c r="G21" s="82"/>
      <c r="H21" s="59"/>
      <c r="I21" s="57"/>
      <c r="J21" s="59"/>
      <c r="K21" s="59"/>
      <c r="L21" s="19"/>
      <c r="M21" s="26">
        <f t="shared" si="0"/>
        <v>0</v>
      </c>
      <c r="N21" s="26">
        <f t="shared" si="1"/>
        <v>0</v>
      </c>
      <c r="O21" s="26">
        <f t="shared" si="2"/>
        <v>0</v>
      </c>
      <c r="P21" s="26"/>
      <c r="Q21" s="33"/>
      <c r="R21" s="33"/>
      <c r="S21" s="6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3"/>
      <c r="AE21" s="33"/>
      <c r="AF21" s="26">
        <f t="shared" si="3"/>
        <v>0</v>
      </c>
      <c r="AG21" s="27">
        <f t="shared" si="4"/>
        <v>0</v>
      </c>
    </row>
    <row r="22" spans="1:33" s="11" customFormat="1" ht="12" thickBot="1" x14ac:dyDescent="0.25">
      <c r="A22" s="29"/>
      <c r="B22" s="30"/>
      <c r="C22" s="35"/>
      <c r="D22" s="35"/>
      <c r="E22" s="35"/>
      <c r="F22" s="25"/>
      <c r="G22" s="28"/>
      <c r="H22" s="31"/>
      <c r="I22" s="31"/>
      <c r="J22" s="31"/>
      <c r="K22" s="31"/>
      <c r="L22" s="32"/>
      <c r="M22" s="33">
        <f t="shared" si="0"/>
        <v>0</v>
      </c>
      <c r="N22" s="33">
        <f t="shared" si="1"/>
        <v>0</v>
      </c>
      <c r="O22" s="33">
        <f t="shared" si="2"/>
        <v>0</v>
      </c>
      <c r="P22" s="33"/>
      <c r="Q22" s="33"/>
      <c r="R22" s="33"/>
      <c r="S22" s="33"/>
      <c r="T22" s="34"/>
      <c r="U22" s="43"/>
      <c r="V22" s="34"/>
      <c r="W22" s="34"/>
      <c r="X22" s="34"/>
      <c r="Y22" s="36"/>
      <c r="Z22" s="33"/>
      <c r="AA22" s="43"/>
      <c r="AB22" s="33"/>
      <c r="AC22" s="34"/>
      <c r="AD22" s="34"/>
      <c r="AE22" s="37"/>
      <c r="AF22" s="26">
        <f t="shared" si="3"/>
        <v>0</v>
      </c>
      <c r="AG22" s="27">
        <f t="shared" si="4"/>
        <v>0</v>
      </c>
    </row>
    <row r="23" spans="1:33" s="9" customFormat="1" ht="12.75" thickTop="1" thickBot="1" x14ac:dyDescent="0.25">
      <c r="A23" s="38"/>
      <c r="B23" s="39"/>
      <c r="C23" s="40"/>
      <c r="D23" s="41"/>
      <c r="E23" s="41"/>
      <c r="F23" s="42"/>
      <c r="G23" s="40"/>
      <c r="H23" s="43">
        <f>SUM(H5:H21)</f>
        <v>110</v>
      </c>
      <c r="I23" s="43">
        <f>SUM(I22:I22)</f>
        <v>0</v>
      </c>
      <c r="J23" s="43">
        <f>SUM(J5:J21)</f>
        <v>4346.9699999999993</v>
      </c>
      <c r="K23" s="43">
        <f>SUM(K5:K21)</f>
        <v>3700.9</v>
      </c>
      <c r="L23" s="43">
        <f>SUM(L22:L22)</f>
        <v>0</v>
      </c>
      <c r="M23" s="43">
        <f>SUM(M5:M21)</f>
        <v>7761.3449999999993</v>
      </c>
      <c r="N23" s="43">
        <f>SUM(N5:N21)</f>
        <v>396.52499999999992</v>
      </c>
      <c r="O23" s="43">
        <f>SUM(O22:O22)</f>
        <v>0</v>
      </c>
      <c r="P23" s="43">
        <f>SUM(P5:P21)</f>
        <v>6508.49</v>
      </c>
      <c r="Q23" s="43">
        <f>SUM(Q5:Q21)</f>
        <v>111.61</v>
      </c>
      <c r="R23" s="43">
        <f>SUM(R5:R21)</f>
        <v>1031.25</v>
      </c>
      <c r="S23" s="43">
        <f>SUM(S11:S22)</f>
        <v>0</v>
      </c>
      <c r="T23" s="43">
        <f>SUM(T11:T22)</f>
        <v>0</v>
      </c>
      <c r="U23" s="43">
        <f>SUM(U11:U22)</f>
        <v>0</v>
      </c>
      <c r="V23" s="43">
        <f>SUM(V11:V22)</f>
        <v>0</v>
      </c>
      <c r="W23" s="43">
        <f>SUM(W22:W22)</f>
        <v>0</v>
      </c>
      <c r="X23" s="43">
        <f>SUM(X22:X22)</f>
        <v>0</v>
      </c>
      <c r="Y23" s="43">
        <f>SUM(Y22:Y22)</f>
        <v>0</v>
      </c>
      <c r="Z23" s="43">
        <f>SUM(Z22:Z22)</f>
        <v>0</v>
      </c>
      <c r="AA23" s="43">
        <f>SUM(AA5:AA21)</f>
        <v>110</v>
      </c>
      <c r="AB23" s="43">
        <f>SUM(AB22:AB22)</f>
        <v>0</v>
      </c>
      <c r="AC23" s="43">
        <f>SUM(AC5:AC21)</f>
        <v>0</v>
      </c>
      <c r="AD23" s="43">
        <f>SUM(AD5:AD21)</f>
        <v>0</v>
      </c>
      <c r="AE23" s="43">
        <f>SUM(AE22:AE22)</f>
        <v>0</v>
      </c>
      <c r="AF23" s="43">
        <f>SUM(AF5:AF21)</f>
        <v>-8157.875</v>
      </c>
      <c r="AG23" s="43">
        <f>SUM(AG22:AG22)</f>
        <v>0</v>
      </c>
    </row>
    <row r="24" spans="1:33" s="86" customFormat="1" ht="12" thickTop="1" x14ac:dyDescent="0.2"/>
    <row r="25" spans="1:33" ht="12" x14ac:dyDescent="0.2">
      <c r="K25" s="44">
        <f ca="1">H23+J23+K23+1:1048576+AA23</f>
        <v>0</v>
      </c>
      <c r="L25" s="8"/>
      <c r="M25" s="7"/>
      <c r="AF25" s="45">
        <f>+AF23</f>
        <v>-8157.875</v>
      </c>
    </row>
    <row r="26" spans="1:33" ht="12" x14ac:dyDescent="0.2">
      <c r="K26" s="44"/>
      <c r="L26" s="8"/>
      <c r="M26" s="7"/>
      <c r="AF26" s="45"/>
    </row>
    <row r="27" spans="1:33" ht="12" x14ac:dyDescent="0.2">
      <c r="K27" s="44"/>
      <c r="L27" s="8"/>
      <c r="M27" s="7"/>
      <c r="AF27" s="45"/>
    </row>
    <row r="28" spans="1:33" x14ac:dyDescent="0.2">
      <c r="K28" s="7"/>
      <c r="L28" s="8"/>
      <c r="M28" s="7"/>
    </row>
    <row r="29" spans="1:33" ht="12.75" x14ac:dyDescent="0.2">
      <c r="C29" s="46" t="s">
        <v>46</v>
      </c>
      <c r="G29" s="9"/>
      <c r="J29" s="48" t="s">
        <v>39</v>
      </c>
      <c r="K29" s="50">
        <f>J5+K7+K8+J9+J11+K13+K14+J15+K16</f>
        <v>6892.869999999999</v>
      </c>
      <c r="L29" s="47"/>
      <c r="M29" s="47"/>
      <c r="N29" s="45"/>
      <c r="O29" s="45"/>
      <c r="P29" s="45"/>
      <c r="Q29" s="45"/>
    </row>
    <row r="30" spans="1:33" ht="12.75" x14ac:dyDescent="0.2">
      <c r="C30" s="46"/>
      <c r="G30" s="9"/>
      <c r="J30" s="48" t="s">
        <v>44</v>
      </c>
      <c r="K30" s="50"/>
      <c r="L30" s="47"/>
      <c r="M30" s="47"/>
      <c r="N30" s="45"/>
      <c r="O30" s="45"/>
      <c r="P30" s="45"/>
      <c r="Q30" s="45"/>
    </row>
    <row r="31" spans="1:33" ht="12.75" x14ac:dyDescent="0.2">
      <c r="J31" s="48" t="s">
        <v>40</v>
      </c>
      <c r="K31" s="49">
        <f>K6</f>
        <v>1155</v>
      </c>
      <c r="L31" s="8"/>
      <c r="M31" s="7"/>
    </row>
    <row r="32" spans="1:33" ht="12.75" x14ac:dyDescent="0.2">
      <c r="J32" s="48" t="s">
        <v>41</v>
      </c>
      <c r="K32" s="49">
        <f>H23</f>
        <v>110</v>
      </c>
      <c r="L32" s="8"/>
      <c r="M32" s="7"/>
    </row>
    <row r="33" spans="1:32" ht="12.75" x14ac:dyDescent="0.2">
      <c r="A33" s="1"/>
      <c r="B33" s="1"/>
      <c r="D33" s="1"/>
      <c r="E33" s="1"/>
      <c r="F33" s="1"/>
      <c r="H33" s="1"/>
      <c r="I33" s="1"/>
      <c r="J33" s="51" t="s">
        <v>42</v>
      </c>
      <c r="K33" s="52">
        <f>SUM(K29:K32)</f>
        <v>8157.869999999999</v>
      </c>
      <c r="L33" s="8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</row>
    <row r="34" spans="1:32" ht="12" x14ac:dyDescent="0.2">
      <c r="J34" s="45" t="s">
        <v>49</v>
      </c>
      <c r="K34" s="45"/>
    </row>
    <row r="35" spans="1:32" ht="12" x14ac:dyDescent="0.2">
      <c r="H35" s="53"/>
      <c r="I35" s="53"/>
      <c r="J35" s="53"/>
      <c r="K35" s="53"/>
      <c r="L35" s="60"/>
      <c r="M35" s="61"/>
    </row>
    <row r="36" spans="1:32" ht="12" x14ac:dyDescent="0.2">
      <c r="H36" s="53"/>
      <c r="I36" s="53"/>
      <c r="J36" s="53"/>
      <c r="K36" s="53"/>
    </row>
    <row r="37" spans="1:32" ht="12" x14ac:dyDescent="0.2">
      <c r="H37" s="53"/>
      <c r="I37" s="53"/>
      <c r="J37" s="53"/>
      <c r="K37" s="53"/>
    </row>
    <row r="38" spans="1:32" ht="12" x14ac:dyDescent="0.2">
      <c r="H38" s="53"/>
      <c r="I38" s="53"/>
      <c r="J38" s="53"/>
      <c r="K38" s="53"/>
    </row>
    <row r="39" spans="1:32" ht="12" x14ac:dyDescent="0.2">
      <c r="H39" s="53"/>
      <c r="I39" s="53"/>
      <c r="J39" s="53"/>
      <c r="K39" s="53"/>
    </row>
    <row r="40" spans="1:32" ht="12" x14ac:dyDescent="0.2">
      <c r="H40" s="53"/>
      <c r="I40" s="53"/>
      <c r="J40" s="53"/>
      <c r="K40" s="53"/>
      <c r="Q40" s="2">
        <v>0</v>
      </c>
    </row>
    <row r="41" spans="1:32" ht="12" x14ac:dyDescent="0.2">
      <c r="A41" s="1"/>
      <c r="B41" s="1"/>
      <c r="D41" s="1"/>
      <c r="E41" s="1"/>
      <c r="F41" s="1"/>
      <c r="H41" s="54"/>
      <c r="I41" s="54"/>
      <c r="J41" s="54"/>
      <c r="K41" s="54"/>
      <c r="L41" s="1"/>
      <c r="M41" s="1"/>
      <c r="N41" s="1"/>
      <c r="O41" s="1"/>
      <c r="P41" s="1"/>
      <c r="Q41" s="1"/>
      <c r="R41" s="1"/>
      <c r="S41" s="1"/>
      <c r="Z41" s="1"/>
      <c r="AA41" s="1"/>
      <c r="AB41" s="1"/>
      <c r="AC41" s="1"/>
      <c r="AD41" s="1"/>
      <c r="AE41" s="1"/>
      <c r="AF41" s="1"/>
    </row>
    <row r="42" spans="1:32" ht="12" x14ac:dyDescent="0.2">
      <c r="H42" s="53"/>
      <c r="I42" s="53"/>
      <c r="J42" s="53"/>
      <c r="K42" s="53"/>
    </row>
    <row r="43" spans="1:32" ht="12" x14ac:dyDescent="0.2">
      <c r="H43" s="53"/>
      <c r="I43" s="53"/>
      <c r="J43" s="53"/>
      <c r="K43" s="53"/>
    </row>
    <row r="44" spans="1:32" ht="12" x14ac:dyDescent="0.2">
      <c r="H44" s="53"/>
      <c r="I44" s="53"/>
      <c r="J44" s="53"/>
      <c r="K44" s="53"/>
    </row>
    <row r="45" spans="1:32" ht="12" x14ac:dyDescent="0.2">
      <c r="H45" s="53"/>
      <c r="I45" s="53"/>
      <c r="J45" s="53"/>
      <c r="K45" s="53"/>
    </row>
    <row r="46" spans="1:32" x14ac:dyDescent="0.2">
      <c r="H46" s="55"/>
      <c r="I46" s="55"/>
      <c r="J46" s="55"/>
      <c r="K46" s="55"/>
    </row>
    <row r="47" spans="1:32" x14ac:dyDescent="0.2">
      <c r="H47" s="55"/>
      <c r="I47" s="55"/>
      <c r="J47" s="55"/>
      <c r="K47" s="55"/>
    </row>
    <row r="48" spans="1:32" x14ac:dyDescent="0.2">
      <c r="A48" s="1"/>
      <c r="B48" s="1"/>
      <c r="D48" s="1"/>
      <c r="E48" s="1"/>
      <c r="F48" s="1"/>
      <c r="H48" s="55"/>
      <c r="I48" s="55"/>
      <c r="J48" s="55"/>
      <c r="K48" s="55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D49" s="1"/>
      <c r="E49" s="1"/>
      <c r="F49" s="1"/>
      <c r="H49" s="55"/>
      <c r="I49" s="55"/>
      <c r="J49" s="55"/>
      <c r="K49" s="55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D50" s="1"/>
      <c r="E50" s="1"/>
      <c r="F50" s="1"/>
      <c r="H50" s="55"/>
      <c r="I50" s="55"/>
      <c r="J50" s="55"/>
      <c r="K50" s="55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</sheetData>
  <mergeCells count="1">
    <mergeCell ref="A24:XF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Nov 5-6</vt:lpstr>
      <vt:lpstr>Nov 5-7</vt:lpstr>
      <vt:lpstr>Nov 10-14</vt:lpstr>
      <vt:lpstr>Nov13</vt:lpstr>
      <vt:lpstr>Nov 14-21</vt:lpstr>
      <vt:lpstr>Nov 19-21</vt:lpstr>
      <vt:lpstr>Nov 23</vt:lpstr>
      <vt:lpstr>Nov. 23-28</vt:lpstr>
      <vt:lpstr>Nov. 28-30</vt:lpstr>
      <vt:lpstr>Wine</vt:lpstr>
      <vt:lpstr>Nov 30-Dec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default</cp:lastModifiedBy>
  <cp:lastPrinted>2020-12-08T03:25:49Z</cp:lastPrinted>
  <dcterms:created xsi:type="dcterms:W3CDTF">2014-11-05T03:52:28Z</dcterms:created>
  <dcterms:modified xsi:type="dcterms:W3CDTF">2021-03-09T08:24:19Z</dcterms:modified>
</cp:coreProperties>
</file>