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12\"/>
    </mc:Choice>
  </mc:AlternateContent>
  <xr:revisionPtr revIDLastSave="0" documentId="13_ncr:1_{79E18B2C-23A3-46D7-A64B-FFDDE8EC1A18}" xr6:coauthVersionLast="45" xr6:coauthVersionMax="45" xr10:uidLastSave="{00000000-0000-0000-0000-000000000000}"/>
  <bookViews>
    <workbookView xWindow="0" yWindow="2640" windowWidth="24030" windowHeight="645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05" i="1" l="1"/>
  <c r="AK94" i="1" l="1"/>
  <c r="AL94" i="1"/>
  <c r="AM94" i="1"/>
  <c r="AN94" i="1"/>
  <c r="AK93" i="1"/>
  <c r="AL93" i="1"/>
  <c r="AM93" i="1"/>
  <c r="AN93" i="1"/>
  <c r="AK73" i="1"/>
  <c r="AL73" i="1"/>
  <c r="AM73" i="1"/>
  <c r="AN73" i="1"/>
  <c r="AK72" i="1"/>
  <c r="AL72" i="1"/>
  <c r="AM72" i="1"/>
  <c r="AN72" i="1"/>
  <c r="AK52" i="1"/>
  <c r="AL52" i="1"/>
  <c r="AM52" i="1"/>
  <c r="AN52" i="1"/>
  <c r="AZ49" i="1"/>
  <c r="BQ49" i="1"/>
  <c r="AK49" i="1"/>
  <c r="AL49" i="1"/>
  <c r="AM49" i="1"/>
  <c r="AN49" i="1"/>
  <c r="AI49" i="1"/>
  <c r="AH49" i="1"/>
  <c r="AG49" i="1"/>
  <c r="M49" i="1"/>
  <c r="N49" i="1"/>
  <c r="O49" i="1"/>
  <c r="H49" i="1"/>
  <c r="G49" i="1"/>
  <c r="AK31" i="1"/>
  <c r="AL31" i="1"/>
  <c r="AM31" i="1"/>
  <c r="AN31" i="1"/>
  <c r="C71" i="1"/>
  <c r="D71" i="1"/>
  <c r="E71" i="1"/>
  <c r="AL82" i="1"/>
  <c r="AM82" i="1"/>
  <c r="AN82" i="1"/>
  <c r="C83" i="1"/>
  <c r="AJ83" i="1"/>
  <c r="AK83" i="1"/>
  <c r="Y83" i="1"/>
  <c r="AL83" i="1"/>
  <c r="AM83" i="1"/>
  <c r="AN83" i="1"/>
  <c r="AK61" i="1"/>
  <c r="AL61" i="1"/>
  <c r="AM61" i="1"/>
  <c r="AN61" i="1"/>
  <c r="AK40" i="1"/>
  <c r="AL40" i="1"/>
  <c r="AM40" i="1"/>
  <c r="AN40" i="1"/>
  <c r="AK19" i="1"/>
  <c r="AL19" i="1"/>
  <c r="AM19" i="1"/>
  <c r="AN19" i="1"/>
  <c r="AZ64" i="1"/>
  <c r="BQ64" i="1"/>
  <c r="AK64" i="1"/>
  <c r="AL64" i="1"/>
  <c r="AM64" i="1"/>
  <c r="AN64" i="1"/>
  <c r="AI64" i="1"/>
  <c r="AH64" i="1"/>
  <c r="AG64" i="1"/>
  <c r="W64" i="1"/>
  <c r="U64" i="1"/>
  <c r="T64" i="1"/>
  <c r="V64" i="1"/>
  <c r="P64" i="1"/>
  <c r="N64" i="1"/>
  <c r="M64" i="1"/>
  <c r="O64" i="1"/>
  <c r="H64" i="1"/>
  <c r="AK43" i="1"/>
  <c r="AL43" i="1"/>
  <c r="AM43" i="1"/>
  <c r="AN43" i="1"/>
  <c r="H31" i="1"/>
  <c r="G31" i="1"/>
  <c r="AK25" i="1"/>
  <c r="AL25" i="1"/>
  <c r="AM25" i="1"/>
  <c r="AN25" i="1"/>
  <c r="AJ38" i="1"/>
  <c r="BD28" i="1"/>
  <c r="BC28" i="1"/>
  <c r="BQ28" i="1"/>
  <c r="AK28" i="1"/>
  <c r="AL28" i="1"/>
  <c r="AM28" i="1"/>
  <c r="AN28" i="1"/>
  <c r="AI28" i="1"/>
  <c r="AH28" i="1"/>
  <c r="AG28" i="1"/>
  <c r="N28" i="1"/>
  <c r="M28" i="1"/>
  <c r="H28" i="1"/>
  <c r="G28" i="1"/>
  <c r="BD31" i="1"/>
  <c r="AZ31" i="1"/>
  <c r="BQ31" i="1"/>
  <c r="AI31" i="1"/>
  <c r="AH31" i="1"/>
  <c r="AG31" i="1"/>
  <c r="N31" i="1"/>
  <c r="M31" i="1"/>
  <c r="O31" i="1"/>
  <c r="O28" i="1"/>
  <c r="G19" i="1"/>
  <c r="G18" i="1"/>
  <c r="G20" i="1"/>
  <c r="E5" i="2"/>
  <c r="G99" i="1"/>
  <c r="H99" i="1"/>
  <c r="M99" i="1"/>
  <c r="N99" i="1"/>
  <c r="P99" i="1"/>
  <c r="O99" i="1"/>
  <c r="T99" i="1"/>
  <c r="U99" i="1"/>
  <c r="W99" i="1"/>
  <c r="V99" i="1"/>
  <c r="AG99" i="1"/>
  <c r="AH99" i="1"/>
  <c r="AI99" i="1"/>
  <c r="AK99" i="1"/>
  <c r="AL99" i="1"/>
  <c r="AZ99" i="1"/>
  <c r="BC99" i="1"/>
  <c r="BD99" i="1"/>
  <c r="BQ99" i="1"/>
  <c r="G100" i="1"/>
  <c r="AF5" i="2"/>
  <c r="H100" i="1"/>
  <c r="AF6" i="2"/>
  <c r="M100" i="1"/>
  <c r="AF9" i="2"/>
  <c r="N100" i="1"/>
  <c r="P100" i="1"/>
  <c r="T100" i="1"/>
  <c r="U100" i="1"/>
  <c r="W100" i="1"/>
  <c r="V100" i="1"/>
  <c r="AG100" i="1"/>
  <c r="AG101" i="1"/>
  <c r="AH100" i="1"/>
  <c r="AI100" i="1"/>
  <c r="AF25" i="2"/>
  <c r="AK100" i="1"/>
  <c r="AL100" i="1"/>
  <c r="AM100" i="1"/>
  <c r="AZ100" i="1"/>
  <c r="BQ100" i="1"/>
  <c r="C101" i="1"/>
  <c r="H67" i="1"/>
  <c r="H66" i="1"/>
  <c r="H68" i="1"/>
  <c r="U6" i="2"/>
  <c r="G67" i="1"/>
  <c r="G66" i="1"/>
  <c r="G68" i="1"/>
  <c r="U5" i="2"/>
  <c r="AG46" i="1"/>
  <c r="AG45" i="1"/>
  <c r="AG47" i="1"/>
  <c r="N23" i="2"/>
  <c r="BA29" i="1"/>
  <c r="H31" i="2"/>
  <c r="AK84" i="1"/>
  <c r="AL84" i="1"/>
  <c r="AM84" i="1"/>
  <c r="AN84" i="1"/>
  <c r="AK63" i="1"/>
  <c r="AL63" i="1"/>
  <c r="AK60" i="1"/>
  <c r="AL60" i="1"/>
  <c r="AM60" i="1"/>
  <c r="I59" i="1"/>
  <c r="AL46" i="1"/>
  <c r="AM46" i="1"/>
  <c r="AN46" i="1"/>
  <c r="AK45" i="1"/>
  <c r="AL45" i="1"/>
  <c r="AK42" i="1"/>
  <c r="AL42" i="1"/>
  <c r="AK39" i="1"/>
  <c r="AL39" i="1"/>
  <c r="AM39" i="1"/>
  <c r="AN39" i="1"/>
  <c r="AK22" i="1"/>
  <c r="AL22" i="1"/>
  <c r="AM22" i="1"/>
  <c r="AN22" i="1"/>
  <c r="AK21" i="1"/>
  <c r="AL21" i="1"/>
  <c r="AM21" i="1"/>
  <c r="AN21" i="1"/>
  <c r="AK96" i="1"/>
  <c r="AL96" i="1"/>
  <c r="AM96" i="1"/>
  <c r="AN96" i="1"/>
  <c r="AK91" i="1"/>
  <c r="AL91" i="1"/>
  <c r="AM91" i="1"/>
  <c r="AK90" i="1"/>
  <c r="AL90" i="1"/>
  <c r="AM90" i="1"/>
  <c r="AN90" i="1"/>
  <c r="AL79" i="1"/>
  <c r="AM79" i="1"/>
  <c r="AL78" i="1"/>
  <c r="AM78" i="1"/>
  <c r="AN78" i="1"/>
  <c r="AK70" i="1"/>
  <c r="AL70" i="1"/>
  <c r="AK69" i="1"/>
  <c r="AL69" i="1"/>
  <c r="AM69" i="1"/>
  <c r="AN69" i="1"/>
  <c r="AL48" i="1"/>
  <c r="AM48" i="1"/>
  <c r="AN48" i="1"/>
  <c r="AK16" i="1"/>
  <c r="AL16" i="1"/>
  <c r="AK15" i="1"/>
  <c r="AL15" i="1"/>
  <c r="AM15" i="1"/>
  <c r="AN15" i="1"/>
  <c r="AK75" i="1"/>
  <c r="AL75" i="1"/>
  <c r="AM75" i="1"/>
  <c r="AN75" i="1"/>
  <c r="AK58" i="1"/>
  <c r="AL58" i="1"/>
  <c r="AK57" i="1"/>
  <c r="AL57" i="1"/>
  <c r="AM57" i="1"/>
  <c r="AN57" i="1"/>
  <c r="AK54" i="1"/>
  <c r="AL54" i="1"/>
  <c r="AK37" i="1"/>
  <c r="AL37" i="1"/>
  <c r="AM37" i="1"/>
  <c r="AK36" i="1"/>
  <c r="AL36" i="1"/>
  <c r="AM36" i="1"/>
  <c r="AN36" i="1"/>
  <c r="AK34" i="1"/>
  <c r="AL34" i="1"/>
  <c r="AM34" i="1"/>
  <c r="AK33" i="1"/>
  <c r="AL33" i="1"/>
  <c r="AK13" i="1"/>
  <c r="AL13" i="1"/>
  <c r="AM13" i="1"/>
  <c r="AK12" i="1"/>
  <c r="AL12" i="1"/>
  <c r="AM12" i="1"/>
  <c r="AN12" i="1"/>
  <c r="D83" i="1"/>
  <c r="E83" i="1"/>
  <c r="Z3" i="2"/>
  <c r="AL88" i="1"/>
  <c r="AK87" i="1"/>
  <c r="AL87" i="1"/>
  <c r="AM87" i="1"/>
  <c r="AN87" i="1"/>
  <c r="AL85" i="1"/>
  <c r="K74" i="1"/>
  <c r="AL67" i="1"/>
  <c r="AK66" i="1"/>
  <c r="AL66" i="1"/>
  <c r="AM66" i="1"/>
  <c r="AN66" i="1"/>
  <c r="H48" i="1"/>
  <c r="G48" i="1"/>
  <c r="AL27" i="1"/>
  <c r="AM27" i="1"/>
  <c r="AN27" i="1"/>
  <c r="AK24" i="1"/>
  <c r="AL24" i="1"/>
  <c r="AK76" i="1"/>
  <c r="AL76" i="1"/>
  <c r="AK55" i="1"/>
  <c r="AL55" i="1"/>
  <c r="AM55" i="1"/>
  <c r="AL51" i="1"/>
  <c r="AM51" i="1"/>
  <c r="AN51" i="1"/>
  <c r="AL30" i="1"/>
  <c r="AM30" i="1"/>
  <c r="AN30" i="1"/>
  <c r="AK10" i="1"/>
  <c r="AL10" i="1"/>
  <c r="AL9" i="1"/>
  <c r="AM9" i="1"/>
  <c r="AN9" i="1"/>
  <c r="AL81" i="1"/>
  <c r="AM81" i="1"/>
  <c r="AN81" i="1"/>
  <c r="N58" i="1"/>
  <c r="N57" i="1"/>
  <c r="N59" i="1"/>
  <c r="R10" i="2"/>
  <c r="M58" i="1"/>
  <c r="M57" i="1"/>
  <c r="AI40" i="1"/>
  <c r="AH40" i="1"/>
  <c r="AG40" i="1"/>
  <c r="AI39" i="1"/>
  <c r="AH39" i="1"/>
  <c r="AG39" i="1"/>
  <c r="AI30" i="1"/>
  <c r="AI32" i="1"/>
  <c r="I25" i="2"/>
  <c r="AH30" i="1"/>
  <c r="AG30" i="1"/>
  <c r="AK18" i="1"/>
  <c r="AL18" i="1"/>
  <c r="AM18" i="1"/>
  <c r="AN18" i="1"/>
  <c r="H76" i="1"/>
  <c r="G76" i="1"/>
  <c r="H75" i="1"/>
  <c r="G75" i="1"/>
  <c r="AP29" i="1"/>
  <c r="O57" i="1"/>
  <c r="K101" i="1"/>
  <c r="K98" i="1"/>
  <c r="K77" i="1"/>
  <c r="K80" i="1"/>
  <c r="K83" i="1"/>
  <c r="K86" i="1"/>
  <c r="K89" i="1"/>
  <c r="K92" i="1"/>
  <c r="K95" i="1"/>
  <c r="L98" i="1"/>
  <c r="H82" i="1"/>
  <c r="H81" i="1"/>
  <c r="H83" i="1"/>
  <c r="Z6" i="2"/>
  <c r="G81" i="1"/>
  <c r="H79" i="1"/>
  <c r="H78" i="1"/>
  <c r="H80" i="1"/>
  <c r="Y6" i="2"/>
  <c r="G79" i="1"/>
  <c r="G78" i="1"/>
  <c r="G80" i="1"/>
  <c r="Y5" i="2"/>
  <c r="H73" i="1"/>
  <c r="H72" i="1"/>
  <c r="H74" i="1"/>
  <c r="W6" i="2"/>
  <c r="G73" i="1"/>
  <c r="G72" i="1"/>
  <c r="G74" i="1"/>
  <c r="W5" i="2"/>
  <c r="AR101" i="1"/>
  <c r="K26" i="1"/>
  <c r="A12" i="1"/>
  <c r="C2" i="2"/>
  <c r="AR74" i="1"/>
  <c r="W13" i="1"/>
  <c r="U13" i="1"/>
  <c r="T13" i="1"/>
  <c r="W12" i="1"/>
  <c r="U12" i="1"/>
  <c r="T12" i="1"/>
  <c r="V13" i="1"/>
  <c r="V12" i="1"/>
  <c r="AI55" i="1"/>
  <c r="AH55" i="1"/>
  <c r="AG55" i="1"/>
  <c r="N22" i="1"/>
  <c r="M22" i="1"/>
  <c r="N21" i="1"/>
  <c r="M21" i="1"/>
  <c r="AI96" i="1"/>
  <c r="AH96" i="1"/>
  <c r="AG96" i="1"/>
  <c r="AR83" i="1"/>
  <c r="F115" i="4"/>
  <c r="A3" i="4"/>
  <c r="A37" i="4"/>
  <c r="A69" i="4"/>
  <c r="A101" i="4"/>
  <c r="L54" i="3"/>
  <c r="M53" i="3"/>
  <c r="K51" i="3"/>
  <c r="C51" i="3"/>
  <c r="F51" i="3"/>
  <c r="K50" i="3"/>
  <c r="M50" i="3"/>
  <c r="C50" i="3"/>
  <c r="E50" i="3"/>
  <c r="K48" i="3"/>
  <c r="C48" i="3"/>
  <c r="E48" i="3"/>
  <c r="C47" i="3"/>
  <c r="E47" i="3"/>
  <c r="E49" i="3"/>
  <c r="K47" i="3"/>
  <c r="M47" i="3"/>
  <c r="K45" i="3"/>
  <c r="N45" i="3"/>
  <c r="C45" i="3"/>
  <c r="D45" i="3"/>
  <c r="C44" i="3"/>
  <c r="D44" i="3"/>
  <c r="D46" i="3"/>
  <c r="K44" i="3"/>
  <c r="M44" i="3"/>
  <c r="E44" i="3"/>
  <c r="K42" i="3"/>
  <c r="K41" i="3"/>
  <c r="K43" i="3"/>
  <c r="C42" i="3"/>
  <c r="C41" i="3"/>
  <c r="C43" i="3"/>
  <c r="M41" i="3"/>
  <c r="E41" i="3"/>
  <c r="K39" i="3"/>
  <c r="N39" i="3"/>
  <c r="K38" i="3"/>
  <c r="N38" i="3"/>
  <c r="N40" i="3"/>
  <c r="C39" i="3"/>
  <c r="D39" i="3"/>
  <c r="M38" i="3"/>
  <c r="C38" i="3"/>
  <c r="E38" i="3"/>
  <c r="K36" i="3"/>
  <c r="L36" i="3"/>
  <c r="K35" i="3"/>
  <c r="L35" i="3"/>
  <c r="L37" i="3"/>
  <c r="C36" i="3"/>
  <c r="M35" i="3"/>
  <c r="C35" i="3"/>
  <c r="E35" i="3"/>
  <c r="K33" i="3"/>
  <c r="N33" i="3"/>
  <c r="K32" i="3"/>
  <c r="N32" i="3"/>
  <c r="N34" i="3"/>
  <c r="C33" i="3"/>
  <c r="D33" i="3"/>
  <c r="C32" i="3"/>
  <c r="D32" i="3"/>
  <c r="D34" i="3"/>
  <c r="M32" i="3"/>
  <c r="E32" i="3"/>
  <c r="K30" i="3"/>
  <c r="N30" i="3"/>
  <c r="C30" i="3"/>
  <c r="C29" i="3"/>
  <c r="C31" i="3"/>
  <c r="K29" i="3"/>
  <c r="M29" i="3"/>
  <c r="E29" i="3"/>
  <c r="K27" i="3"/>
  <c r="N27" i="3"/>
  <c r="K26" i="3"/>
  <c r="N26" i="3"/>
  <c r="N28" i="3"/>
  <c r="C27" i="3"/>
  <c r="E27" i="3"/>
  <c r="M26" i="3"/>
  <c r="C26" i="3"/>
  <c r="E26" i="3"/>
  <c r="K24" i="3"/>
  <c r="M24" i="3"/>
  <c r="K23" i="3"/>
  <c r="M23" i="3"/>
  <c r="M25" i="3"/>
  <c r="C24" i="3"/>
  <c r="D24" i="3"/>
  <c r="C23" i="3"/>
  <c r="D23" i="3"/>
  <c r="D25" i="3"/>
  <c r="E23" i="3"/>
  <c r="K21" i="3"/>
  <c r="L21" i="3"/>
  <c r="K20" i="3"/>
  <c r="L20" i="3"/>
  <c r="L22" i="3"/>
  <c r="C21" i="3"/>
  <c r="D21" i="3"/>
  <c r="C20" i="3"/>
  <c r="D20" i="3"/>
  <c r="D22" i="3"/>
  <c r="M20" i="3"/>
  <c r="E20" i="3"/>
  <c r="K18" i="3"/>
  <c r="N18" i="3"/>
  <c r="C18" i="3"/>
  <c r="K17" i="3"/>
  <c r="M17" i="3"/>
  <c r="C17" i="3"/>
  <c r="E17" i="3"/>
  <c r="K15" i="3"/>
  <c r="N15" i="3"/>
  <c r="K14" i="3"/>
  <c r="N14" i="3"/>
  <c r="N16" i="3"/>
  <c r="C15" i="3"/>
  <c r="D15" i="3"/>
  <c r="C14" i="3"/>
  <c r="D14" i="3"/>
  <c r="D16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E14" i="3"/>
  <c r="K12" i="3"/>
  <c r="L12" i="3"/>
  <c r="C12" i="3"/>
  <c r="C11" i="3"/>
  <c r="C13" i="3"/>
  <c r="K11" i="3"/>
  <c r="M11" i="3"/>
  <c r="E11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K9" i="3"/>
  <c r="N9" i="3"/>
  <c r="C9" i="3"/>
  <c r="D9" i="3"/>
  <c r="C8" i="3"/>
  <c r="D8" i="3"/>
  <c r="D10" i="3"/>
  <c r="K8" i="3"/>
  <c r="M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B2" i="2"/>
  <c r="BO105" i="1"/>
  <c r="BN105" i="1"/>
  <c r="BM105" i="1"/>
  <c r="BL105" i="1"/>
  <c r="BK105" i="1"/>
  <c r="BJ105" i="1"/>
  <c r="AF103" i="1"/>
  <c r="G10" i="4"/>
  <c r="AE103" i="1"/>
  <c r="AF105" i="1"/>
  <c r="AC103" i="1"/>
  <c r="AB103" i="1"/>
  <c r="AA103" i="1"/>
  <c r="Z103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24" i="2"/>
  <c r="AF16" i="2"/>
  <c r="AF14" i="2"/>
  <c r="AF13" i="2"/>
  <c r="AF12" i="2"/>
  <c r="AF10" i="2"/>
  <c r="BD101" i="1"/>
  <c r="BC101" i="1"/>
  <c r="U101" i="1"/>
  <c r="P101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I98" i="1"/>
  <c r="AE25" i="2"/>
  <c r="AH97" i="1"/>
  <c r="AG97" i="1"/>
  <c r="AG98" i="1"/>
  <c r="AE23" i="2"/>
  <c r="N97" i="1"/>
  <c r="N96" i="1"/>
  <c r="N98" i="1"/>
  <c r="AE10" i="2"/>
  <c r="M97" i="1"/>
  <c r="H97" i="1"/>
  <c r="H96" i="1"/>
  <c r="H98" i="1"/>
  <c r="AE6" i="2"/>
  <c r="G97" i="1"/>
  <c r="G96" i="1"/>
  <c r="G98" i="1"/>
  <c r="AE5" i="2"/>
  <c r="BD96" i="1"/>
  <c r="BD98" i="1"/>
  <c r="BC96" i="1"/>
  <c r="BC98" i="1"/>
  <c r="AZ96" i="1"/>
  <c r="M96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/>
  <c r="I95" i="1"/>
  <c r="AD7" i="2"/>
  <c r="E95" i="1"/>
  <c r="AD3" i="2"/>
  <c r="D95" i="1"/>
  <c r="C95" i="1"/>
  <c r="AZ94" i="1"/>
  <c r="BQ94" i="1"/>
  <c r="AZ93" i="1"/>
  <c r="BD93" i="1"/>
  <c r="BC93" i="1"/>
  <c r="BQ93" i="1"/>
  <c r="BQ95" i="1"/>
  <c r="AD34" i="2"/>
  <c r="AI94" i="1"/>
  <c r="AH94" i="1"/>
  <c r="AG94" i="1"/>
  <c r="N94" i="1"/>
  <c r="N93" i="1"/>
  <c r="N95" i="1"/>
  <c r="AD10" i="2"/>
  <c r="M94" i="1"/>
  <c r="H94" i="1"/>
  <c r="H93" i="1"/>
  <c r="H95" i="1"/>
  <c r="AD6" i="2"/>
  <c r="G94" i="1"/>
  <c r="G93" i="1"/>
  <c r="G95" i="1"/>
  <c r="AD5" i="2"/>
  <c r="BD95" i="1"/>
  <c r="BC95" i="1"/>
  <c r="AI93" i="1"/>
  <c r="AH93" i="1"/>
  <c r="AH95" i="1"/>
  <c r="AG93" i="1"/>
  <c r="M93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/>
  <c r="I92" i="1"/>
  <c r="AC7" i="2"/>
  <c r="E92" i="1"/>
  <c r="AC3" i="2"/>
  <c r="D92" i="1"/>
  <c r="C92" i="1"/>
  <c r="AZ91" i="1"/>
  <c r="BQ91" i="1"/>
  <c r="AZ90" i="1"/>
  <c r="BD90" i="1"/>
  <c r="BC90" i="1"/>
  <c r="BQ90" i="1"/>
  <c r="BQ92" i="1"/>
  <c r="AC34" i="2"/>
  <c r="AI91" i="1"/>
  <c r="AH91" i="1"/>
  <c r="AG91" i="1"/>
  <c r="N91" i="1"/>
  <c r="N90" i="1"/>
  <c r="N92" i="1"/>
  <c r="AC10" i="2"/>
  <c r="M91" i="1"/>
  <c r="M90" i="1"/>
  <c r="M92" i="1"/>
  <c r="AC9" i="2"/>
  <c r="H91" i="1"/>
  <c r="H90" i="1"/>
  <c r="H92" i="1"/>
  <c r="AC6" i="2"/>
  <c r="G91" i="1"/>
  <c r="G90" i="1"/>
  <c r="G92" i="1"/>
  <c r="AC5" i="2"/>
  <c r="BD92" i="1"/>
  <c r="BC92" i="1"/>
  <c r="AZ92" i="1"/>
  <c r="AC30" i="2"/>
  <c r="AI90" i="1"/>
  <c r="AH90" i="1"/>
  <c r="AG90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/>
  <c r="I89" i="1"/>
  <c r="AB7" i="2"/>
  <c r="E89" i="1"/>
  <c r="AB3" i="2"/>
  <c r="D89" i="1"/>
  <c r="C89" i="1"/>
  <c r="AZ88" i="1"/>
  <c r="BQ88" i="1"/>
  <c r="AZ87" i="1"/>
  <c r="BD87" i="1"/>
  <c r="BC87" i="1"/>
  <c r="BQ87" i="1"/>
  <c r="BQ89" i="1"/>
  <c r="AB34" i="2"/>
  <c r="AI88" i="1"/>
  <c r="AI87" i="1"/>
  <c r="AI89" i="1"/>
  <c r="AB25" i="2"/>
  <c r="AH88" i="1"/>
  <c r="AH87" i="1"/>
  <c r="AH89" i="1"/>
  <c r="AB24" i="2"/>
  <c r="AG88" i="1"/>
  <c r="N88" i="1"/>
  <c r="M88" i="1"/>
  <c r="M87" i="1"/>
  <c r="M89" i="1"/>
  <c r="AB9" i="2"/>
  <c r="H88" i="1"/>
  <c r="H87" i="1"/>
  <c r="H89" i="1"/>
  <c r="AB6" i="2"/>
  <c r="G88" i="1"/>
  <c r="G87" i="1"/>
  <c r="G89" i="1"/>
  <c r="AB5" i="2"/>
  <c r="BD89" i="1"/>
  <c r="BC89" i="1"/>
  <c r="AG87" i="1"/>
  <c r="N87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/>
  <c r="BA86" i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/>
  <c r="AJ86" i="1"/>
  <c r="AA26" i="2"/>
  <c r="Y86" i="1"/>
  <c r="AA17" i="2"/>
  <c r="W86" i="1"/>
  <c r="AA16" i="2"/>
  <c r="V86" i="1"/>
  <c r="AA15" i="2"/>
  <c r="U86" i="1"/>
  <c r="AA14" i="2"/>
  <c r="T86" i="1"/>
  <c r="AA13" i="2"/>
  <c r="S86" i="1"/>
  <c r="R86" i="1"/>
  <c r="P86" i="1"/>
  <c r="AA12" i="2"/>
  <c r="L86" i="1"/>
  <c r="J86" i="1"/>
  <c r="AA8" i="2"/>
  <c r="I86" i="1"/>
  <c r="AA7" i="2"/>
  <c r="E86" i="1"/>
  <c r="AA3" i="2"/>
  <c r="D86" i="1"/>
  <c r="C86" i="1"/>
  <c r="AZ85" i="1"/>
  <c r="BQ85" i="1"/>
  <c r="AZ84" i="1"/>
  <c r="BD84" i="1"/>
  <c r="BC84" i="1"/>
  <c r="BQ84" i="1"/>
  <c r="BQ86" i="1"/>
  <c r="AA34" i="2"/>
  <c r="AI85" i="1"/>
  <c r="AI84" i="1"/>
  <c r="AI86" i="1"/>
  <c r="AA25" i="2"/>
  <c r="AH85" i="1"/>
  <c r="AG85" i="1"/>
  <c r="N85" i="1"/>
  <c r="N84" i="1"/>
  <c r="N86" i="1"/>
  <c r="AA10" i="2"/>
  <c r="M85" i="1"/>
  <c r="H85" i="1"/>
  <c r="H84" i="1"/>
  <c r="H86" i="1"/>
  <c r="AA6" i="2"/>
  <c r="G85" i="1"/>
  <c r="G84" i="1"/>
  <c r="G86" i="1"/>
  <c r="AA5" i="2"/>
  <c r="BD86" i="1"/>
  <c r="BC86" i="1"/>
  <c r="AH84" i="1"/>
  <c r="AG84" i="1"/>
  <c r="M84" i="1"/>
  <c r="BO83" i="1"/>
  <c r="BN83" i="1"/>
  <c r="BM83" i="1"/>
  <c r="BL83" i="1"/>
  <c r="BK83" i="1"/>
  <c r="BJ83" i="1"/>
  <c r="BI83" i="1"/>
  <c r="BH83" i="1"/>
  <c r="BG83" i="1"/>
  <c r="BE83" i="1"/>
  <c r="BB83" i="1"/>
  <c r="Z32" i="2"/>
  <c r="AY83" i="1"/>
  <c r="AX83" i="1"/>
  <c r="AW83" i="1"/>
  <c r="AV83" i="1"/>
  <c r="AU83" i="1"/>
  <c r="AT83" i="1"/>
  <c r="AS83" i="1"/>
  <c r="AQ83" i="1"/>
  <c r="AP83" i="1"/>
  <c r="AO83" i="1"/>
  <c r="Z26" i="2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/>
  <c r="I83" i="1"/>
  <c r="Z7" i="2"/>
  <c r="G83" i="1"/>
  <c r="Z5" i="2"/>
  <c r="AZ82" i="1"/>
  <c r="BQ82" i="1"/>
  <c r="AZ81" i="1"/>
  <c r="BD81" i="1"/>
  <c r="BC81" i="1"/>
  <c r="BQ81" i="1"/>
  <c r="BQ83" i="1"/>
  <c r="Z34" i="2"/>
  <c r="AI82" i="1"/>
  <c r="AI81" i="1"/>
  <c r="AI83" i="1"/>
  <c r="Z25" i="2"/>
  <c r="AH82" i="1"/>
  <c r="AH81" i="1"/>
  <c r="AH83" i="1"/>
  <c r="Z24" i="2"/>
  <c r="AG82" i="1"/>
  <c r="P82" i="1"/>
  <c r="N82" i="1"/>
  <c r="N81" i="1"/>
  <c r="N83" i="1"/>
  <c r="Z10" i="2"/>
  <c r="M82" i="1"/>
  <c r="M81" i="1"/>
  <c r="M83" i="1"/>
  <c r="Z9" i="2"/>
  <c r="BD83" i="1"/>
  <c r="BC83" i="1"/>
  <c r="AG81" i="1"/>
  <c r="P81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/>
  <c r="E80" i="1"/>
  <c r="Y3" i="2"/>
  <c r="D80" i="1"/>
  <c r="C80" i="1"/>
  <c r="AZ79" i="1"/>
  <c r="BQ79" i="1"/>
  <c r="AZ78" i="1"/>
  <c r="BD78" i="1"/>
  <c r="BC78" i="1"/>
  <c r="BQ78" i="1"/>
  <c r="BQ80" i="1"/>
  <c r="Y34" i="2"/>
  <c r="AI79" i="1"/>
  <c r="AH79" i="1"/>
  <c r="AH78" i="1"/>
  <c r="AH80" i="1"/>
  <c r="Y24" i="2"/>
  <c r="AG79" i="1"/>
  <c r="AG78" i="1"/>
  <c r="AG80" i="1"/>
  <c r="Y23" i="2"/>
  <c r="W79" i="1"/>
  <c r="U79" i="1"/>
  <c r="T79" i="1"/>
  <c r="P79" i="1"/>
  <c r="N79" i="1"/>
  <c r="N78" i="1"/>
  <c r="N80" i="1"/>
  <c r="Y10" i="2"/>
  <c r="M79" i="1"/>
  <c r="BD80" i="1"/>
  <c r="BC80" i="1"/>
  <c r="AI78" i="1"/>
  <c r="AI80" i="1"/>
  <c r="Y25" i="2"/>
  <c r="W78" i="1"/>
  <c r="W80" i="1"/>
  <c r="Y16" i="2"/>
  <c r="U78" i="1"/>
  <c r="U80" i="1"/>
  <c r="Y14" i="2"/>
  <c r="T78" i="1"/>
  <c r="T80" i="1"/>
  <c r="Y13" i="2"/>
  <c r="P78" i="1"/>
  <c r="P80" i="1"/>
  <c r="Y12" i="2"/>
  <c r="M78" i="1"/>
  <c r="M80" i="1"/>
  <c r="Y9" i="2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J77" i="1"/>
  <c r="X26" i="2"/>
  <c r="Y77" i="1"/>
  <c r="X17" i="2"/>
  <c r="W77" i="1"/>
  <c r="X16" i="2"/>
  <c r="V77" i="1"/>
  <c r="X15" i="2"/>
  <c r="U77" i="1"/>
  <c r="X14" i="2"/>
  <c r="T77" i="1"/>
  <c r="X13" i="2"/>
  <c r="S77" i="1"/>
  <c r="R77" i="1"/>
  <c r="P77" i="1"/>
  <c r="X12" i="2"/>
  <c r="L77" i="1"/>
  <c r="J77" i="1"/>
  <c r="X8" i="2"/>
  <c r="I77" i="1"/>
  <c r="X7" i="2"/>
  <c r="E77" i="1"/>
  <c r="X3" i="2"/>
  <c r="D77" i="1"/>
  <c r="C77" i="1"/>
  <c r="AZ76" i="1"/>
  <c r="AI76" i="1"/>
  <c r="AI75" i="1"/>
  <c r="AI77" i="1"/>
  <c r="X25" i="2"/>
  <c r="AH76" i="1"/>
  <c r="AG76" i="1"/>
  <c r="AG75" i="1"/>
  <c r="AG77" i="1"/>
  <c r="X23" i="2"/>
  <c r="N76" i="1"/>
  <c r="M76" i="1"/>
  <c r="M75" i="1"/>
  <c r="M77" i="1"/>
  <c r="X9" i="2"/>
  <c r="BD75" i="1"/>
  <c r="BD77" i="1"/>
  <c r="BC75" i="1"/>
  <c r="BC77" i="1"/>
  <c r="AZ75" i="1"/>
  <c r="AH75" i="1"/>
  <c r="N75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J74" i="1"/>
  <c r="W26" i="2"/>
  <c r="Y74" i="1"/>
  <c r="W17" i="2"/>
  <c r="W74" i="1"/>
  <c r="W16" i="2"/>
  <c r="V74" i="1"/>
  <c r="W15" i="2"/>
  <c r="U74" i="1"/>
  <c r="W14" i="2"/>
  <c r="T74" i="1"/>
  <c r="W13" i="2"/>
  <c r="S74" i="1"/>
  <c r="R74" i="1"/>
  <c r="P74" i="1"/>
  <c r="W12" i="2"/>
  <c r="L74" i="1"/>
  <c r="J74" i="1"/>
  <c r="W8" i="2"/>
  <c r="I74" i="1"/>
  <c r="W7" i="2"/>
  <c r="E74" i="1"/>
  <c r="W3" i="2"/>
  <c r="D74" i="1"/>
  <c r="C74" i="1"/>
  <c r="BD73" i="1"/>
  <c r="BC73" i="1"/>
  <c r="AZ73" i="1"/>
  <c r="BQ73" i="1"/>
  <c r="AZ72" i="1"/>
  <c r="BD72" i="1"/>
  <c r="BC72" i="1"/>
  <c r="BQ72" i="1"/>
  <c r="BQ74" i="1"/>
  <c r="W34" i="2"/>
  <c r="AI73" i="1"/>
  <c r="AI72" i="1"/>
  <c r="AI74" i="1"/>
  <c r="W25" i="2"/>
  <c r="AH73" i="1"/>
  <c r="AG73" i="1"/>
  <c r="AG72" i="1"/>
  <c r="AG74" i="1"/>
  <c r="W23" i="2"/>
  <c r="N73" i="1"/>
  <c r="N72" i="1"/>
  <c r="N74" i="1"/>
  <c r="W10" i="2"/>
  <c r="M73" i="1"/>
  <c r="AH72" i="1"/>
  <c r="M72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/>
  <c r="AY71" i="1"/>
  <c r="AX71" i="1"/>
  <c r="AW71" i="1"/>
  <c r="AV71" i="1"/>
  <c r="AU71" i="1"/>
  <c r="AT71" i="1"/>
  <c r="AS71" i="1"/>
  <c r="AR71" i="1"/>
  <c r="AQ71" i="1"/>
  <c r="AP71" i="1"/>
  <c r="AO71" i="1"/>
  <c r="AJ71" i="1"/>
  <c r="V26" i="2"/>
  <c r="Y71" i="1"/>
  <c r="V17" i="2"/>
  <c r="W71" i="1"/>
  <c r="V16" i="2"/>
  <c r="V71" i="1"/>
  <c r="V15" i="2"/>
  <c r="U71" i="1"/>
  <c r="V14" i="2"/>
  <c r="T71" i="1"/>
  <c r="V13" i="2"/>
  <c r="S71" i="1"/>
  <c r="R71" i="1"/>
  <c r="P71" i="1"/>
  <c r="V12" i="2"/>
  <c r="L71" i="1"/>
  <c r="K71" i="1"/>
  <c r="J71" i="1"/>
  <c r="V8" i="2"/>
  <c r="I71" i="1"/>
  <c r="V7" i="2"/>
  <c r="V3" i="2"/>
  <c r="AZ70" i="1"/>
  <c r="BQ70" i="1"/>
  <c r="AZ69" i="1"/>
  <c r="BD69" i="1"/>
  <c r="BC69" i="1"/>
  <c r="BQ69" i="1"/>
  <c r="BQ71" i="1"/>
  <c r="V34" i="2"/>
  <c r="AI70" i="1"/>
  <c r="AI69" i="1"/>
  <c r="AI71" i="1"/>
  <c r="V25" i="2"/>
  <c r="AH70" i="1"/>
  <c r="AH69" i="1"/>
  <c r="AH71" i="1"/>
  <c r="V24" i="2"/>
  <c r="AG70" i="1"/>
  <c r="AG69" i="1"/>
  <c r="AG71" i="1"/>
  <c r="V23" i="2"/>
  <c r="N70" i="1"/>
  <c r="N69" i="1"/>
  <c r="N71" i="1"/>
  <c r="V10" i="2"/>
  <c r="M70" i="1"/>
  <c r="M69" i="1"/>
  <c r="M71" i="1"/>
  <c r="V9" i="2"/>
  <c r="H70" i="1"/>
  <c r="H69" i="1"/>
  <c r="H71" i="1"/>
  <c r="V6" i="2"/>
  <c r="G70" i="1"/>
  <c r="G69" i="1"/>
  <c r="G71" i="1"/>
  <c r="V5" i="2"/>
  <c r="BD71" i="1"/>
  <c r="BC71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I66" i="1"/>
  <c r="AI68" i="1"/>
  <c r="U25" i="2"/>
  <c r="AH67" i="1"/>
  <c r="AH66" i="1"/>
  <c r="AH68" i="1"/>
  <c r="U24" i="2"/>
  <c r="AG67" i="1"/>
  <c r="N67" i="1"/>
  <c r="N66" i="1"/>
  <c r="N68" i="1"/>
  <c r="U10" i="2"/>
  <c r="M67" i="1"/>
  <c r="M66" i="1"/>
  <c r="M68" i="1"/>
  <c r="U9" i="2"/>
  <c r="BD66" i="1"/>
  <c r="BD68" i="1"/>
  <c r="BC66" i="1"/>
  <c r="AZ66" i="1"/>
  <c r="AG66" i="1"/>
  <c r="BO65" i="1"/>
  <c r="BN65" i="1"/>
  <c r="BN17" i="1"/>
  <c r="BN50" i="1"/>
  <c r="BN11" i="1"/>
  <c r="BN14" i="1"/>
  <c r="BN20" i="1"/>
  <c r="BN23" i="1"/>
  <c r="BN26" i="1"/>
  <c r="BN29" i="1"/>
  <c r="BN32" i="1"/>
  <c r="BN35" i="1"/>
  <c r="BN38" i="1"/>
  <c r="BN41" i="1"/>
  <c r="BN44" i="1"/>
  <c r="BN47" i="1"/>
  <c r="BN53" i="1"/>
  <c r="BN56" i="1"/>
  <c r="BN59" i="1"/>
  <c r="BN62" i="1"/>
  <c r="BN103" i="1"/>
  <c r="BM65" i="1"/>
  <c r="BL65" i="1"/>
  <c r="BK65" i="1"/>
  <c r="BJ65" i="1"/>
  <c r="BJ56" i="1"/>
  <c r="BJ59" i="1"/>
  <c r="BJ62" i="1"/>
  <c r="BJ107" i="1"/>
  <c r="BJ108" i="1"/>
  <c r="BI65" i="1"/>
  <c r="BH65" i="1"/>
  <c r="BF65" i="1"/>
  <c r="BE65" i="1"/>
  <c r="BB65" i="1"/>
  <c r="T32" i="2"/>
  <c r="BA65" i="1"/>
  <c r="T31" i="2"/>
  <c r="AY65" i="1"/>
  <c r="AY17" i="1"/>
  <c r="AY50" i="1"/>
  <c r="AY11" i="1"/>
  <c r="AY14" i="1"/>
  <c r="AY20" i="1"/>
  <c r="AY23" i="1"/>
  <c r="AY26" i="1"/>
  <c r="AY29" i="1"/>
  <c r="AY32" i="1"/>
  <c r="AY35" i="1"/>
  <c r="AY38" i="1"/>
  <c r="AY41" i="1"/>
  <c r="AY44" i="1"/>
  <c r="AY47" i="1"/>
  <c r="AY53" i="1"/>
  <c r="AY56" i="1"/>
  <c r="AY59" i="1"/>
  <c r="AY62" i="1"/>
  <c r="AY103" i="1"/>
  <c r="AX65" i="1"/>
  <c r="AW65" i="1"/>
  <c r="AV65" i="1"/>
  <c r="AU65" i="1"/>
  <c r="AT65" i="1"/>
  <c r="AS65" i="1"/>
  <c r="AR65" i="1"/>
  <c r="AQ65" i="1"/>
  <c r="AP65" i="1"/>
  <c r="AO65" i="1"/>
  <c r="AJ65" i="1"/>
  <c r="T26" i="2"/>
  <c r="Y65" i="1"/>
  <c r="T17" i="2"/>
  <c r="W65" i="1"/>
  <c r="T16" i="2"/>
  <c r="V65" i="1"/>
  <c r="T15" i="2"/>
  <c r="U65" i="1"/>
  <c r="T14" i="2"/>
  <c r="T65" i="1"/>
  <c r="T13" i="2"/>
  <c r="S65" i="1"/>
  <c r="R65" i="1"/>
  <c r="P65" i="1"/>
  <c r="T12" i="2"/>
  <c r="L65" i="1"/>
  <c r="K65" i="1"/>
  <c r="J65" i="1"/>
  <c r="T8" i="2"/>
  <c r="I65" i="1"/>
  <c r="T7" i="2"/>
  <c r="E65" i="1"/>
  <c r="T3" i="2"/>
  <c r="D65" i="1"/>
  <c r="C65" i="1"/>
  <c r="AZ63" i="1"/>
  <c r="AZ65" i="1"/>
  <c r="T30" i="2"/>
  <c r="AH63" i="1"/>
  <c r="AH65" i="1"/>
  <c r="T24" i="2"/>
  <c r="N63" i="1"/>
  <c r="N65" i="1"/>
  <c r="T10" i="2"/>
  <c r="M63" i="1"/>
  <c r="M65" i="1"/>
  <c r="T9" i="2"/>
  <c r="G63" i="1"/>
  <c r="G65" i="1"/>
  <c r="T5" i="2"/>
  <c r="BD63" i="1"/>
  <c r="BD65" i="1"/>
  <c r="BD15" i="1"/>
  <c r="BD17" i="1"/>
  <c r="BD48" i="1"/>
  <c r="BD50" i="1"/>
  <c r="BD9" i="1"/>
  <c r="BD10" i="1"/>
  <c r="BD11" i="1"/>
  <c r="BD12" i="1"/>
  <c r="BD18" i="1"/>
  <c r="BD20" i="1"/>
  <c r="BD21" i="1"/>
  <c r="BD23" i="1"/>
  <c r="BD24" i="1"/>
  <c r="BD25" i="1"/>
  <c r="BD26" i="1"/>
  <c r="BD27" i="1"/>
  <c r="BD29" i="1"/>
  <c r="BD30" i="1"/>
  <c r="BD32" i="1"/>
  <c r="BD33" i="1"/>
  <c r="BD35" i="1"/>
  <c r="BD36" i="1"/>
  <c r="BD38" i="1"/>
  <c r="BD39" i="1"/>
  <c r="BD41" i="1"/>
  <c r="BD42" i="1"/>
  <c r="BD44" i="1"/>
  <c r="BD45" i="1"/>
  <c r="BD47" i="1"/>
  <c r="BD51" i="1"/>
  <c r="BD53" i="1"/>
  <c r="BD54" i="1"/>
  <c r="BD56" i="1"/>
  <c r="BD57" i="1"/>
  <c r="BD59" i="1"/>
  <c r="BD60" i="1"/>
  <c r="BD62" i="1"/>
  <c r="BD74" i="1"/>
  <c r="BD103" i="1"/>
  <c r="C105" i="1"/>
  <c r="BC63" i="1"/>
  <c r="AI63" i="1"/>
  <c r="AG63" i="1"/>
  <c r="H63" i="1"/>
  <c r="BO62" i="1"/>
  <c r="BM62" i="1"/>
  <c r="BL62" i="1"/>
  <c r="BK62" i="1"/>
  <c r="BI62" i="1"/>
  <c r="BH62" i="1"/>
  <c r="BG62" i="1"/>
  <c r="BF62" i="1"/>
  <c r="BE62" i="1"/>
  <c r="BB62" i="1"/>
  <c r="S32" i="2"/>
  <c r="BA62" i="1"/>
  <c r="S31" i="2"/>
  <c r="AX62" i="1"/>
  <c r="AW62" i="1"/>
  <c r="AV62" i="1"/>
  <c r="AU62" i="1"/>
  <c r="AT62" i="1"/>
  <c r="AS62" i="1"/>
  <c r="AR62" i="1"/>
  <c r="AQ62" i="1"/>
  <c r="AP62" i="1"/>
  <c r="AO62" i="1"/>
  <c r="AJ62" i="1"/>
  <c r="S26" i="2"/>
  <c r="Y62" i="1"/>
  <c r="S17" i="2"/>
  <c r="S62" i="1"/>
  <c r="R62" i="1"/>
  <c r="L62" i="1"/>
  <c r="K62" i="1"/>
  <c r="J62" i="1"/>
  <c r="S8" i="2"/>
  <c r="I62" i="1"/>
  <c r="S7" i="2"/>
  <c r="G62" i="1"/>
  <c r="S5" i="2"/>
  <c r="E62" i="1"/>
  <c r="S3" i="2"/>
  <c r="D62" i="1"/>
  <c r="C62" i="1"/>
  <c r="AZ61" i="1"/>
  <c r="AI61" i="1"/>
  <c r="AI60" i="1"/>
  <c r="AI62" i="1"/>
  <c r="S25" i="2"/>
  <c r="AH61" i="1"/>
  <c r="AH60" i="1"/>
  <c r="AH62" i="1"/>
  <c r="S24" i="2"/>
  <c r="AG61" i="1"/>
  <c r="AG60" i="1"/>
  <c r="AG62" i="1"/>
  <c r="S23" i="2"/>
  <c r="W61" i="1"/>
  <c r="W62" i="1"/>
  <c r="S16" i="2"/>
  <c r="U61" i="1"/>
  <c r="U62" i="1"/>
  <c r="S14" i="2"/>
  <c r="T61" i="1"/>
  <c r="P61" i="1"/>
  <c r="P62" i="1"/>
  <c r="S12" i="2"/>
  <c r="N61" i="1"/>
  <c r="N60" i="1"/>
  <c r="N62" i="1"/>
  <c r="S10" i="2"/>
  <c r="M61" i="1"/>
  <c r="M60" i="1"/>
  <c r="M62" i="1"/>
  <c r="S9" i="2"/>
  <c r="H61" i="1"/>
  <c r="H60" i="1"/>
  <c r="H62" i="1"/>
  <c r="S6" i="2"/>
  <c r="BC60" i="1"/>
  <c r="BC62" i="1"/>
  <c r="AZ60" i="1"/>
  <c r="BO59" i="1"/>
  <c r="BM59" i="1"/>
  <c r="BL59" i="1"/>
  <c r="BK59" i="1"/>
  <c r="BI59" i="1"/>
  <c r="BH59" i="1"/>
  <c r="BG59" i="1"/>
  <c r="BF59" i="1"/>
  <c r="BE59" i="1"/>
  <c r="BB59" i="1"/>
  <c r="BA59" i="1"/>
  <c r="R31" i="2"/>
  <c r="AX59" i="1"/>
  <c r="AW59" i="1"/>
  <c r="AV59" i="1"/>
  <c r="AU59" i="1"/>
  <c r="AT59" i="1"/>
  <c r="AS59" i="1"/>
  <c r="AR59" i="1"/>
  <c r="AQ59" i="1"/>
  <c r="AP59" i="1"/>
  <c r="AO59" i="1"/>
  <c r="AJ59" i="1"/>
  <c r="R26" i="2"/>
  <c r="Y59" i="1"/>
  <c r="R17" i="2"/>
  <c r="S59" i="1"/>
  <c r="R59" i="1"/>
  <c r="L59" i="1"/>
  <c r="K59" i="1"/>
  <c r="J59" i="1"/>
  <c r="R8" i="2"/>
  <c r="R7" i="2"/>
  <c r="G59" i="1"/>
  <c r="R5" i="2"/>
  <c r="E59" i="1"/>
  <c r="R3" i="2"/>
  <c r="D59" i="1"/>
  <c r="C59" i="1"/>
  <c r="AZ58" i="1"/>
  <c r="BQ58" i="1"/>
  <c r="AZ57" i="1"/>
  <c r="BC57" i="1"/>
  <c r="BQ57" i="1"/>
  <c r="BQ59" i="1"/>
  <c r="R34" i="2"/>
  <c r="AI58" i="1"/>
  <c r="AH58" i="1"/>
  <c r="AH57" i="1"/>
  <c r="AH59" i="1"/>
  <c r="R24" i="2"/>
  <c r="AG58" i="1"/>
  <c r="W58" i="1"/>
  <c r="U58" i="1"/>
  <c r="T58" i="1"/>
  <c r="P58" i="1"/>
  <c r="H58" i="1"/>
  <c r="H57" i="1"/>
  <c r="H59" i="1"/>
  <c r="R6" i="2"/>
  <c r="BC59" i="1"/>
  <c r="AI57" i="1"/>
  <c r="AG57" i="1"/>
  <c r="W57" i="1"/>
  <c r="U57" i="1"/>
  <c r="T57" i="1"/>
  <c r="BO56" i="1"/>
  <c r="BM56" i="1"/>
  <c r="BL56" i="1"/>
  <c r="BK56" i="1"/>
  <c r="BI56" i="1"/>
  <c r="BH56" i="1"/>
  <c r="BG56" i="1"/>
  <c r="BF56" i="1"/>
  <c r="BE56" i="1"/>
  <c r="BB56" i="1"/>
  <c r="Q32" i="2"/>
  <c r="BA56" i="1"/>
  <c r="Q31" i="2"/>
  <c r="AX56" i="1"/>
  <c r="AW56" i="1"/>
  <c r="AV56" i="1"/>
  <c r="AU56" i="1"/>
  <c r="AT56" i="1"/>
  <c r="AS56" i="1"/>
  <c r="AR56" i="1"/>
  <c r="AQ56" i="1"/>
  <c r="AP56" i="1"/>
  <c r="AO56" i="1"/>
  <c r="AJ56" i="1"/>
  <c r="Q26" i="2"/>
  <c r="Y56" i="1"/>
  <c r="Q17" i="2"/>
  <c r="W56" i="1"/>
  <c r="Q16" i="2"/>
  <c r="V56" i="1"/>
  <c r="Q15" i="2"/>
  <c r="U56" i="1"/>
  <c r="Q14" i="2"/>
  <c r="T56" i="1"/>
  <c r="Q13" i="2"/>
  <c r="S56" i="1"/>
  <c r="R56" i="1"/>
  <c r="P56" i="1"/>
  <c r="Q12" i="2"/>
  <c r="L56" i="1"/>
  <c r="K56" i="1"/>
  <c r="J56" i="1"/>
  <c r="Q8" i="2"/>
  <c r="I56" i="1"/>
  <c r="Q7" i="2"/>
  <c r="E56" i="1"/>
  <c r="Q3" i="2"/>
  <c r="D56" i="1"/>
  <c r="C56" i="1"/>
  <c r="AZ55" i="1"/>
  <c r="BQ55" i="1"/>
  <c r="AZ54" i="1"/>
  <c r="BC54" i="1"/>
  <c r="BQ54" i="1"/>
  <c r="BQ56" i="1"/>
  <c r="Q34" i="2"/>
  <c r="N55" i="1"/>
  <c r="M55" i="1"/>
  <c r="H55" i="1"/>
  <c r="H54" i="1"/>
  <c r="H56" i="1"/>
  <c r="Q6" i="2"/>
  <c r="G55" i="1"/>
  <c r="G54" i="1"/>
  <c r="G56" i="1"/>
  <c r="Q5" i="2"/>
  <c r="BC56" i="1"/>
  <c r="AI54" i="1"/>
  <c r="AH54" i="1"/>
  <c r="AG54" i="1"/>
  <c r="N54" i="1"/>
  <c r="M54" i="1"/>
  <c r="BO53" i="1"/>
  <c r="BM53" i="1"/>
  <c r="BL53" i="1"/>
  <c r="BK53" i="1"/>
  <c r="BJ53" i="1"/>
  <c r="BI53" i="1"/>
  <c r="BH53" i="1"/>
  <c r="BG53" i="1"/>
  <c r="BF53" i="1"/>
  <c r="BE53" i="1"/>
  <c r="BB53" i="1"/>
  <c r="P32" i="2"/>
  <c r="BA53" i="1"/>
  <c r="P31" i="2"/>
  <c r="AX53" i="1"/>
  <c r="AW53" i="1"/>
  <c r="AV53" i="1"/>
  <c r="AU53" i="1"/>
  <c r="AT53" i="1"/>
  <c r="AS53" i="1"/>
  <c r="AR53" i="1"/>
  <c r="AP53" i="1"/>
  <c r="AO53" i="1"/>
  <c r="AJ53" i="1"/>
  <c r="P26" i="2"/>
  <c r="Y53" i="1"/>
  <c r="P17" i="2"/>
  <c r="W53" i="1"/>
  <c r="P16" i="2"/>
  <c r="V53" i="1"/>
  <c r="P15" i="2"/>
  <c r="U53" i="1"/>
  <c r="P14" i="2"/>
  <c r="T53" i="1"/>
  <c r="P13" i="2"/>
  <c r="S53" i="1"/>
  <c r="R53" i="1"/>
  <c r="P53" i="1"/>
  <c r="P12" i="2"/>
  <c r="L53" i="1"/>
  <c r="K53" i="1"/>
  <c r="J53" i="1"/>
  <c r="P8" i="2"/>
  <c r="I53" i="1"/>
  <c r="P7" i="2"/>
  <c r="E53" i="1"/>
  <c r="P3" i="2"/>
  <c r="D53" i="1"/>
  <c r="C53" i="1"/>
  <c r="AZ52" i="1"/>
  <c r="AI52" i="1"/>
  <c r="AH52" i="1"/>
  <c r="AG52" i="1"/>
  <c r="N52" i="1"/>
  <c r="N51" i="1"/>
  <c r="N53" i="1"/>
  <c r="P10" i="2"/>
  <c r="M52" i="1"/>
  <c r="H52" i="1"/>
  <c r="H51" i="1"/>
  <c r="H53" i="1"/>
  <c r="P6" i="2"/>
  <c r="G52" i="1"/>
  <c r="G51" i="1"/>
  <c r="G53" i="1"/>
  <c r="P5" i="2"/>
  <c r="BC51" i="1"/>
  <c r="AZ51" i="1"/>
  <c r="AI51" i="1"/>
  <c r="AH51" i="1"/>
  <c r="AG51" i="1"/>
  <c r="M51" i="1"/>
  <c r="BO50" i="1"/>
  <c r="BM50" i="1"/>
  <c r="BM17" i="1"/>
  <c r="BM11" i="1"/>
  <c r="BM14" i="1"/>
  <c r="BM20" i="1"/>
  <c r="BM23" i="1"/>
  <c r="BM26" i="1"/>
  <c r="BM29" i="1"/>
  <c r="BM32" i="1"/>
  <c r="BM35" i="1"/>
  <c r="BM38" i="1"/>
  <c r="BM41" i="1"/>
  <c r="BM44" i="1"/>
  <c r="BM47" i="1"/>
  <c r="BM103" i="1"/>
  <c r="BL50" i="1"/>
  <c r="BL17" i="1"/>
  <c r="BL11" i="1"/>
  <c r="BL14" i="1"/>
  <c r="BL20" i="1"/>
  <c r="BL23" i="1"/>
  <c r="BL26" i="1"/>
  <c r="BL29" i="1"/>
  <c r="BL32" i="1"/>
  <c r="BL35" i="1"/>
  <c r="BL38" i="1"/>
  <c r="BL41" i="1"/>
  <c r="BL44" i="1"/>
  <c r="BL47" i="1"/>
  <c r="BL103" i="1"/>
  <c r="BK50" i="1"/>
  <c r="BJ50" i="1"/>
  <c r="BJ17" i="1"/>
  <c r="BJ11" i="1"/>
  <c r="BJ14" i="1"/>
  <c r="BJ20" i="1"/>
  <c r="BJ23" i="1"/>
  <c r="BJ26" i="1"/>
  <c r="BJ29" i="1"/>
  <c r="BJ32" i="1"/>
  <c r="BJ35" i="1"/>
  <c r="BJ38" i="1"/>
  <c r="BJ41" i="1"/>
  <c r="BJ44" i="1"/>
  <c r="BJ47" i="1"/>
  <c r="BJ103" i="1"/>
  <c r="BI50" i="1"/>
  <c r="BI17" i="1"/>
  <c r="BI11" i="1"/>
  <c r="BI14" i="1"/>
  <c r="BI20" i="1"/>
  <c r="BI23" i="1"/>
  <c r="BI26" i="1"/>
  <c r="BI29" i="1"/>
  <c r="BI32" i="1"/>
  <c r="BI35" i="1"/>
  <c r="BI38" i="1"/>
  <c r="BI41" i="1"/>
  <c r="BI44" i="1"/>
  <c r="BI47" i="1"/>
  <c r="BI103" i="1"/>
  <c r="BH50" i="1"/>
  <c r="BH17" i="1"/>
  <c r="BH11" i="1"/>
  <c r="BH14" i="1"/>
  <c r="BH20" i="1"/>
  <c r="BH23" i="1"/>
  <c r="BH26" i="1"/>
  <c r="BH29" i="1"/>
  <c r="BH32" i="1"/>
  <c r="BH35" i="1"/>
  <c r="BH38" i="1"/>
  <c r="BH41" i="1"/>
  <c r="BH44" i="1"/>
  <c r="BH47" i="1"/>
  <c r="BH104" i="1"/>
  <c r="BH105" i="1"/>
  <c r="BG50" i="1"/>
  <c r="BG17" i="1"/>
  <c r="BG11" i="1"/>
  <c r="BG14" i="1"/>
  <c r="BG20" i="1"/>
  <c r="BG23" i="1"/>
  <c r="BG26" i="1"/>
  <c r="BG29" i="1"/>
  <c r="BG32" i="1"/>
  <c r="BG35" i="1"/>
  <c r="BG38" i="1"/>
  <c r="BG41" i="1"/>
  <c r="BG44" i="1"/>
  <c r="BG47" i="1"/>
  <c r="BG104" i="1"/>
  <c r="BG105" i="1"/>
  <c r="BF50" i="1"/>
  <c r="BF17" i="1"/>
  <c r="BF11" i="1"/>
  <c r="BF14" i="1"/>
  <c r="BF20" i="1"/>
  <c r="BF23" i="1"/>
  <c r="BF26" i="1"/>
  <c r="BF29" i="1"/>
  <c r="BF32" i="1"/>
  <c r="BF35" i="1"/>
  <c r="BF38" i="1"/>
  <c r="BF41" i="1"/>
  <c r="BF44" i="1"/>
  <c r="BF47" i="1"/>
  <c r="BF104" i="1"/>
  <c r="BF105" i="1"/>
  <c r="BE50" i="1"/>
  <c r="BE11" i="1"/>
  <c r="BE14" i="1"/>
  <c r="BE17" i="1"/>
  <c r="BE20" i="1"/>
  <c r="BE23" i="1"/>
  <c r="BE26" i="1"/>
  <c r="BE29" i="1"/>
  <c r="BE32" i="1"/>
  <c r="BE35" i="1"/>
  <c r="BE38" i="1"/>
  <c r="BE41" i="1"/>
  <c r="BE44" i="1"/>
  <c r="BE47" i="1"/>
  <c r="BE104" i="1"/>
  <c r="BE105" i="1"/>
  <c r="BB50" i="1"/>
  <c r="O32" i="2"/>
  <c r="BA50" i="1"/>
  <c r="O31" i="2"/>
  <c r="AX50" i="1"/>
  <c r="AX17" i="1"/>
  <c r="AX11" i="1"/>
  <c r="AX14" i="1"/>
  <c r="AX20" i="1"/>
  <c r="AX23" i="1"/>
  <c r="AX26" i="1"/>
  <c r="AX29" i="1"/>
  <c r="AX32" i="1"/>
  <c r="AX35" i="1"/>
  <c r="AX38" i="1"/>
  <c r="AX41" i="1"/>
  <c r="AX44" i="1"/>
  <c r="AX47" i="1"/>
  <c r="AX103" i="1"/>
  <c r="AX105" i="1"/>
  <c r="AX106" i="1"/>
  <c r="AW50" i="1"/>
  <c r="AV50" i="1"/>
  <c r="AU50" i="1"/>
  <c r="AT50" i="1"/>
  <c r="AS50" i="1"/>
  <c r="AR50" i="1"/>
  <c r="AQ50" i="1"/>
  <c r="AP50" i="1"/>
  <c r="AO50" i="1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S17" i="1"/>
  <c r="S11" i="1"/>
  <c r="S14" i="1"/>
  <c r="S20" i="1"/>
  <c r="S23" i="1"/>
  <c r="S26" i="1"/>
  <c r="S29" i="1"/>
  <c r="S32" i="1"/>
  <c r="S35" i="1"/>
  <c r="S38" i="1"/>
  <c r="S41" i="1"/>
  <c r="S44" i="1"/>
  <c r="S47" i="1"/>
  <c r="S103" i="1"/>
  <c r="R50" i="1"/>
  <c r="P50" i="1"/>
  <c r="O12" i="2"/>
  <c r="L50" i="1"/>
  <c r="K50" i="1"/>
  <c r="J50" i="1"/>
  <c r="O8" i="2"/>
  <c r="I50" i="1"/>
  <c r="O7" i="2"/>
  <c r="G50" i="1"/>
  <c r="O5" i="2"/>
  <c r="E50" i="1"/>
  <c r="O3" i="2"/>
  <c r="D50" i="1"/>
  <c r="C50" i="1"/>
  <c r="AZ48" i="1"/>
  <c r="AZ50" i="1"/>
  <c r="O30" i="2"/>
  <c r="AH48" i="1"/>
  <c r="AH50" i="1"/>
  <c r="O24" i="2"/>
  <c r="BC48" i="1"/>
  <c r="BC50" i="1"/>
  <c r="BQ48" i="1"/>
  <c r="AI48" i="1"/>
  <c r="AG48" i="1"/>
  <c r="N48" i="1"/>
  <c r="M48" i="1"/>
  <c r="BO47" i="1"/>
  <c r="BK47" i="1"/>
  <c r="BB47" i="1"/>
  <c r="N32" i="2"/>
  <c r="BA47" i="1"/>
  <c r="N31" i="2"/>
  <c r="AW47" i="1"/>
  <c r="AV47" i="1"/>
  <c r="AU47" i="1"/>
  <c r="AT47" i="1"/>
  <c r="AS47" i="1"/>
  <c r="AR47" i="1"/>
  <c r="AQ47" i="1"/>
  <c r="AP47" i="1"/>
  <c r="AO47" i="1"/>
  <c r="AJ47" i="1"/>
  <c r="N26" i="2"/>
  <c r="Y47" i="1"/>
  <c r="N17" i="2"/>
  <c r="W47" i="1"/>
  <c r="N16" i="2"/>
  <c r="V47" i="1"/>
  <c r="N15" i="2"/>
  <c r="U47" i="1"/>
  <c r="N14" i="2"/>
  <c r="T47" i="1"/>
  <c r="N13" i="2"/>
  <c r="R47" i="1"/>
  <c r="P47" i="1"/>
  <c r="N12" i="2"/>
  <c r="L47" i="1"/>
  <c r="K47" i="1"/>
  <c r="J47" i="1"/>
  <c r="N8" i="2"/>
  <c r="I47" i="1"/>
  <c r="N7" i="2"/>
  <c r="E47" i="1"/>
  <c r="N3" i="2"/>
  <c r="D47" i="1"/>
  <c r="C47" i="1"/>
  <c r="AZ46" i="1"/>
  <c r="BQ46" i="1"/>
  <c r="AZ45" i="1"/>
  <c r="BC45" i="1"/>
  <c r="BQ45" i="1"/>
  <c r="BQ47" i="1"/>
  <c r="N34" i="2"/>
  <c r="AI46" i="1"/>
  <c r="AI45" i="1"/>
  <c r="AI47" i="1"/>
  <c r="N25" i="2"/>
  <c r="AH46" i="1"/>
  <c r="AH45" i="1"/>
  <c r="AH47" i="1"/>
  <c r="N24" i="2"/>
  <c r="N46" i="1"/>
  <c r="N45" i="1"/>
  <c r="N47" i="1"/>
  <c r="N10" i="2"/>
  <c r="M46" i="1"/>
  <c r="M45" i="1"/>
  <c r="M47" i="1"/>
  <c r="N9" i="2"/>
  <c r="H46" i="1"/>
  <c r="H45" i="1"/>
  <c r="H47" i="1"/>
  <c r="N6" i="2"/>
  <c r="G46" i="1"/>
  <c r="G47" i="1"/>
  <c r="N5" i="2"/>
  <c r="BC47" i="1"/>
  <c r="BO44" i="1"/>
  <c r="BK44" i="1"/>
  <c r="BB44" i="1"/>
  <c r="M32" i="2"/>
  <c r="BA44" i="1"/>
  <c r="M31" i="2"/>
  <c r="AW44" i="1"/>
  <c r="AV44" i="1"/>
  <c r="AU44" i="1"/>
  <c r="AT44" i="1"/>
  <c r="AS44" i="1"/>
  <c r="AR44" i="1"/>
  <c r="AQ44" i="1"/>
  <c r="AP44" i="1"/>
  <c r="AJ44" i="1"/>
  <c r="M26" i="2"/>
  <c r="Y44" i="1"/>
  <c r="M17" i="2"/>
  <c r="W44" i="1"/>
  <c r="M16" i="2"/>
  <c r="V44" i="1"/>
  <c r="M15" i="2"/>
  <c r="U44" i="1"/>
  <c r="M14" i="2"/>
  <c r="T44" i="1"/>
  <c r="M13" i="2"/>
  <c r="R44" i="1"/>
  <c r="P44" i="1"/>
  <c r="M12" i="2"/>
  <c r="L44" i="1"/>
  <c r="K44" i="1"/>
  <c r="J44" i="1"/>
  <c r="M8" i="2"/>
  <c r="I44" i="1"/>
  <c r="M7" i="2"/>
  <c r="E44" i="1"/>
  <c r="M3" i="2"/>
  <c r="D44" i="1"/>
  <c r="C44" i="1"/>
  <c r="AZ43" i="1"/>
  <c r="AZ42" i="1"/>
  <c r="AZ44" i="1"/>
  <c r="M30" i="2"/>
  <c r="AI43" i="1"/>
  <c r="AI42" i="1"/>
  <c r="AI44" i="1"/>
  <c r="M25" i="2"/>
  <c r="AH43" i="1"/>
  <c r="AH42" i="1"/>
  <c r="AH44" i="1"/>
  <c r="M24" i="2"/>
  <c r="AG43" i="1"/>
  <c r="AG42" i="1"/>
  <c r="AG44" i="1"/>
  <c r="M23" i="2"/>
  <c r="N43" i="1"/>
  <c r="N42" i="1"/>
  <c r="N44" i="1"/>
  <c r="M10" i="2"/>
  <c r="M43" i="1"/>
  <c r="M42" i="1"/>
  <c r="M44" i="1"/>
  <c r="M9" i="2"/>
  <c r="H42" i="1"/>
  <c r="H44" i="1"/>
  <c r="M6" i="2"/>
  <c r="G43" i="1"/>
  <c r="G42" i="1"/>
  <c r="G44" i="1"/>
  <c r="M5" i="2"/>
  <c r="BC42" i="1"/>
  <c r="BC44" i="1"/>
  <c r="BO41" i="1"/>
  <c r="BK41" i="1"/>
  <c r="BB41" i="1"/>
  <c r="L32" i="2"/>
  <c r="BA41" i="1"/>
  <c r="AW41" i="1"/>
  <c r="AV41" i="1"/>
  <c r="AU41" i="1"/>
  <c r="AT41" i="1"/>
  <c r="AS41" i="1"/>
  <c r="AR41" i="1"/>
  <c r="AQ41" i="1"/>
  <c r="AP41" i="1"/>
  <c r="AO41" i="1"/>
  <c r="AJ41" i="1"/>
  <c r="L26" i="2"/>
  <c r="Y41" i="1"/>
  <c r="L17" i="2"/>
  <c r="W41" i="1"/>
  <c r="L16" i="2"/>
  <c r="V41" i="1"/>
  <c r="L15" i="2"/>
  <c r="U41" i="1"/>
  <c r="L14" i="2"/>
  <c r="T41" i="1"/>
  <c r="L13" i="2"/>
  <c r="R41" i="1"/>
  <c r="P41" i="1"/>
  <c r="L12" i="2"/>
  <c r="L41" i="1"/>
  <c r="K41" i="1"/>
  <c r="J41" i="1"/>
  <c r="L8" i="2"/>
  <c r="I41" i="1"/>
  <c r="L7" i="2"/>
  <c r="E41" i="1"/>
  <c r="L3" i="2"/>
  <c r="D41" i="1"/>
  <c r="C41" i="1"/>
  <c r="AZ40" i="1"/>
  <c r="N40" i="1"/>
  <c r="M40" i="1"/>
  <c r="H40" i="1"/>
  <c r="G40" i="1"/>
  <c r="G39" i="1"/>
  <c r="G41" i="1"/>
  <c r="L5" i="2"/>
  <c r="BC39" i="1"/>
  <c r="AZ39" i="1"/>
  <c r="N39" i="1"/>
  <c r="M39" i="1"/>
  <c r="H39" i="1"/>
  <c r="BO38" i="1"/>
  <c r="BK38" i="1"/>
  <c r="BB38" i="1"/>
  <c r="K32" i="2"/>
  <c r="BA38" i="1"/>
  <c r="K31" i="2"/>
  <c r="AW38" i="1"/>
  <c r="AV38" i="1"/>
  <c r="AU38" i="1"/>
  <c r="AT38" i="1"/>
  <c r="AS38" i="1"/>
  <c r="AR38" i="1"/>
  <c r="AQ38" i="1"/>
  <c r="AP38" i="1"/>
  <c r="AO38" i="1"/>
  <c r="K26" i="2"/>
  <c r="Y38" i="1"/>
  <c r="K17" i="2"/>
  <c r="R38" i="1"/>
  <c r="K38" i="1"/>
  <c r="J38" i="1"/>
  <c r="K8" i="2"/>
  <c r="I38" i="1"/>
  <c r="K7" i="2"/>
  <c r="E38" i="1"/>
  <c r="K3" i="2"/>
  <c r="D38" i="1"/>
  <c r="C38" i="1"/>
  <c r="AZ37" i="1"/>
  <c r="AZ36" i="1"/>
  <c r="AZ38" i="1"/>
  <c r="K30" i="2"/>
  <c r="AI37" i="1"/>
  <c r="AH37" i="1"/>
  <c r="AG37" i="1"/>
  <c r="W37" i="1"/>
  <c r="U37" i="1"/>
  <c r="T37" i="1"/>
  <c r="P37" i="1"/>
  <c r="N37" i="1"/>
  <c r="N36" i="1"/>
  <c r="N38" i="1"/>
  <c r="K10" i="2"/>
  <c r="M37" i="1"/>
  <c r="H37" i="1"/>
  <c r="H36" i="1"/>
  <c r="H38" i="1"/>
  <c r="K6" i="2"/>
  <c r="G37" i="1"/>
  <c r="G36" i="1"/>
  <c r="G38" i="1"/>
  <c r="K5" i="2"/>
  <c r="BC36" i="1"/>
  <c r="BC38" i="1"/>
  <c r="AI36" i="1"/>
  <c r="AI38" i="1"/>
  <c r="K25" i="2"/>
  <c r="AH36" i="1"/>
  <c r="AG36" i="1"/>
  <c r="AG38" i="1"/>
  <c r="K23" i="2"/>
  <c r="W36" i="1"/>
  <c r="W38" i="1"/>
  <c r="K16" i="2"/>
  <c r="U36" i="1"/>
  <c r="U38" i="1"/>
  <c r="K14" i="2"/>
  <c r="T36" i="1"/>
  <c r="P36" i="1"/>
  <c r="P38" i="1"/>
  <c r="K12" i="2"/>
  <c r="M36" i="1"/>
  <c r="BO35" i="1"/>
  <c r="BK35" i="1"/>
  <c r="BB35" i="1"/>
  <c r="J32" i="2"/>
  <c r="BA35" i="1"/>
  <c r="J31" i="2"/>
  <c r="AW35" i="1"/>
  <c r="AV35" i="1"/>
  <c r="AU35" i="1"/>
  <c r="AT35" i="1"/>
  <c r="AS35" i="1"/>
  <c r="AR35" i="1"/>
  <c r="AQ35" i="1"/>
  <c r="AP35" i="1"/>
  <c r="AO35" i="1"/>
  <c r="AJ35" i="1"/>
  <c r="J26" i="2"/>
  <c r="Y35" i="1"/>
  <c r="J17" i="2"/>
  <c r="X35" i="1"/>
  <c r="W35" i="1"/>
  <c r="J16" i="2"/>
  <c r="V35" i="1"/>
  <c r="J15" i="2"/>
  <c r="U35" i="1"/>
  <c r="J14" i="2"/>
  <c r="T35" i="1"/>
  <c r="J13" i="2"/>
  <c r="R35" i="1"/>
  <c r="Q35" i="1"/>
  <c r="P35" i="1"/>
  <c r="J12" i="2"/>
  <c r="L35" i="1"/>
  <c r="K35" i="1"/>
  <c r="J35" i="1"/>
  <c r="J8" i="2"/>
  <c r="I35" i="1"/>
  <c r="J7" i="2"/>
  <c r="E35" i="1"/>
  <c r="J3" i="2"/>
  <c r="D35" i="1"/>
  <c r="C35" i="1"/>
  <c r="AZ34" i="1"/>
  <c r="BQ34" i="1"/>
  <c r="AZ33" i="1"/>
  <c r="BC33" i="1"/>
  <c r="BQ33" i="1"/>
  <c r="BQ35" i="1"/>
  <c r="J34" i="2"/>
  <c r="AI34" i="1"/>
  <c r="AH34" i="1"/>
  <c r="AG34" i="1"/>
  <c r="AG33" i="1"/>
  <c r="AG35" i="1"/>
  <c r="J23" i="2"/>
  <c r="N34" i="1"/>
  <c r="N33" i="1"/>
  <c r="N35" i="1"/>
  <c r="J10" i="2"/>
  <c r="M34" i="1"/>
  <c r="M33" i="1"/>
  <c r="M35" i="1"/>
  <c r="J9" i="2"/>
  <c r="H34" i="1"/>
  <c r="H33" i="1"/>
  <c r="H35" i="1"/>
  <c r="J6" i="2"/>
  <c r="G34" i="1"/>
  <c r="AI33" i="1"/>
  <c r="AH33" i="1"/>
  <c r="G33" i="1"/>
  <c r="BO32" i="1"/>
  <c r="BK32" i="1"/>
  <c r="BB32" i="1"/>
  <c r="I32" i="2"/>
  <c r="BA32" i="1"/>
  <c r="I31" i="2"/>
  <c r="AW32" i="1"/>
  <c r="AV32" i="1"/>
  <c r="AU32" i="1"/>
  <c r="AT32" i="1"/>
  <c r="AS32" i="1"/>
  <c r="AR32" i="1"/>
  <c r="AQ32" i="1"/>
  <c r="AO32" i="1"/>
  <c r="AJ32" i="1"/>
  <c r="I26" i="2"/>
  <c r="AG32" i="1"/>
  <c r="I23" i="2"/>
  <c r="Y32" i="1"/>
  <c r="I17" i="2"/>
  <c r="W32" i="1"/>
  <c r="I16" i="2"/>
  <c r="V32" i="1"/>
  <c r="I15" i="2"/>
  <c r="U32" i="1"/>
  <c r="I14" i="2"/>
  <c r="T32" i="1"/>
  <c r="I13" i="2"/>
  <c r="R32" i="1"/>
  <c r="P32" i="1"/>
  <c r="I12" i="2"/>
  <c r="L32" i="1"/>
  <c r="K32" i="1"/>
  <c r="J32" i="1"/>
  <c r="I8" i="2"/>
  <c r="I32" i="1"/>
  <c r="I7" i="2"/>
  <c r="E32" i="1"/>
  <c r="I3" i="2"/>
  <c r="D32" i="1"/>
  <c r="C32" i="1"/>
  <c r="AZ30" i="1"/>
  <c r="BC30" i="1"/>
  <c r="BQ30" i="1"/>
  <c r="BQ32" i="1"/>
  <c r="I34" i="2"/>
  <c r="N30" i="1"/>
  <c r="N32" i="1"/>
  <c r="I10" i="2"/>
  <c r="M30" i="1"/>
  <c r="M32" i="1"/>
  <c r="I9" i="2"/>
  <c r="H30" i="1"/>
  <c r="H32" i="1"/>
  <c r="I6" i="2"/>
  <c r="G30" i="1"/>
  <c r="G32" i="1"/>
  <c r="I5" i="2"/>
  <c r="BC32" i="1"/>
  <c r="BO29" i="1"/>
  <c r="BO17" i="1"/>
  <c r="BO11" i="1"/>
  <c r="BO14" i="1"/>
  <c r="BO20" i="1"/>
  <c r="BO23" i="1"/>
  <c r="BO26" i="1"/>
  <c r="BO103" i="1"/>
  <c r="BK29" i="1"/>
  <c r="BK17" i="1"/>
  <c r="BK11" i="1"/>
  <c r="BK14" i="1"/>
  <c r="BK20" i="1"/>
  <c r="BK23" i="1"/>
  <c r="BK26" i="1"/>
  <c r="BK103" i="1"/>
  <c r="BI104" i="1"/>
  <c r="BB29" i="1"/>
  <c r="H32" i="2"/>
  <c r="AW29" i="1"/>
  <c r="AV29" i="1"/>
  <c r="AU29" i="1"/>
  <c r="AT29" i="1"/>
  <c r="AS29" i="1"/>
  <c r="AR29" i="1"/>
  <c r="AQ29" i="1"/>
  <c r="AO29" i="1"/>
  <c r="AK29" i="1"/>
  <c r="H27" i="2"/>
  <c r="AJ29" i="1"/>
  <c r="H26" i="2"/>
  <c r="Y29" i="1"/>
  <c r="H17" i="2"/>
  <c r="W29" i="1"/>
  <c r="H16" i="2"/>
  <c r="V29" i="1"/>
  <c r="H15" i="2"/>
  <c r="U29" i="1"/>
  <c r="H14" i="2"/>
  <c r="T29" i="1"/>
  <c r="H13" i="2"/>
  <c r="R29" i="1"/>
  <c r="P29" i="1"/>
  <c r="H12" i="2"/>
  <c r="L29" i="1"/>
  <c r="K29" i="1"/>
  <c r="J29" i="1"/>
  <c r="H8" i="2"/>
  <c r="I29" i="1"/>
  <c r="H7" i="2"/>
  <c r="G29" i="1"/>
  <c r="H5" i="2"/>
  <c r="E29" i="1"/>
  <c r="H3" i="2"/>
  <c r="D29" i="1"/>
  <c r="C29" i="1"/>
  <c r="AZ27" i="1"/>
  <c r="BC27" i="1"/>
  <c r="BQ27" i="1"/>
  <c r="BQ29" i="1"/>
  <c r="H34" i="2"/>
  <c r="N27" i="1"/>
  <c r="N29" i="1"/>
  <c r="H10" i="2"/>
  <c r="M27" i="1"/>
  <c r="M29" i="1"/>
  <c r="H9" i="2"/>
  <c r="H27" i="1"/>
  <c r="H29" i="1"/>
  <c r="H6" i="2"/>
  <c r="AI27" i="1"/>
  <c r="AH27" i="1"/>
  <c r="AG27" i="1"/>
  <c r="AG29" i="1"/>
  <c r="H23" i="2"/>
  <c r="BB26" i="1"/>
  <c r="G32" i="2"/>
  <c r="BA26" i="1"/>
  <c r="G31" i="2"/>
  <c r="AW26" i="1"/>
  <c r="AV26" i="1"/>
  <c r="AU26" i="1"/>
  <c r="AT26" i="1"/>
  <c r="AS26" i="1"/>
  <c r="AR26" i="1"/>
  <c r="AQ26" i="1"/>
  <c r="AP26" i="1"/>
  <c r="AO26" i="1"/>
  <c r="Y26" i="1"/>
  <c r="G17" i="2"/>
  <c r="W26" i="1"/>
  <c r="G16" i="2"/>
  <c r="V26" i="1"/>
  <c r="G15" i="2"/>
  <c r="U26" i="1"/>
  <c r="G14" i="2"/>
  <c r="T26" i="1"/>
  <c r="G13" i="2"/>
  <c r="R26" i="1"/>
  <c r="P26" i="1"/>
  <c r="G12" i="2"/>
  <c r="L26" i="1"/>
  <c r="J26" i="1"/>
  <c r="G8" i="2"/>
  <c r="I26" i="1"/>
  <c r="G7" i="2"/>
  <c r="G3" i="2"/>
  <c r="D26" i="1"/>
  <c r="C26" i="1"/>
  <c r="BC25" i="1"/>
  <c r="AI25" i="1"/>
  <c r="AI24" i="1"/>
  <c r="AI26" i="1"/>
  <c r="G25" i="2"/>
  <c r="AH25" i="1"/>
  <c r="AG25" i="1"/>
  <c r="AG24" i="1"/>
  <c r="AG26" i="1"/>
  <c r="G23" i="2"/>
  <c r="N25" i="1"/>
  <c r="M25" i="1"/>
  <c r="H25" i="1"/>
  <c r="H24" i="1"/>
  <c r="H26" i="1"/>
  <c r="G6" i="2"/>
  <c r="G25" i="1"/>
  <c r="G24" i="1"/>
  <c r="G26" i="1"/>
  <c r="G5" i="2"/>
  <c r="BC24" i="1"/>
  <c r="AZ24" i="1"/>
  <c r="AZ26" i="1"/>
  <c r="G30" i="2"/>
  <c r="AH24" i="1"/>
  <c r="AH26" i="1"/>
  <c r="G24" i="2"/>
  <c r="N24" i="1"/>
  <c r="M24" i="1"/>
  <c r="BB23" i="1"/>
  <c r="F32" i="2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R23" i="1"/>
  <c r="P23" i="1"/>
  <c r="F12" i="2"/>
  <c r="L23" i="1"/>
  <c r="K23" i="1"/>
  <c r="J23" i="1"/>
  <c r="F8" i="2"/>
  <c r="I23" i="1"/>
  <c r="F7" i="2"/>
  <c r="E23" i="1"/>
  <c r="F3" i="2"/>
  <c r="D23" i="1"/>
  <c r="C23" i="1"/>
  <c r="AZ22" i="1"/>
  <c r="AZ21" i="1"/>
  <c r="AZ23" i="1"/>
  <c r="F30" i="2"/>
  <c r="AI22" i="1"/>
  <c r="AI21" i="1"/>
  <c r="AI23" i="1"/>
  <c r="F25" i="2"/>
  <c r="AH22" i="1"/>
  <c r="AH21" i="1"/>
  <c r="AH23" i="1"/>
  <c r="F24" i="2"/>
  <c r="AG22" i="1"/>
  <c r="AG21" i="1"/>
  <c r="AG23" i="1"/>
  <c r="F23" i="2"/>
  <c r="H22" i="1"/>
  <c r="H21" i="1"/>
  <c r="H23" i="1"/>
  <c r="F6" i="2"/>
  <c r="G22" i="1"/>
  <c r="G21" i="1"/>
  <c r="G23" i="1"/>
  <c r="F5" i="2"/>
  <c r="BC21" i="1"/>
  <c r="BC23" i="1"/>
  <c r="BB20" i="1"/>
  <c r="E32" i="2"/>
  <c r="BA20" i="1"/>
  <c r="E31" i="2"/>
  <c r="AW20" i="1"/>
  <c r="AV20" i="1"/>
  <c r="AU20" i="1"/>
  <c r="AT20" i="1"/>
  <c r="AS20" i="1"/>
  <c r="AR20" i="1"/>
  <c r="AQ20" i="1"/>
  <c r="AP20" i="1"/>
  <c r="AO20" i="1"/>
  <c r="Y20" i="1"/>
  <c r="E17" i="2"/>
  <c r="W20" i="1"/>
  <c r="E16" i="2"/>
  <c r="V20" i="1"/>
  <c r="E15" i="2"/>
  <c r="U20" i="1"/>
  <c r="E14" i="2"/>
  <c r="T20" i="1"/>
  <c r="E13" i="2"/>
  <c r="R20" i="1"/>
  <c r="L20" i="1"/>
  <c r="P20" i="1"/>
  <c r="E12" i="2"/>
  <c r="K20" i="1"/>
  <c r="N20" i="1"/>
  <c r="E10" i="2"/>
  <c r="J20" i="1"/>
  <c r="E8" i="2"/>
  <c r="I20" i="1"/>
  <c r="E7" i="2"/>
  <c r="E20" i="1"/>
  <c r="E3" i="2"/>
  <c r="D20" i="1"/>
  <c r="C20" i="1"/>
  <c r="AZ19" i="1"/>
  <c r="AI19" i="1"/>
  <c r="AH19" i="1"/>
  <c r="AH18" i="1"/>
  <c r="AH20" i="1"/>
  <c r="E24" i="2"/>
  <c r="AG19" i="1"/>
  <c r="N19" i="1"/>
  <c r="M19" i="1"/>
  <c r="H19" i="1"/>
  <c r="H18" i="1"/>
  <c r="H20" i="1"/>
  <c r="E6" i="2"/>
  <c r="BC18" i="1"/>
  <c r="BC20" i="1"/>
  <c r="AZ18" i="1"/>
  <c r="AI18" i="1"/>
  <c r="AG18" i="1"/>
  <c r="N18" i="1"/>
  <c r="M18" i="1"/>
  <c r="BB17" i="1"/>
  <c r="D32" i="2"/>
  <c r="BA17" i="1"/>
  <c r="D31" i="2"/>
  <c r="AW17" i="1"/>
  <c r="AV17" i="1"/>
  <c r="AU17" i="1"/>
  <c r="AT17" i="1"/>
  <c r="AS17" i="1"/>
  <c r="AR17" i="1"/>
  <c r="AQ17" i="1"/>
  <c r="AP17" i="1"/>
  <c r="AO17" i="1"/>
  <c r="AJ17" i="1"/>
  <c r="D26" i="2"/>
  <c r="Y17" i="1"/>
  <c r="D17" i="2"/>
  <c r="R17" i="1"/>
  <c r="L17" i="1"/>
  <c r="P17" i="1"/>
  <c r="D12" i="2"/>
  <c r="K17" i="1"/>
  <c r="N17" i="1"/>
  <c r="J17" i="1"/>
  <c r="D8" i="2"/>
  <c r="I17" i="1"/>
  <c r="D7" i="2"/>
  <c r="E17" i="1"/>
  <c r="D3" i="2"/>
  <c r="D17" i="1"/>
  <c r="C17" i="1"/>
  <c r="AZ16" i="1"/>
  <c r="AZ15" i="1"/>
  <c r="AZ17" i="1"/>
  <c r="D30" i="2"/>
  <c r="AI16" i="1"/>
  <c r="AH16" i="1"/>
  <c r="AG16" i="1"/>
  <c r="W16" i="1"/>
  <c r="U16" i="1"/>
  <c r="T16" i="1"/>
  <c r="P16" i="1"/>
  <c r="N16" i="1"/>
  <c r="M16" i="1"/>
  <c r="H16" i="1"/>
  <c r="H15" i="1"/>
  <c r="H17" i="1"/>
  <c r="D6" i="2"/>
  <c r="G16" i="1"/>
  <c r="BC15" i="1"/>
  <c r="BC17" i="1"/>
  <c r="AI15" i="1"/>
  <c r="AI17" i="1"/>
  <c r="D25" i="2"/>
  <c r="AH15" i="1"/>
  <c r="AG15" i="1"/>
  <c r="AG17" i="1"/>
  <c r="D23" i="2"/>
  <c r="W15" i="1"/>
  <c r="W17" i="1"/>
  <c r="D16" i="2"/>
  <c r="U15" i="1"/>
  <c r="U17" i="1"/>
  <c r="D14" i="2"/>
  <c r="T15" i="1"/>
  <c r="T17" i="1"/>
  <c r="D13" i="2"/>
  <c r="P15" i="1"/>
  <c r="N15" i="1"/>
  <c r="M15" i="1"/>
  <c r="G15" i="1"/>
  <c r="BB14" i="1"/>
  <c r="C32" i="2"/>
  <c r="BA14" i="1"/>
  <c r="C31" i="2"/>
  <c r="AW14" i="1"/>
  <c r="AV14" i="1"/>
  <c r="AU14" i="1"/>
  <c r="AT14" i="1"/>
  <c r="AS14" i="1"/>
  <c r="AR14" i="1"/>
  <c r="AQ14" i="1"/>
  <c r="AP14" i="1"/>
  <c r="AO14" i="1"/>
  <c r="AJ14" i="1"/>
  <c r="C26" i="2"/>
  <c r="Y14" i="1"/>
  <c r="C17" i="2"/>
  <c r="W14" i="1"/>
  <c r="C16" i="2"/>
  <c r="V14" i="1"/>
  <c r="C15" i="2"/>
  <c r="U14" i="1"/>
  <c r="C14" i="2"/>
  <c r="T14" i="1"/>
  <c r="C13" i="2"/>
  <c r="R14" i="1"/>
  <c r="L14" i="1"/>
  <c r="P14" i="1"/>
  <c r="C12" i="2"/>
  <c r="K14" i="1"/>
  <c r="N14" i="1"/>
  <c r="J14" i="1"/>
  <c r="C8" i="2"/>
  <c r="I14" i="1"/>
  <c r="C7" i="2"/>
  <c r="E14" i="1"/>
  <c r="C3" i="2"/>
  <c r="D14" i="1"/>
  <c r="C14" i="1"/>
  <c r="AZ13" i="1"/>
  <c r="AZ12" i="1"/>
  <c r="AZ14" i="1"/>
  <c r="C30" i="2"/>
  <c r="AI13" i="1"/>
  <c r="AI12" i="1"/>
  <c r="AI14" i="1"/>
  <c r="C25" i="2"/>
  <c r="AH13" i="1"/>
  <c r="AG13" i="1"/>
  <c r="AG12" i="1"/>
  <c r="AG14" i="1"/>
  <c r="C23" i="2"/>
  <c r="P13" i="1"/>
  <c r="N13" i="1"/>
  <c r="M13" i="1"/>
  <c r="H13" i="1"/>
  <c r="H12" i="1"/>
  <c r="H14" i="1"/>
  <c r="C6" i="2"/>
  <c r="G13" i="1"/>
  <c r="G12" i="1"/>
  <c r="G14" i="1"/>
  <c r="BC12" i="1"/>
  <c r="BC14" i="1"/>
  <c r="C33" i="2"/>
  <c r="AH12" i="1"/>
  <c r="AH14" i="1"/>
  <c r="C24" i="2"/>
  <c r="N12" i="1"/>
  <c r="M12" i="1"/>
  <c r="BB11" i="1"/>
  <c r="B32" i="2"/>
  <c r="BA11" i="1"/>
  <c r="B31" i="2"/>
  <c r="AW11" i="1"/>
  <c r="AV11" i="1"/>
  <c r="AU11" i="1"/>
  <c r="AT11" i="1"/>
  <c r="AS11" i="1"/>
  <c r="AR11" i="1"/>
  <c r="AQ11" i="1"/>
  <c r="AP11" i="1"/>
  <c r="AO11" i="1"/>
  <c r="AJ11" i="1"/>
  <c r="Y11" i="1"/>
  <c r="R11" i="1"/>
  <c r="L11" i="1"/>
  <c r="K11" i="1"/>
  <c r="J11" i="1"/>
  <c r="I11" i="1"/>
  <c r="B7" i="2"/>
  <c r="E11" i="1"/>
  <c r="B3" i="2"/>
  <c r="D11" i="1"/>
  <c r="C11" i="1"/>
  <c r="AZ10" i="1"/>
  <c r="AZ9" i="1"/>
  <c r="AZ11" i="1"/>
  <c r="B30" i="2"/>
  <c r="AI10" i="1"/>
  <c r="AH10" i="1"/>
  <c r="AH9" i="1"/>
  <c r="AH11" i="1"/>
  <c r="B24" i="2"/>
  <c r="AG10" i="1"/>
  <c r="W10" i="1"/>
  <c r="U10" i="1"/>
  <c r="T10" i="1"/>
  <c r="P10" i="1"/>
  <c r="N10" i="1"/>
  <c r="M10" i="1"/>
  <c r="M9" i="1"/>
  <c r="M11" i="1"/>
  <c r="B9" i="2"/>
  <c r="H10" i="1"/>
  <c r="G10" i="1"/>
  <c r="BC9" i="1"/>
  <c r="BC11" i="1"/>
  <c r="AI9" i="1"/>
  <c r="AG9" i="1"/>
  <c r="W9" i="1"/>
  <c r="W11" i="1"/>
  <c r="B16" i="2"/>
  <c r="U9" i="1"/>
  <c r="T9" i="1"/>
  <c r="T11" i="1"/>
  <c r="B13" i="2"/>
  <c r="P9" i="1"/>
  <c r="P11" i="1"/>
  <c r="B12" i="2"/>
  <c r="N9" i="1"/>
  <c r="N11" i="1"/>
  <c r="B10" i="2"/>
  <c r="H9" i="1"/>
  <c r="G9" i="1"/>
  <c r="BQ15" i="1"/>
  <c r="V16" i="1"/>
  <c r="V36" i="1"/>
  <c r="V37" i="1"/>
  <c r="W59" i="1"/>
  <c r="R16" i="2"/>
  <c r="BQ66" i="1"/>
  <c r="M23" i="1"/>
  <c r="F9" i="2"/>
  <c r="BQ63" i="1"/>
  <c r="Y33" i="2"/>
  <c r="V79" i="1"/>
  <c r="Q33" i="2"/>
  <c r="V33" i="2"/>
  <c r="D33" i="2"/>
  <c r="BQ39" i="1"/>
  <c r="AZ41" i="1"/>
  <c r="L30" i="2"/>
  <c r="O33" i="2"/>
  <c r="V57" i="1"/>
  <c r="R33" i="2"/>
  <c r="V61" i="1"/>
  <c r="V62" i="1"/>
  <c r="S15" i="2"/>
  <c r="AZ20" i="1"/>
  <c r="E30" i="2"/>
  <c r="AZ53" i="1"/>
  <c r="P30" i="2"/>
  <c r="BQ9" i="1"/>
  <c r="V10" i="1"/>
  <c r="BQ21" i="1"/>
  <c r="BC26" i="1"/>
  <c r="BQ42" i="1"/>
  <c r="M33" i="2"/>
  <c r="N33" i="2"/>
  <c r="BQ51" i="1"/>
  <c r="BI107" i="1"/>
  <c r="BI108" i="1"/>
  <c r="BM107" i="1"/>
  <c r="BM108" i="1"/>
  <c r="BO107" i="1"/>
  <c r="BO108" i="1"/>
  <c r="P59" i="1"/>
  <c r="R12" i="2"/>
  <c r="U59" i="1"/>
  <c r="R14" i="2"/>
  <c r="T59" i="1"/>
  <c r="R13" i="2"/>
  <c r="BQ60" i="1"/>
  <c r="S33" i="2"/>
  <c r="AZ68" i="1"/>
  <c r="U30" i="2"/>
  <c r="P83" i="1"/>
  <c r="Z12" i="2"/>
  <c r="Z33" i="2"/>
  <c r="AB33" i="2"/>
  <c r="H101" i="1"/>
  <c r="N101" i="1"/>
  <c r="T101" i="1"/>
  <c r="W101" i="1"/>
  <c r="AH101" i="1"/>
  <c r="BQ25" i="1"/>
  <c r="O21" i="1"/>
  <c r="BQ96" i="1"/>
  <c r="AE33" i="2"/>
  <c r="N50" i="1"/>
  <c r="O10" i="2"/>
  <c r="AH17" i="1"/>
  <c r="D24" i="2"/>
  <c r="AH32" i="1"/>
  <c r="I24" i="2"/>
  <c r="AH77" i="1"/>
  <c r="X24" i="2"/>
  <c r="AG50" i="1"/>
  <c r="O23" i="2"/>
  <c r="AI50" i="1"/>
  <c r="O25" i="2"/>
  <c r="AI29" i="1"/>
  <c r="H25" i="2"/>
  <c r="M50" i="1"/>
  <c r="O9" i="2"/>
  <c r="E33" i="2"/>
  <c r="F33" i="2"/>
  <c r="I33" i="2"/>
  <c r="K33" i="2"/>
  <c r="BE103" i="1"/>
  <c r="B26" i="2"/>
  <c r="V9" i="1"/>
  <c r="B33" i="2"/>
  <c r="U11" i="1"/>
  <c r="B14" i="2"/>
  <c r="AT103" i="1"/>
  <c r="AT105" i="1"/>
  <c r="AT106" i="1"/>
  <c r="AV103" i="1"/>
  <c r="AV105" i="1"/>
  <c r="AV106" i="1"/>
  <c r="V15" i="1"/>
  <c r="V17" i="1"/>
  <c r="D15" i="2"/>
  <c r="BC29" i="1"/>
  <c r="BC35" i="1"/>
  <c r="T38" i="1"/>
  <c r="K13" i="2"/>
  <c r="BC41" i="1"/>
  <c r="AZ47" i="1"/>
  <c r="N30" i="2"/>
  <c r="O48" i="1"/>
  <c r="O50" i="1"/>
  <c r="O11" i="2"/>
  <c r="BC53" i="1"/>
  <c r="BE107" i="1"/>
  <c r="BE108" i="1"/>
  <c r="BG107" i="1"/>
  <c r="BG108" i="1"/>
  <c r="BH107" i="1"/>
  <c r="BH108" i="1"/>
  <c r="BL107" i="1"/>
  <c r="BL108" i="1"/>
  <c r="BN107" i="1"/>
  <c r="BN108" i="1"/>
  <c r="AZ62" i="1"/>
  <c r="S30" i="2"/>
  <c r="T62" i="1"/>
  <c r="S13" i="2"/>
  <c r="BC65" i="1"/>
  <c r="T33" i="2"/>
  <c r="BC68" i="1"/>
  <c r="AZ71" i="1"/>
  <c r="V30" i="2"/>
  <c r="X33" i="2"/>
  <c r="AA33" i="2"/>
  <c r="AC33" i="2"/>
  <c r="AD33" i="2"/>
  <c r="B8" i="2"/>
  <c r="J103" i="1"/>
  <c r="B17" i="2"/>
  <c r="Y103" i="1"/>
  <c r="BG103" i="1"/>
  <c r="BH103" i="1"/>
  <c r="BQ12" i="1"/>
  <c r="BQ18" i="1"/>
  <c r="J33" i="2"/>
  <c r="BQ36" i="1"/>
  <c r="L33" i="2"/>
  <c r="P33" i="2"/>
  <c r="V58" i="1"/>
  <c r="V59" i="1"/>
  <c r="R15" i="2"/>
  <c r="BF107" i="1"/>
  <c r="BF108" i="1"/>
  <c r="U33" i="2"/>
  <c r="V78" i="1"/>
  <c r="V80" i="1"/>
  <c r="Y15" i="2"/>
  <c r="AZ83" i="1"/>
  <c r="Z30" i="2"/>
  <c r="AZ95" i="1"/>
  <c r="AD30" i="2"/>
  <c r="AZ98" i="1"/>
  <c r="AE30" i="2"/>
  <c r="AF15" i="2"/>
  <c r="BQ75" i="1"/>
  <c r="AZ80" i="1"/>
  <c r="Y30" i="2"/>
  <c r="BK107" i="1"/>
  <c r="BK108" i="1"/>
  <c r="AI53" i="1"/>
  <c r="P25" i="2"/>
  <c r="H50" i="1"/>
  <c r="O6" i="2"/>
  <c r="BQ97" i="1"/>
  <c r="BQ98" i="1"/>
  <c r="AE34" i="2"/>
  <c r="O96" i="1"/>
  <c r="O93" i="1"/>
  <c r="AG83" i="1"/>
  <c r="Z23" i="2"/>
  <c r="N77" i="1"/>
  <c r="X10" i="2"/>
  <c r="BC74" i="1"/>
  <c r="W33" i="2"/>
  <c r="AH74" i="1"/>
  <c r="W24" i="2"/>
  <c r="R32" i="2"/>
  <c r="N56" i="1"/>
  <c r="Q10" i="2"/>
  <c r="AG20" i="1"/>
  <c r="E23" i="2"/>
  <c r="AI20" i="1"/>
  <c r="E25" i="2"/>
  <c r="G17" i="1"/>
  <c r="D5" i="2"/>
  <c r="O12" i="1"/>
  <c r="BQ19" i="1"/>
  <c r="BQ20" i="1"/>
  <c r="AG59" i="1"/>
  <c r="R23" i="2"/>
  <c r="O66" i="1"/>
  <c r="O45" i="1"/>
  <c r="O24" i="1"/>
  <c r="D11" i="3"/>
  <c r="D47" i="3"/>
  <c r="O63" i="1"/>
  <c r="BQ40" i="1"/>
  <c r="BQ41" i="1"/>
  <c r="L34" i="2"/>
  <c r="H41" i="1"/>
  <c r="L6" i="2"/>
  <c r="O36" i="1"/>
  <c r="O27" i="1"/>
  <c r="O18" i="1"/>
  <c r="O15" i="1"/>
  <c r="AZ77" i="1"/>
  <c r="X30" i="2"/>
  <c r="BQ24" i="1"/>
  <c r="BQ26" i="1"/>
  <c r="G34" i="2"/>
  <c r="AG89" i="1"/>
  <c r="AB23" i="2"/>
  <c r="L41" i="3"/>
  <c r="AG86" i="1"/>
  <c r="AA23" i="2"/>
  <c r="L24" i="3"/>
  <c r="L23" i="3"/>
  <c r="L25" i="3"/>
  <c r="AG68" i="1"/>
  <c r="U23" i="2"/>
  <c r="AI59" i="1"/>
  <c r="R25" i="2"/>
  <c r="D29" i="3"/>
  <c r="O87" i="1"/>
  <c r="M74" i="1"/>
  <c r="W9" i="2"/>
  <c r="M41" i="1"/>
  <c r="L9" i="2"/>
  <c r="G35" i="1"/>
  <c r="J5" i="2"/>
  <c r="F8" i="3"/>
  <c r="L9" i="3"/>
  <c r="F11" i="3"/>
  <c r="D17" i="3"/>
  <c r="C19" i="3"/>
  <c r="N20" i="3"/>
  <c r="D27" i="3"/>
  <c r="D26" i="3"/>
  <c r="D28" i="3"/>
  <c r="C40" i="3"/>
  <c r="D41" i="3"/>
  <c r="N41" i="3"/>
  <c r="F47" i="3"/>
  <c r="L53" i="3"/>
  <c r="L55" i="3"/>
  <c r="K55" i="3"/>
  <c r="N54" i="3"/>
  <c r="F14" i="3"/>
  <c r="F17" i="3"/>
  <c r="F35" i="3"/>
  <c r="N36" i="3"/>
  <c r="N35" i="3"/>
  <c r="N37" i="3"/>
  <c r="N50" i="3"/>
  <c r="N53" i="3"/>
  <c r="AG95" i="1"/>
  <c r="AD23" i="2"/>
  <c r="AH92" i="1"/>
  <c r="AC24" i="2"/>
  <c r="L44" i="3"/>
  <c r="K46" i="3"/>
  <c r="O90" i="1"/>
  <c r="AH86" i="1"/>
  <c r="AA24" i="2"/>
  <c r="O85" i="1"/>
  <c r="O84" i="1"/>
  <c r="O86" i="1"/>
  <c r="AA11" i="2"/>
  <c r="M86" i="1"/>
  <c r="AA9" i="2"/>
  <c r="BQ76" i="1"/>
  <c r="BQ77" i="1"/>
  <c r="X34" i="2"/>
  <c r="K31" i="3"/>
  <c r="L27" i="3"/>
  <c r="L26" i="3"/>
  <c r="L28" i="3"/>
  <c r="K28" i="3"/>
  <c r="N23" i="3"/>
  <c r="K25" i="3"/>
  <c r="O69" i="1"/>
  <c r="BQ67" i="1"/>
  <c r="BQ68" i="1"/>
  <c r="U34" i="2"/>
  <c r="AG65" i="1"/>
  <c r="T23" i="2"/>
  <c r="AI65" i="1"/>
  <c r="T25" i="2"/>
  <c r="O65" i="1"/>
  <c r="T11" i="2"/>
  <c r="H65" i="1"/>
  <c r="T6" i="2"/>
  <c r="BQ52" i="1"/>
  <c r="D50" i="3"/>
  <c r="F50" i="3"/>
  <c r="F44" i="3"/>
  <c r="F41" i="3"/>
  <c r="L31" i="2"/>
  <c r="AH41" i="1"/>
  <c r="L24" i="2"/>
  <c r="N41" i="1"/>
  <c r="L10" i="2"/>
  <c r="BQ37" i="1"/>
  <c r="BQ38" i="1"/>
  <c r="K34" i="2"/>
  <c r="N26" i="1"/>
  <c r="G10" i="2"/>
  <c r="AH35" i="1"/>
  <c r="J24" i="2"/>
  <c r="F32" i="3"/>
  <c r="F29" i="3"/>
  <c r="AH29" i="1"/>
  <c r="H24" i="2"/>
  <c r="F26" i="3"/>
  <c r="C28" i="3"/>
  <c r="F23" i="3"/>
  <c r="C25" i="3"/>
  <c r="F20" i="3"/>
  <c r="BQ65" i="1"/>
  <c r="T34" i="2"/>
  <c r="BQ61" i="1"/>
  <c r="BQ62" i="1"/>
  <c r="S34" i="2"/>
  <c r="AZ56" i="1"/>
  <c r="Q30" i="2"/>
  <c r="BQ10" i="1"/>
  <c r="BQ11" i="1"/>
  <c r="B34" i="2"/>
  <c r="M54" i="3"/>
  <c r="M55" i="3"/>
  <c r="L51" i="3"/>
  <c r="L47" i="3"/>
  <c r="L38" i="3"/>
  <c r="M39" i="3"/>
  <c r="M40" i="3"/>
  <c r="L32" i="3"/>
  <c r="L29" i="3"/>
  <c r="N29" i="3"/>
  <c r="N31" i="3"/>
  <c r="L17" i="3"/>
  <c r="N17" i="3"/>
  <c r="M18" i="3"/>
  <c r="M19" i="3"/>
  <c r="M14" i="3"/>
  <c r="L14" i="3"/>
  <c r="N11" i="3"/>
  <c r="M9" i="3"/>
  <c r="F39" i="3"/>
  <c r="D36" i="3"/>
  <c r="E30" i="3"/>
  <c r="E31" i="3"/>
  <c r="F24" i="3"/>
  <c r="F25" i="3"/>
  <c r="D18" i="3"/>
  <c r="D19" i="3"/>
  <c r="F18" i="3"/>
  <c r="E18" i="3"/>
  <c r="E19" i="3"/>
  <c r="D12" i="3"/>
  <c r="D13" i="3"/>
  <c r="O9" i="1"/>
  <c r="M17" i="1"/>
  <c r="D9" i="2"/>
  <c r="M26" i="1"/>
  <c r="G9" i="2"/>
  <c r="O30" i="1"/>
  <c r="O33" i="1"/>
  <c r="O39" i="1"/>
  <c r="O42" i="1"/>
  <c r="O51" i="1"/>
  <c r="O54" i="1"/>
  <c r="O60" i="1"/>
  <c r="O72" i="1"/>
  <c r="O75" i="1"/>
  <c r="O78" i="1"/>
  <c r="O81" i="1"/>
  <c r="M98" i="1"/>
  <c r="AE9" i="2"/>
  <c r="V38" i="1"/>
  <c r="K15" i="2"/>
  <c r="BQ53" i="1"/>
  <c r="P34" i="2"/>
  <c r="H33" i="2"/>
  <c r="G33" i="2"/>
  <c r="O32" i="1"/>
  <c r="I11" i="2"/>
  <c r="BQ107" i="1"/>
  <c r="V11" i="1"/>
  <c r="B15" i="2"/>
  <c r="V101" i="1"/>
  <c r="U103" i="1"/>
  <c r="F19" i="3"/>
  <c r="N55" i="3"/>
  <c r="AF2" i="2"/>
  <c r="AH98" i="1"/>
  <c r="AE24" i="2"/>
  <c r="N24" i="3"/>
  <c r="N25" i="3"/>
  <c r="M21" i="3"/>
  <c r="M22" i="3"/>
  <c r="K16" i="3"/>
  <c r="O40" i="1"/>
  <c r="O41" i="1"/>
  <c r="L11" i="2"/>
  <c r="O25" i="1"/>
  <c r="O26" i="1"/>
  <c r="G11" i="2"/>
  <c r="O22" i="1"/>
  <c r="O23" i="1"/>
  <c r="F11" i="2"/>
  <c r="BQ16" i="1"/>
  <c r="BQ17" i="1"/>
  <c r="D34" i="2"/>
  <c r="C16" i="3"/>
  <c r="E12" i="3"/>
  <c r="F12" i="3"/>
  <c r="F13" i="3"/>
  <c r="E13" i="3"/>
  <c r="AZ86" i="1"/>
  <c r="AA30" i="2"/>
  <c r="AZ35" i="1"/>
  <c r="J30" i="2"/>
  <c r="BQ22" i="1"/>
  <c r="BQ23" i="1"/>
  <c r="F34" i="2"/>
  <c r="AG92" i="1"/>
  <c r="AC23" i="2"/>
  <c r="AI92" i="1"/>
  <c r="AC25" i="2"/>
  <c r="K49" i="3"/>
  <c r="K52" i="3"/>
  <c r="N47" i="3"/>
  <c r="M51" i="3"/>
  <c r="M52" i="3"/>
  <c r="N44" i="3"/>
  <c r="N46" i="3"/>
  <c r="AI95" i="1"/>
  <c r="AD25" i="2"/>
  <c r="AK98" i="1"/>
  <c r="AE27" i="2"/>
  <c r="AI101" i="1"/>
  <c r="AF23" i="2"/>
  <c r="L33" i="3"/>
  <c r="L34" i="3"/>
  <c r="K34" i="3"/>
  <c r="K19" i="3"/>
  <c r="L11" i="3"/>
  <c r="K13" i="3"/>
  <c r="N8" i="3"/>
  <c r="AG53" i="1"/>
  <c r="P23" i="2"/>
  <c r="AH53" i="1"/>
  <c r="P24" i="2"/>
  <c r="F52" i="3"/>
  <c r="E33" i="3"/>
  <c r="E34" i="3"/>
  <c r="D30" i="3"/>
  <c r="D31" i="3"/>
  <c r="F27" i="3"/>
  <c r="F28" i="3"/>
  <c r="AF27" i="2"/>
  <c r="H77" i="1"/>
  <c r="X6" i="2"/>
  <c r="G77" i="1"/>
  <c r="X5" i="2"/>
  <c r="G11" i="1"/>
  <c r="B5" i="2"/>
  <c r="H11" i="1"/>
  <c r="B6" i="2"/>
  <c r="M101" i="1"/>
  <c r="O100" i="1"/>
  <c r="BQ43" i="1"/>
  <c r="BQ44" i="1"/>
  <c r="M34" i="2"/>
  <c r="O94" i="1"/>
  <c r="O95" i="1"/>
  <c r="AD11" i="2"/>
  <c r="AK92" i="1"/>
  <c r="AC27" i="2"/>
  <c r="AZ89" i="1"/>
  <c r="AB30" i="2"/>
  <c r="BQ108" i="1"/>
  <c r="BC103" i="1"/>
  <c r="C106" i="1"/>
  <c r="BF103" i="1"/>
  <c r="R103" i="1"/>
  <c r="N10" i="3"/>
  <c r="D51" i="3"/>
  <c r="D52" i="3"/>
  <c r="E42" i="3"/>
  <c r="E43" i="3"/>
  <c r="F30" i="3"/>
  <c r="F31" i="3"/>
  <c r="C22" i="3"/>
  <c r="O16" i="1"/>
  <c r="N51" i="3"/>
  <c r="N52" i="3"/>
  <c r="L50" i="3"/>
  <c r="L52" i="3"/>
  <c r="M33" i="3"/>
  <c r="M34" i="3"/>
  <c r="M30" i="3"/>
  <c r="M31" i="3"/>
  <c r="L30" i="3"/>
  <c r="L31" i="3"/>
  <c r="M12" i="3"/>
  <c r="M13" i="3"/>
  <c r="N12" i="3"/>
  <c r="N13" i="3"/>
  <c r="M10" i="3"/>
  <c r="L8" i="3"/>
  <c r="L10" i="3"/>
  <c r="K10" i="3"/>
  <c r="AG56" i="1"/>
  <c r="Q23" i="2"/>
  <c r="AI56" i="1"/>
  <c r="Q25" i="2"/>
  <c r="AH56" i="1"/>
  <c r="Q24" i="2"/>
  <c r="E51" i="3"/>
  <c r="E52" i="3"/>
  <c r="C52" i="3"/>
  <c r="F38" i="3"/>
  <c r="F40" i="3"/>
  <c r="D38" i="3"/>
  <c r="D40" i="3"/>
  <c r="AG41" i="1"/>
  <c r="L23" i="2"/>
  <c r="AI41" i="1"/>
  <c r="L25" i="2"/>
  <c r="C37" i="3"/>
  <c r="E36" i="3"/>
  <c r="E37" i="3"/>
  <c r="D35" i="3"/>
  <c r="D37" i="3"/>
  <c r="AI35" i="1"/>
  <c r="J25" i="2"/>
  <c r="C34" i="3"/>
  <c r="E28" i="3"/>
  <c r="F15" i="3"/>
  <c r="F16" i="3"/>
  <c r="F9" i="3"/>
  <c r="F10" i="3"/>
  <c r="AG11" i="1"/>
  <c r="B23" i="2"/>
  <c r="AI11" i="1"/>
  <c r="B25" i="2"/>
  <c r="M95" i="1"/>
  <c r="AD9" i="2"/>
  <c r="O76" i="1"/>
  <c r="O77" i="1"/>
  <c r="X11" i="2"/>
  <c r="AK71" i="1"/>
  <c r="V27" i="2"/>
  <c r="O61" i="1"/>
  <c r="O62" i="1"/>
  <c r="S11" i="2"/>
  <c r="L103" i="1"/>
  <c r="O58" i="1"/>
  <c r="O59" i="1"/>
  <c r="R11" i="2"/>
  <c r="N23" i="1"/>
  <c r="F10" i="2"/>
  <c r="M20" i="1"/>
  <c r="E9" i="2"/>
  <c r="O19" i="1"/>
  <c r="M14" i="1"/>
  <c r="C9" i="2"/>
  <c r="AM97" i="1"/>
  <c r="AM98" i="1"/>
  <c r="AL98" i="1"/>
  <c r="K40" i="3"/>
  <c r="L39" i="3"/>
  <c r="L40" i="3"/>
  <c r="O73" i="1"/>
  <c r="O74" i="1"/>
  <c r="W11" i="2"/>
  <c r="M59" i="1"/>
  <c r="R9" i="2"/>
  <c r="O55" i="1"/>
  <c r="O56" i="1"/>
  <c r="Q11" i="2"/>
  <c r="AK56" i="1"/>
  <c r="Q27" i="2"/>
  <c r="D42" i="3"/>
  <c r="D43" i="3"/>
  <c r="V103" i="1"/>
  <c r="C49" i="3"/>
  <c r="T103" i="1"/>
  <c r="I103" i="1"/>
  <c r="W103" i="1"/>
  <c r="AJ103" i="1"/>
  <c r="AL106" i="1"/>
  <c r="F42" i="3"/>
  <c r="F43" i="3"/>
  <c r="AQ103" i="1"/>
  <c r="AQ105" i="1"/>
  <c r="AQ106" i="1"/>
  <c r="AS103" i="1"/>
  <c r="AS105" i="1"/>
  <c r="AS106" i="1"/>
  <c r="AU103" i="1"/>
  <c r="AU105" i="1"/>
  <c r="AU106" i="1"/>
  <c r="AW103" i="1"/>
  <c r="AW105" i="1"/>
  <c r="AW106" i="1"/>
  <c r="F45" i="3"/>
  <c r="F46" i="3"/>
  <c r="C46" i="3"/>
  <c r="AK47" i="1"/>
  <c r="N27" i="2"/>
  <c r="O43" i="1"/>
  <c r="O44" i="1"/>
  <c r="M11" i="2"/>
  <c r="AK44" i="1"/>
  <c r="M27" i="2"/>
  <c r="AK41" i="1"/>
  <c r="L27" i="2"/>
  <c r="O37" i="1"/>
  <c r="O38" i="1"/>
  <c r="K11" i="2"/>
  <c r="F33" i="3"/>
  <c r="F34" i="3"/>
  <c r="O34" i="1"/>
  <c r="O35" i="1"/>
  <c r="J11" i="2"/>
  <c r="AK35" i="1"/>
  <c r="J27" i="2"/>
  <c r="BI105" i="1"/>
  <c r="BQ105" i="1"/>
  <c r="BB103" i="1"/>
  <c r="F21" i="3"/>
  <c r="F22" i="3"/>
  <c r="O20" i="1"/>
  <c r="E11" i="2"/>
  <c r="BQ13" i="1"/>
  <c r="BQ14" i="1"/>
  <c r="C34" i="2"/>
  <c r="C10" i="2"/>
  <c r="O14" i="1"/>
  <c r="C11" i="2"/>
  <c r="O13" i="1"/>
  <c r="AK14" i="1"/>
  <c r="C27" i="2"/>
  <c r="BA103" i="1"/>
  <c r="C107" i="1"/>
  <c r="BQ50" i="1"/>
  <c r="O34" i="2"/>
  <c r="AZ32" i="1"/>
  <c r="I30" i="2"/>
  <c r="AZ29" i="1"/>
  <c r="H30" i="2"/>
  <c r="E15" i="3"/>
  <c r="E16" i="3"/>
  <c r="AK17" i="1"/>
  <c r="D27" i="2"/>
  <c r="N48" i="3"/>
  <c r="N49" i="3"/>
  <c r="M45" i="3"/>
  <c r="M46" i="3"/>
  <c r="M27" i="3"/>
  <c r="M28" i="3"/>
  <c r="N21" i="3"/>
  <c r="N22" i="3"/>
  <c r="K22" i="3"/>
  <c r="AK68" i="1"/>
  <c r="U27" i="2"/>
  <c r="O88" i="1"/>
  <c r="O89" i="1"/>
  <c r="AB11" i="2"/>
  <c r="O82" i="1"/>
  <c r="O83" i="1"/>
  <c r="Z11" i="2"/>
  <c r="AK50" i="1"/>
  <c r="O27" i="2"/>
  <c r="M38" i="1"/>
  <c r="K9" i="2"/>
  <c r="AK32" i="1"/>
  <c r="I27" i="2"/>
  <c r="O29" i="1"/>
  <c r="H11" i="2"/>
  <c r="AL95" i="1"/>
  <c r="AK95" i="1"/>
  <c r="AD27" i="2"/>
  <c r="L45" i="3"/>
  <c r="L46" i="3"/>
  <c r="L42" i="3"/>
  <c r="L43" i="3"/>
  <c r="N89" i="1"/>
  <c r="AB10" i="2"/>
  <c r="AK89" i="1"/>
  <c r="AB27" i="2"/>
  <c r="AL86" i="1"/>
  <c r="AM85" i="1"/>
  <c r="M36" i="3"/>
  <c r="M37" i="3"/>
  <c r="K37" i="3"/>
  <c r="AK80" i="1"/>
  <c r="Y27" i="2"/>
  <c r="AZ74" i="1"/>
  <c r="W30" i="2"/>
  <c r="O67" i="1"/>
  <c r="O68" i="1"/>
  <c r="U11" i="2"/>
  <c r="AM67" i="1"/>
  <c r="AN67" i="1"/>
  <c r="AL68" i="1"/>
  <c r="N19" i="3"/>
  <c r="L18" i="3"/>
  <c r="L19" i="3"/>
  <c r="AK65" i="1"/>
  <c r="T27" i="2"/>
  <c r="M15" i="3"/>
  <c r="M16" i="3"/>
  <c r="L15" i="3"/>
  <c r="L16" i="3"/>
  <c r="AK62" i="1"/>
  <c r="S27" i="2"/>
  <c r="AL62" i="1"/>
  <c r="AZ59" i="1"/>
  <c r="R30" i="2"/>
  <c r="L13" i="3"/>
  <c r="O52" i="1"/>
  <c r="O53" i="1"/>
  <c r="P11" i="2"/>
  <c r="AK53" i="1"/>
  <c r="F48" i="3"/>
  <c r="F49" i="3"/>
  <c r="D48" i="3"/>
  <c r="D49" i="3"/>
  <c r="E45" i="3"/>
  <c r="E46" i="3"/>
  <c r="E39" i="3"/>
  <c r="E40" i="3"/>
  <c r="F36" i="3"/>
  <c r="F37" i="3"/>
  <c r="AH38" i="1"/>
  <c r="K24" i="2"/>
  <c r="AL38" i="1"/>
  <c r="AK38" i="1"/>
  <c r="K27" i="2"/>
  <c r="AL32" i="1"/>
  <c r="E24" i="3"/>
  <c r="E25" i="3"/>
  <c r="AK26" i="1"/>
  <c r="G27" i="2"/>
  <c r="AR103" i="1"/>
  <c r="AR105" i="1"/>
  <c r="AR106" i="1"/>
  <c r="E21" i="3"/>
  <c r="E22" i="3"/>
  <c r="F36" i="2"/>
  <c r="AK20" i="1"/>
  <c r="E27" i="2"/>
  <c r="AP103" i="1"/>
  <c r="AP105" i="1"/>
  <c r="AP106" i="1"/>
  <c r="AM16" i="1"/>
  <c r="AM17" i="1"/>
  <c r="AL17" i="1"/>
  <c r="E9" i="3"/>
  <c r="E10" i="3"/>
  <c r="C10" i="3"/>
  <c r="O10" i="1"/>
  <c r="O11" i="1"/>
  <c r="B11" i="2"/>
  <c r="AK11" i="1"/>
  <c r="B27" i="2"/>
  <c r="AF34" i="2"/>
  <c r="BQ101" i="1"/>
  <c r="AZ101" i="1"/>
  <c r="AF30" i="2"/>
  <c r="AO103" i="1"/>
  <c r="AO105" i="1"/>
  <c r="AO106" i="1"/>
  <c r="E34" i="2"/>
  <c r="G44" i="4"/>
  <c r="G76" i="4"/>
  <c r="G108" i="4"/>
  <c r="M42" i="3"/>
  <c r="M43" i="3"/>
  <c r="N42" i="3"/>
  <c r="N43" i="3"/>
  <c r="AD24" i="2"/>
  <c r="AH103" i="1"/>
  <c r="AL101" i="1"/>
  <c r="AM99" i="1"/>
  <c r="AN99" i="1"/>
  <c r="M48" i="3"/>
  <c r="M49" i="3"/>
  <c r="L48" i="3"/>
  <c r="L49" i="3"/>
  <c r="AL92" i="1"/>
  <c r="AK101" i="1"/>
  <c r="AM33" i="1"/>
  <c r="AN33" i="1"/>
  <c r="AL35" i="1"/>
  <c r="AM54" i="1"/>
  <c r="AN54" i="1"/>
  <c r="AL56" i="1"/>
  <c r="AM42" i="1"/>
  <c r="AL44" i="1"/>
  <c r="AM63" i="1"/>
  <c r="AL65" i="1"/>
  <c r="AM24" i="1"/>
  <c r="AN24" i="1"/>
  <c r="AL26" i="1"/>
  <c r="AN60" i="1"/>
  <c r="AM62" i="1"/>
  <c r="S28" i="2"/>
  <c r="O97" i="1"/>
  <c r="O98" i="1"/>
  <c r="AE11" i="2"/>
  <c r="O101" i="1"/>
  <c r="AF11" i="2"/>
  <c r="AF28" i="2"/>
  <c r="AN100" i="1"/>
  <c r="G101" i="1"/>
  <c r="G103" i="1"/>
  <c r="O91" i="1"/>
  <c r="O92" i="1"/>
  <c r="AC11" i="2"/>
  <c r="AN91" i="1"/>
  <c r="AM92" i="1"/>
  <c r="AL89" i="1"/>
  <c r="AM88" i="1"/>
  <c r="O79" i="1"/>
  <c r="O80" i="1"/>
  <c r="Y11" i="2"/>
  <c r="Z27" i="2"/>
  <c r="AN79" i="1"/>
  <c r="AM80" i="1"/>
  <c r="AL80" i="1"/>
  <c r="AM76" i="1"/>
  <c r="AL77" i="1"/>
  <c r="AK77" i="1"/>
  <c r="X27" i="2"/>
  <c r="AL74" i="1"/>
  <c r="AK74" i="1"/>
  <c r="W27" i="2"/>
  <c r="O70" i="1"/>
  <c r="O71" i="1"/>
  <c r="V11" i="2"/>
  <c r="AM70" i="1"/>
  <c r="AL71" i="1"/>
  <c r="C103" i="1"/>
  <c r="G8" i="4"/>
  <c r="G106" i="4"/>
  <c r="AM58" i="1"/>
  <c r="AL59" i="1"/>
  <c r="AK59" i="1"/>
  <c r="R27" i="2"/>
  <c r="M56" i="1"/>
  <c r="Q9" i="2"/>
  <c r="AN55" i="1"/>
  <c r="AM56" i="1"/>
  <c r="M53" i="1"/>
  <c r="P9" i="2"/>
  <c r="AM53" i="1"/>
  <c r="AL53" i="1"/>
  <c r="K103" i="1"/>
  <c r="AL50" i="1"/>
  <c r="O46" i="1"/>
  <c r="O47" i="1"/>
  <c r="N11" i="2"/>
  <c r="AL47" i="1"/>
  <c r="AM45" i="1"/>
  <c r="AM41" i="1"/>
  <c r="AL41" i="1"/>
  <c r="AM38" i="1"/>
  <c r="AN37" i="1"/>
  <c r="AN34" i="1"/>
  <c r="AM35" i="1"/>
  <c r="AL29" i="1"/>
  <c r="E103" i="1"/>
  <c r="D10" i="2"/>
  <c r="O17" i="1"/>
  <c r="D11" i="2"/>
  <c r="AM20" i="1"/>
  <c r="AL20" i="1"/>
  <c r="D103" i="1"/>
  <c r="AM14" i="1"/>
  <c r="AN13" i="1"/>
  <c r="C5" i="2"/>
  <c r="AL14" i="1"/>
  <c r="AM10" i="1"/>
  <c r="AL11" i="1"/>
  <c r="A15" i="1"/>
  <c r="P27" i="2"/>
  <c r="AK103" i="1"/>
  <c r="AZ103" i="1"/>
  <c r="C104" i="1"/>
  <c r="C108" i="1"/>
  <c r="AN97" i="1"/>
  <c r="H103" i="1"/>
  <c r="AF36" i="2"/>
  <c r="N103" i="1"/>
  <c r="AM68" i="1"/>
  <c r="AN68" i="1"/>
  <c r="N57" i="3"/>
  <c r="N63" i="3"/>
  <c r="N64" i="3"/>
  <c r="BQ103" i="1"/>
  <c r="K57" i="3"/>
  <c r="AI103" i="1"/>
  <c r="D54" i="3"/>
  <c r="F56" i="3"/>
  <c r="F54" i="3"/>
  <c r="F66" i="3"/>
  <c r="AG103" i="1"/>
  <c r="BQ104" i="1"/>
  <c r="C54" i="3"/>
  <c r="AN16" i="1"/>
  <c r="E54" i="3"/>
  <c r="F63" i="3"/>
  <c r="AM26" i="1"/>
  <c r="G28" i="2"/>
  <c r="G36" i="2"/>
  <c r="AM95" i="1"/>
  <c r="AD28" i="2"/>
  <c r="AD36" i="2"/>
  <c r="S36" i="2"/>
  <c r="AM32" i="1"/>
  <c r="I28" i="2"/>
  <c r="I36" i="2"/>
  <c r="L57" i="3"/>
  <c r="N59" i="3"/>
  <c r="M57" i="3"/>
  <c r="N66" i="3"/>
  <c r="AN85" i="1"/>
  <c r="AM86" i="1"/>
  <c r="AN62" i="1"/>
  <c r="AM101" i="1"/>
  <c r="AN101" i="1"/>
  <c r="AM65" i="1"/>
  <c r="AN63" i="1"/>
  <c r="AN42" i="1"/>
  <c r="AM44" i="1"/>
  <c r="AE28" i="2"/>
  <c r="AE36" i="2"/>
  <c r="AN98" i="1"/>
  <c r="AC28" i="2"/>
  <c r="AC36" i="2"/>
  <c r="AN92" i="1"/>
  <c r="AN88" i="1"/>
  <c r="AM89" i="1"/>
  <c r="AN80" i="1"/>
  <c r="Y28" i="2"/>
  <c r="Y36" i="2"/>
  <c r="AN76" i="1"/>
  <c r="AM77" i="1"/>
  <c r="AM74" i="1"/>
  <c r="AN70" i="1"/>
  <c r="AM71" i="1"/>
  <c r="AN58" i="1"/>
  <c r="AM59" i="1"/>
  <c r="M103" i="1"/>
  <c r="Q28" i="2"/>
  <c r="Q36" i="2"/>
  <c r="AN56" i="1"/>
  <c r="AN53" i="1"/>
  <c r="P28" i="2"/>
  <c r="P36" i="2"/>
  <c r="AM50" i="1"/>
  <c r="AN45" i="1"/>
  <c r="AM47" i="1"/>
  <c r="AN41" i="1"/>
  <c r="L28" i="2"/>
  <c r="L36" i="2"/>
  <c r="K28" i="2"/>
  <c r="K36" i="2"/>
  <c r="AN38" i="1"/>
  <c r="G74" i="4"/>
  <c r="G42" i="4"/>
  <c r="J28" i="2"/>
  <c r="J36" i="2"/>
  <c r="AN35" i="1"/>
  <c r="AM29" i="1"/>
  <c r="O103" i="1"/>
  <c r="AN20" i="1"/>
  <c r="E28" i="2"/>
  <c r="E36" i="2"/>
  <c r="AN17" i="1"/>
  <c r="D28" i="2"/>
  <c r="D36" i="2"/>
  <c r="AN14" i="1"/>
  <c r="C28" i="2"/>
  <c r="C36" i="2"/>
  <c r="AL103" i="1"/>
  <c r="AL105" i="1"/>
  <c r="AL107" i="1"/>
  <c r="AN10" i="1"/>
  <c r="AN11" i="1"/>
  <c r="AM11" i="1"/>
  <c r="D2" i="2"/>
  <c r="A18" i="1"/>
  <c r="U28" i="2"/>
  <c r="U36" i="2"/>
  <c r="F60" i="3"/>
  <c r="F68" i="3"/>
  <c r="G68" i="3"/>
  <c r="N69" i="3"/>
  <c r="AN26" i="1"/>
  <c r="AN32" i="1"/>
  <c r="AN95" i="1"/>
  <c r="N71" i="3"/>
  <c r="AA28" i="2"/>
  <c r="AA36" i="2"/>
  <c r="AN86" i="1"/>
  <c r="M28" i="2"/>
  <c r="M36" i="2"/>
  <c r="AN44" i="1"/>
  <c r="F61" i="3"/>
  <c r="T28" i="2"/>
  <c r="T36" i="2"/>
  <c r="AN65" i="1"/>
  <c r="AB28" i="2"/>
  <c r="AB36" i="2"/>
  <c r="AN89" i="1"/>
  <c r="Z28" i="2"/>
  <c r="Z36" i="2"/>
  <c r="X28" i="2"/>
  <c r="X36" i="2"/>
  <c r="AN77" i="1"/>
  <c r="W28" i="2"/>
  <c r="W36" i="2"/>
  <c r="AN74" i="1"/>
  <c r="V28" i="2"/>
  <c r="V36" i="2"/>
  <c r="AN71" i="1"/>
  <c r="R28" i="2"/>
  <c r="R36" i="2"/>
  <c r="AN59" i="1"/>
  <c r="O28" i="2"/>
  <c r="O36" i="2"/>
  <c r="AN50" i="1"/>
  <c r="AN47" i="1"/>
  <c r="N28" i="2"/>
  <c r="N36" i="2"/>
  <c r="AN29" i="1"/>
  <c r="H28" i="2"/>
  <c r="H36" i="2"/>
  <c r="B28" i="2"/>
  <c r="B36" i="2"/>
  <c r="AM103" i="1"/>
  <c r="G12" i="4"/>
  <c r="A21" i="1"/>
  <c r="E2" i="2"/>
  <c r="AN103" i="1"/>
  <c r="G78" i="4"/>
  <c r="G80" i="4"/>
  <c r="G46" i="4"/>
  <c r="G48" i="4"/>
  <c r="G51" i="4"/>
  <c r="G14" i="4"/>
  <c r="G17" i="4"/>
  <c r="G110" i="4"/>
  <c r="F2" i="2"/>
  <c r="A24" i="1"/>
  <c r="G19" i="4"/>
  <c r="G21" i="4"/>
  <c r="G112" i="4"/>
  <c r="G115" i="4"/>
  <c r="G83" i="4"/>
  <c r="G55" i="4"/>
  <c r="G53" i="4"/>
  <c r="G2" i="2"/>
  <c r="A27" i="1"/>
  <c r="G23" i="4"/>
  <c r="G57" i="4"/>
  <c r="G87" i="4"/>
  <c r="G85" i="4"/>
  <c r="G119" i="4"/>
  <c r="G117" i="4"/>
  <c r="A30" i="1"/>
  <c r="H2" i="2"/>
  <c r="G121" i="4"/>
  <c r="G89" i="4"/>
  <c r="I2" i="2"/>
  <c r="A33" i="1"/>
  <c r="J2" i="2"/>
  <c r="A36" i="1"/>
  <c r="K2" i="2"/>
  <c r="A39" i="1"/>
  <c r="L2" i="2"/>
  <c r="A42" i="1"/>
  <c r="M2" i="2"/>
  <c r="A45" i="1"/>
  <c r="A48" i="1"/>
  <c r="N2" i="2"/>
  <c r="O2" i="2"/>
  <c r="A51" i="1"/>
  <c r="P2" i="2"/>
  <c r="A54" i="1"/>
  <c r="Q2" i="2"/>
  <c r="A57" i="1"/>
  <c r="R2" i="2"/>
  <c r="A60" i="1"/>
  <c r="S2" i="2"/>
  <c r="A63" i="1"/>
  <c r="T2" i="2"/>
  <c r="A66" i="1"/>
  <c r="U2" i="2"/>
  <c r="A69" i="1"/>
  <c r="A72" i="1"/>
  <c r="V2" i="2"/>
  <c r="W2" i="2"/>
  <c r="A75" i="1"/>
  <c r="X2" i="2"/>
  <c r="A78" i="1"/>
  <c r="Y2" i="2"/>
  <c r="A81" i="1"/>
  <c r="A84" i="1"/>
  <c r="Z2" i="2"/>
  <c r="AA2" i="2"/>
  <c r="A87" i="1"/>
  <c r="AB2" i="2"/>
  <c r="A90" i="1"/>
  <c r="A93" i="1"/>
  <c r="AC2" i="2"/>
  <c r="A96" i="1"/>
  <c r="AD2" i="2"/>
  <c r="AE2" i="2"/>
</calcChain>
</file>

<file path=xl/sharedStrings.xml><?xml version="1.0" encoding="utf-8"?>
<sst xmlns="http://schemas.openxmlformats.org/spreadsheetml/2006/main" count="520" uniqueCount="141">
  <si>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</si>
  <si>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</si>
  <si>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</si>
  <si>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</si>
  <si>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</si>
  <si>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</si>
  <si>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</si>
  <si>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</si>
  <si>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</si>
  <si>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</si>
  <si>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</si>
  <si>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</si>
  <si>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</si>
  <si>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</si>
  <si>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</si>
  <si>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</si>
  <si>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</si>
  <si>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</si>
  <si>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</si>
  <si>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</si>
  <si>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</si>
  <si>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</si>
  <si>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</si>
  <si>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</si>
  <si>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</si>
  <si>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</si>
  <si>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</si>
  <si>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</si>
  <si>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</si>
  <si>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</si>
  <si>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</si>
  <si>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</si>
  <si>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</si>
  <si>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</si>
  <si>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</si>
  <si>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</si>
  <si>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</si>
  <si>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</si>
  <si>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</si>
  <si>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</si>
  <si>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</si>
  <si>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</si>
  <si>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</si>
  <si>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</si>
  <si>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</si>
  <si>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</si>
  <si>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</si>
  <si>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</si>
  <si>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</si>
  <si>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</si>
  <si>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</si>
  <si>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</si>
  <si>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</si>
  <si>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</si>
  <si>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</si>
  <si>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</si>
  <si>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</si>
  <si>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</si>
  <si>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</si>
  <si>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</si>
  <si>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</si>
  <si>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</si>
  <si>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</si>
  <si>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</si>
  <si>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</si>
  <si>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</si>
  <si>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</si>
  <si>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</si>
  <si>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</si>
  <si>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</si>
  <si>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</si>
  <si>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</si>
  <si>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</si>
  <si>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</si>
  <si>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</si>
  <si>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</si>
  <si>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</si>
  <si>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</si>
  <si>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</si>
  <si>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</si>
  <si>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</si>
  <si>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</si>
  <si>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</si>
  <si>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</si>
  <si>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</si>
  <si>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</si>
  <si>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</si>
  <si>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</si>
  <si>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</si>
  <si>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</si>
  <si>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</si>
  <si>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</si>
  <si>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</si>
  <si>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</si>
  <si>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</si>
  <si>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</si>
  <si>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</si>
  <si>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</si>
  <si>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</si>
  <si>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</si>
  <si>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</si>
  <si>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</si>
  <si>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</si>
  <si>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</si>
  <si>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</si>
  <si>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</si>
  <si>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</si>
  <si>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</si>
  <si>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</si>
  <si>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</si>
  <si>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</si>
  <si>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</si>
  <si>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</si>
  <si>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</si>
  <si>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</si>
  <si>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</si>
  <si>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</si>
  <si>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</si>
  <si>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</si>
  <si>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</si>
  <si>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</si>
  <si>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</si>
  <si>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</si>
  <si>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</si>
  <si>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</si>
  <si>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</si>
  <si>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</si>
  <si>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</si>
  <si>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</si>
  <si>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</si>
  <si>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</si>
  <si>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</si>
  <si>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</si>
  <si>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</si>
  <si>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</si>
  <si>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</si>
  <si>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</si>
  <si>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</si>
  <si>
    <t>SUNDAY</t>
  </si>
  <si>
    <t>STORE CLOSED</t>
  </si>
  <si>
    <t>FOODPANDA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</si>
</sst>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43" fontId="3" fillId="7" borderId="0" xfId="1" applyFont="1" applyFill="1" applyBorder="1"/>
    <xf numFmtId="0" fontId="3" fillId="9" borderId="0" xfId="0" applyFont="1" applyFill="1" applyBorder="1"/>
    <xf numFmtId="43" fontId="3" fillId="9" borderId="0" xfId="1" applyFont="1" applyFill="1" applyBorder="1"/>
    <xf numFmtId="43" fontId="3" fillId="9" borderId="0" xfId="1" applyNumberFormat="1" applyFont="1" applyFill="1" applyBorder="1"/>
    <xf numFmtId="0" fontId="10" fillId="9" borderId="0" xfId="0" applyFont="1" applyFill="1"/>
    <xf numFmtId="15" fontId="10" fillId="9" borderId="0" xfId="0" applyNumberFormat="1" applyFont="1" applyFill="1"/>
    <xf numFmtId="2" fontId="3" fillId="9" borderId="0" xfId="0" applyNumberFormat="1" applyFont="1" applyFill="1"/>
    <xf numFmtId="0" fontId="3" fillId="9" borderId="0" xfId="0" applyFont="1" applyFill="1"/>
    <xf numFmtId="14" fontId="3" fillId="8" borderId="0" xfId="1" applyNumberFormat="1" applyFont="1" applyFill="1" applyBorder="1" applyAlignment="1">
      <alignment horizontal="center"/>
    </xf>
    <xf numFmtId="43" fontId="3" fillId="8" borderId="0" xfId="1" applyFont="1" applyFill="1" applyBorder="1"/>
    <xf numFmtId="43" fontId="3" fillId="8" borderId="0" xfId="1" applyFont="1" applyFill="1" applyBorder="1" applyAlignment="1">
      <alignment horizontal="center"/>
    </xf>
    <xf numFmtId="43" fontId="3" fillId="10" borderId="0" xfId="1" applyFont="1" applyFill="1" applyBorder="1"/>
    <xf numFmtId="43" fontId="3" fillId="11" borderId="0" xfId="1" applyNumberFormat="1" applyFont="1" applyFill="1" applyBorder="1"/>
    <xf numFmtId="43" fontId="3" fillId="11" borderId="0" xfId="1" applyFont="1" applyFill="1" applyBorder="1"/>
    <xf numFmtId="43" fontId="3" fillId="10" borderId="0" xfId="1" applyFont="1" applyFill="1" applyBorder="1" applyAlignment="1">
      <alignment horizontal="center"/>
    </xf>
    <xf numFmtId="43" fontId="3" fillId="3" borderId="28" xfId="1" applyFont="1" applyFill="1" applyBorder="1"/>
    <xf numFmtId="43" fontId="2" fillId="3" borderId="28" xfId="1" applyFont="1" applyFill="1" applyBorder="1"/>
    <xf numFmtId="0" fontId="15" fillId="10" borderId="28" xfId="0" applyFont="1" applyFill="1" applyBorder="1"/>
    <xf numFmtId="43" fontId="3" fillId="0" borderId="18" xfId="1" applyFont="1" applyFill="1" applyBorder="1"/>
    <xf numFmtId="43" fontId="3" fillId="2" borderId="18" xfId="1" applyNumberFormat="1" applyFont="1" applyFill="1" applyBorder="1"/>
    <xf numFmtId="43" fontId="3" fillId="3" borderId="36" xfId="1" applyFont="1" applyFill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37" xfId="0" applyNumberFormat="1" applyFont="1" applyBorder="1" applyAlignment="1">
      <alignment horizontal="center" vertical="center" wrapText="1"/>
    </xf>
    <xf numFmtId="0" fontId="3" fillId="0" borderId="17" xfId="0" applyFont="1" applyFill="1" applyBorder="1"/>
    <xf numFmtId="43" fontId="3" fillId="0" borderId="17" xfId="1" applyFont="1" applyFill="1" applyBorder="1"/>
    <xf numFmtId="43" fontId="3" fillId="3" borderId="17" xfId="1" applyFont="1" applyFill="1" applyBorder="1"/>
    <xf numFmtId="14" fontId="3" fillId="3" borderId="17" xfId="1" applyNumberFormat="1" applyFont="1" applyFill="1" applyBorder="1" applyAlignment="1">
      <alignment horizontal="center"/>
    </xf>
    <xf numFmtId="43" fontId="3" fillId="0" borderId="17" xfId="1" applyFont="1" applyBorder="1"/>
    <xf numFmtId="43" fontId="3" fillId="3" borderId="17" xfId="1" applyFont="1" applyFill="1" applyBorder="1" applyAlignment="1">
      <alignment horizontal="center"/>
    </xf>
    <xf numFmtId="43" fontId="3" fillId="4" borderId="17" xfId="1" applyFont="1" applyFill="1" applyBorder="1"/>
    <xf numFmtId="43" fontId="3" fillId="4" borderId="17" xfId="1" applyFont="1" applyFill="1" applyBorder="1" applyAlignment="1"/>
    <xf numFmtId="43" fontId="3" fillId="2" borderId="17" xfId="1" applyNumberFormat="1" applyFont="1" applyFill="1" applyBorder="1"/>
    <xf numFmtId="43" fontId="3" fillId="2" borderId="17" xfId="1" applyFont="1" applyFill="1" applyBorder="1"/>
    <xf numFmtId="43" fontId="3" fillId="0" borderId="17" xfId="1" applyNumberFormat="1" applyFont="1" applyFill="1" applyBorder="1"/>
    <xf numFmtId="0" fontId="10" fillId="0" borderId="17" xfId="0" applyFont="1" applyBorder="1"/>
    <xf numFmtId="15" fontId="10" fillId="0" borderId="17" xfId="0" applyNumberFormat="1" applyFont="1" applyBorder="1"/>
    <xf numFmtId="2" fontId="3" fillId="0" borderId="17" xfId="0" applyNumberFormat="1" applyFont="1" applyBorder="1"/>
    <xf numFmtId="0" fontId="3" fillId="0" borderId="17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39" xfId="0" applyFont="1" applyFill="1" applyBorder="1"/>
    <xf numFmtId="0" fontId="3" fillId="3" borderId="39" xfId="0" applyFont="1" applyFill="1" applyBorder="1"/>
    <xf numFmtId="0" fontId="3" fillId="3" borderId="39" xfId="0" applyFont="1" applyFill="1" applyBorder="1" applyAlignment="1">
      <alignment horizontal="center"/>
    </xf>
    <xf numFmtId="0" fontId="3" fillId="4" borderId="39" xfId="0" applyFont="1" applyFill="1" applyBorder="1"/>
    <xf numFmtId="43" fontId="3" fillId="2" borderId="39" xfId="0" applyNumberFormat="1" applyFont="1" applyFill="1" applyBorder="1"/>
    <xf numFmtId="0" fontId="3" fillId="2" borderId="39" xfId="0" applyFont="1" applyFill="1" applyBorder="1"/>
    <xf numFmtId="43" fontId="3" fillId="0" borderId="39" xfId="0" applyNumberFormat="1" applyFont="1" applyFill="1" applyBorder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88"/>
  <sheetViews>
    <sheetView tabSelected="1" zoomScale="120" zoomScaleNormal="120" workbookViewId="0">
      <pane xSplit="3" ySplit="7" topLeftCell="X102" activePane="bottomRight" state="frozen"/>
      <selection pane="topRight" activeCell="D1" sqref="D1"/>
      <selection pane="bottomLeft" activeCell="A8" sqref="A8"/>
      <selection pane="bottomRight" activeCell="AG105" sqref="AG105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1" width="10.7109375" style="136" hidden="1" customWidth="1"/>
    <col min="62" max="63" width="10.7109375" style="136" customWidth="1"/>
    <col min="64" max="67" width="10.7109375" style="136" hidden="1" customWidth="1"/>
    <col min="68" max="69" width="10.7109375" style="136" customWidth="1"/>
    <col min="70" max="71" width="9.140625" style="136"/>
    <col min="72" max="124" width="12.7109375" style="4" customWidth="1"/>
    <col min="125" max="16384" width="9.140625" style="136"/>
  </cols>
  <sheetData>
    <row r="1" spans="1:124" ht="16.5" hidden="1" customHeight="1" thickTop="1" thickBot="1" x14ac:dyDescent="0.3">
      <c r="A1" s="1" t="s">
        <v>93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customHeight="1" thickBot="1" x14ac:dyDescent="0.3">
      <c r="A2" s="1" t="s">
        <v>66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customHeight="1" thickBot="1" x14ac:dyDescent="0.3">
      <c r="A4" s="9" t="s">
        <v>129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 t="s">
        <v>34</v>
      </c>
      <c r="DE4" s="144"/>
      <c r="DF4" s="144" t="s">
        <v>25</v>
      </c>
      <c r="DG4" s="144" t="s">
        <v>35</v>
      </c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 t="s">
        <v>36</v>
      </c>
    </row>
    <row r="5" spans="1:124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143">
        <v>0.5</v>
      </c>
      <c r="BM5" s="4"/>
      <c r="BN5" s="4"/>
      <c r="BO5" s="4"/>
      <c r="BP5" s="4"/>
      <c r="BQ5" s="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 t="s">
        <v>41</v>
      </c>
      <c r="DD5" s="144"/>
      <c r="DE5" s="144" t="s">
        <v>42</v>
      </c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</row>
    <row r="6" spans="1:124" ht="34.5" customHeight="1" thickTop="1" thickBot="1" x14ac:dyDescent="0.3">
      <c r="A6" s="262" t="s">
        <v>2</v>
      </c>
      <c r="B6" s="235" t="s">
        <v>3</v>
      </c>
      <c r="C6" s="243" t="s">
        <v>4</v>
      </c>
      <c r="D6" s="239" t="s">
        <v>5</v>
      </c>
      <c r="E6" s="239" t="s">
        <v>6</v>
      </c>
      <c r="F6" s="239" t="s">
        <v>7</v>
      </c>
      <c r="G6" s="243" t="s">
        <v>8</v>
      </c>
      <c r="H6" s="243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5" t="s">
        <v>14</v>
      </c>
      <c r="N6" s="235" t="s">
        <v>15</v>
      </c>
      <c r="O6" s="235" t="s">
        <v>16</v>
      </c>
      <c r="P6" s="235" t="s">
        <v>17</v>
      </c>
      <c r="Q6" s="239" t="s">
        <v>46</v>
      </c>
      <c r="R6" s="239" t="s">
        <v>18</v>
      </c>
      <c r="S6" s="239" t="s">
        <v>19</v>
      </c>
      <c r="T6" s="235" t="s">
        <v>20</v>
      </c>
      <c r="U6" s="235" t="s">
        <v>21</v>
      </c>
      <c r="V6" s="235" t="s">
        <v>22</v>
      </c>
      <c r="W6" s="235" t="s">
        <v>47</v>
      </c>
      <c r="X6" s="239" t="s">
        <v>46</v>
      </c>
      <c r="Y6" s="64"/>
      <c r="Z6" s="239" t="s">
        <v>23</v>
      </c>
      <c r="AA6" s="248" t="s">
        <v>24</v>
      </c>
      <c r="AB6" s="239" t="s">
        <v>25</v>
      </c>
      <c r="AC6" s="239" t="s">
        <v>26</v>
      </c>
      <c r="AD6" s="254" t="s">
        <v>94</v>
      </c>
      <c r="AE6" s="255"/>
      <c r="AF6" s="242" t="s">
        <v>28</v>
      </c>
      <c r="AG6" s="250" t="s">
        <v>29</v>
      </c>
      <c r="AH6" s="251"/>
      <c r="AI6" s="243" t="s">
        <v>30</v>
      </c>
      <c r="AJ6" s="64"/>
      <c r="AK6" s="243" t="s">
        <v>31</v>
      </c>
      <c r="AL6" s="243" t="s">
        <v>32</v>
      </c>
      <c r="AM6" s="246" t="s">
        <v>33</v>
      </c>
      <c r="AN6" s="252" t="s">
        <v>102</v>
      </c>
      <c r="AO6" s="17"/>
      <c r="AP6" s="237" t="s">
        <v>63</v>
      </c>
      <c r="AQ6" s="237" t="s">
        <v>133</v>
      </c>
      <c r="AR6" s="237" t="s">
        <v>110</v>
      </c>
      <c r="AS6" s="237" t="s">
        <v>64</v>
      </c>
      <c r="AT6" s="237" t="s">
        <v>97</v>
      </c>
      <c r="AU6" s="237" t="s">
        <v>117</v>
      </c>
      <c r="AV6" s="237" t="s">
        <v>112</v>
      </c>
      <c r="AW6" s="237" t="s">
        <v>113</v>
      </c>
      <c r="AX6" s="237" t="s">
        <v>114</v>
      </c>
      <c r="AY6" s="66"/>
      <c r="AZ6" s="68"/>
      <c r="BA6" s="257" t="s">
        <v>34</v>
      </c>
      <c r="BB6" s="70"/>
      <c r="BC6" s="243" t="s">
        <v>25</v>
      </c>
      <c r="BD6" s="243" t="s">
        <v>35</v>
      </c>
      <c r="BE6" s="237" t="s">
        <v>123</v>
      </c>
      <c r="BF6" s="237" t="s">
        <v>111</v>
      </c>
      <c r="BG6" s="237" t="s">
        <v>126</v>
      </c>
      <c r="BH6" s="237" t="s">
        <v>127</v>
      </c>
      <c r="BI6" s="237" t="s">
        <v>128</v>
      </c>
      <c r="BJ6" s="237" t="s">
        <v>125</v>
      </c>
      <c r="BK6" s="237" t="s">
        <v>135</v>
      </c>
      <c r="BL6" s="237" t="s">
        <v>116</v>
      </c>
      <c r="BM6" s="18"/>
      <c r="BN6" s="18"/>
      <c r="BO6" s="18"/>
      <c r="BP6" s="237" t="s">
        <v>131</v>
      </c>
      <c r="BQ6" s="250" t="s">
        <v>36</v>
      </c>
    </row>
    <row r="7" spans="1:124" ht="35.25" thickTop="1" thickBot="1" x14ac:dyDescent="0.3">
      <c r="A7" s="263"/>
      <c r="B7" s="236"/>
      <c r="C7" s="245"/>
      <c r="D7" s="241"/>
      <c r="E7" s="241"/>
      <c r="F7" s="240"/>
      <c r="G7" s="245"/>
      <c r="H7" s="245"/>
      <c r="I7" s="240"/>
      <c r="J7" s="240"/>
      <c r="K7" s="241"/>
      <c r="L7" s="240"/>
      <c r="M7" s="236"/>
      <c r="N7" s="236"/>
      <c r="O7" s="236"/>
      <c r="P7" s="236"/>
      <c r="Q7" s="240"/>
      <c r="R7" s="241"/>
      <c r="S7" s="240"/>
      <c r="T7" s="236"/>
      <c r="U7" s="236"/>
      <c r="V7" s="236"/>
      <c r="W7" s="236"/>
      <c r="X7" s="240"/>
      <c r="Y7" s="19" t="s">
        <v>37</v>
      </c>
      <c r="Z7" s="241"/>
      <c r="AA7" s="249"/>
      <c r="AB7" s="241"/>
      <c r="AC7" s="241"/>
      <c r="AD7" s="118" t="s">
        <v>95</v>
      </c>
      <c r="AE7" s="119" t="s">
        <v>96</v>
      </c>
      <c r="AF7" s="241"/>
      <c r="AG7" s="20" t="s">
        <v>38</v>
      </c>
      <c r="AH7" s="20" t="s">
        <v>39</v>
      </c>
      <c r="AI7" s="244"/>
      <c r="AJ7" s="65" t="s">
        <v>40</v>
      </c>
      <c r="AK7" s="245"/>
      <c r="AL7" s="245"/>
      <c r="AM7" s="247"/>
      <c r="AN7" s="253"/>
      <c r="AO7" s="21" t="s">
        <v>65</v>
      </c>
      <c r="AP7" s="238"/>
      <c r="AQ7" s="238"/>
      <c r="AR7" s="238"/>
      <c r="AS7" s="238"/>
      <c r="AT7" s="238"/>
      <c r="AU7" s="238"/>
      <c r="AV7" s="238"/>
      <c r="AW7" s="238"/>
      <c r="AX7" s="238"/>
      <c r="AY7" s="67"/>
      <c r="AZ7" s="69" t="s">
        <v>41</v>
      </c>
      <c r="BA7" s="258"/>
      <c r="BB7" s="71" t="s">
        <v>42</v>
      </c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2"/>
      <c r="BN7" s="22"/>
      <c r="BO7" s="22"/>
      <c r="BP7" s="238"/>
      <c r="BQ7" s="256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1"/>
    </row>
    <row r="9" spans="1:124" ht="15.75" customHeight="1" x14ac:dyDescent="0.25">
      <c r="A9" s="259">
        <v>40513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SUM(BE9:BK9)*0.1+(BL9*0.5)</f>
        <v>0</v>
      </c>
      <c r="BD9" s="33">
        <f>SUM(BE9:BK9)+(BL9*0.5)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f>AZ9+BA9+BB9+BD9-BC9</f>
        <v>0</v>
      </c>
    </row>
    <row r="10" spans="1:124" ht="15.75" thickBot="1" x14ac:dyDescent="0.3">
      <c r="A10" s="261"/>
      <c r="B10" s="15" t="s">
        <v>44</v>
      </c>
      <c r="C10" s="33">
        <v>23524.560000000001</v>
      </c>
      <c r="D10" s="34">
        <v>11824.78</v>
      </c>
      <c r="E10" s="34">
        <v>11825</v>
      </c>
      <c r="F10" s="35">
        <v>44167</v>
      </c>
      <c r="G10" s="33">
        <f>IF(E10-D10&lt;0,E10-D10,0)*-1</f>
        <v>0</v>
      </c>
      <c r="H10" s="33">
        <f>IF(E10-D10&gt;0,E10-D10,0)</f>
        <v>0.21999999999934516</v>
      </c>
      <c r="I10" s="34"/>
      <c r="J10" s="34"/>
      <c r="K10" s="34">
        <v>8322.43</v>
      </c>
      <c r="L10" s="34"/>
      <c r="M10" s="36">
        <f>(+K10)*M$5</f>
        <v>178.93224499999999</v>
      </c>
      <c r="N10" s="36">
        <f>(+K10)*N$5</f>
        <v>41.61215</v>
      </c>
      <c r="O10" s="36">
        <f>+K10-M10-N10+P10</f>
        <v>8101.8856050000004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 t="s">
        <v>140</v>
      </c>
      <c r="AE10" s="38">
        <v>3065</v>
      </c>
      <c r="AF10" s="34">
        <v>1184.1099999999999</v>
      </c>
      <c r="AG10" s="33">
        <f>(AF10*0.8)*0.85</f>
        <v>805.19479999999999</v>
      </c>
      <c r="AH10" s="33">
        <f>(AF10*0.8)*0.15</f>
        <v>142.0932</v>
      </c>
      <c r="AI10" s="33">
        <f>AF10*0.2</f>
        <v>236.822</v>
      </c>
      <c r="AJ10" s="34"/>
      <c r="AK10" s="33">
        <f t="shared" ref="AK10" si="3">(C10-AF10-AJ10)/1.12</f>
        <v>19946.830357142855</v>
      </c>
      <c r="AL10" s="33">
        <f t="shared" si="0"/>
        <v>19946.830357142855</v>
      </c>
      <c r="AM10" s="33">
        <f t="shared" si="1"/>
        <v>2393.6196428571425</v>
      </c>
      <c r="AN10" s="33">
        <f t="shared" si="2"/>
        <v>22340.449999999997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SUM(BE10:BK10)+(BL10*0.5)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1">
        <f>AZ10+BA10+BB10+BD10-BC10</f>
        <v>0</v>
      </c>
    </row>
    <row r="11" spans="1:124" s="163" customFormat="1" ht="16.5" customHeight="1" thickBot="1" x14ac:dyDescent="0.3">
      <c r="A11" s="157"/>
      <c r="B11" s="43"/>
      <c r="C11" s="44">
        <f>SUBTOTAL(9,C9:C10)</f>
        <v>23524.560000000001</v>
      </c>
      <c r="D11" s="45">
        <f>SUBTOTAL(9,D9:D10)</f>
        <v>11824.78</v>
      </c>
      <c r="E11" s="45">
        <f>SUBTOTAL(9,E9:E10)</f>
        <v>11825</v>
      </c>
      <c r="F11" s="45"/>
      <c r="G11" s="45">
        <f t="shared" ref="G11:P11" si="4">SUBTOTAL(9,G9:G10)</f>
        <v>0</v>
      </c>
      <c r="H11" s="45">
        <f t="shared" si="4"/>
        <v>0.21999999999934516</v>
      </c>
      <c r="I11" s="45">
        <f t="shared" si="4"/>
        <v>0</v>
      </c>
      <c r="J11" s="45">
        <f t="shared" si="4"/>
        <v>0</v>
      </c>
      <c r="K11" s="159">
        <f t="shared" si="4"/>
        <v>8322.43</v>
      </c>
      <c r="L11" s="45">
        <f t="shared" si="4"/>
        <v>0</v>
      </c>
      <c r="M11" s="46">
        <f t="shared" si="4"/>
        <v>178.93224499999999</v>
      </c>
      <c r="N11" s="46">
        <f t="shared" si="4"/>
        <v>41.61215</v>
      </c>
      <c r="O11" s="46">
        <f t="shared" si="4"/>
        <v>8101.8856050000004</v>
      </c>
      <c r="P11" s="46">
        <f t="shared" si="4"/>
        <v>0</v>
      </c>
      <c r="Q11" s="47"/>
      <c r="R11" s="45">
        <f t="shared" ref="R11:BO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805.19479999999999</v>
      </c>
      <c r="AH11" s="44">
        <f t="shared" si="5"/>
        <v>142.0932</v>
      </c>
      <c r="AI11" s="44">
        <f t="shared" si="5"/>
        <v>236.822</v>
      </c>
      <c r="AJ11" s="45">
        <f t="shared" si="5"/>
        <v>0</v>
      </c>
      <c r="AK11" s="44">
        <f t="shared" si="5"/>
        <v>19946.830357142855</v>
      </c>
      <c r="AL11" s="44">
        <f t="shared" si="5"/>
        <v>19946.830357142855</v>
      </c>
      <c r="AM11" s="44">
        <f t="shared" si="5"/>
        <v>2393.6196428571425</v>
      </c>
      <c r="AN11" s="44">
        <f>+AN10+AN9</f>
        <v>22340.449999999997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/>
      <c r="BQ11" s="44">
        <f>SUBTOTAL(9,BQ9:BQ10)</f>
        <v>0</v>
      </c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5"/>
      <c r="CU11" s="164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</row>
    <row r="12" spans="1:124" x14ac:dyDescent="0.25">
      <c r="A12" s="259">
        <f>A9+1</f>
        <v>40514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SUM(BE12:BK12)*0.1+(BL12*0.5)</f>
        <v>0</v>
      </c>
      <c r="BD12" s="33">
        <f>SUM(BE12:BK12)+(BL12*0.5)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f>AZ12+BA12+BB12+BD12-BC12</f>
        <v>0</v>
      </c>
      <c r="BS12" s="146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</row>
    <row r="13" spans="1:124" ht="16.5" customHeight="1" thickBot="1" x14ac:dyDescent="0.3">
      <c r="A13" s="260"/>
      <c r="B13" s="15" t="s">
        <v>44</v>
      </c>
      <c r="C13" s="33">
        <v>24640.61</v>
      </c>
      <c r="D13" s="34">
        <v>22522.76</v>
      </c>
      <c r="E13" s="34">
        <v>22446</v>
      </c>
      <c r="F13" s="35">
        <v>44168</v>
      </c>
      <c r="G13" s="33">
        <f>IF(E13-D13&lt;0,E13-D13,0)*-1</f>
        <v>76.759999999998399</v>
      </c>
      <c r="H13" s="33">
        <f>IF(E13-D13&gt;0,E13-D13,0)</f>
        <v>0</v>
      </c>
      <c r="I13" s="34"/>
      <c r="J13" s="34"/>
      <c r="K13" s="34">
        <v>1317.05</v>
      </c>
      <c r="L13" s="34">
        <v>0</v>
      </c>
      <c r="M13" s="36">
        <f>(+K13)*M$5</f>
        <v>28.316574999999997</v>
      </c>
      <c r="N13" s="36">
        <f>(+K13)*N$5</f>
        <v>6.5852500000000003</v>
      </c>
      <c r="O13" s="36">
        <f>+K13-M13-N13+P13</f>
        <v>1282.1481749999998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v>87</v>
      </c>
      <c r="AA13" s="34"/>
      <c r="AB13" s="34"/>
      <c r="AC13" s="34">
        <v>600.15</v>
      </c>
      <c r="AD13" s="38" t="s">
        <v>140</v>
      </c>
      <c r="AE13" s="38">
        <v>2190</v>
      </c>
      <c r="AF13" s="34">
        <v>1430.7</v>
      </c>
      <c r="AG13" s="33">
        <f>(AF13*0.8)*0.85</f>
        <v>972.87600000000009</v>
      </c>
      <c r="AH13" s="33">
        <f>(AF13*0.8)*0.15</f>
        <v>171.68400000000003</v>
      </c>
      <c r="AI13" s="33">
        <f>AF13*0.2</f>
        <v>286.14000000000004</v>
      </c>
      <c r="AJ13" s="34">
        <v>0</v>
      </c>
      <c r="AK13" s="33">
        <f t="shared" si="6"/>
        <v>20723.133928571428</v>
      </c>
      <c r="AL13" s="33">
        <f t="shared" si="7"/>
        <v>20035.983928571426</v>
      </c>
      <c r="AM13" s="33">
        <f t="shared" si="8"/>
        <v>2404.3180714285709</v>
      </c>
      <c r="AN13" s="33">
        <f t="shared" si="9"/>
        <v>22440.301999999996</v>
      </c>
      <c r="AO13" s="39"/>
      <c r="AP13" s="40"/>
      <c r="AQ13" s="40"/>
      <c r="AR13" s="40">
        <v>390</v>
      </c>
      <c r="AS13" s="40"/>
      <c r="AT13" s="40"/>
      <c r="AU13" s="40"/>
      <c r="AV13" s="40"/>
      <c r="AW13" s="40"/>
      <c r="AX13" s="40"/>
      <c r="AY13" s="40"/>
      <c r="AZ13" s="33">
        <f>SUM(AO13:AY13)</f>
        <v>390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f>AZ13+BA13+BB13+BD13-BC13</f>
        <v>390</v>
      </c>
      <c r="BS13" s="146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</row>
    <row r="14" spans="1:124" s="171" customFormat="1" ht="15.75" thickBot="1" x14ac:dyDescent="0.3">
      <c r="A14" s="157"/>
      <c r="B14" s="43"/>
      <c r="C14" s="44">
        <f>SUBTOTAL(9,C12:C13)</f>
        <v>24640.61</v>
      </c>
      <c r="D14" s="45">
        <f>SUBTOTAL(9,D12:D13)</f>
        <v>22522.76</v>
      </c>
      <c r="E14" s="45">
        <f>SUBTOTAL(9,E12:E13)</f>
        <v>22446</v>
      </c>
      <c r="F14" s="168"/>
      <c r="G14" s="45">
        <f t="shared" ref="G14:L14" si="10">SUBTOTAL(9,G12:G13)</f>
        <v>76.759999999998399</v>
      </c>
      <c r="H14" s="45">
        <f t="shared" si="10"/>
        <v>0</v>
      </c>
      <c r="I14" s="45">
        <f t="shared" si="10"/>
        <v>0</v>
      </c>
      <c r="J14" s="45">
        <f t="shared" si="10"/>
        <v>0</v>
      </c>
      <c r="K14" s="159">
        <f t="shared" si="10"/>
        <v>1317.05</v>
      </c>
      <c r="L14" s="160">
        <f t="shared" si="10"/>
        <v>0</v>
      </c>
      <c r="M14" s="46">
        <f t="shared" ref="M14:M22" si="11">(+K14)*M$5</f>
        <v>28.316574999999997</v>
      </c>
      <c r="N14" s="46">
        <f t="shared" ref="N14:N22" si="12">(+K14)*N$5</f>
        <v>6.5852500000000003</v>
      </c>
      <c r="O14" s="46">
        <f t="shared" ref="O14:O22" si="13">+K14-M14-N14+P14</f>
        <v>1282.1481749999998</v>
      </c>
      <c r="P14" s="46">
        <f t="shared" ref="P14:P20" si="14">L14-(L14*(M$5+N$5))</f>
        <v>0</v>
      </c>
      <c r="Q14" s="47"/>
      <c r="R14" s="45">
        <f t="shared" ref="R14:BO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972.87600000000009</v>
      </c>
      <c r="AH14" s="44">
        <f t="shared" si="15"/>
        <v>171.68400000000003</v>
      </c>
      <c r="AI14" s="44">
        <f t="shared" si="15"/>
        <v>286.14000000000004</v>
      </c>
      <c r="AJ14" s="45">
        <f t="shared" si="15"/>
        <v>0</v>
      </c>
      <c r="AK14" s="44">
        <f t="shared" si="15"/>
        <v>20723.133928571428</v>
      </c>
      <c r="AL14" s="44">
        <f t="shared" si="15"/>
        <v>20035.983928571426</v>
      </c>
      <c r="AM14" s="44">
        <f t="shared" si="15"/>
        <v>2404.3180714285709</v>
      </c>
      <c r="AN14" s="44">
        <f t="shared" ref="AN14:AN42" si="16">+AM14+AL14+AJ14</f>
        <v>22440.301999999996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390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390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/>
      <c r="BQ14" s="44">
        <f>SUBTOTAL(9,BQ12:BQ13)</f>
        <v>390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</row>
    <row r="15" spans="1:124" ht="15.75" customHeight="1" x14ac:dyDescent="0.25">
      <c r="A15" s="259">
        <f>+A12+1</f>
        <v>40515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SUM(BE15:BK15)*0.1+(BL15*0.5)</f>
        <v>0</v>
      </c>
      <c r="BD15" s="33">
        <f>SUM(BE15:BK15)+(BL15*0.5)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f>AZ15+BA15+BB15+BD15-BC15</f>
        <v>0</v>
      </c>
      <c r="BS15" s="146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</row>
    <row r="16" spans="1:124" ht="15.75" thickBot="1" x14ac:dyDescent="0.3">
      <c r="A16" s="260"/>
      <c r="B16" s="15" t="s">
        <v>44</v>
      </c>
      <c r="C16" s="33">
        <v>24431.49</v>
      </c>
      <c r="D16" s="34">
        <v>12438.39</v>
      </c>
      <c r="E16" s="34">
        <v>12440</v>
      </c>
      <c r="F16" s="35">
        <v>44169</v>
      </c>
      <c r="G16" s="33">
        <f>IF(E16-D16&lt;0,E16-D16,0)*-1</f>
        <v>0</v>
      </c>
      <c r="H16" s="33">
        <f>IF(E16-D16&gt;0,E16-D16,0)</f>
        <v>1.6100000000005821</v>
      </c>
      <c r="I16" s="34"/>
      <c r="J16" s="34"/>
      <c r="K16" s="34">
        <v>7094.64</v>
      </c>
      <c r="L16" s="34"/>
      <c r="M16" s="36">
        <f>(+K16)*M$5</f>
        <v>152.53476000000001</v>
      </c>
      <c r="N16" s="36">
        <f t="shared" si="12"/>
        <v>35.473200000000006</v>
      </c>
      <c r="O16" s="36">
        <f>+K16-M16-N16+P16</f>
        <v>6906.6320400000004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194">
        <v>25.25</v>
      </c>
      <c r="AA16" s="34"/>
      <c r="AB16" s="34"/>
      <c r="AC16" s="34">
        <v>123.21</v>
      </c>
      <c r="AD16" s="38" t="s">
        <v>140</v>
      </c>
      <c r="AE16" s="38">
        <v>4750</v>
      </c>
      <c r="AF16" s="34">
        <v>1235.42</v>
      </c>
      <c r="AG16" s="33">
        <f>(AF16*0.8)*0.85</f>
        <v>840.08560000000011</v>
      </c>
      <c r="AH16" s="33">
        <f>(AF16*0.8)*0.15</f>
        <v>148.25040000000001</v>
      </c>
      <c r="AI16" s="33">
        <f>AF16*0.2</f>
        <v>247.08400000000003</v>
      </c>
      <c r="AJ16" s="34">
        <v>0</v>
      </c>
      <c r="AK16" s="33">
        <f t="shared" si="17"/>
        <v>20710.776785714283</v>
      </c>
      <c r="AL16" s="33">
        <f t="shared" si="18"/>
        <v>20562.316785714283</v>
      </c>
      <c r="AM16" s="33">
        <f t="shared" si="19"/>
        <v>2467.4780142857139</v>
      </c>
      <c r="AN16" s="33">
        <f t="shared" si="16"/>
        <v>23029.794799999996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f>AZ16+BA16+BB16+BD16-BC16</f>
        <v>0</v>
      </c>
      <c r="BS16" s="146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</row>
    <row r="17" spans="1:124" s="163" customFormat="1" ht="16.5" customHeight="1" thickBot="1" x14ac:dyDescent="0.3">
      <c r="A17" s="157"/>
      <c r="B17" s="43"/>
      <c r="C17" s="44">
        <f>SUBTOTAL(9,C15:C16)</f>
        <v>24431.49</v>
      </c>
      <c r="D17" s="45">
        <f>SUBTOTAL(9,D15:D16)</f>
        <v>12438.39</v>
      </c>
      <c r="E17" s="45">
        <f>SUBTOTAL(9,E15:E16)</f>
        <v>12440</v>
      </c>
      <c r="F17" s="168"/>
      <c r="G17" s="45">
        <f t="shared" ref="G17:L17" si="20">SUBTOTAL(9,G15:G16)</f>
        <v>0</v>
      </c>
      <c r="H17" s="45">
        <f t="shared" si="20"/>
        <v>1.6100000000005821</v>
      </c>
      <c r="I17" s="45">
        <f t="shared" si="20"/>
        <v>0</v>
      </c>
      <c r="J17" s="45">
        <f t="shared" si="20"/>
        <v>0</v>
      </c>
      <c r="K17" s="159">
        <f t="shared" si="20"/>
        <v>7094.64</v>
      </c>
      <c r="L17" s="45">
        <f t="shared" si="20"/>
        <v>0</v>
      </c>
      <c r="M17" s="161">
        <f t="shared" si="11"/>
        <v>152.53476000000001</v>
      </c>
      <c r="N17" s="161">
        <f t="shared" si="12"/>
        <v>35.473200000000006</v>
      </c>
      <c r="O17" s="161">
        <f t="shared" si="13"/>
        <v>6906.6320400000004</v>
      </c>
      <c r="P17" s="161">
        <f t="shared" si="14"/>
        <v>0</v>
      </c>
      <c r="Q17" s="47"/>
      <c r="R17" s="45">
        <f t="shared" ref="R17:BO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192"/>
      <c r="AA17" s="45"/>
      <c r="AB17" s="45"/>
      <c r="AC17" s="45"/>
      <c r="AD17" s="48"/>
      <c r="AE17" s="48"/>
      <c r="AF17" s="45"/>
      <c r="AG17" s="44">
        <f t="shared" si="21"/>
        <v>840.08560000000011</v>
      </c>
      <c r="AH17" s="44">
        <f t="shared" si="21"/>
        <v>148.25040000000001</v>
      </c>
      <c r="AI17" s="44">
        <f t="shared" si="21"/>
        <v>247.08400000000003</v>
      </c>
      <c r="AJ17" s="45">
        <f t="shared" si="21"/>
        <v>0</v>
      </c>
      <c r="AK17" s="44">
        <f t="shared" si="21"/>
        <v>20710.776785714283</v>
      </c>
      <c r="AL17" s="44">
        <f t="shared" si="21"/>
        <v>20562.316785714283</v>
      </c>
      <c r="AM17" s="44">
        <f t="shared" si="21"/>
        <v>2467.4780142857139</v>
      </c>
      <c r="AN17" s="44">
        <f t="shared" si="16"/>
        <v>23029.794799999996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/>
      <c r="BQ17" s="44">
        <f>SUBTOTAL(9,BQ15:BQ16)</f>
        <v>0</v>
      </c>
      <c r="BT17" s="164"/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</row>
    <row r="18" spans="1:124" x14ac:dyDescent="0.25">
      <c r="A18" s="259">
        <f>+A15+1</f>
        <v>40516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SUM(BE18:BK18)*0.1+(BL18*0.5)</f>
        <v>0</v>
      </c>
      <c r="BD18" s="33">
        <f>SUM(BE18:BK18)+(BL18*0.5)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f>AZ18+BA18+BB18+BD18-BC18</f>
        <v>0</v>
      </c>
      <c r="BS18" s="146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</row>
    <row r="19" spans="1:124" ht="16.5" customHeight="1" thickBot="1" x14ac:dyDescent="0.3">
      <c r="A19" s="260"/>
      <c r="B19" s="15" t="s">
        <v>44</v>
      </c>
      <c r="C19" s="33">
        <v>25530.3</v>
      </c>
      <c r="D19" s="34">
        <v>15790.37</v>
      </c>
      <c r="E19" s="34">
        <v>15791</v>
      </c>
      <c r="F19" s="35">
        <v>44172</v>
      </c>
      <c r="G19" s="33">
        <f>IF(E19-D19&lt;0,E19-D19,0)*-1</f>
        <v>0</v>
      </c>
      <c r="H19" s="33">
        <f>IF(E19-D19&gt;0,E19-D19,0)</f>
        <v>0.62999999999919964</v>
      </c>
      <c r="I19" s="34"/>
      <c r="J19" s="34"/>
      <c r="K19" s="34">
        <v>7570.44</v>
      </c>
      <c r="L19" s="34"/>
      <c r="M19" s="36">
        <f t="shared" si="11"/>
        <v>162.76445999999999</v>
      </c>
      <c r="N19" s="36">
        <f t="shared" si="12"/>
        <v>37.852199999999996</v>
      </c>
      <c r="O19" s="36">
        <f t="shared" si="13"/>
        <v>7369.823339999999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20.75</v>
      </c>
      <c r="AA19" s="192"/>
      <c r="AB19" s="34"/>
      <c r="AC19" s="34">
        <v>693.74</v>
      </c>
      <c r="AD19" s="38" t="s">
        <v>140</v>
      </c>
      <c r="AE19" s="38">
        <v>1455</v>
      </c>
      <c r="AF19" s="34">
        <v>1576.56</v>
      </c>
      <c r="AG19" s="33">
        <f>(AF19*0.8)*0.85</f>
        <v>1072.0608</v>
      </c>
      <c r="AH19" s="33">
        <f>(AF19*0.8)*0.15</f>
        <v>189.18719999999999</v>
      </c>
      <c r="AI19" s="33">
        <f>AF19*0.2</f>
        <v>315.31200000000001</v>
      </c>
      <c r="AJ19" s="34">
        <v>0</v>
      </c>
      <c r="AK19" s="33">
        <f t="shared" si="22"/>
        <v>21387.267857142855</v>
      </c>
      <c r="AL19" s="33">
        <f t="shared" si="23"/>
        <v>20672.777857142853</v>
      </c>
      <c r="AM19" s="33">
        <f t="shared" si="24"/>
        <v>2480.7333428571424</v>
      </c>
      <c r="AN19" s="33">
        <f t="shared" si="25"/>
        <v>23153.511199999997</v>
      </c>
      <c r="AO19" s="39">
        <v>140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140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f>AZ19+BA19+BB19+BD19-BC19</f>
        <v>140</v>
      </c>
      <c r="BS19" s="146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</row>
    <row r="20" spans="1:124" s="163" customFormat="1" ht="15.75" thickBot="1" x14ac:dyDescent="0.3">
      <c r="A20" s="157"/>
      <c r="B20" s="43"/>
      <c r="C20" s="44">
        <f>SUBTOTAL(9,C18:C19)</f>
        <v>25530.3</v>
      </c>
      <c r="D20" s="45">
        <f>SUBTOTAL(9,D18:D19)</f>
        <v>15790.37</v>
      </c>
      <c r="E20" s="45">
        <f>SUBTOTAL(9,E18:E19)</f>
        <v>15791</v>
      </c>
      <c r="F20" s="47"/>
      <c r="G20" s="45">
        <f t="shared" ref="G20:L20" si="26">SUBTOTAL(9,G18:G19)</f>
        <v>0</v>
      </c>
      <c r="H20" s="45">
        <f t="shared" si="26"/>
        <v>0.62999999999919964</v>
      </c>
      <c r="I20" s="45">
        <f t="shared" si="26"/>
        <v>0</v>
      </c>
      <c r="J20" s="45">
        <f t="shared" si="26"/>
        <v>0</v>
      </c>
      <c r="K20" s="159">
        <f t="shared" si="26"/>
        <v>7570.44</v>
      </c>
      <c r="L20" s="45">
        <f t="shared" si="26"/>
        <v>0</v>
      </c>
      <c r="M20" s="161">
        <f t="shared" si="11"/>
        <v>162.76445999999999</v>
      </c>
      <c r="N20" s="161">
        <f t="shared" si="12"/>
        <v>37.852199999999996</v>
      </c>
      <c r="O20" s="161">
        <f t="shared" si="13"/>
        <v>7369.823339999999</v>
      </c>
      <c r="P20" s="161">
        <f t="shared" si="14"/>
        <v>0</v>
      </c>
      <c r="Q20" s="47"/>
      <c r="R20" s="45">
        <f t="shared" ref="R20:BO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193"/>
      <c r="AB20" s="45"/>
      <c r="AC20" s="45"/>
      <c r="AD20" s="48"/>
      <c r="AE20" s="48"/>
      <c r="AF20" s="45"/>
      <c r="AG20" s="44">
        <f t="shared" si="27"/>
        <v>1072.0608</v>
      </c>
      <c r="AH20" s="44">
        <f t="shared" si="27"/>
        <v>189.18719999999999</v>
      </c>
      <c r="AI20" s="44">
        <f t="shared" si="27"/>
        <v>315.31200000000001</v>
      </c>
      <c r="AJ20" s="45">
        <v>0</v>
      </c>
      <c r="AK20" s="44">
        <f>SUBTOTAL(9,AK18:AK19)</f>
        <v>21387.267857142855</v>
      </c>
      <c r="AL20" s="44">
        <f t="shared" si="27"/>
        <v>20672.777857142853</v>
      </c>
      <c r="AM20" s="44">
        <f t="shared" si="27"/>
        <v>2480.7333428571424</v>
      </c>
      <c r="AN20" s="44">
        <f t="shared" si="16"/>
        <v>23153.511199999997</v>
      </c>
      <c r="AO20" s="49">
        <f t="shared" si="27"/>
        <v>140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140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/>
      <c r="BQ20" s="44">
        <f>SUBTOTAL(9,BQ18:BQ19)</f>
        <v>140</v>
      </c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</row>
    <row r="21" spans="1:124" ht="15.75" customHeight="1" x14ac:dyDescent="0.25">
      <c r="A21" s="259">
        <f>+A18+1</f>
        <v>40517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SUM(BE21:BK21)*0.1+(BL21*0.5)</f>
        <v>0</v>
      </c>
      <c r="BD21" s="33">
        <f>SUM(BE21:BK21)+(BL21*0.5)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f>AZ21+BA21+BB21+BD21-BC21</f>
        <v>0</v>
      </c>
      <c r="BS21" s="146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</row>
    <row r="22" spans="1:124" ht="15.75" thickBot="1" x14ac:dyDescent="0.3">
      <c r="A22" s="260"/>
      <c r="B22" s="15" t="s">
        <v>44</v>
      </c>
      <c r="C22" s="33">
        <v>4886.7</v>
      </c>
      <c r="D22" s="34">
        <v>2544.7399999999998</v>
      </c>
      <c r="E22" s="34">
        <v>2545</v>
      </c>
      <c r="F22" s="35">
        <v>44172</v>
      </c>
      <c r="G22" s="33">
        <f>IF(E22-D22&lt;0,E22-D22,0)*-1</f>
        <v>0</v>
      </c>
      <c r="H22" s="33">
        <f>IF(E22-D22&gt;0,E22-D22,0)</f>
        <v>0.26000000000021828</v>
      </c>
      <c r="I22" s="34"/>
      <c r="J22" s="34"/>
      <c r="K22" s="34">
        <v>396.78</v>
      </c>
      <c r="L22" s="34"/>
      <c r="M22" s="36">
        <f t="shared" si="11"/>
        <v>8.5307699999999986</v>
      </c>
      <c r="N22" s="36">
        <f t="shared" si="12"/>
        <v>1.9839</v>
      </c>
      <c r="O22" s="36">
        <f t="shared" si="13"/>
        <v>386.26532999999995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>
        <v>90.18</v>
      </c>
      <c r="AD22" s="38" t="s">
        <v>140</v>
      </c>
      <c r="AE22" s="38">
        <v>1855</v>
      </c>
      <c r="AF22" s="34">
        <v>100.81</v>
      </c>
      <c r="AG22" s="33">
        <f>(AF22*0.8)*0.85</f>
        <v>68.55080000000001</v>
      </c>
      <c r="AH22" s="33">
        <f>(AF22*0.8)*0.15</f>
        <v>12.097200000000001</v>
      </c>
      <c r="AI22" s="33">
        <f>AF22*0.2</f>
        <v>20.162000000000003</v>
      </c>
      <c r="AJ22" s="34">
        <v>0</v>
      </c>
      <c r="AK22" s="33">
        <f t="shared" si="28"/>
        <v>4273.1160714285706</v>
      </c>
      <c r="AL22" s="33">
        <f t="shared" si="29"/>
        <v>4182.9360714285704</v>
      </c>
      <c r="AM22" s="33">
        <f t="shared" si="30"/>
        <v>501.95232857142844</v>
      </c>
      <c r="AN22" s="33">
        <f t="shared" si="31"/>
        <v>4684.8883999999989</v>
      </c>
      <c r="AO22" s="39">
        <v>2000</v>
      </c>
      <c r="AP22" s="40"/>
      <c r="AQ22" s="40"/>
      <c r="AR22" s="40">
        <v>430</v>
      </c>
      <c r="AS22" s="40"/>
      <c r="AT22" s="40"/>
      <c r="AU22" s="40"/>
      <c r="AV22" s="40"/>
      <c r="AW22" s="40"/>
      <c r="AX22" s="40"/>
      <c r="AY22" s="40"/>
      <c r="AZ22" s="33">
        <f>SUM(AO22:AY22)</f>
        <v>2430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1">
        <f>AZ22+BA22+BB22+BD22-BC22</f>
        <v>2430</v>
      </c>
      <c r="BS22" s="146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</row>
    <row r="23" spans="1:124" ht="16.5" customHeight="1" thickBot="1" x14ac:dyDescent="0.3">
      <c r="A23" s="42"/>
      <c r="B23" s="43"/>
      <c r="C23" s="44">
        <f>SUBTOTAL(9,C21:C22)</f>
        <v>4886.7</v>
      </c>
      <c r="D23" s="45">
        <f>SUBTOTAL(9,D21:D22)</f>
        <v>2544.7399999999998</v>
      </c>
      <c r="E23" s="45">
        <f>SUBTOTAL(9,E21:E22)</f>
        <v>2545</v>
      </c>
      <c r="F23" s="47"/>
      <c r="G23" s="45">
        <f t="shared" ref="G23:P23" si="32">SUBTOTAL(9,G21:G22)</f>
        <v>0</v>
      </c>
      <c r="H23" s="45">
        <f t="shared" si="32"/>
        <v>0.26000000000021828</v>
      </c>
      <c r="I23" s="45">
        <f t="shared" si="32"/>
        <v>0</v>
      </c>
      <c r="J23" s="45">
        <f t="shared" si="32"/>
        <v>0</v>
      </c>
      <c r="K23" s="159">
        <f t="shared" si="32"/>
        <v>396.78</v>
      </c>
      <c r="L23" s="45">
        <f t="shared" si="32"/>
        <v>0</v>
      </c>
      <c r="M23" s="46">
        <f t="shared" si="32"/>
        <v>8.5307699999999986</v>
      </c>
      <c r="N23" s="46">
        <f t="shared" si="32"/>
        <v>1.9839</v>
      </c>
      <c r="O23" s="46">
        <f t="shared" si="32"/>
        <v>386.26532999999995</v>
      </c>
      <c r="P23" s="46">
        <f t="shared" si="32"/>
        <v>0</v>
      </c>
      <c r="Q23" s="47"/>
      <c r="R23" s="45">
        <f t="shared" ref="R23:BO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68.55080000000001</v>
      </c>
      <c r="AH23" s="44">
        <f t="shared" si="33"/>
        <v>12.097200000000001</v>
      </c>
      <c r="AI23" s="44">
        <f t="shared" si="33"/>
        <v>20.162000000000003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2000</v>
      </c>
      <c r="AP23" s="49">
        <f t="shared" si="33"/>
        <v>0</v>
      </c>
      <c r="AQ23" s="49">
        <f t="shared" si="33"/>
        <v>0</v>
      </c>
      <c r="AR23" s="49">
        <f t="shared" si="33"/>
        <v>430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2430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/>
      <c r="BQ23" s="44">
        <f>SUBTOTAL(9,BQ21:BQ22)</f>
        <v>2430</v>
      </c>
    </row>
    <row r="24" spans="1:124" x14ac:dyDescent="0.25">
      <c r="A24" s="259">
        <f>A21+1</f>
        <v>40518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SUM(BE24:BK24)*0.1+(BL24*0.5)</f>
        <v>0</v>
      </c>
      <c r="BD24" s="33">
        <f>SUM(BE24:BK24)+(BL24*0.5)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f>AZ24+BA24+BB24+BD24-BC24</f>
        <v>0</v>
      </c>
      <c r="BS24" s="146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</row>
    <row r="25" spans="1:124" ht="16.5" customHeight="1" thickBot="1" x14ac:dyDescent="0.3">
      <c r="A25" s="260"/>
      <c r="B25" s="15" t="s">
        <v>44</v>
      </c>
      <c r="C25" s="33" t="s">
        <v>138</v>
      </c>
      <c r="D25" s="34"/>
      <c r="E25" s="34"/>
      <c r="F25" s="35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 t="e">
        <f t="shared" si="34"/>
        <v>#VALUE!</v>
      </c>
      <c r="AL25" s="33" t="e">
        <f t="shared" si="35"/>
        <v>#VALUE!</v>
      </c>
      <c r="AM25" s="33" t="e">
        <f t="shared" si="36"/>
        <v>#VALUE!</v>
      </c>
      <c r="AN25" s="33" t="e">
        <f t="shared" si="37"/>
        <v>#VALUE!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SUM(BE25:BK25)*0.1+(BL25*0.5)</f>
        <v>0</v>
      </c>
      <c r="BD25" s="33">
        <f>SUM(BE25:BK25)+(BL25*0.5)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1">
        <f>AZ25+BA25+BB25+BD25-BC25</f>
        <v>0</v>
      </c>
      <c r="BS25" s="146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</row>
    <row r="26" spans="1:124" ht="15.75" thickBot="1" x14ac:dyDescent="0.3">
      <c r="A26" s="42"/>
      <c r="B26" s="43"/>
      <c r="C26" s="44">
        <f>SUBTOTAL(9,C24:C25)</f>
        <v>0</v>
      </c>
      <c r="D26" s="45">
        <f>SUBTOTAL(9,D24:D25)</f>
        <v>0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0</v>
      </c>
      <c r="I26" s="45">
        <f t="shared" si="38"/>
        <v>0</v>
      </c>
      <c r="J26" s="45">
        <f t="shared" si="38"/>
        <v>0</v>
      </c>
      <c r="K26" s="159">
        <f t="shared" si="38"/>
        <v>0</v>
      </c>
      <c r="L26" s="45">
        <f t="shared" si="38"/>
        <v>0</v>
      </c>
      <c r="M26" s="46">
        <f t="shared" si="38"/>
        <v>0</v>
      </c>
      <c r="N26" s="46">
        <f t="shared" si="38"/>
        <v>0</v>
      </c>
      <c r="O26" s="46">
        <f t="shared" si="38"/>
        <v>0</v>
      </c>
      <c r="P26" s="46">
        <f t="shared" si="38"/>
        <v>0</v>
      </c>
      <c r="Q26" s="47"/>
      <c r="R26" s="45">
        <f t="shared" ref="R26:BO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0</v>
      </c>
      <c r="AH26" s="44">
        <f t="shared" si="39"/>
        <v>0</v>
      </c>
      <c r="AI26" s="44">
        <f t="shared" si="39"/>
        <v>0</v>
      </c>
      <c r="AJ26" s="45">
        <v>0</v>
      </c>
      <c r="AK26" s="44" t="e">
        <f t="shared" si="39"/>
        <v>#VALUE!</v>
      </c>
      <c r="AL26" s="44" t="e">
        <f t="shared" si="39"/>
        <v>#VALUE!</v>
      </c>
      <c r="AM26" s="44" t="e">
        <f t="shared" si="39"/>
        <v>#VALUE!</v>
      </c>
      <c r="AN26" s="44" t="e">
        <f t="shared" si="16"/>
        <v>#VALUE!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/>
      <c r="BQ26" s="44">
        <f>SUBTOTAL(9,BQ24:BQ25)</f>
        <v>0</v>
      </c>
    </row>
    <row r="27" spans="1:124" ht="15.75" customHeight="1" x14ac:dyDescent="0.25">
      <c r="A27" s="259">
        <f>+A24+1</f>
        <v>40519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SUM(BE27:BK27)*0.1+(BL27*0.5)</f>
        <v>0</v>
      </c>
      <c r="BD27" s="33">
        <f>SUM(BE27:BK27)+(BL27*0.5)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f>AZ27+BA27+BB27+BD27-BC27</f>
        <v>0</v>
      </c>
      <c r="BS27" s="146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</row>
    <row r="28" spans="1:124" ht="16.5" customHeight="1" thickBot="1" x14ac:dyDescent="0.3">
      <c r="A28" s="260"/>
      <c r="B28" s="15" t="s">
        <v>44</v>
      </c>
      <c r="C28" s="33">
        <v>19754.38</v>
      </c>
      <c r="D28" s="34">
        <v>12637.91</v>
      </c>
      <c r="E28" s="34">
        <v>12640</v>
      </c>
      <c r="F28" s="35">
        <v>44174</v>
      </c>
      <c r="G28" s="33">
        <f>IF(E28-D28&lt;0,E28-D28,0)*-1</f>
        <v>0</v>
      </c>
      <c r="H28" s="33">
        <f>IF(E28-D28&gt;0,E28-D28,0)</f>
        <v>2.0900000000001455</v>
      </c>
      <c r="I28" s="34"/>
      <c r="J28" s="34"/>
      <c r="K28" s="34">
        <v>5044.6400000000003</v>
      </c>
      <c r="L28" s="34"/>
      <c r="M28" s="36">
        <f>(+K28)*M$5</f>
        <v>108.45976</v>
      </c>
      <c r="N28" s="36">
        <f>(+K28)*N$5</f>
        <v>25.223200000000002</v>
      </c>
      <c r="O28" s="36">
        <f>+K28-M28-N28+P28</f>
        <v>4910.9570400000002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17</v>
      </c>
      <c r="AA28" s="34"/>
      <c r="AB28" s="34"/>
      <c r="AC28" s="34">
        <v>259.83</v>
      </c>
      <c r="AD28" s="38" t="s">
        <v>140</v>
      </c>
      <c r="AE28" s="38">
        <v>1795</v>
      </c>
      <c r="AF28" s="34">
        <v>1200.27</v>
      </c>
      <c r="AG28" s="33">
        <f>(AF28*0.8)*0.85</f>
        <v>816.18359999999996</v>
      </c>
      <c r="AH28" s="33">
        <f>(AF28*0.8)*0.15</f>
        <v>144.0324</v>
      </c>
      <c r="AI28" s="33">
        <f>AF28*0.2</f>
        <v>240.054</v>
      </c>
      <c r="AJ28" s="34">
        <v>0</v>
      </c>
      <c r="AK28" s="33">
        <f t="shared" ref="AK28" si="42">(C28-AF28-AJ28)/1.12</f>
        <v>16566.169642857141</v>
      </c>
      <c r="AL28" s="33">
        <f t="shared" ref="AL28" si="43">AK28-SUM(Y28:AC28)</f>
        <v>16289.339642857141</v>
      </c>
      <c r="AM28" s="33">
        <f t="shared" si="41"/>
        <v>1954.7207571428569</v>
      </c>
      <c r="AN28" s="33">
        <f t="shared" si="16"/>
        <v>18244.060399999998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/>
      <c r="BA28" s="38"/>
      <c r="BB28" s="38"/>
      <c r="BC28" s="33">
        <f>SUM(BE28:BK28)*0.1+(BL28*0.5)</f>
        <v>0</v>
      </c>
      <c r="BD28" s="33">
        <f>SUM(BE28:BK28)+(BL28*0.5)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f>AZ28+BA28+BB28+BD28-BC28</f>
        <v>0</v>
      </c>
      <c r="BS28" s="146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</row>
    <row r="29" spans="1:124" ht="16.5" customHeight="1" thickBot="1" x14ac:dyDescent="0.3">
      <c r="A29" s="42"/>
      <c r="B29" s="43"/>
      <c r="C29" s="44">
        <f>SUBTOTAL(9,C27:C28)</f>
        <v>19754.38</v>
      </c>
      <c r="D29" s="45">
        <f>SUBTOTAL(9,D27:D28)</f>
        <v>12637.91</v>
      </c>
      <c r="E29" s="45">
        <f>SUBTOTAL(9,E27:E28)</f>
        <v>12640</v>
      </c>
      <c r="F29" s="47"/>
      <c r="G29" s="45">
        <f t="shared" ref="G29:P29" si="44">SUBTOTAL(9,G27:G28)</f>
        <v>0</v>
      </c>
      <c r="H29" s="45">
        <f t="shared" si="44"/>
        <v>2.0900000000001455</v>
      </c>
      <c r="I29" s="45">
        <f t="shared" si="44"/>
        <v>0</v>
      </c>
      <c r="J29" s="45">
        <f t="shared" si="44"/>
        <v>0</v>
      </c>
      <c r="K29" s="159">
        <f t="shared" si="44"/>
        <v>5044.6400000000003</v>
      </c>
      <c r="L29" s="45">
        <f t="shared" si="44"/>
        <v>0</v>
      </c>
      <c r="M29" s="46">
        <f t="shared" si="44"/>
        <v>108.45976</v>
      </c>
      <c r="N29" s="46">
        <f t="shared" si="44"/>
        <v>25.223200000000002</v>
      </c>
      <c r="O29" s="46">
        <f t="shared" si="44"/>
        <v>4910.9570400000002</v>
      </c>
      <c r="P29" s="46">
        <f t="shared" si="44"/>
        <v>0</v>
      </c>
      <c r="Q29" s="47"/>
      <c r="R29" s="45">
        <f t="shared" ref="R29:BO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816.18359999999996</v>
      </c>
      <c r="AH29" s="44">
        <f t="shared" si="45"/>
        <v>144.0324</v>
      </c>
      <c r="AI29" s="44">
        <f t="shared" si="45"/>
        <v>240.054</v>
      </c>
      <c r="AJ29" s="45">
        <f t="shared" si="45"/>
        <v>0</v>
      </c>
      <c r="AK29" s="44">
        <f t="shared" si="45"/>
        <v>16566.169642857141</v>
      </c>
      <c r="AL29" s="44">
        <f t="shared" si="45"/>
        <v>16289.339642857141</v>
      </c>
      <c r="AM29" s="44">
        <f t="shared" si="45"/>
        <v>1954.7207571428569</v>
      </c>
      <c r="AN29" s="44">
        <f t="shared" si="16"/>
        <v>18244.060399999998</v>
      </c>
      <c r="AO29" s="49">
        <f t="shared" si="45"/>
        <v>0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>SUBTOTAL(9,BE27:BE28)</f>
        <v>0</v>
      </c>
      <c r="BF29" s="49">
        <f t="shared" si="45"/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/>
      <c r="BQ29" s="44">
        <f>SUBTOTAL(9,BQ27:BQ28)</f>
        <v>0</v>
      </c>
    </row>
    <row r="30" spans="1:124" x14ac:dyDescent="0.25">
      <c r="A30" s="259">
        <f>+A27+1</f>
        <v>40520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SUM(BE30:BK30)*0.1+(BL30*0.5)</f>
        <v>0</v>
      </c>
      <c r="BD30" s="33">
        <f>SUM(BE30:BK30)+(BL30*0.5)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f>AZ30+BA30+BB30+BD30-BC30</f>
        <v>0</v>
      </c>
      <c r="BS30" s="146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</row>
    <row r="31" spans="1:124" ht="15.75" thickBot="1" x14ac:dyDescent="0.3">
      <c r="A31" s="260"/>
      <c r="B31" s="15" t="s">
        <v>44</v>
      </c>
      <c r="C31" s="33">
        <v>4762.7700000000004</v>
      </c>
      <c r="D31" s="34">
        <v>3516.34</v>
      </c>
      <c r="E31" s="34">
        <v>3517</v>
      </c>
      <c r="F31" s="35">
        <v>44174</v>
      </c>
      <c r="G31" s="33">
        <f>IF(E31-D31&lt;0,E31-D31,0)*-1</f>
        <v>0</v>
      </c>
      <c r="H31" s="33">
        <f>IF(E31-D31&gt;0,E31-D31,0)</f>
        <v>0.65999999999985448</v>
      </c>
      <c r="I31" s="34"/>
      <c r="J31" s="34"/>
      <c r="K31" s="34">
        <v>0</v>
      </c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>
        <v>46.43</v>
      </c>
      <c r="AD31" s="38" t="s">
        <v>140</v>
      </c>
      <c r="AE31" s="38">
        <v>1200</v>
      </c>
      <c r="AF31" s="34">
        <v>255.63</v>
      </c>
      <c r="AG31" s="33">
        <f>(AF31*0.8)*0.85</f>
        <v>173.82840000000002</v>
      </c>
      <c r="AH31" s="33">
        <f>(AF31*0.8)*0.15</f>
        <v>30.675600000000003</v>
      </c>
      <c r="AI31" s="33">
        <f>AF31*0.2</f>
        <v>51.126000000000005</v>
      </c>
      <c r="AJ31" s="34">
        <v>0</v>
      </c>
      <c r="AK31" s="33">
        <f t="shared" ref="AK31" si="49">(C31-AF31-AJ31)/1.12</f>
        <v>4024.2321428571427</v>
      </c>
      <c r="AL31" s="33">
        <f t="shared" ref="AL31" si="50">AK31-SUM(Y31:AC31)</f>
        <v>3977.8021428571428</v>
      </c>
      <c r="AM31" s="33">
        <f t="shared" si="47"/>
        <v>477.33625714285711</v>
      </c>
      <c r="AN31" s="33">
        <f t="shared" si="48"/>
        <v>4455.1383999999998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/>
      <c r="BC31" s="33">
        <v>0</v>
      </c>
      <c r="BD31" s="33">
        <f>SUM(BE31:BK31)+(BL31*0.5)</f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f>AZ31+BA31+BB31+BD31-BC31</f>
        <v>0</v>
      </c>
      <c r="BS31" s="146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</row>
    <row r="32" spans="1:124" ht="15.75" thickBot="1" x14ac:dyDescent="0.3">
      <c r="A32" s="42"/>
      <c r="B32" s="43"/>
      <c r="C32" s="44">
        <f>SUBTOTAL(9,C30:C31)</f>
        <v>4762.7700000000004</v>
      </c>
      <c r="D32" s="45">
        <f>SUBTOTAL(9,D30:D31)</f>
        <v>3516.34</v>
      </c>
      <c r="E32" s="45">
        <f>SUBTOTAL(9,E30:E31)</f>
        <v>3517</v>
      </c>
      <c r="F32" s="47"/>
      <c r="G32" s="45">
        <f t="shared" ref="G32:P32" si="51">SUBTOTAL(9,G30:G31)</f>
        <v>0</v>
      </c>
      <c r="H32" s="45">
        <f t="shared" si="51"/>
        <v>0.65999999999985448</v>
      </c>
      <c r="I32" s="45">
        <f t="shared" si="51"/>
        <v>0</v>
      </c>
      <c r="J32" s="45">
        <f t="shared" si="51"/>
        <v>0</v>
      </c>
      <c r="K32" s="159">
        <f t="shared" si="51"/>
        <v>0</v>
      </c>
      <c r="L32" s="45">
        <f t="shared" si="51"/>
        <v>0</v>
      </c>
      <c r="M32" s="46">
        <f t="shared" si="51"/>
        <v>0</v>
      </c>
      <c r="N32" s="46">
        <f t="shared" si="51"/>
        <v>0</v>
      </c>
      <c r="O32" s="46">
        <f t="shared" si="51"/>
        <v>0</v>
      </c>
      <c r="P32" s="46">
        <f t="shared" si="51"/>
        <v>0</v>
      </c>
      <c r="Q32" s="47"/>
      <c r="R32" s="45">
        <f t="shared" ref="R32:BO32" si="52">SUBTOTAL(9,R30:R31)</f>
        <v>0</v>
      </c>
      <c r="S32" s="45">
        <f t="shared" si="52"/>
        <v>0</v>
      </c>
      <c r="T32" s="46">
        <f t="shared" si="52"/>
        <v>0</v>
      </c>
      <c r="U32" s="46">
        <f t="shared" si="52"/>
        <v>0</v>
      </c>
      <c r="V32" s="46">
        <f t="shared" si="52"/>
        <v>0</v>
      </c>
      <c r="W32" s="46">
        <f t="shared" si="52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2"/>
        <v>173.82840000000002</v>
      </c>
      <c r="AH32" s="44">
        <f t="shared" si="52"/>
        <v>30.675600000000003</v>
      </c>
      <c r="AI32" s="44">
        <f t="shared" si="52"/>
        <v>51.126000000000005</v>
      </c>
      <c r="AJ32" s="45">
        <f t="shared" si="52"/>
        <v>0</v>
      </c>
      <c r="AK32" s="44">
        <f t="shared" si="52"/>
        <v>4024.2321428571427</v>
      </c>
      <c r="AL32" s="44">
        <f t="shared" si="52"/>
        <v>3977.8021428571428</v>
      </c>
      <c r="AM32" s="44">
        <f t="shared" si="52"/>
        <v>477.33625714285711</v>
      </c>
      <c r="AN32" s="44">
        <f t="shared" si="16"/>
        <v>4455.1383999999998</v>
      </c>
      <c r="AO32" s="49">
        <f t="shared" si="52"/>
        <v>0</v>
      </c>
      <c r="AP32" s="49" t="s">
        <v>1</v>
      </c>
      <c r="AQ32" s="49">
        <f t="shared" si="52"/>
        <v>0</v>
      </c>
      <c r="AR32" s="49">
        <f t="shared" si="52"/>
        <v>0</v>
      </c>
      <c r="AS32" s="49">
        <f t="shared" si="52"/>
        <v>0</v>
      </c>
      <c r="AT32" s="49">
        <f t="shared" si="52"/>
        <v>0</v>
      </c>
      <c r="AU32" s="49">
        <f>SUBTOTAL(9,AU30:AU31)</f>
        <v>0</v>
      </c>
      <c r="AV32" s="49">
        <f t="shared" si="52"/>
        <v>0</v>
      </c>
      <c r="AW32" s="49">
        <f t="shared" si="52"/>
        <v>0</v>
      </c>
      <c r="AX32" s="49">
        <f t="shared" si="52"/>
        <v>0</v>
      </c>
      <c r="AY32" s="49">
        <f t="shared" si="52"/>
        <v>0</v>
      </c>
      <c r="AZ32" s="44">
        <f t="shared" si="52"/>
        <v>0</v>
      </c>
      <c r="BA32" s="48">
        <f t="shared" si="52"/>
        <v>0</v>
      </c>
      <c r="BB32" s="48">
        <f t="shared" si="52"/>
        <v>0</v>
      </c>
      <c r="BC32" s="44">
        <f t="shared" si="52"/>
        <v>0</v>
      </c>
      <c r="BD32" s="44">
        <f t="shared" si="52"/>
        <v>0</v>
      </c>
      <c r="BE32" s="49">
        <f>SUBTOTAL(9,BE30:BE31)</f>
        <v>0</v>
      </c>
      <c r="BF32" s="49">
        <f t="shared" si="52"/>
        <v>0</v>
      </c>
      <c r="BG32" s="49">
        <f t="shared" si="52"/>
        <v>0</v>
      </c>
      <c r="BH32" s="49">
        <f t="shared" si="52"/>
        <v>0</v>
      </c>
      <c r="BI32" s="49">
        <f t="shared" si="52"/>
        <v>0</v>
      </c>
      <c r="BJ32" s="49">
        <f t="shared" si="52"/>
        <v>0</v>
      </c>
      <c r="BK32" s="49">
        <f t="shared" si="52"/>
        <v>0</v>
      </c>
      <c r="BL32" s="49">
        <f t="shared" si="52"/>
        <v>0</v>
      </c>
      <c r="BM32" s="49">
        <f t="shared" si="52"/>
        <v>0</v>
      </c>
      <c r="BN32" s="49">
        <f t="shared" si="52"/>
        <v>0</v>
      </c>
      <c r="BO32" s="49">
        <f t="shared" si="52"/>
        <v>0</v>
      </c>
      <c r="BP32" s="49"/>
      <c r="BQ32" s="44">
        <f>SUBTOTAL(9,BQ30:BQ31)</f>
        <v>0</v>
      </c>
    </row>
    <row r="33" spans="1:124" ht="15.75" customHeight="1" x14ac:dyDescent="0.25">
      <c r="A33" s="259">
        <f>+A30+1</f>
        <v>40521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3">(C33-AF33-AJ33)/1.12</f>
        <v>0</v>
      </c>
      <c r="AL33" s="33">
        <f t="shared" ref="AL33:AL34" si="54">AK33-SUM(Y33:AC33)</f>
        <v>0</v>
      </c>
      <c r="AM33" s="33">
        <f t="shared" ref="AM33:AM34" si="55">+AL33*0.12</f>
        <v>0</v>
      </c>
      <c r="AN33" s="33">
        <f t="shared" ref="AN33:AN34" si="56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SUM(BE33:BK33)*0.1+(BL33*0.5)</f>
        <v>0</v>
      </c>
      <c r="BD33" s="33">
        <f>SUM(BE33:BK33)+(BL33*0.5)</f>
        <v>0</v>
      </c>
      <c r="BE33" s="39"/>
      <c r="BF33" s="39"/>
      <c r="BG33" s="39"/>
      <c r="BH33" s="39"/>
      <c r="BI33" s="39"/>
      <c r="BJ33" s="39"/>
      <c r="BK33" s="39">
        <v>0</v>
      </c>
      <c r="BL33" s="39"/>
      <c r="BM33" s="39"/>
      <c r="BN33" s="39"/>
      <c r="BO33" s="39"/>
      <c r="BP33" s="39"/>
      <c r="BQ33" s="41">
        <f>AZ33+BA33+BB33+BD33-BC33</f>
        <v>0</v>
      </c>
      <c r="BS33" s="146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</row>
    <row r="34" spans="1:124" ht="15.75" thickBot="1" x14ac:dyDescent="0.3">
      <c r="A34" s="260"/>
      <c r="B34" s="15" t="s">
        <v>44</v>
      </c>
      <c r="C34" s="33">
        <v>26794.46</v>
      </c>
      <c r="D34" s="34">
        <v>18344.59</v>
      </c>
      <c r="E34" s="34">
        <v>18345</v>
      </c>
      <c r="F34" s="35">
        <v>44175</v>
      </c>
      <c r="G34" s="33">
        <f>IF(E34-D34&lt;0,E34-D34,0)*-1</f>
        <v>0</v>
      </c>
      <c r="H34" s="33">
        <f>IF(E34-D34&gt;0,E34-D34,0)</f>
        <v>0.40999999999985448</v>
      </c>
      <c r="I34" s="34"/>
      <c r="J34" s="34"/>
      <c r="K34" s="34">
        <v>6900.63</v>
      </c>
      <c r="L34" s="34"/>
      <c r="M34" s="36">
        <f>(+K34)*M$5</f>
        <v>148.36354499999999</v>
      </c>
      <c r="N34" s="36">
        <f>(+K34)*N$5</f>
        <v>34.503149999999998</v>
      </c>
      <c r="O34" s="36">
        <f>+K34-M34-N34+P34</f>
        <v>6717.7633050000004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86.5</v>
      </c>
      <c r="AA34" s="34"/>
      <c r="AB34" s="34"/>
      <c r="AC34" s="34">
        <v>207.74</v>
      </c>
      <c r="AD34" s="38" t="s">
        <v>140</v>
      </c>
      <c r="AE34" s="38">
        <v>1245</v>
      </c>
      <c r="AF34" s="34">
        <v>1479.09</v>
      </c>
      <c r="AG34" s="33">
        <f>(AF34*0.8)*0.85</f>
        <v>1005.7811999999999</v>
      </c>
      <c r="AH34" s="33">
        <f>(AF34*0.8)*0.15</f>
        <v>177.49079999999998</v>
      </c>
      <c r="AI34" s="33">
        <f>AF34*0.2</f>
        <v>295.81799999999998</v>
      </c>
      <c r="AJ34" s="34">
        <v>0</v>
      </c>
      <c r="AK34" s="33">
        <f t="shared" si="53"/>
        <v>22603.008928571424</v>
      </c>
      <c r="AL34" s="33">
        <f t="shared" si="54"/>
        <v>22308.768928571422</v>
      </c>
      <c r="AM34" s="33">
        <f t="shared" si="55"/>
        <v>2677.0522714285707</v>
      </c>
      <c r="AN34" s="33">
        <f t="shared" si="56"/>
        <v>24985.821199999991</v>
      </c>
      <c r="AO34" s="39">
        <v>250</v>
      </c>
      <c r="AP34" s="40">
        <v>250</v>
      </c>
      <c r="AQ34" s="40"/>
      <c r="AR34" s="40">
        <v>640</v>
      </c>
      <c r="AS34" s="40"/>
      <c r="AT34" s="40"/>
      <c r="AU34" s="40"/>
      <c r="AV34" s="40"/>
      <c r="AW34" s="40"/>
      <c r="AX34" s="40"/>
      <c r="AY34" s="40"/>
      <c r="AZ34" s="33">
        <f>SUM(AO34:AY34)</f>
        <v>1140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41">
        <f>AZ34+BA34+BB34+BD34-BC34</f>
        <v>1140</v>
      </c>
      <c r="BS34" s="146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</row>
    <row r="35" spans="1:124" s="121" customFormat="1" ht="16.5" customHeight="1" thickBot="1" x14ac:dyDescent="0.3">
      <c r="A35" s="42"/>
      <c r="B35" s="43"/>
      <c r="C35" s="44">
        <f t="shared" ref="C35:Y35" si="57">SUBTOTAL(9,C33:C34)</f>
        <v>26794.46</v>
      </c>
      <c r="D35" s="159">
        <f t="shared" si="57"/>
        <v>18344.59</v>
      </c>
      <c r="E35" s="159">
        <f t="shared" si="57"/>
        <v>18345</v>
      </c>
      <c r="F35" s="170"/>
      <c r="G35" s="44">
        <f t="shared" si="57"/>
        <v>0</v>
      </c>
      <c r="H35" s="44">
        <f t="shared" si="57"/>
        <v>0.40999999999985448</v>
      </c>
      <c r="I35" s="159">
        <f t="shared" si="57"/>
        <v>0</v>
      </c>
      <c r="J35" s="159">
        <f t="shared" si="57"/>
        <v>0</v>
      </c>
      <c r="K35" s="159">
        <f t="shared" si="57"/>
        <v>6900.63</v>
      </c>
      <c r="L35" s="159">
        <f t="shared" si="57"/>
        <v>0</v>
      </c>
      <c r="M35" s="44">
        <f t="shared" si="57"/>
        <v>148.36354499999999</v>
      </c>
      <c r="N35" s="44">
        <f t="shared" si="57"/>
        <v>34.503149999999998</v>
      </c>
      <c r="O35" s="44">
        <f t="shared" si="57"/>
        <v>6717.7633050000004</v>
      </c>
      <c r="P35" s="44">
        <f t="shared" si="57"/>
        <v>0</v>
      </c>
      <c r="Q35" s="159">
        <f t="shared" si="57"/>
        <v>0</v>
      </c>
      <c r="R35" s="159">
        <f t="shared" si="57"/>
        <v>0</v>
      </c>
      <c r="S35" s="159">
        <f t="shared" si="57"/>
        <v>0</v>
      </c>
      <c r="T35" s="44">
        <f t="shared" si="57"/>
        <v>0</v>
      </c>
      <c r="U35" s="44">
        <f t="shared" si="57"/>
        <v>0</v>
      </c>
      <c r="V35" s="44">
        <f t="shared" si="57"/>
        <v>0</v>
      </c>
      <c r="W35" s="44">
        <f t="shared" si="57"/>
        <v>0</v>
      </c>
      <c r="X35" s="159">
        <f t="shared" si="57"/>
        <v>0</v>
      </c>
      <c r="Y35" s="159">
        <f t="shared" si="57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O35" si="58">SUBTOTAL(9,AG33:AG34)</f>
        <v>1005.7811999999999</v>
      </c>
      <c r="AH35" s="44">
        <f t="shared" si="58"/>
        <v>177.49079999999998</v>
      </c>
      <c r="AI35" s="44">
        <f t="shared" si="58"/>
        <v>295.81799999999998</v>
      </c>
      <c r="AJ35" s="45">
        <f t="shared" si="58"/>
        <v>0</v>
      </c>
      <c r="AK35" s="44">
        <f t="shared" si="58"/>
        <v>22603.008928571424</v>
      </c>
      <c r="AL35" s="44">
        <f t="shared" si="58"/>
        <v>22308.768928571422</v>
      </c>
      <c r="AM35" s="44">
        <f t="shared" si="58"/>
        <v>2677.0522714285707</v>
      </c>
      <c r="AN35" s="44">
        <f t="shared" si="16"/>
        <v>24985.821199999991</v>
      </c>
      <c r="AO35" s="49">
        <f t="shared" si="58"/>
        <v>250</v>
      </c>
      <c r="AP35" s="49">
        <f t="shared" si="58"/>
        <v>250</v>
      </c>
      <c r="AQ35" s="49">
        <f t="shared" si="58"/>
        <v>0</v>
      </c>
      <c r="AR35" s="49">
        <f t="shared" si="58"/>
        <v>640</v>
      </c>
      <c r="AS35" s="49">
        <f t="shared" si="58"/>
        <v>0</v>
      </c>
      <c r="AT35" s="49">
        <f t="shared" si="58"/>
        <v>0</v>
      </c>
      <c r="AU35" s="49">
        <f>SUBTOTAL(9,AU33:AU34)</f>
        <v>0</v>
      </c>
      <c r="AV35" s="49">
        <f t="shared" si="58"/>
        <v>0</v>
      </c>
      <c r="AW35" s="49">
        <f t="shared" si="58"/>
        <v>0</v>
      </c>
      <c r="AX35" s="49">
        <f t="shared" si="58"/>
        <v>0</v>
      </c>
      <c r="AY35" s="49">
        <f t="shared" si="58"/>
        <v>0</v>
      </c>
      <c r="AZ35" s="44">
        <f t="shared" si="58"/>
        <v>1140</v>
      </c>
      <c r="BA35" s="48">
        <f t="shared" si="58"/>
        <v>0</v>
      </c>
      <c r="BB35" s="48">
        <f t="shared" si="58"/>
        <v>0</v>
      </c>
      <c r="BC35" s="44">
        <f t="shared" si="58"/>
        <v>0</v>
      </c>
      <c r="BD35" s="44">
        <f t="shared" si="58"/>
        <v>0</v>
      </c>
      <c r="BE35" s="49">
        <f>SUBTOTAL(9,BE33:BE34)</f>
        <v>0</v>
      </c>
      <c r="BF35" s="49">
        <f t="shared" si="58"/>
        <v>0</v>
      </c>
      <c r="BG35" s="49">
        <f t="shared" si="58"/>
        <v>0</v>
      </c>
      <c r="BH35" s="49">
        <f t="shared" si="58"/>
        <v>0</v>
      </c>
      <c r="BI35" s="49">
        <f t="shared" si="58"/>
        <v>0</v>
      </c>
      <c r="BJ35" s="49">
        <f t="shared" si="58"/>
        <v>0</v>
      </c>
      <c r="BK35" s="49">
        <f t="shared" si="58"/>
        <v>0</v>
      </c>
      <c r="BL35" s="49">
        <f t="shared" si="58"/>
        <v>0</v>
      </c>
      <c r="BM35" s="49">
        <f t="shared" si="58"/>
        <v>0</v>
      </c>
      <c r="BN35" s="49">
        <f t="shared" si="58"/>
        <v>0</v>
      </c>
      <c r="BO35" s="49">
        <f t="shared" si="58"/>
        <v>0</v>
      </c>
      <c r="BP35" s="49"/>
      <c r="BQ35" s="44">
        <f>SUBTOTAL(9,BQ33:BQ34)</f>
        <v>1140</v>
      </c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</row>
    <row r="36" spans="1:124" x14ac:dyDescent="0.25">
      <c r="A36" s="259">
        <f>+A33+1</f>
        <v>40522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9">(C36-AF36-AJ36)/1.12</f>
        <v>0</v>
      </c>
      <c r="AL36" s="33">
        <f t="shared" ref="AL36:AL37" si="60">AK36-SUM(Y36:AC36)</f>
        <v>0</v>
      </c>
      <c r="AM36" s="33">
        <f t="shared" ref="AM36:AM37" si="61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SUM(BE36:BK36)*0.1+(BL36*0.5)</f>
        <v>0</v>
      </c>
      <c r="BD36" s="33">
        <f>SUM(BE36:BK36)+(BL36*0.5)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f>AZ36+BA36+BB36+BD36-BC36</f>
        <v>0</v>
      </c>
      <c r="BS36" s="146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</row>
    <row r="37" spans="1:124" ht="16.5" customHeight="1" thickBot="1" x14ac:dyDescent="0.3">
      <c r="A37" s="260"/>
      <c r="B37" s="15" t="s">
        <v>44</v>
      </c>
      <c r="C37" s="33">
        <v>22663.65</v>
      </c>
      <c r="D37" s="34">
        <v>14219.22</v>
      </c>
      <c r="E37" s="34">
        <v>14220</v>
      </c>
      <c r="F37" s="35">
        <v>44176</v>
      </c>
      <c r="G37" s="33">
        <f>IF(E37-D37&lt;0,E37-D37,0)*-1</f>
        <v>0</v>
      </c>
      <c r="H37" s="33">
        <f>IF(E37-D37&gt;0,E37-D37,0)</f>
        <v>0.78000000000065484</v>
      </c>
      <c r="I37" s="34"/>
      <c r="J37" s="34"/>
      <c r="K37" s="34">
        <v>6855.36</v>
      </c>
      <c r="L37" s="34"/>
      <c r="M37" s="36">
        <f>(+K37)*M$5</f>
        <v>147.39023999999998</v>
      </c>
      <c r="N37" s="36">
        <f>(+K37)*N$5</f>
        <v>34.276800000000001</v>
      </c>
      <c r="O37" s="36">
        <f>+K37-M37-N37+P37</f>
        <v>6673.6929600000003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318.75</v>
      </c>
      <c r="AA37" s="34"/>
      <c r="AB37" s="34"/>
      <c r="AC37" s="192">
        <v>120.32</v>
      </c>
      <c r="AD37" s="38" t="s">
        <v>140</v>
      </c>
      <c r="AE37" s="38">
        <v>1150</v>
      </c>
      <c r="AF37" s="34">
        <v>1535.84</v>
      </c>
      <c r="AG37" s="33">
        <f>(AF37*0.8)*0.85</f>
        <v>1044.3712</v>
      </c>
      <c r="AH37" s="33">
        <f>(AF37*0.8)*0.15</f>
        <v>184.30080000000001</v>
      </c>
      <c r="AI37" s="33">
        <f>AF37*0.2</f>
        <v>307.16800000000001</v>
      </c>
      <c r="AJ37" s="34"/>
      <c r="AK37" s="33">
        <f t="shared" si="59"/>
        <v>18864.116071428572</v>
      </c>
      <c r="AL37" s="33">
        <f t="shared" si="60"/>
        <v>18425.046071428573</v>
      </c>
      <c r="AM37" s="33">
        <f t="shared" si="61"/>
        <v>2211.0055285714288</v>
      </c>
      <c r="AN37" s="33">
        <f t="shared" si="16"/>
        <v>20636.051600000003</v>
      </c>
      <c r="AO37" s="39"/>
      <c r="AP37" s="40"/>
      <c r="AQ37" s="40">
        <v>245</v>
      </c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245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f>AZ37+BA37+BB37+BD37-BC37</f>
        <v>245</v>
      </c>
      <c r="BS37" s="146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</row>
    <row r="38" spans="1:124" ht="15.75" thickBot="1" x14ac:dyDescent="0.3">
      <c r="A38" s="42"/>
      <c r="B38" s="43"/>
      <c r="C38" s="44">
        <f>SUBTOTAL(9,C36:C37)</f>
        <v>22663.65</v>
      </c>
      <c r="D38" s="45">
        <f>SUBTOTAL(9,D36:D37)</f>
        <v>14219.22</v>
      </c>
      <c r="E38" s="45">
        <f>SUBTOTAL(9,E36:E37)</f>
        <v>14220</v>
      </c>
      <c r="F38" s="47"/>
      <c r="G38" s="45">
        <f t="shared" ref="G38:P38" si="62">SUBTOTAL(9,G36:G37)</f>
        <v>0</v>
      </c>
      <c r="H38" s="45">
        <f t="shared" si="62"/>
        <v>0.78000000000065484</v>
      </c>
      <c r="I38" s="159">
        <f t="shared" si="62"/>
        <v>0</v>
      </c>
      <c r="J38" s="159">
        <f t="shared" si="62"/>
        <v>0</v>
      </c>
      <c r="K38" s="159">
        <f t="shared" si="62"/>
        <v>6855.36</v>
      </c>
      <c r="L38" s="159">
        <v>0</v>
      </c>
      <c r="M38" s="46">
        <f t="shared" si="62"/>
        <v>147.39023999999998</v>
      </c>
      <c r="N38" s="46">
        <f t="shared" si="62"/>
        <v>34.276800000000001</v>
      </c>
      <c r="O38" s="46">
        <f t="shared" si="62"/>
        <v>6673.6929600000003</v>
      </c>
      <c r="P38" s="46">
        <f t="shared" si="62"/>
        <v>0</v>
      </c>
      <c r="Q38" s="47"/>
      <c r="R38" s="45">
        <f t="shared" ref="R38:BO38" si="63">SUBTOTAL(9,R36:R37)</f>
        <v>0</v>
      </c>
      <c r="S38" s="45">
        <f t="shared" si="63"/>
        <v>0</v>
      </c>
      <c r="T38" s="46">
        <f t="shared" si="63"/>
        <v>0</v>
      </c>
      <c r="U38" s="46">
        <f t="shared" si="63"/>
        <v>0</v>
      </c>
      <c r="V38" s="46">
        <f t="shared" si="63"/>
        <v>0</v>
      </c>
      <c r="W38" s="46">
        <f t="shared" si="63"/>
        <v>0</v>
      </c>
      <c r="X38" s="47"/>
      <c r="Y38" s="45">
        <f>SUBTOTAL(9,Y36:Y37)</f>
        <v>0</v>
      </c>
      <c r="Z38" s="45"/>
      <c r="AA38" s="45"/>
      <c r="AB38" s="45"/>
      <c r="AC38" s="193"/>
      <c r="AD38" s="48"/>
      <c r="AE38" s="48"/>
      <c r="AF38" s="45"/>
      <c r="AG38" s="44">
        <f t="shared" si="63"/>
        <v>1044.3712</v>
      </c>
      <c r="AH38" s="44">
        <f t="shared" si="63"/>
        <v>184.30080000000001</v>
      </c>
      <c r="AI38" s="44">
        <f t="shared" si="63"/>
        <v>307.16800000000001</v>
      </c>
      <c r="AJ38" s="45">
        <f>SUBTOTAL(9,AJ36:AJ37)</f>
        <v>0</v>
      </c>
      <c r="AK38" s="44">
        <f t="shared" si="63"/>
        <v>18864.116071428572</v>
      </c>
      <c r="AL38" s="44">
        <f t="shared" si="63"/>
        <v>18425.046071428573</v>
      </c>
      <c r="AM38" s="44">
        <f t="shared" si="63"/>
        <v>2211.0055285714288</v>
      </c>
      <c r="AN38" s="44">
        <f t="shared" si="16"/>
        <v>20636.051600000003</v>
      </c>
      <c r="AO38" s="49">
        <f t="shared" si="63"/>
        <v>0</v>
      </c>
      <c r="AP38" s="49">
        <f t="shared" si="63"/>
        <v>0</v>
      </c>
      <c r="AQ38" s="49">
        <f t="shared" si="63"/>
        <v>245</v>
      </c>
      <c r="AR38" s="49">
        <f t="shared" si="63"/>
        <v>0</v>
      </c>
      <c r="AS38" s="49">
        <f t="shared" si="63"/>
        <v>0</v>
      </c>
      <c r="AT38" s="49">
        <f t="shared" si="63"/>
        <v>0</v>
      </c>
      <c r="AU38" s="49">
        <f>SUBTOTAL(9,AU36:AU37)</f>
        <v>0</v>
      </c>
      <c r="AV38" s="49">
        <f t="shared" si="63"/>
        <v>0</v>
      </c>
      <c r="AW38" s="49">
        <f t="shared" si="63"/>
        <v>0</v>
      </c>
      <c r="AX38" s="49">
        <f t="shared" si="63"/>
        <v>0</v>
      </c>
      <c r="AY38" s="49">
        <f t="shared" si="63"/>
        <v>0</v>
      </c>
      <c r="AZ38" s="44">
        <f t="shared" si="63"/>
        <v>245</v>
      </c>
      <c r="BA38" s="48">
        <f t="shared" si="63"/>
        <v>0</v>
      </c>
      <c r="BB38" s="48">
        <f t="shared" si="63"/>
        <v>0</v>
      </c>
      <c r="BC38" s="44">
        <f t="shared" si="63"/>
        <v>0</v>
      </c>
      <c r="BD38" s="44">
        <f t="shared" si="63"/>
        <v>0</v>
      </c>
      <c r="BE38" s="49">
        <f>SUBTOTAL(9,BE36:BE37)</f>
        <v>0</v>
      </c>
      <c r="BF38" s="49">
        <f t="shared" si="63"/>
        <v>0</v>
      </c>
      <c r="BG38" s="49">
        <f t="shared" si="63"/>
        <v>0</v>
      </c>
      <c r="BH38" s="49">
        <f t="shared" si="63"/>
        <v>0</v>
      </c>
      <c r="BI38" s="49">
        <f t="shared" si="63"/>
        <v>0</v>
      </c>
      <c r="BJ38" s="49">
        <f t="shared" si="63"/>
        <v>0</v>
      </c>
      <c r="BK38" s="49">
        <f t="shared" si="63"/>
        <v>0</v>
      </c>
      <c r="BL38" s="49">
        <f t="shared" si="63"/>
        <v>0</v>
      </c>
      <c r="BM38" s="49">
        <f t="shared" si="63"/>
        <v>0</v>
      </c>
      <c r="BN38" s="49">
        <f t="shared" si="63"/>
        <v>0</v>
      </c>
      <c r="BO38" s="49">
        <f t="shared" si="63"/>
        <v>0</v>
      </c>
      <c r="BP38" s="49"/>
      <c r="BQ38" s="44">
        <f>SUBTOTAL(9,BQ36:BQ37)</f>
        <v>245</v>
      </c>
    </row>
    <row r="39" spans="1:124" ht="15.75" customHeight="1" x14ac:dyDescent="0.25">
      <c r="A39" s="259">
        <f>+A36+1</f>
        <v>40523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4">(C39-AF39-AJ39)/1.12</f>
        <v>0</v>
      </c>
      <c r="AL39" s="33">
        <f t="shared" ref="AL39:AL40" si="65">AK39-SUM(Y39:AC39)</f>
        <v>0</v>
      </c>
      <c r="AM39" s="33">
        <f t="shared" ref="AM39:AM40" si="66">+AL39*0.12</f>
        <v>0</v>
      </c>
      <c r="AN39" s="33">
        <f t="shared" ref="AN39:AN40" si="67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SUM(BE39:BK39)*0.1+(BL39*0.5)</f>
        <v>0</v>
      </c>
      <c r="BD39" s="33">
        <f>SUM(BE39:BK39)+(BL39*0.5)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f>AZ39+BA39+BB39+BD39-BC39</f>
        <v>0</v>
      </c>
      <c r="BS39" s="146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</row>
    <row r="40" spans="1:124" ht="15.75" thickBot="1" x14ac:dyDescent="0.3">
      <c r="A40" s="260"/>
      <c r="B40" s="16" t="s">
        <v>44</v>
      </c>
      <c r="C40" s="33">
        <v>42425.37</v>
      </c>
      <c r="D40" s="34">
        <v>27010.41</v>
      </c>
      <c r="E40" s="34">
        <v>27012</v>
      </c>
      <c r="F40" s="35">
        <v>44177</v>
      </c>
      <c r="G40" s="33">
        <f>IF(E40-D40&lt;0,E40-D40,0)*-1</f>
        <v>0</v>
      </c>
      <c r="H40" s="33">
        <f>IF(E40-D40&gt;0,E40-D40,0)</f>
        <v>1.5900000000001455</v>
      </c>
      <c r="I40" s="34"/>
      <c r="J40" s="34"/>
      <c r="K40" s="34">
        <v>14666.78</v>
      </c>
      <c r="L40" s="34"/>
      <c r="M40" s="36">
        <f>(+K40)*M$5</f>
        <v>315.33576999999997</v>
      </c>
      <c r="N40" s="36">
        <f>(+K40)*N$5</f>
        <v>73.3339</v>
      </c>
      <c r="O40" s="36">
        <f>+K40-M40-N40+P40</f>
        <v>14278.110330000001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71.75</v>
      </c>
      <c r="AA40" s="34"/>
      <c r="AB40" s="34"/>
      <c r="AC40" s="34">
        <v>146.43</v>
      </c>
      <c r="AD40" s="38" t="s">
        <v>140</v>
      </c>
      <c r="AE40" s="38">
        <v>530</v>
      </c>
      <c r="AF40" s="34">
        <v>3093.23</v>
      </c>
      <c r="AG40" s="33">
        <f>(AF40*0.8)*0.85</f>
        <v>2103.3964000000001</v>
      </c>
      <c r="AH40" s="33">
        <f>(AF40*0.8)*0.15</f>
        <v>371.18760000000003</v>
      </c>
      <c r="AI40" s="33">
        <f>AF40*0.2</f>
        <v>618.64600000000007</v>
      </c>
      <c r="AJ40" s="34"/>
      <c r="AK40" s="33">
        <f t="shared" si="64"/>
        <v>35117.982142857138</v>
      </c>
      <c r="AL40" s="33">
        <f t="shared" si="65"/>
        <v>34899.802142857137</v>
      </c>
      <c r="AM40" s="33">
        <f t="shared" si="66"/>
        <v>4187.9762571428564</v>
      </c>
      <c r="AN40" s="33">
        <f t="shared" si="67"/>
        <v>39087.778399999996</v>
      </c>
      <c r="AO40" s="39"/>
      <c r="AP40" s="40">
        <v>415</v>
      </c>
      <c r="AQ40" s="40"/>
      <c r="AR40" s="40">
        <v>70</v>
      </c>
      <c r="AS40" s="40"/>
      <c r="AT40" s="40"/>
      <c r="AU40" s="40"/>
      <c r="AV40" s="40"/>
      <c r="AW40" s="40"/>
      <c r="AX40" s="40"/>
      <c r="AY40" s="40"/>
      <c r="AZ40" s="33">
        <f>SUM(AO40:AY40)</f>
        <v>485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f>AZ40+BA40+BB40+BD40-BC40</f>
        <v>485</v>
      </c>
      <c r="BS40" s="146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</row>
    <row r="41" spans="1:124" ht="16.5" customHeight="1" thickBot="1" x14ac:dyDescent="0.3">
      <c r="A41" s="42"/>
      <c r="B41" s="43"/>
      <c r="C41" s="44">
        <f>SUBTOTAL(9,C39:C40)</f>
        <v>42425.37</v>
      </c>
      <c r="D41" s="45">
        <f>SUBTOTAL(9,D39:D40)</f>
        <v>27010.41</v>
      </c>
      <c r="E41" s="45">
        <f>SUBTOTAL(9,E39:E40)</f>
        <v>27012</v>
      </c>
      <c r="F41" s="47"/>
      <c r="G41" s="45">
        <f t="shared" ref="G41:P41" si="68">SUBTOTAL(9,G39:G40)</f>
        <v>0</v>
      </c>
      <c r="H41" s="45">
        <f t="shared" si="68"/>
        <v>1.5900000000001455</v>
      </c>
      <c r="I41" s="159">
        <f t="shared" si="68"/>
        <v>0</v>
      </c>
      <c r="J41" s="159">
        <f t="shared" si="68"/>
        <v>0</v>
      </c>
      <c r="K41" s="159">
        <f t="shared" si="68"/>
        <v>14666.78</v>
      </c>
      <c r="L41" s="159">
        <f t="shared" si="68"/>
        <v>0</v>
      </c>
      <c r="M41" s="46">
        <f t="shared" si="68"/>
        <v>315.33576999999997</v>
      </c>
      <c r="N41" s="46">
        <f t="shared" si="68"/>
        <v>73.3339</v>
      </c>
      <c r="O41" s="46">
        <f t="shared" si="68"/>
        <v>14278.110330000001</v>
      </c>
      <c r="P41" s="46">
        <f t="shared" si="68"/>
        <v>0</v>
      </c>
      <c r="Q41" s="47"/>
      <c r="R41" s="45">
        <f t="shared" ref="R41:BO41" si="69">SUBTOTAL(9,R39:R40)</f>
        <v>0</v>
      </c>
      <c r="S41" s="45">
        <f t="shared" si="69"/>
        <v>0</v>
      </c>
      <c r="T41" s="46">
        <f t="shared" si="69"/>
        <v>0</v>
      </c>
      <c r="U41" s="46">
        <f t="shared" si="69"/>
        <v>0</v>
      </c>
      <c r="V41" s="46">
        <f t="shared" si="69"/>
        <v>0</v>
      </c>
      <c r="W41" s="46">
        <f t="shared" si="69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9"/>
        <v>2103.3964000000001</v>
      </c>
      <c r="AH41" s="44">
        <f t="shared" si="69"/>
        <v>371.18760000000003</v>
      </c>
      <c r="AI41" s="44">
        <f t="shared" si="69"/>
        <v>618.64600000000007</v>
      </c>
      <c r="AJ41" s="45">
        <f t="shared" si="69"/>
        <v>0</v>
      </c>
      <c r="AK41" s="44">
        <f t="shared" si="69"/>
        <v>35117.982142857138</v>
      </c>
      <c r="AL41" s="44">
        <f t="shared" si="69"/>
        <v>34899.802142857137</v>
      </c>
      <c r="AM41" s="44">
        <f t="shared" si="69"/>
        <v>4187.9762571428564</v>
      </c>
      <c r="AN41" s="44">
        <f t="shared" si="16"/>
        <v>39087.778399999996</v>
      </c>
      <c r="AO41" s="49">
        <f t="shared" si="69"/>
        <v>0</v>
      </c>
      <c r="AP41" s="49">
        <f t="shared" si="69"/>
        <v>415</v>
      </c>
      <c r="AQ41" s="49">
        <f t="shared" si="69"/>
        <v>0</v>
      </c>
      <c r="AR41" s="49">
        <f t="shared" si="69"/>
        <v>70</v>
      </c>
      <c r="AS41" s="49">
        <f t="shared" si="69"/>
        <v>0</v>
      </c>
      <c r="AT41" s="49">
        <f t="shared" si="69"/>
        <v>0</v>
      </c>
      <c r="AU41" s="49">
        <f>SUBTOTAL(9,AU39:AU40)</f>
        <v>0</v>
      </c>
      <c r="AV41" s="49">
        <f t="shared" si="69"/>
        <v>0</v>
      </c>
      <c r="AW41" s="49">
        <f t="shared" si="69"/>
        <v>0</v>
      </c>
      <c r="AX41" s="49">
        <f t="shared" si="69"/>
        <v>0</v>
      </c>
      <c r="AY41" s="49">
        <f t="shared" si="69"/>
        <v>0</v>
      </c>
      <c r="AZ41" s="44">
        <f t="shared" si="69"/>
        <v>485</v>
      </c>
      <c r="BA41" s="48">
        <f t="shared" si="69"/>
        <v>0</v>
      </c>
      <c r="BB41" s="48">
        <f t="shared" si="69"/>
        <v>0</v>
      </c>
      <c r="BC41" s="44">
        <f t="shared" si="69"/>
        <v>0</v>
      </c>
      <c r="BD41" s="44">
        <f t="shared" si="69"/>
        <v>0</v>
      </c>
      <c r="BE41" s="49">
        <f>SUBTOTAL(9,BE39:BE40)</f>
        <v>0</v>
      </c>
      <c r="BF41" s="49">
        <f t="shared" si="69"/>
        <v>0</v>
      </c>
      <c r="BG41" s="49">
        <f t="shared" si="69"/>
        <v>0</v>
      </c>
      <c r="BH41" s="49">
        <f t="shared" si="69"/>
        <v>0</v>
      </c>
      <c r="BI41" s="49">
        <f t="shared" si="69"/>
        <v>0</v>
      </c>
      <c r="BJ41" s="49">
        <f t="shared" si="69"/>
        <v>0</v>
      </c>
      <c r="BK41" s="49">
        <f t="shared" si="69"/>
        <v>0</v>
      </c>
      <c r="BL41" s="49">
        <f t="shared" si="69"/>
        <v>0</v>
      </c>
      <c r="BM41" s="49">
        <f t="shared" si="69"/>
        <v>0</v>
      </c>
      <c r="BN41" s="49">
        <f t="shared" si="69"/>
        <v>0</v>
      </c>
      <c r="BO41" s="49">
        <f t="shared" si="69"/>
        <v>0</v>
      </c>
      <c r="BP41" s="49"/>
      <c r="BQ41" s="44">
        <f>SUBTOTAL(9,BQ39:BQ40)</f>
        <v>485</v>
      </c>
    </row>
    <row r="42" spans="1:124" x14ac:dyDescent="0.25">
      <c r="A42" s="259">
        <f>+A39+1</f>
        <v>40524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70">(C42-AF42-AJ42)/1.12</f>
        <v>0</v>
      </c>
      <c r="AL42" s="33">
        <f t="shared" ref="AL42:AL43" si="71">AK42-SUM(Y42:AC42)</f>
        <v>0</v>
      </c>
      <c r="AM42" s="33">
        <f t="shared" ref="AM42:AM43" si="72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SUM(BE42:BK42)*0.1+(BL42*0.5)</f>
        <v>0</v>
      </c>
      <c r="BD42" s="33">
        <f>SUM(BE42:BK42)+(BL42*0.5)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f>AZ42+BA42+BB42+BD42-BC42</f>
        <v>0</v>
      </c>
      <c r="BS42" s="146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</row>
    <row r="43" spans="1:124" s="181" customFormat="1" ht="16.5" customHeight="1" thickBot="1" x14ac:dyDescent="0.3">
      <c r="A43" s="260"/>
      <c r="B43" s="178" t="s">
        <v>44</v>
      </c>
      <c r="C43" s="179">
        <v>12727.76</v>
      </c>
      <c r="D43" s="186">
        <v>9905.5400000000009</v>
      </c>
      <c r="E43" s="186">
        <v>9906</v>
      </c>
      <c r="F43" s="185">
        <v>44179</v>
      </c>
      <c r="G43" s="179">
        <f>IF(E43-D43&lt;0,E43-D43,0)*-1</f>
        <v>0</v>
      </c>
      <c r="H43" s="179">
        <v>0</v>
      </c>
      <c r="I43" s="186"/>
      <c r="J43" s="186"/>
      <c r="K43" s="186">
        <v>2489.0100000000002</v>
      </c>
      <c r="L43" s="186"/>
      <c r="M43" s="179">
        <f>(+K43)*M$5</f>
        <v>53.513714999999998</v>
      </c>
      <c r="N43" s="179">
        <f>(+K43)*N$5</f>
        <v>12.445050000000002</v>
      </c>
      <c r="O43" s="179">
        <f>+K43-M43-N43+P43</f>
        <v>2423.0512350000004</v>
      </c>
      <c r="P43" s="179"/>
      <c r="Q43" s="187"/>
      <c r="R43" s="186"/>
      <c r="S43" s="186"/>
      <c r="T43" s="179"/>
      <c r="U43" s="179"/>
      <c r="V43" s="179"/>
      <c r="W43" s="179"/>
      <c r="X43" s="187"/>
      <c r="Y43" s="186"/>
      <c r="Z43" s="186"/>
      <c r="AA43" s="186"/>
      <c r="AB43" s="186"/>
      <c r="AC43" s="186">
        <v>48.21</v>
      </c>
      <c r="AD43" s="38" t="s">
        <v>140</v>
      </c>
      <c r="AE43" s="177">
        <v>285</v>
      </c>
      <c r="AF43" s="188">
        <v>906.69</v>
      </c>
      <c r="AG43" s="179">
        <f>(AF43*0.8)*0.85</f>
        <v>616.54920000000004</v>
      </c>
      <c r="AH43" s="179">
        <f>(AF43*0.8)*0.15</f>
        <v>108.8028</v>
      </c>
      <c r="AI43" s="179">
        <f>AF43*0.2</f>
        <v>181.33800000000002</v>
      </c>
      <c r="AJ43" s="188"/>
      <c r="AK43" s="33">
        <f t="shared" si="70"/>
        <v>10554.526785714284</v>
      </c>
      <c r="AL43" s="33">
        <f t="shared" si="71"/>
        <v>10506.316785714285</v>
      </c>
      <c r="AM43" s="33">
        <f t="shared" si="72"/>
        <v>1260.7580142857141</v>
      </c>
      <c r="AN43" s="33">
        <f t="shared" ref="AN43" si="73">+AM43+AL43+AJ43</f>
        <v>11767.074799999999</v>
      </c>
      <c r="AO43" s="189"/>
      <c r="AP43" s="190">
        <v>1335</v>
      </c>
      <c r="AQ43" s="190">
        <v>675</v>
      </c>
      <c r="AR43" s="190"/>
      <c r="AS43" s="179"/>
      <c r="AT43" s="179"/>
      <c r="AU43" s="179"/>
      <c r="AV43" s="179"/>
      <c r="AW43" s="179"/>
      <c r="AX43" s="179"/>
      <c r="AY43" s="179"/>
      <c r="AZ43" s="179">
        <f>SUM(AO43:AY43)</f>
        <v>2010</v>
      </c>
      <c r="BA43" s="177"/>
      <c r="BB43" s="177">
        <v>0</v>
      </c>
      <c r="BC43" s="179"/>
      <c r="BD43" s="179"/>
      <c r="BE43" s="180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0">
        <f>AZ43+BA43+BB43+BD43-BC43</f>
        <v>2010</v>
      </c>
      <c r="BS43" s="182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4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</row>
    <row r="44" spans="1:124" ht="15.75" thickBot="1" x14ac:dyDescent="0.3">
      <c r="A44" s="42"/>
      <c r="B44" s="43"/>
      <c r="C44" s="44">
        <f>SUBTOTAL(9,C42:C43)</f>
        <v>12727.76</v>
      </c>
      <c r="D44" s="45">
        <f>SUBTOTAL(9,D42:D43)</f>
        <v>9905.5400000000009</v>
      </c>
      <c r="E44" s="45">
        <f>SUBTOTAL(9,E42:E43)</f>
        <v>9906</v>
      </c>
      <c r="F44" s="47"/>
      <c r="G44" s="45">
        <f t="shared" ref="G44:P44" si="74">SUBTOTAL(9,G42:G43)</f>
        <v>0</v>
      </c>
      <c r="H44" s="45">
        <f t="shared" si="74"/>
        <v>0</v>
      </c>
      <c r="I44" s="159">
        <f t="shared" si="74"/>
        <v>0</v>
      </c>
      <c r="J44" s="159">
        <f t="shared" si="74"/>
        <v>0</v>
      </c>
      <c r="K44" s="159">
        <f t="shared" si="74"/>
        <v>2489.0100000000002</v>
      </c>
      <c r="L44" s="159">
        <f t="shared" si="74"/>
        <v>0</v>
      </c>
      <c r="M44" s="46">
        <f t="shared" si="74"/>
        <v>53.513714999999998</v>
      </c>
      <c r="N44" s="46">
        <f t="shared" si="74"/>
        <v>12.445050000000002</v>
      </c>
      <c r="O44" s="46">
        <f t="shared" si="74"/>
        <v>2423.0512350000004</v>
      </c>
      <c r="P44" s="46">
        <f t="shared" si="74"/>
        <v>0</v>
      </c>
      <c r="Q44" s="47"/>
      <c r="R44" s="45">
        <f t="shared" ref="R44:BO44" si="75">SUBTOTAL(9,R42:R43)</f>
        <v>0</v>
      </c>
      <c r="S44" s="45">
        <f t="shared" si="75"/>
        <v>0</v>
      </c>
      <c r="T44" s="46">
        <f t="shared" si="75"/>
        <v>0</v>
      </c>
      <c r="U44" s="46">
        <f t="shared" si="75"/>
        <v>0</v>
      </c>
      <c r="V44" s="46">
        <f t="shared" si="75"/>
        <v>0</v>
      </c>
      <c r="W44" s="46">
        <f t="shared" si="75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5"/>
        <v>616.54920000000004</v>
      </c>
      <c r="AH44" s="44">
        <f t="shared" si="75"/>
        <v>108.8028</v>
      </c>
      <c r="AI44" s="44">
        <f t="shared" si="75"/>
        <v>181.33800000000002</v>
      </c>
      <c r="AJ44" s="45">
        <f t="shared" si="75"/>
        <v>0</v>
      </c>
      <c r="AK44" s="44">
        <f t="shared" si="75"/>
        <v>10554.526785714284</v>
      </c>
      <c r="AL44" s="44">
        <f t="shared" si="75"/>
        <v>10506.316785714285</v>
      </c>
      <c r="AM44" s="44">
        <f t="shared" si="75"/>
        <v>1260.7580142857141</v>
      </c>
      <c r="AN44" s="44">
        <f t="shared" ref="AN44:AN74" si="76">+AM44+AL44+AJ44</f>
        <v>11767.074799999999</v>
      </c>
      <c r="AO44" s="49" t="s">
        <v>1</v>
      </c>
      <c r="AP44" s="49">
        <f t="shared" si="75"/>
        <v>1335</v>
      </c>
      <c r="AQ44" s="49">
        <f t="shared" si="75"/>
        <v>675</v>
      </c>
      <c r="AR44" s="49">
        <f t="shared" si="75"/>
        <v>0</v>
      </c>
      <c r="AS44" s="49">
        <f t="shared" si="75"/>
        <v>0</v>
      </c>
      <c r="AT44" s="49">
        <f t="shared" si="75"/>
        <v>0</v>
      </c>
      <c r="AU44" s="49">
        <f>SUBTOTAL(9,AU42:AU43)</f>
        <v>0</v>
      </c>
      <c r="AV44" s="49">
        <f t="shared" si="75"/>
        <v>0</v>
      </c>
      <c r="AW44" s="49">
        <f t="shared" si="75"/>
        <v>0</v>
      </c>
      <c r="AX44" s="49">
        <f t="shared" si="75"/>
        <v>0</v>
      </c>
      <c r="AY44" s="49">
        <f t="shared" si="75"/>
        <v>0</v>
      </c>
      <c r="AZ44" s="44">
        <f t="shared" si="75"/>
        <v>2010</v>
      </c>
      <c r="BA44" s="48">
        <f t="shared" si="75"/>
        <v>0</v>
      </c>
      <c r="BB44" s="48">
        <f t="shared" si="75"/>
        <v>0</v>
      </c>
      <c r="BC44" s="44">
        <f t="shared" si="75"/>
        <v>0</v>
      </c>
      <c r="BD44" s="44">
        <f t="shared" si="75"/>
        <v>0</v>
      </c>
      <c r="BE44" s="49">
        <f>SUBTOTAL(9,BE42:BE43)</f>
        <v>0</v>
      </c>
      <c r="BF44" s="49">
        <f t="shared" si="75"/>
        <v>0</v>
      </c>
      <c r="BG44" s="49">
        <f t="shared" si="75"/>
        <v>0</v>
      </c>
      <c r="BH44" s="49">
        <f t="shared" si="75"/>
        <v>0</v>
      </c>
      <c r="BI44" s="49">
        <f t="shared" si="75"/>
        <v>0</v>
      </c>
      <c r="BJ44" s="49">
        <f t="shared" si="75"/>
        <v>0</v>
      </c>
      <c r="BK44" s="49">
        <f t="shared" si="75"/>
        <v>0</v>
      </c>
      <c r="BL44" s="49">
        <f t="shared" si="75"/>
        <v>0</v>
      </c>
      <c r="BM44" s="49">
        <f t="shared" si="75"/>
        <v>0</v>
      </c>
      <c r="BN44" s="49">
        <f t="shared" si="75"/>
        <v>0</v>
      </c>
      <c r="BO44" s="49">
        <f t="shared" si="75"/>
        <v>0</v>
      </c>
      <c r="BP44" s="49"/>
      <c r="BQ44" s="44">
        <f>SUBTOTAL(9,BQ42:BQ43)</f>
        <v>2010</v>
      </c>
    </row>
    <row r="45" spans="1:124" ht="15.75" customHeight="1" x14ac:dyDescent="0.25">
      <c r="A45" s="259">
        <f>+A42+1</f>
        <v>40525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" si="77">(C45-AF45-AJ45)/1.12</f>
        <v>0</v>
      </c>
      <c r="AL45" s="33">
        <f t="shared" ref="AL45:AL46" si="78">AK45-SUM(Y45:AC45)</f>
        <v>0</v>
      </c>
      <c r="AM45" s="33">
        <f t="shared" ref="AM45:AM46" si="79">+AL45*0.12</f>
        <v>0</v>
      </c>
      <c r="AN45" s="33">
        <f t="shared" si="76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SUM(BE45:BK45)*0.1+(BL45*0.5)</f>
        <v>0</v>
      </c>
      <c r="BD45" s="33">
        <f>SUM(BE45:BK45)+(BL45*0.5)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f>AZ45+BA45+BB45+BD45-BC45</f>
        <v>0</v>
      </c>
      <c r="BS45" s="146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</row>
    <row r="46" spans="1:124" s="181" customFormat="1" ht="15.75" thickBot="1" x14ac:dyDescent="0.3">
      <c r="A46" s="260"/>
      <c r="B46" s="178" t="s">
        <v>44</v>
      </c>
      <c r="C46" s="179" t="s">
        <v>138</v>
      </c>
      <c r="D46" s="186"/>
      <c r="E46" s="186"/>
      <c r="F46" s="185"/>
      <c r="G46" s="179">
        <f>IF(E46-D46&lt;0,E46-D46,0)*-1</f>
        <v>0</v>
      </c>
      <c r="H46" s="179">
        <f>IF(E46-D46&gt;0,E46-D46,0)</f>
        <v>0</v>
      </c>
      <c r="I46" s="186"/>
      <c r="J46" s="186"/>
      <c r="K46" s="186"/>
      <c r="L46" s="186"/>
      <c r="M46" s="179">
        <f>(+K46)*M$5</f>
        <v>0</v>
      </c>
      <c r="N46" s="179">
        <f>(+K46)*N$5</f>
        <v>0</v>
      </c>
      <c r="O46" s="179">
        <f>+K46-M46-N46+P46</f>
        <v>0</v>
      </c>
      <c r="P46" s="179"/>
      <c r="Q46" s="191"/>
      <c r="R46" s="188"/>
      <c r="S46" s="188"/>
      <c r="T46" s="179"/>
      <c r="U46" s="179"/>
      <c r="V46" s="179"/>
      <c r="W46" s="179"/>
      <c r="X46" s="191"/>
      <c r="Y46" s="188"/>
      <c r="Z46" s="188"/>
      <c r="AA46" s="188"/>
      <c r="AB46" s="188">
        <v>0</v>
      </c>
      <c r="AC46" s="188"/>
      <c r="AD46" s="38"/>
      <c r="AE46" s="177"/>
      <c r="AF46" s="186"/>
      <c r="AG46" s="179">
        <f>(AF46*0.8)*0.85</f>
        <v>0</v>
      </c>
      <c r="AH46" s="179">
        <f>(AF46*0.8)*0.15</f>
        <v>0</v>
      </c>
      <c r="AI46" s="179">
        <f>AF46*0.2</f>
        <v>0</v>
      </c>
      <c r="AJ46" s="186"/>
      <c r="AK46" s="179">
        <v>0</v>
      </c>
      <c r="AL46" s="179">
        <f t="shared" si="78"/>
        <v>0</v>
      </c>
      <c r="AM46" s="179">
        <f t="shared" si="79"/>
        <v>0</v>
      </c>
      <c r="AN46" s="179">
        <f t="shared" si="76"/>
        <v>0</v>
      </c>
      <c r="AO46" s="189"/>
      <c r="AP46" s="190"/>
      <c r="AQ46" s="190"/>
      <c r="AR46" s="190"/>
      <c r="AS46" s="179"/>
      <c r="AT46" s="179"/>
      <c r="AU46" s="179"/>
      <c r="AV46" s="179"/>
      <c r="AW46" s="179"/>
      <c r="AX46" s="179"/>
      <c r="AY46" s="179"/>
      <c r="AZ46" s="179">
        <f>SUM(AO46:AY46)</f>
        <v>0</v>
      </c>
      <c r="BA46" s="177"/>
      <c r="BB46" s="177"/>
      <c r="BC46" s="179"/>
      <c r="BD46" s="179"/>
      <c r="BE46" s="180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0">
        <f>AZ46+BA46+BB46+BD46-BC46</f>
        <v>0</v>
      </c>
      <c r="BS46" s="182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</row>
    <row r="47" spans="1:124" ht="16.5" customHeight="1" thickBot="1" x14ac:dyDescent="0.3">
      <c r="A47" s="42"/>
      <c r="B47" s="43"/>
      <c r="C47" s="44">
        <f>SUBTOTAL(9,C45:C46)</f>
        <v>0</v>
      </c>
      <c r="D47" s="45">
        <f>SUBTOTAL(9,D45:D46)</f>
        <v>0</v>
      </c>
      <c r="E47" s="45">
        <f>SUBTOTAL(9,E45:E46)</f>
        <v>0</v>
      </c>
      <c r="F47" s="47"/>
      <c r="G47" s="45">
        <f t="shared" ref="G47:P47" si="80">SUBTOTAL(9,G45:G46)</f>
        <v>0</v>
      </c>
      <c r="H47" s="45">
        <f t="shared" si="80"/>
        <v>0</v>
      </c>
      <c r="I47" s="159">
        <f t="shared" si="80"/>
        <v>0</v>
      </c>
      <c r="J47" s="159">
        <f t="shared" si="80"/>
        <v>0</v>
      </c>
      <c r="K47" s="159">
        <f t="shared" si="80"/>
        <v>0</v>
      </c>
      <c r="L47" s="159">
        <f t="shared" si="80"/>
        <v>0</v>
      </c>
      <c r="M47" s="46">
        <f t="shared" si="80"/>
        <v>0</v>
      </c>
      <c r="N47" s="46">
        <f t="shared" si="80"/>
        <v>0</v>
      </c>
      <c r="O47" s="46">
        <f t="shared" si="80"/>
        <v>0</v>
      </c>
      <c r="P47" s="46">
        <f t="shared" si="80"/>
        <v>0</v>
      </c>
      <c r="Q47" s="47"/>
      <c r="R47" s="45">
        <f t="shared" ref="R47:BO47" si="81">SUBTOTAL(9,R45:R46)</f>
        <v>0</v>
      </c>
      <c r="S47" s="45">
        <f t="shared" si="81"/>
        <v>0</v>
      </c>
      <c r="T47" s="46">
        <f t="shared" si="81"/>
        <v>0</v>
      </c>
      <c r="U47" s="46">
        <f t="shared" si="81"/>
        <v>0</v>
      </c>
      <c r="V47" s="46">
        <f t="shared" si="81"/>
        <v>0</v>
      </c>
      <c r="W47" s="46">
        <f t="shared" si="81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81"/>
        <v>0</v>
      </c>
      <c r="AH47" s="44">
        <f t="shared" si="81"/>
        <v>0</v>
      </c>
      <c r="AI47" s="44">
        <f t="shared" si="81"/>
        <v>0</v>
      </c>
      <c r="AJ47" s="45">
        <f t="shared" si="81"/>
        <v>0</v>
      </c>
      <c r="AK47" s="44">
        <f t="shared" si="81"/>
        <v>0</v>
      </c>
      <c r="AL47" s="44">
        <f t="shared" si="81"/>
        <v>0</v>
      </c>
      <c r="AM47" s="44">
        <f t="shared" si="81"/>
        <v>0</v>
      </c>
      <c r="AN47" s="44">
        <f t="shared" si="76"/>
        <v>0</v>
      </c>
      <c r="AO47" s="49">
        <f t="shared" si="81"/>
        <v>0</v>
      </c>
      <c r="AP47" s="49">
        <f t="shared" si="81"/>
        <v>0</v>
      </c>
      <c r="AQ47" s="49">
        <f t="shared" si="81"/>
        <v>0</v>
      </c>
      <c r="AR47" s="49">
        <f t="shared" si="81"/>
        <v>0</v>
      </c>
      <c r="AS47" s="49">
        <f t="shared" si="81"/>
        <v>0</v>
      </c>
      <c r="AT47" s="49">
        <f t="shared" si="81"/>
        <v>0</v>
      </c>
      <c r="AU47" s="49">
        <f>SUBTOTAL(9,AU45:AU46)</f>
        <v>0</v>
      </c>
      <c r="AV47" s="49">
        <f t="shared" si="81"/>
        <v>0</v>
      </c>
      <c r="AW47" s="49">
        <f t="shared" si="81"/>
        <v>0</v>
      </c>
      <c r="AX47" s="49">
        <f t="shared" si="81"/>
        <v>0</v>
      </c>
      <c r="AY47" s="49">
        <f t="shared" si="81"/>
        <v>0</v>
      </c>
      <c r="AZ47" s="44">
        <f t="shared" si="81"/>
        <v>0</v>
      </c>
      <c r="BA47" s="48">
        <f t="shared" si="81"/>
        <v>0</v>
      </c>
      <c r="BB47" s="48">
        <f t="shared" si="81"/>
        <v>0</v>
      </c>
      <c r="BC47" s="44">
        <f t="shared" si="81"/>
        <v>0</v>
      </c>
      <c r="BD47" s="44">
        <f t="shared" si="81"/>
        <v>0</v>
      </c>
      <c r="BE47" s="49">
        <f>SUBTOTAL(9,BE45:BE46)</f>
        <v>0</v>
      </c>
      <c r="BF47" s="49">
        <f t="shared" si="81"/>
        <v>0</v>
      </c>
      <c r="BG47" s="49">
        <f t="shared" si="81"/>
        <v>0</v>
      </c>
      <c r="BH47" s="49">
        <f t="shared" si="81"/>
        <v>0</v>
      </c>
      <c r="BI47" s="49">
        <f t="shared" si="81"/>
        <v>0</v>
      </c>
      <c r="BJ47" s="49">
        <f t="shared" si="81"/>
        <v>0</v>
      </c>
      <c r="BK47" s="49">
        <f t="shared" si="81"/>
        <v>0</v>
      </c>
      <c r="BL47" s="49">
        <f t="shared" si="81"/>
        <v>0</v>
      </c>
      <c r="BM47" s="49">
        <f t="shared" si="81"/>
        <v>0</v>
      </c>
      <c r="BN47" s="49">
        <f t="shared" si="81"/>
        <v>0</v>
      </c>
      <c r="BO47" s="49">
        <f t="shared" si="81"/>
        <v>0</v>
      </c>
      <c r="BP47" s="49"/>
      <c r="BQ47" s="44">
        <f>SUBTOTAL(9,BQ45:BQ46)</f>
        <v>0</v>
      </c>
    </row>
    <row r="48" spans="1:124" x14ac:dyDescent="0.25">
      <c r="A48" s="259">
        <f>A45+1</f>
        <v>40526</v>
      </c>
      <c r="B48" s="16" t="s">
        <v>43</v>
      </c>
      <c r="C48" s="33"/>
      <c r="D48" s="34"/>
      <c r="E48" s="34"/>
      <c r="F48" s="35"/>
      <c r="G48" s="33">
        <f t="shared" ref="G48" si="82">IF(E48-D48&lt;0,E48-D48,0)*-1</f>
        <v>0</v>
      </c>
      <c r="H48" s="33">
        <f t="shared" ref="H48" si="83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" si="84">AK48-SUM(Y48:AC48)</f>
        <v>0</v>
      </c>
      <c r="AM48" s="33">
        <f t="shared" ref="AM48:AM49" si="85">+AL48*0.12</f>
        <v>0</v>
      </c>
      <c r="AN48" s="33">
        <f t="shared" si="76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SUM(BE48:BK48)*0.1+(BL48*0.5)</f>
        <v>0</v>
      </c>
      <c r="BD48" s="33">
        <f>SUM(BE48:BK48)+(BL48*0.5)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41">
        <f>AZ48+BA48+BB48+BD48-BC48</f>
        <v>0</v>
      </c>
      <c r="BS48" s="146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</row>
    <row r="49" spans="1:96" ht="15.75" thickBot="1" x14ac:dyDescent="0.3">
      <c r="A49" s="260"/>
      <c r="B49" s="16" t="s">
        <v>44</v>
      </c>
      <c r="C49" s="33">
        <v>22239.03</v>
      </c>
      <c r="D49" s="34">
        <v>17816.14</v>
      </c>
      <c r="E49" s="34">
        <v>17820</v>
      </c>
      <c r="F49" s="35">
        <v>44177</v>
      </c>
      <c r="G49" s="33">
        <f>IF(E49-D49&lt;0,E49-D49,0)*-1</f>
        <v>0</v>
      </c>
      <c r="H49" s="33">
        <f>IF(E49-D49&gt;0,E49-D49,0)</f>
        <v>3.8600000000005821</v>
      </c>
      <c r="I49" s="34"/>
      <c r="J49" s="34"/>
      <c r="K49" s="34">
        <v>2829.25</v>
      </c>
      <c r="L49" s="34"/>
      <c r="M49" s="36">
        <f>(+K49)*M$5</f>
        <v>60.828874999999996</v>
      </c>
      <c r="N49" s="36">
        <f>(+K49)*N$5</f>
        <v>14.14625</v>
      </c>
      <c r="O49" s="36">
        <f>+K49-M49-N49+P49</f>
        <v>2754.2748750000001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299</v>
      </c>
      <c r="AA49" s="34"/>
      <c r="AB49" s="34"/>
      <c r="AC49" s="34">
        <v>444.64</v>
      </c>
      <c r="AD49" s="38" t="s">
        <v>140</v>
      </c>
      <c r="AE49" s="38">
        <v>860</v>
      </c>
      <c r="AF49" s="34">
        <v>1635.8</v>
      </c>
      <c r="AG49" s="33">
        <f>(AF49*0.8)*0.85</f>
        <v>1112.3440000000001</v>
      </c>
      <c r="AH49" s="33">
        <f>(AF49*0.8)*0.15</f>
        <v>196.29600000000002</v>
      </c>
      <c r="AI49" s="33">
        <f>AF49*0.2</f>
        <v>327.16000000000003</v>
      </c>
      <c r="AJ49" s="34"/>
      <c r="AK49" s="33">
        <f t="shared" ref="AK49" si="86">(C49-AF49-AJ49)/1.12</f>
        <v>18395.741071428569</v>
      </c>
      <c r="AL49" s="33">
        <f t="shared" ref="AL49" si="87">AK49-SUM(Y49:AC49)</f>
        <v>17652.101071428569</v>
      </c>
      <c r="AM49" s="33">
        <f t="shared" si="85"/>
        <v>2118.2521285714283</v>
      </c>
      <c r="AN49" s="33">
        <f t="shared" si="76"/>
        <v>19770.353199999998</v>
      </c>
      <c r="AO49" s="39">
        <v>815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815</v>
      </c>
      <c r="BA49" s="38"/>
      <c r="BB49" s="38"/>
      <c r="BC49" s="33"/>
      <c r="BD49" s="33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f>AZ49+BA49+BB49+BD49-BC49</f>
        <v>815</v>
      </c>
      <c r="BS49" s="146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</row>
    <row r="50" spans="1:96" ht="15.75" thickBot="1" x14ac:dyDescent="0.3">
      <c r="A50" s="42"/>
      <c r="B50" s="43"/>
      <c r="C50" s="44">
        <f>SUBTOTAL(9,C48:C49)</f>
        <v>22239.03</v>
      </c>
      <c r="D50" s="45">
        <f>SUBTOTAL(9,D48:D49)</f>
        <v>17816.14</v>
      </c>
      <c r="E50" s="45">
        <f>SUBTOTAL(9,E48:E49)</f>
        <v>17820</v>
      </c>
      <c r="F50" s="47"/>
      <c r="G50" s="45">
        <f t="shared" ref="G50:P50" si="88">SUBTOTAL(9,G48:G49)</f>
        <v>0</v>
      </c>
      <c r="H50" s="45">
        <f t="shared" si="88"/>
        <v>3.8600000000005821</v>
      </c>
      <c r="I50" s="159">
        <f t="shared" si="88"/>
        <v>0</v>
      </c>
      <c r="J50" s="159">
        <f t="shared" si="88"/>
        <v>0</v>
      </c>
      <c r="K50" s="159">
        <f t="shared" si="88"/>
        <v>2829.25</v>
      </c>
      <c r="L50" s="159">
        <f t="shared" si="88"/>
        <v>0</v>
      </c>
      <c r="M50" s="46">
        <f t="shared" si="88"/>
        <v>60.828874999999996</v>
      </c>
      <c r="N50" s="46">
        <f t="shared" si="88"/>
        <v>14.14625</v>
      </c>
      <c r="O50" s="46">
        <f t="shared" si="88"/>
        <v>2754.2748750000001</v>
      </c>
      <c r="P50" s="46">
        <f t="shared" si="88"/>
        <v>0</v>
      </c>
      <c r="Q50" s="47"/>
      <c r="R50" s="45">
        <f t="shared" ref="R50:BO50" si="89">SUBTOTAL(9,R48:R49)</f>
        <v>0</v>
      </c>
      <c r="S50" s="45">
        <f t="shared" si="89"/>
        <v>0</v>
      </c>
      <c r="T50" s="46">
        <f t="shared" si="89"/>
        <v>0</v>
      </c>
      <c r="U50" s="46">
        <f t="shared" si="89"/>
        <v>0</v>
      </c>
      <c r="V50" s="46">
        <f t="shared" si="89"/>
        <v>0</v>
      </c>
      <c r="W50" s="46">
        <f t="shared" si="89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9"/>
        <v>1112.3440000000001</v>
      </c>
      <c r="AH50" s="44">
        <f t="shared" si="89"/>
        <v>196.29600000000002</v>
      </c>
      <c r="AI50" s="44">
        <f t="shared" si="89"/>
        <v>327.16000000000003</v>
      </c>
      <c r="AJ50" s="159">
        <f t="shared" si="89"/>
        <v>0</v>
      </c>
      <c r="AK50" s="44">
        <f t="shared" si="89"/>
        <v>18395.741071428569</v>
      </c>
      <c r="AL50" s="44">
        <f t="shared" si="89"/>
        <v>17652.101071428569</v>
      </c>
      <c r="AM50" s="44">
        <f t="shared" si="89"/>
        <v>2118.2521285714283</v>
      </c>
      <c r="AN50" s="44">
        <f t="shared" si="76"/>
        <v>19770.353199999998</v>
      </c>
      <c r="AO50" s="49">
        <f t="shared" si="89"/>
        <v>815</v>
      </c>
      <c r="AP50" s="49">
        <f t="shared" si="89"/>
        <v>0</v>
      </c>
      <c r="AQ50" s="49">
        <f t="shared" si="89"/>
        <v>0</v>
      </c>
      <c r="AR50" s="49">
        <f t="shared" si="89"/>
        <v>0</v>
      </c>
      <c r="AS50" s="49">
        <f t="shared" si="89"/>
        <v>0</v>
      </c>
      <c r="AT50" s="49">
        <f t="shared" si="89"/>
        <v>0</v>
      </c>
      <c r="AU50" s="49">
        <f>SUBTOTAL(9,AU48:AU49)</f>
        <v>0</v>
      </c>
      <c r="AV50" s="49">
        <f t="shared" si="89"/>
        <v>0</v>
      </c>
      <c r="AW50" s="49">
        <f t="shared" si="89"/>
        <v>0</v>
      </c>
      <c r="AX50" s="49">
        <f t="shared" si="89"/>
        <v>0</v>
      </c>
      <c r="AY50" s="49">
        <f t="shared" si="89"/>
        <v>0</v>
      </c>
      <c r="AZ50" s="44">
        <f t="shared" si="89"/>
        <v>815</v>
      </c>
      <c r="BA50" s="48">
        <f t="shared" si="89"/>
        <v>0</v>
      </c>
      <c r="BB50" s="48">
        <f t="shared" si="89"/>
        <v>0</v>
      </c>
      <c r="BC50" s="44">
        <f t="shared" si="89"/>
        <v>0</v>
      </c>
      <c r="BD50" s="44">
        <f t="shared" si="89"/>
        <v>0</v>
      </c>
      <c r="BE50" s="49">
        <f>SUBTOTAL(9,BE48:BE49)</f>
        <v>0</v>
      </c>
      <c r="BF50" s="49">
        <f t="shared" si="89"/>
        <v>0</v>
      </c>
      <c r="BG50" s="49">
        <f t="shared" si="89"/>
        <v>0</v>
      </c>
      <c r="BH50" s="49">
        <f t="shared" si="89"/>
        <v>0</v>
      </c>
      <c r="BI50" s="49">
        <f t="shared" si="89"/>
        <v>0</v>
      </c>
      <c r="BJ50" s="49">
        <f t="shared" si="89"/>
        <v>0</v>
      </c>
      <c r="BK50" s="49">
        <f t="shared" si="89"/>
        <v>0</v>
      </c>
      <c r="BL50" s="49">
        <f t="shared" si="89"/>
        <v>0</v>
      </c>
      <c r="BM50" s="49">
        <f t="shared" si="89"/>
        <v>0</v>
      </c>
      <c r="BN50" s="49">
        <f t="shared" si="89"/>
        <v>0</v>
      </c>
      <c r="BO50" s="49">
        <f t="shared" si="89"/>
        <v>0</v>
      </c>
      <c r="BP50" s="49"/>
      <c r="BQ50" s="44">
        <f>SUBTOTAL(9,BQ48:BQ49)</f>
        <v>815</v>
      </c>
    </row>
    <row r="51" spans="1:96" ht="15.75" customHeight="1" x14ac:dyDescent="0.25">
      <c r="A51" s="259">
        <f>+A48+1</f>
        <v>40527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" si="90">AK51-SUM(Y51:AC51)</f>
        <v>0</v>
      </c>
      <c r="AM51" s="33">
        <f t="shared" ref="AM51:AM52" si="91">+AL51*0.12</f>
        <v>0</v>
      </c>
      <c r="AN51" s="33">
        <f t="shared" si="76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SUM(BE51:BK51)*0.1+(BL51*0.5)</f>
        <v>0</v>
      </c>
      <c r="BD51" s="33">
        <f>SUM(BE51:BK51)+(BL51*0.5)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f>AZ51+BA51+BB51+BD51-BC51</f>
        <v>0</v>
      </c>
      <c r="BS51" s="146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</row>
    <row r="52" spans="1:96" ht="15.75" thickBot="1" x14ac:dyDescent="0.3">
      <c r="A52" s="260"/>
      <c r="B52" s="16" t="s">
        <v>44</v>
      </c>
      <c r="C52" s="33">
        <v>46684.76</v>
      </c>
      <c r="D52" s="34">
        <v>40468.910000000003</v>
      </c>
      <c r="E52" s="34">
        <v>40470</v>
      </c>
      <c r="F52" s="35">
        <v>44181</v>
      </c>
      <c r="G52" s="33">
        <f>IF(E52-D52&lt;0,E52-D52,0)*-1</f>
        <v>0</v>
      </c>
      <c r="H52" s="33">
        <f>IF(E52-D52&gt;0,E52-D52,0)</f>
        <v>1.0899999999965075</v>
      </c>
      <c r="I52" s="34"/>
      <c r="J52" s="34"/>
      <c r="K52" s="34">
        <v>5370.17</v>
      </c>
      <c r="L52" s="34"/>
      <c r="M52" s="36">
        <f>(+K52)*M$5</f>
        <v>115.45865499999999</v>
      </c>
      <c r="N52" s="36">
        <f>(+K52)*N$5</f>
        <v>26.850850000000001</v>
      </c>
      <c r="O52" s="36">
        <f>+K52-M52-N52+P52</f>
        <v>5227.8604949999999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11.5</v>
      </c>
      <c r="AA52" s="34"/>
      <c r="AB52" s="34"/>
      <c r="AC52" s="34">
        <v>639.17999999999995</v>
      </c>
      <c r="AD52" s="38" t="s">
        <v>140</v>
      </c>
      <c r="AE52" s="38">
        <v>195</v>
      </c>
      <c r="AF52" s="34">
        <v>1533.27</v>
      </c>
      <c r="AG52" s="33">
        <f>(AF52*0.8)*0.85</f>
        <v>1042.6235999999999</v>
      </c>
      <c r="AH52" s="33">
        <f>(AF52*0.8)*0.15</f>
        <v>183.9924</v>
      </c>
      <c r="AI52" s="33">
        <f>AF52*0.2</f>
        <v>306.654</v>
      </c>
      <c r="AJ52" s="34"/>
      <c r="AK52" s="33">
        <f t="shared" ref="AK52" si="92">(C52-AF52-AJ52)/1.12</f>
        <v>40313.830357142855</v>
      </c>
      <c r="AL52" s="33">
        <f t="shared" ref="AL52" si="93">AK52-SUM(Y52:AC52)</f>
        <v>39663.150357142855</v>
      </c>
      <c r="AM52" s="33">
        <f t="shared" si="91"/>
        <v>4759.5780428571425</v>
      </c>
      <c r="AN52" s="33">
        <f t="shared" ref="AN52" si="94">+AM52+AL52+AJ52</f>
        <v>44422.7284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f>AZ52+BA52+BB52+BD52-BC52</f>
        <v>0</v>
      </c>
      <c r="BS52" s="146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</row>
    <row r="53" spans="1:96" ht="16.5" customHeight="1" thickBot="1" x14ac:dyDescent="0.3">
      <c r="A53" s="42"/>
      <c r="B53" s="43"/>
      <c r="C53" s="44">
        <f>SUBTOTAL(9,C51:C52)</f>
        <v>46684.76</v>
      </c>
      <c r="D53" s="45">
        <f>SUBTOTAL(9,D51:D52)</f>
        <v>40468.910000000003</v>
      </c>
      <c r="E53" s="45">
        <f>SUBTOTAL(9,E51:E52)</f>
        <v>40470</v>
      </c>
      <c r="F53" s="47"/>
      <c r="G53" s="45">
        <f t="shared" ref="G53:P53" si="95">SUBTOTAL(9,G51:G52)</f>
        <v>0</v>
      </c>
      <c r="H53" s="45">
        <f t="shared" si="95"/>
        <v>1.0899999999965075</v>
      </c>
      <c r="I53" s="159">
        <f t="shared" si="95"/>
        <v>0</v>
      </c>
      <c r="J53" s="159">
        <f t="shared" si="95"/>
        <v>0</v>
      </c>
      <c r="K53" s="159">
        <f t="shared" si="95"/>
        <v>5370.17</v>
      </c>
      <c r="L53" s="159">
        <f t="shared" si="95"/>
        <v>0</v>
      </c>
      <c r="M53" s="46">
        <f t="shared" si="95"/>
        <v>115.45865499999999</v>
      </c>
      <c r="N53" s="46">
        <f t="shared" si="95"/>
        <v>26.850850000000001</v>
      </c>
      <c r="O53" s="46">
        <f t="shared" si="95"/>
        <v>5227.8604949999999</v>
      </c>
      <c r="P53" s="46">
        <f t="shared" si="95"/>
        <v>0</v>
      </c>
      <c r="Q53" s="47"/>
      <c r="R53" s="45">
        <f t="shared" ref="R53:BO53" si="96">SUBTOTAL(9,R51:R52)</f>
        <v>0</v>
      </c>
      <c r="S53" s="45">
        <f t="shared" si="96"/>
        <v>0</v>
      </c>
      <c r="T53" s="46">
        <f t="shared" si="96"/>
        <v>0</v>
      </c>
      <c r="U53" s="46">
        <f t="shared" si="96"/>
        <v>0</v>
      </c>
      <c r="V53" s="46">
        <f t="shared" si="96"/>
        <v>0</v>
      </c>
      <c r="W53" s="46">
        <f t="shared" si="96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6"/>
        <v>1042.6235999999999</v>
      </c>
      <c r="AH53" s="44">
        <f t="shared" si="96"/>
        <v>183.9924</v>
      </c>
      <c r="AI53" s="44">
        <f t="shared" si="96"/>
        <v>306.654</v>
      </c>
      <c r="AJ53" s="45">
        <f t="shared" si="96"/>
        <v>0</v>
      </c>
      <c r="AK53" s="44">
        <f t="shared" si="96"/>
        <v>40313.830357142855</v>
      </c>
      <c r="AL53" s="44">
        <f t="shared" si="96"/>
        <v>39663.150357142855</v>
      </c>
      <c r="AM53" s="44">
        <f t="shared" si="96"/>
        <v>4759.5780428571425</v>
      </c>
      <c r="AN53" s="44">
        <f t="shared" si="76"/>
        <v>44422.7284</v>
      </c>
      <c r="AO53" s="49">
        <f t="shared" si="96"/>
        <v>0</v>
      </c>
      <c r="AP53" s="49">
        <f t="shared" si="96"/>
        <v>0</v>
      </c>
      <c r="AQ53" s="49" t="s">
        <v>1</v>
      </c>
      <c r="AR53" s="49">
        <f t="shared" si="96"/>
        <v>0</v>
      </c>
      <c r="AS53" s="49">
        <f t="shared" si="96"/>
        <v>0</v>
      </c>
      <c r="AT53" s="49">
        <f t="shared" si="96"/>
        <v>0</v>
      </c>
      <c r="AU53" s="49">
        <f>SUBTOTAL(9,AU51:AU52)</f>
        <v>0</v>
      </c>
      <c r="AV53" s="49">
        <f t="shared" si="96"/>
        <v>0</v>
      </c>
      <c r="AW53" s="49">
        <f t="shared" si="96"/>
        <v>0</v>
      </c>
      <c r="AX53" s="49">
        <f t="shared" si="96"/>
        <v>0</v>
      </c>
      <c r="AY53" s="49">
        <f t="shared" si="96"/>
        <v>0</v>
      </c>
      <c r="AZ53" s="44">
        <f t="shared" si="96"/>
        <v>0</v>
      </c>
      <c r="BA53" s="48">
        <f t="shared" si="96"/>
        <v>0</v>
      </c>
      <c r="BB53" s="48">
        <f t="shared" si="96"/>
        <v>0</v>
      </c>
      <c r="BC53" s="44">
        <f t="shared" si="96"/>
        <v>0</v>
      </c>
      <c r="BD53" s="44">
        <f t="shared" si="96"/>
        <v>0</v>
      </c>
      <c r="BE53" s="49">
        <f>SUBTOTAL(9,BE51:BE52)</f>
        <v>0</v>
      </c>
      <c r="BF53" s="49">
        <f t="shared" si="96"/>
        <v>0</v>
      </c>
      <c r="BG53" s="49">
        <f t="shared" si="96"/>
        <v>0</v>
      </c>
      <c r="BH53" s="49">
        <f t="shared" si="96"/>
        <v>0</v>
      </c>
      <c r="BI53" s="49">
        <f t="shared" si="96"/>
        <v>0</v>
      </c>
      <c r="BJ53" s="49">
        <f t="shared" si="96"/>
        <v>0</v>
      </c>
      <c r="BK53" s="49">
        <f t="shared" si="96"/>
        <v>0</v>
      </c>
      <c r="BL53" s="49">
        <f t="shared" si="96"/>
        <v>0</v>
      </c>
      <c r="BM53" s="49">
        <f t="shared" si="96"/>
        <v>0</v>
      </c>
      <c r="BN53" s="49">
        <f t="shared" si="96"/>
        <v>0</v>
      </c>
      <c r="BO53" s="49">
        <f t="shared" si="96"/>
        <v>0</v>
      </c>
      <c r="BP53" s="49"/>
      <c r="BQ53" s="44">
        <f>SUBTOTAL(9,BQ51:BQ52)</f>
        <v>0</v>
      </c>
    </row>
    <row r="54" spans="1:96" x14ac:dyDescent="0.25">
      <c r="A54" s="259">
        <f>+A51+1</f>
        <v>40528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7">(C54-AF54-AJ54)/1.12</f>
        <v>0</v>
      </c>
      <c r="AL54" s="33">
        <f t="shared" ref="AL54" si="98">AK54-SUM(Y54:AC54)</f>
        <v>0</v>
      </c>
      <c r="AM54" s="33">
        <f t="shared" ref="AM54" si="99">+AL54*0.12</f>
        <v>0</v>
      </c>
      <c r="AN54" s="33">
        <f t="shared" ref="AN54" si="100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SUM(BE54:BK54)*0.1+(BL54*0.5)</f>
        <v>0</v>
      </c>
      <c r="BD54" s="33">
        <f>SUM(BE54:BK54)+(BL54*0.5)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f>AZ54+BA54+BB54+BD54-BC54</f>
        <v>0</v>
      </c>
      <c r="BS54" s="146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</row>
    <row r="55" spans="1:96" ht="16.5" customHeight="1" thickBot="1" x14ac:dyDescent="0.3">
      <c r="A55" s="260"/>
      <c r="B55" s="16" t="s">
        <v>44</v>
      </c>
      <c r="C55" s="33">
        <v>22830.29</v>
      </c>
      <c r="D55" s="34">
        <v>16749.82</v>
      </c>
      <c r="E55" s="34">
        <v>16750</v>
      </c>
      <c r="F55" s="35">
        <v>44182</v>
      </c>
      <c r="G55" s="33">
        <f>IF(E55-D55&lt;0,E55-D55,0)*-1</f>
        <v>0</v>
      </c>
      <c r="H55" s="33">
        <f>IF(E55-D55&gt;0,E55-D55,0)</f>
        <v>0.18000000000029104</v>
      </c>
      <c r="I55" s="34"/>
      <c r="J55" s="34"/>
      <c r="K55" s="34">
        <v>4951.8900000000003</v>
      </c>
      <c r="L55" s="34"/>
      <c r="M55" s="36">
        <f>(+K55)*M$5</f>
        <v>106.46563499999999</v>
      </c>
      <c r="N55" s="36">
        <f>(+K55)*N$5</f>
        <v>24.759450000000001</v>
      </c>
      <c r="O55" s="36">
        <f>+K55-M55-N55+P55</f>
        <v>4820.6649150000012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108.75</v>
      </c>
      <c r="AA55" s="34"/>
      <c r="AB55" s="34"/>
      <c r="AC55" s="34">
        <v>309.83</v>
      </c>
      <c r="AD55" s="38" t="s">
        <v>140</v>
      </c>
      <c r="AE55" s="38">
        <v>710</v>
      </c>
      <c r="AF55" s="34">
        <v>1065.18</v>
      </c>
      <c r="AG55" s="33">
        <f>(AF55*0.8)*0.85</f>
        <v>724.32240000000013</v>
      </c>
      <c r="AH55" s="33">
        <f>(AF55*0.8)*0.15</f>
        <v>127.82160000000002</v>
      </c>
      <c r="AI55" s="33">
        <f>AF55*0.2</f>
        <v>213.03600000000003</v>
      </c>
      <c r="AJ55" s="34"/>
      <c r="AK55" s="33">
        <f t="shared" ref="AK55" si="101">(C55-AF55-AJ55)/1.12</f>
        <v>19433.133928571428</v>
      </c>
      <c r="AL55" s="33">
        <f t="shared" ref="AL55" si="102">AK55-SUM(Y55:AC55)</f>
        <v>19014.553928571426</v>
      </c>
      <c r="AM55" s="33">
        <f t="shared" ref="AM55" si="103">+AL55*0.12</f>
        <v>2281.7464714285711</v>
      </c>
      <c r="AN55" s="33">
        <f t="shared" ref="AN55" si="104">+AM55+AL55+AJ55</f>
        <v>21296.300399999996</v>
      </c>
      <c r="AO55" s="39"/>
      <c r="AP55" s="40"/>
      <c r="AQ55" s="40"/>
      <c r="AR55" s="40">
        <v>560</v>
      </c>
      <c r="AS55" s="40"/>
      <c r="AT55" s="40"/>
      <c r="AU55" s="40"/>
      <c r="AV55" s="40"/>
      <c r="AW55" s="40"/>
      <c r="AX55" s="40"/>
      <c r="AY55" s="40"/>
      <c r="AZ55" s="33">
        <f>SUM(AO55:AY55)</f>
        <v>560</v>
      </c>
      <c r="BA55" s="38">
        <v>415</v>
      </c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41">
        <f>AZ55+BA55+BB55+BD55-BC55</f>
        <v>975</v>
      </c>
      <c r="BS55" s="146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</row>
    <row r="56" spans="1:96" ht="15.75" thickBot="1" x14ac:dyDescent="0.3">
      <c r="A56" s="42"/>
      <c r="B56" s="43"/>
      <c r="C56" s="44">
        <f>SUBTOTAL(9,C54:C55)</f>
        <v>22830.29</v>
      </c>
      <c r="D56" s="45">
        <f>SUBTOTAL(9,D54:D55)</f>
        <v>16749.82</v>
      </c>
      <c r="E56" s="45">
        <f>SUBTOTAL(9,E54:E55)</f>
        <v>16750</v>
      </c>
      <c r="F56" s="47"/>
      <c r="G56" s="45">
        <f t="shared" ref="G56:P56" si="105">SUBTOTAL(9,G54:G55)</f>
        <v>0</v>
      </c>
      <c r="H56" s="45">
        <f t="shared" si="105"/>
        <v>0.18000000000029104</v>
      </c>
      <c r="I56" s="159">
        <f t="shared" si="105"/>
        <v>0</v>
      </c>
      <c r="J56" s="159">
        <f t="shared" si="105"/>
        <v>0</v>
      </c>
      <c r="K56" s="159">
        <f t="shared" si="105"/>
        <v>4951.8900000000003</v>
      </c>
      <c r="L56" s="159">
        <f t="shared" si="105"/>
        <v>0</v>
      </c>
      <c r="M56" s="46">
        <f t="shared" si="105"/>
        <v>106.46563499999999</v>
      </c>
      <c r="N56" s="46">
        <f t="shared" si="105"/>
        <v>24.759450000000001</v>
      </c>
      <c r="O56" s="46">
        <f t="shared" si="105"/>
        <v>4820.6649150000012</v>
      </c>
      <c r="P56" s="46">
        <f t="shared" si="105"/>
        <v>0</v>
      </c>
      <c r="Q56" s="47"/>
      <c r="R56" s="45">
        <f t="shared" ref="R56:BO56" si="106">SUBTOTAL(9,R54:R55)</f>
        <v>0</v>
      </c>
      <c r="S56" s="45">
        <f t="shared" si="106"/>
        <v>0</v>
      </c>
      <c r="T56" s="46">
        <f t="shared" si="106"/>
        <v>0</v>
      </c>
      <c r="U56" s="46">
        <f t="shared" si="106"/>
        <v>0</v>
      </c>
      <c r="V56" s="46">
        <f t="shared" si="106"/>
        <v>0</v>
      </c>
      <c r="W56" s="46">
        <f t="shared" si="106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6"/>
        <v>724.32240000000013</v>
      </c>
      <c r="AH56" s="44">
        <f t="shared" si="106"/>
        <v>127.82160000000002</v>
      </c>
      <c r="AI56" s="44">
        <f t="shared" si="106"/>
        <v>213.03600000000003</v>
      </c>
      <c r="AJ56" s="45">
        <f t="shared" si="106"/>
        <v>0</v>
      </c>
      <c r="AK56" s="44">
        <f t="shared" si="106"/>
        <v>19433.133928571428</v>
      </c>
      <c r="AL56" s="44">
        <f t="shared" si="106"/>
        <v>19014.553928571426</v>
      </c>
      <c r="AM56" s="44">
        <f t="shared" si="106"/>
        <v>2281.7464714285711</v>
      </c>
      <c r="AN56" s="44">
        <f t="shared" si="76"/>
        <v>21296.300399999996</v>
      </c>
      <c r="AO56" s="49">
        <f t="shared" si="106"/>
        <v>0</v>
      </c>
      <c r="AP56" s="49">
        <f t="shared" si="106"/>
        <v>0</v>
      </c>
      <c r="AQ56" s="49">
        <f t="shared" si="106"/>
        <v>0</v>
      </c>
      <c r="AR56" s="49">
        <f t="shared" si="106"/>
        <v>560</v>
      </c>
      <c r="AS56" s="49">
        <f t="shared" si="106"/>
        <v>0</v>
      </c>
      <c r="AT56" s="49">
        <f t="shared" si="106"/>
        <v>0</v>
      </c>
      <c r="AU56" s="49">
        <f>SUBTOTAL(9,AU54:AU55)</f>
        <v>0</v>
      </c>
      <c r="AV56" s="49">
        <f t="shared" si="106"/>
        <v>0</v>
      </c>
      <c r="AW56" s="49">
        <f t="shared" si="106"/>
        <v>0</v>
      </c>
      <c r="AX56" s="49">
        <f t="shared" si="106"/>
        <v>0</v>
      </c>
      <c r="AY56" s="49">
        <f t="shared" si="106"/>
        <v>0</v>
      </c>
      <c r="AZ56" s="44">
        <f t="shared" si="106"/>
        <v>560</v>
      </c>
      <c r="BA56" s="48">
        <f t="shared" si="106"/>
        <v>415</v>
      </c>
      <c r="BB56" s="48">
        <f t="shared" si="106"/>
        <v>0</v>
      </c>
      <c r="BC56" s="44">
        <f t="shared" si="106"/>
        <v>0</v>
      </c>
      <c r="BD56" s="44">
        <f t="shared" si="106"/>
        <v>0</v>
      </c>
      <c r="BE56" s="49">
        <f>SUBTOTAL(9,BE54:BE55)</f>
        <v>0</v>
      </c>
      <c r="BF56" s="49">
        <f t="shared" si="106"/>
        <v>0</v>
      </c>
      <c r="BG56" s="49">
        <f t="shared" si="106"/>
        <v>0</v>
      </c>
      <c r="BH56" s="49">
        <f t="shared" si="106"/>
        <v>0</v>
      </c>
      <c r="BI56" s="49">
        <f t="shared" si="106"/>
        <v>0</v>
      </c>
      <c r="BJ56" s="49">
        <f t="shared" si="106"/>
        <v>0</v>
      </c>
      <c r="BK56" s="49">
        <f t="shared" si="106"/>
        <v>0</v>
      </c>
      <c r="BL56" s="49">
        <f t="shared" si="106"/>
        <v>0</v>
      </c>
      <c r="BM56" s="49">
        <f t="shared" si="106"/>
        <v>0</v>
      </c>
      <c r="BN56" s="49">
        <f t="shared" si="106"/>
        <v>0</v>
      </c>
      <c r="BO56" s="49">
        <f t="shared" si="106"/>
        <v>0</v>
      </c>
      <c r="BP56" s="49"/>
      <c r="BQ56" s="44">
        <f>SUBTOTAL(9,BQ54:BQ55)</f>
        <v>975</v>
      </c>
    </row>
    <row r="57" spans="1:96" ht="15.75" customHeight="1" x14ac:dyDescent="0.25">
      <c r="A57" s="259">
        <f>+A54+1</f>
        <v>40529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7">(C57-AF57-AJ57)/1.12</f>
        <v>0</v>
      </c>
      <c r="AL57" s="33">
        <f t="shared" ref="AL57" si="108">AK57-SUM(Y57:AC57)</f>
        <v>0</v>
      </c>
      <c r="AM57" s="33">
        <f t="shared" ref="AM57:AM58" si="109">+AL57*0.12</f>
        <v>0</v>
      </c>
      <c r="AN57" s="33">
        <f t="shared" si="76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SUM(BE57:BK57)*0.1+(BL57*0.5)</f>
        <v>0</v>
      </c>
      <c r="BD57" s="33">
        <f>SUM(BE57:BK57)+(BL57*0.5)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f>AZ57+BA57+BB57+BD57-BC57</f>
        <v>0</v>
      </c>
      <c r="BS57" s="146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</row>
    <row r="58" spans="1:96" ht="15.75" thickBot="1" x14ac:dyDescent="0.3">
      <c r="A58" s="260"/>
      <c r="B58" s="16" t="s">
        <v>44</v>
      </c>
      <c r="C58" s="166">
        <v>37084.720000000001</v>
      </c>
      <c r="D58" s="34">
        <v>31499.82</v>
      </c>
      <c r="E58" s="34">
        <v>31500</v>
      </c>
      <c r="F58" s="35">
        <v>44183</v>
      </c>
      <c r="G58" s="33"/>
      <c r="H58" s="33">
        <f>IF(E58-D58&gt;0,E58-D58,0)</f>
        <v>0.18000000000029104</v>
      </c>
      <c r="I58" s="34"/>
      <c r="J58" s="34"/>
      <c r="K58" s="34">
        <v>5068.07</v>
      </c>
      <c r="L58" s="34"/>
      <c r="M58" s="36">
        <f>(+K58)*M$5</f>
        <v>108.96350499999998</v>
      </c>
      <c r="N58" s="36">
        <f>(+K58)*N$5</f>
        <v>25.340350000000001</v>
      </c>
      <c r="O58" s="36">
        <f>+K58-M58-N58+P58</f>
        <v>4933.7661449999996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40</v>
      </c>
      <c r="AA58" s="34">
        <v>18.5</v>
      </c>
      <c r="AB58" s="34"/>
      <c r="AC58" s="34">
        <v>172.33</v>
      </c>
      <c r="AD58" s="38" t="s">
        <v>140</v>
      </c>
      <c r="AE58" s="38">
        <v>255</v>
      </c>
      <c r="AF58" s="34">
        <v>2568.11</v>
      </c>
      <c r="AG58" s="33">
        <f>(AF58*0.8)*0.85</f>
        <v>1746.3148000000001</v>
      </c>
      <c r="AH58" s="33">
        <f>(AF58*0.8)*0.15</f>
        <v>308.17320000000001</v>
      </c>
      <c r="AI58" s="33">
        <f>AF58*0.2</f>
        <v>513.62200000000007</v>
      </c>
      <c r="AJ58" s="34"/>
      <c r="AK58" s="33">
        <f t="shared" si="107"/>
        <v>30818.401785714283</v>
      </c>
      <c r="AL58" s="33">
        <f t="shared" ref="AL58" si="110">AK58-SUM(Y58:AC58)</f>
        <v>30587.571785714281</v>
      </c>
      <c r="AM58" s="33">
        <f t="shared" si="109"/>
        <v>3670.5086142857135</v>
      </c>
      <c r="AN58" s="33">
        <f t="shared" si="76"/>
        <v>34258.080399999992</v>
      </c>
      <c r="AO58" s="39">
        <v>480</v>
      </c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480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f>AZ58+BA58+BB58+BD58-BC58</f>
        <v>480</v>
      </c>
      <c r="BS58" s="146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</row>
    <row r="59" spans="1:96" ht="16.5" customHeight="1" thickBot="1" x14ac:dyDescent="0.3">
      <c r="A59" s="42"/>
      <c r="B59" s="43"/>
      <c r="C59" s="44">
        <f>SUBTOTAL(9,C57:C58)</f>
        <v>37084.720000000001</v>
      </c>
      <c r="D59" s="45">
        <f>SUBTOTAL(9,D57:D58)</f>
        <v>31499.82</v>
      </c>
      <c r="E59" s="45">
        <f>SUBTOTAL(9,E57:E58)</f>
        <v>31500</v>
      </c>
      <c r="F59" s="47"/>
      <c r="G59" s="45">
        <f t="shared" ref="G59:P59" si="111">SUBTOTAL(9,G57:G58)</f>
        <v>0</v>
      </c>
      <c r="H59" s="45">
        <f t="shared" si="111"/>
        <v>0.18000000000029104</v>
      </c>
      <c r="I59" s="159">
        <f t="shared" si="111"/>
        <v>0</v>
      </c>
      <c r="J59" s="159">
        <f t="shared" si="111"/>
        <v>0</v>
      </c>
      <c r="K59" s="159">
        <f t="shared" si="111"/>
        <v>5068.07</v>
      </c>
      <c r="L59" s="159">
        <f t="shared" si="111"/>
        <v>0</v>
      </c>
      <c r="M59" s="46">
        <f t="shared" si="111"/>
        <v>108.96350499999998</v>
      </c>
      <c r="N59" s="46">
        <f t="shared" si="111"/>
        <v>25.340350000000001</v>
      </c>
      <c r="O59" s="46">
        <f t="shared" si="111"/>
        <v>4933.7661449999996</v>
      </c>
      <c r="P59" s="46">
        <f t="shared" si="111"/>
        <v>0</v>
      </c>
      <c r="Q59" s="47"/>
      <c r="R59" s="45">
        <f t="shared" ref="R59:BO59" si="112">SUBTOTAL(9,R57:R58)</f>
        <v>0</v>
      </c>
      <c r="S59" s="45">
        <f t="shared" si="112"/>
        <v>0</v>
      </c>
      <c r="T59" s="46">
        <f t="shared" si="112"/>
        <v>0</v>
      </c>
      <c r="U59" s="46">
        <f t="shared" si="112"/>
        <v>0</v>
      </c>
      <c r="V59" s="46">
        <f t="shared" si="112"/>
        <v>0</v>
      </c>
      <c r="W59" s="46">
        <f t="shared" si="112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12"/>
        <v>1746.3148000000001</v>
      </c>
      <c r="AH59" s="44">
        <f t="shared" si="112"/>
        <v>308.17320000000001</v>
      </c>
      <c r="AI59" s="44">
        <f t="shared" si="112"/>
        <v>513.62200000000007</v>
      </c>
      <c r="AJ59" s="45">
        <f t="shared" si="112"/>
        <v>0</v>
      </c>
      <c r="AK59" s="44">
        <f t="shared" si="112"/>
        <v>30818.401785714283</v>
      </c>
      <c r="AL59" s="44">
        <f t="shared" si="112"/>
        <v>30587.571785714281</v>
      </c>
      <c r="AM59" s="44">
        <f t="shared" si="112"/>
        <v>3670.5086142857135</v>
      </c>
      <c r="AN59" s="44">
        <f t="shared" si="76"/>
        <v>34258.080399999992</v>
      </c>
      <c r="AO59" s="49">
        <f t="shared" si="112"/>
        <v>480</v>
      </c>
      <c r="AP59" s="49">
        <f t="shared" si="112"/>
        <v>0</v>
      </c>
      <c r="AQ59" s="49">
        <f t="shared" si="112"/>
        <v>0</v>
      </c>
      <c r="AR59" s="49">
        <f t="shared" si="112"/>
        <v>0</v>
      </c>
      <c r="AS59" s="49">
        <f t="shared" si="112"/>
        <v>0</v>
      </c>
      <c r="AT59" s="49">
        <f t="shared" si="112"/>
        <v>0</v>
      </c>
      <c r="AU59" s="49">
        <f>SUBTOTAL(9,AU57:AU58)</f>
        <v>0</v>
      </c>
      <c r="AV59" s="49">
        <f t="shared" si="112"/>
        <v>0</v>
      </c>
      <c r="AW59" s="49">
        <f t="shared" si="112"/>
        <v>0</v>
      </c>
      <c r="AX59" s="49">
        <f t="shared" si="112"/>
        <v>0</v>
      </c>
      <c r="AY59" s="49">
        <f t="shared" si="112"/>
        <v>0</v>
      </c>
      <c r="AZ59" s="44">
        <f t="shared" si="112"/>
        <v>480</v>
      </c>
      <c r="BA59" s="48">
        <f t="shared" si="112"/>
        <v>0</v>
      </c>
      <c r="BB59" s="48">
        <f t="shared" si="112"/>
        <v>0</v>
      </c>
      <c r="BC59" s="44">
        <f t="shared" si="112"/>
        <v>0</v>
      </c>
      <c r="BD59" s="44">
        <f t="shared" si="112"/>
        <v>0</v>
      </c>
      <c r="BE59" s="49">
        <f>SUBTOTAL(9,BE57:BE58)</f>
        <v>0</v>
      </c>
      <c r="BF59" s="49">
        <f t="shared" si="112"/>
        <v>0</v>
      </c>
      <c r="BG59" s="49">
        <f t="shared" si="112"/>
        <v>0</v>
      </c>
      <c r="BH59" s="49">
        <f t="shared" si="112"/>
        <v>0</v>
      </c>
      <c r="BI59" s="49">
        <f t="shared" si="112"/>
        <v>0</v>
      </c>
      <c r="BJ59" s="49">
        <f t="shared" si="112"/>
        <v>0</v>
      </c>
      <c r="BK59" s="49">
        <f t="shared" si="112"/>
        <v>0</v>
      </c>
      <c r="BL59" s="49">
        <f t="shared" si="112"/>
        <v>0</v>
      </c>
      <c r="BM59" s="49">
        <f t="shared" si="112"/>
        <v>0</v>
      </c>
      <c r="BN59" s="49">
        <f t="shared" si="112"/>
        <v>0</v>
      </c>
      <c r="BO59" s="49">
        <f t="shared" si="112"/>
        <v>0</v>
      </c>
      <c r="BP59" s="49"/>
      <c r="BQ59" s="44">
        <f>SUBTOTAL(9,BQ57:BQ58)</f>
        <v>480</v>
      </c>
    </row>
    <row r="60" spans="1:96" x14ac:dyDescent="0.25">
      <c r="A60" s="259">
        <f>A57+1</f>
        <v>40530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13">(C60-AF60-AJ60)/1.12</f>
        <v>0</v>
      </c>
      <c r="AL60" s="33">
        <f t="shared" ref="AL60" si="114">AK60-SUM(Y60:AC60)</f>
        <v>0</v>
      </c>
      <c r="AM60" s="33">
        <f t="shared" ref="AM60:AM61" si="115">+AL60*0.12</f>
        <v>0</v>
      </c>
      <c r="AN60" s="33">
        <f t="shared" ref="AN60:AN61" si="116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SUM(BE60:BK60)*0.1+(BL60*0.5)</f>
        <v>0</v>
      </c>
      <c r="BD60" s="33">
        <f>SUM(BE60:BK60)+(BL60*0.5)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f>AZ60+BA60+BB60+BD60-BC60</f>
        <v>0</v>
      </c>
      <c r="BS60" s="146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</row>
    <row r="61" spans="1:96" ht="16.5" customHeight="1" thickBot="1" x14ac:dyDescent="0.3">
      <c r="A61" s="260"/>
      <c r="B61" s="16" t="s">
        <v>44</v>
      </c>
      <c r="C61" s="33">
        <v>40992.57</v>
      </c>
      <c r="D61" s="34">
        <v>22897.97</v>
      </c>
      <c r="E61" s="34">
        <v>22900</v>
      </c>
      <c r="F61" s="35">
        <v>44184</v>
      </c>
      <c r="G61" s="33"/>
      <c r="H61" s="33">
        <f>IF(E61-D61&gt;0,E61-D61,0)</f>
        <v>2.0299999999988358</v>
      </c>
      <c r="I61" s="34"/>
      <c r="J61" s="34"/>
      <c r="K61" s="34">
        <v>17647.91</v>
      </c>
      <c r="L61" s="34"/>
      <c r="M61" s="36">
        <f>(+K61)*M$5</f>
        <v>379.43006499999996</v>
      </c>
      <c r="N61" s="36">
        <f>(+K61)*N$5</f>
        <v>88.239549999999994</v>
      </c>
      <c r="O61" s="36">
        <f>+K61-M61-N61+P61</f>
        <v>17180.240385000001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166.25</v>
      </c>
      <c r="AA61" s="34"/>
      <c r="AB61" s="34">
        <v>17.5</v>
      </c>
      <c r="AC61" s="34">
        <v>262.94</v>
      </c>
      <c r="AD61" s="38" t="s">
        <v>140</v>
      </c>
      <c r="AE61" s="38">
        <v>0</v>
      </c>
      <c r="AF61" s="34">
        <v>2972.35</v>
      </c>
      <c r="AG61" s="33">
        <f>(AF61*0.8)*0.85</f>
        <v>2021.1980000000001</v>
      </c>
      <c r="AH61" s="33">
        <f>(AF61*0.8)*0.15</f>
        <v>356.68200000000002</v>
      </c>
      <c r="AI61" s="33">
        <f>AF61*0.2</f>
        <v>594.47</v>
      </c>
      <c r="AJ61" s="34"/>
      <c r="AK61" s="33">
        <f t="shared" si="113"/>
        <v>33946.625</v>
      </c>
      <c r="AL61" s="33">
        <f t="shared" ref="AL61" si="117">AK61-SUM(Y61:AC61)</f>
        <v>33499.934999999998</v>
      </c>
      <c r="AM61" s="33">
        <f t="shared" si="115"/>
        <v>4019.9921999999997</v>
      </c>
      <c r="AN61" s="33">
        <f t="shared" si="116"/>
        <v>37519.927199999998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f>AZ61+BA61+BB61+BD61-BC61</f>
        <v>0</v>
      </c>
      <c r="BS61" s="146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</row>
    <row r="62" spans="1:96" ht="15.75" thickBot="1" x14ac:dyDescent="0.3">
      <c r="A62" s="42"/>
      <c r="B62" s="43"/>
      <c r="C62" s="44">
        <f>SUBTOTAL(9,C60:C61)</f>
        <v>40992.57</v>
      </c>
      <c r="D62" s="45">
        <f>SUBTOTAL(9,D60:D61)</f>
        <v>22897.97</v>
      </c>
      <c r="E62" s="45">
        <f>SUBTOTAL(9,E60:E61)</f>
        <v>22900</v>
      </c>
      <c r="F62" s="47"/>
      <c r="G62" s="45">
        <f t="shared" ref="G62:P62" si="118">SUBTOTAL(9,G60:G61)</f>
        <v>0</v>
      </c>
      <c r="H62" s="45">
        <f t="shared" si="118"/>
        <v>2.0299999999988358</v>
      </c>
      <c r="I62" s="159">
        <f t="shared" si="118"/>
        <v>0</v>
      </c>
      <c r="J62" s="159">
        <f t="shared" si="118"/>
        <v>0</v>
      </c>
      <c r="K62" s="159">
        <f t="shared" si="118"/>
        <v>17647.91</v>
      </c>
      <c r="L62" s="159">
        <f t="shared" si="118"/>
        <v>0</v>
      </c>
      <c r="M62" s="46">
        <f t="shared" si="118"/>
        <v>379.43006499999996</v>
      </c>
      <c r="N62" s="46">
        <f t="shared" si="118"/>
        <v>88.239549999999994</v>
      </c>
      <c r="O62" s="46">
        <f t="shared" si="118"/>
        <v>17180.240385000001</v>
      </c>
      <c r="P62" s="46">
        <f t="shared" si="118"/>
        <v>0</v>
      </c>
      <c r="Q62" s="47"/>
      <c r="R62" s="45">
        <f t="shared" ref="R62:BO62" si="119">SUBTOTAL(9,R60:R61)</f>
        <v>0</v>
      </c>
      <c r="S62" s="45">
        <f t="shared" si="119"/>
        <v>0</v>
      </c>
      <c r="T62" s="46">
        <f t="shared" si="119"/>
        <v>0</v>
      </c>
      <c r="U62" s="46">
        <f t="shared" si="119"/>
        <v>0</v>
      </c>
      <c r="V62" s="46">
        <f t="shared" si="119"/>
        <v>0</v>
      </c>
      <c r="W62" s="46">
        <f t="shared" si="119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9"/>
        <v>2021.1980000000001</v>
      </c>
      <c r="AH62" s="44">
        <f t="shared" si="119"/>
        <v>356.68200000000002</v>
      </c>
      <c r="AI62" s="44">
        <f t="shared" si="119"/>
        <v>594.47</v>
      </c>
      <c r="AJ62" s="45">
        <f t="shared" si="119"/>
        <v>0</v>
      </c>
      <c r="AK62" s="44">
        <f t="shared" si="119"/>
        <v>33946.625</v>
      </c>
      <c r="AL62" s="44">
        <f t="shared" si="119"/>
        <v>33499.934999999998</v>
      </c>
      <c r="AM62" s="44">
        <f t="shared" si="119"/>
        <v>4019.9921999999997</v>
      </c>
      <c r="AN62" s="44">
        <f t="shared" si="76"/>
        <v>37519.927199999998</v>
      </c>
      <c r="AO62" s="49">
        <f t="shared" si="119"/>
        <v>0</v>
      </c>
      <c r="AP62" s="49">
        <f t="shared" si="119"/>
        <v>0</v>
      </c>
      <c r="AQ62" s="49">
        <f t="shared" si="119"/>
        <v>0</v>
      </c>
      <c r="AR62" s="49">
        <f t="shared" si="119"/>
        <v>0</v>
      </c>
      <c r="AS62" s="49">
        <f t="shared" si="119"/>
        <v>0</v>
      </c>
      <c r="AT62" s="49">
        <f t="shared" si="119"/>
        <v>0</v>
      </c>
      <c r="AU62" s="49">
        <f>SUBTOTAL(9,AU60:AU61)</f>
        <v>0</v>
      </c>
      <c r="AV62" s="49">
        <f t="shared" si="119"/>
        <v>0</v>
      </c>
      <c r="AW62" s="49">
        <f t="shared" si="119"/>
        <v>0</v>
      </c>
      <c r="AX62" s="49">
        <f t="shared" si="119"/>
        <v>0</v>
      </c>
      <c r="AY62" s="49">
        <f t="shared" si="119"/>
        <v>0</v>
      </c>
      <c r="AZ62" s="44">
        <f t="shared" si="119"/>
        <v>0</v>
      </c>
      <c r="BA62" s="48">
        <f t="shared" si="119"/>
        <v>0</v>
      </c>
      <c r="BB62" s="48">
        <f t="shared" si="119"/>
        <v>0</v>
      </c>
      <c r="BC62" s="44">
        <f t="shared" si="119"/>
        <v>0</v>
      </c>
      <c r="BD62" s="44">
        <f t="shared" si="119"/>
        <v>0</v>
      </c>
      <c r="BE62" s="49">
        <f>SUBTOTAL(9,BE60:BE61)</f>
        <v>0</v>
      </c>
      <c r="BF62" s="49">
        <f t="shared" si="119"/>
        <v>0</v>
      </c>
      <c r="BG62" s="49">
        <f t="shared" si="119"/>
        <v>0</v>
      </c>
      <c r="BH62" s="49">
        <f t="shared" si="119"/>
        <v>0</v>
      </c>
      <c r="BI62" s="49">
        <f t="shared" si="119"/>
        <v>0</v>
      </c>
      <c r="BJ62" s="49">
        <f t="shared" si="119"/>
        <v>0</v>
      </c>
      <c r="BK62" s="49">
        <f t="shared" si="119"/>
        <v>0</v>
      </c>
      <c r="BL62" s="49">
        <f t="shared" si="119"/>
        <v>0</v>
      </c>
      <c r="BM62" s="49">
        <f t="shared" si="119"/>
        <v>0</v>
      </c>
      <c r="BN62" s="49">
        <f t="shared" si="119"/>
        <v>0</v>
      </c>
      <c r="BO62" s="49">
        <f t="shared" si="119"/>
        <v>0</v>
      </c>
      <c r="BP62" s="49"/>
      <c r="BQ62" s="44">
        <f>SUBTOTAL(9,BQ60:BQ61)</f>
        <v>0</v>
      </c>
    </row>
    <row r="63" spans="1:96" ht="15.75" customHeight="1" x14ac:dyDescent="0.25">
      <c r="A63" s="259">
        <f>+A60+1</f>
        <v>40531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20">(C63-AF63-AJ63)/1.12</f>
        <v>0</v>
      </c>
      <c r="AL63" s="33">
        <f t="shared" ref="AL63" si="121">AK63-SUM(Y63:AC63)</f>
        <v>0</v>
      </c>
      <c r="AM63" s="33">
        <f t="shared" ref="AM63:AM64" si="122">+AL63*0.12</f>
        <v>0</v>
      </c>
      <c r="AN63" s="33">
        <f t="shared" si="76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SUM(BE63:BK63)*0.1+(BL63*0.5)</f>
        <v>0</v>
      </c>
      <c r="BD63" s="33">
        <f>SUM(BE63:BK63)+(BL63*0.5)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f>AZ63+BA63+BB63+BD63-BC63</f>
        <v>0</v>
      </c>
      <c r="BS63" s="146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</row>
    <row r="64" spans="1:96" ht="16.5" customHeight="1" thickBot="1" x14ac:dyDescent="0.3">
      <c r="A64" s="260"/>
      <c r="B64" s="16" t="s">
        <v>44</v>
      </c>
      <c r="C64" s="33">
        <v>4244.6499999999996</v>
      </c>
      <c r="D64" s="34">
        <v>3590.54</v>
      </c>
      <c r="E64" s="34">
        <v>3590</v>
      </c>
      <c r="F64" s="35">
        <v>44186</v>
      </c>
      <c r="G64" s="33"/>
      <c r="H64" s="33">
        <f>IF(E64-D64&gt;0,E64-D64,0)</f>
        <v>0</v>
      </c>
      <c r="I64" s="34"/>
      <c r="J64" s="34"/>
      <c r="K64" s="34">
        <v>0</v>
      </c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>
        <f>L64-(L64*(M$5+N$5))</f>
        <v>0</v>
      </c>
      <c r="Q64" s="37"/>
      <c r="R64" s="34"/>
      <c r="S64" s="34"/>
      <c r="T64" s="36">
        <f>+R64*T$5</f>
        <v>0</v>
      </c>
      <c r="U64" s="36">
        <f>+R64*U$5</f>
        <v>0</v>
      </c>
      <c r="V64" s="36">
        <f>+R64-T64-U64+W64</f>
        <v>0</v>
      </c>
      <c r="W64" s="36">
        <f>+S64-(S64*(T$5+U$5))</f>
        <v>0</v>
      </c>
      <c r="X64" s="37"/>
      <c r="Y64" s="34"/>
      <c r="Z64" s="34"/>
      <c r="AA64" s="34"/>
      <c r="AB64" s="34"/>
      <c r="AC64" s="34">
        <v>49.11</v>
      </c>
      <c r="AD64" s="38" t="s">
        <v>140</v>
      </c>
      <c r="AE64" s="38">
        <v>605</v>
      </c>
      <c r="AF64" s="34">
        <v>199.11</v>
      </c>
      <c r="AG64" s="33">
        <f>(AF64*0.8)*0.85</f>
        <v>135.3948</v>
      </c>
      <c r="AH64" s="33">
        <f>(AF64*0.8)*0.15</f>
        <v>23.8932</v>
      </c>
      <c r="AI64" s="33">
        <f>AF64*0.2</f>
        <v>39.822000000000003</v>
      </c>
      <c r="AJ64" s="34"/>
      <c r="AK64" s="33">
        <f t="shared" si="120"/>
        <v>3612.0892857142849</v>
      </c>
      <c r="AL64" s="33">
        <f t="shared" ref="AL64" si="123">AK64-SUM(Y64:AC64)</f>
        <v>3562.9792857142847</v>
      </c>
      <c r="AM64" s="33">
        <f t="shared" si="122"/>
        <v>427.55751428571415</v>
      </c>
      <c r="AN64" s="33">
        <f t="shared" si="76"/>
        <v>3990.5367999999989</v>
      </c>
      <c r="AO64" s="39"/>
      <c r="AP64" s="40">
        <v>0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/>
      <c r="BD64" s="33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1">
        <f>AZ64+BA64+BB64+BD64-BC64</f>
        <v>0</v>
      </c>
      <c r="BS64" s="146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</row>
    <row r="65" spans="1:96" ht="16.5" customHeight="1" thickBot="1" x14ac:dyDescent="0.3">
      <c r="A65" s="42"/>
      <c r="B65" s="43"/>
      <c r="C65" s="44">
        <f>SUBTOTAL(9,C63:C64)</f>
        <v>4244.6499999999996</v>
      </c>
      <c r="D65" s="45">
        <f>SUBTOTAL(9,D63:D64)</f>
        <v>3590.54</v>
      </c>
      <c r="E65" s="45">
        <f>SUBTOTAL(9,E63:E64)</f>
        <v>3590</v>
      </c>
      <c r="F65" s="47"/>
      <c r="G65" s="45">
        <f t="shared" ref="G65:P65" si="124">SUBTOTAL(9,G63:G64)</f>
        <v>0</v>
      </c>
      <c r="H65" s="45">
        <f t="shared" si="124"/>
        <v>0</v>
      </c>
      <c r="I65" s="159">
        <f t="shared" si="124"/>
        <v>0</v>
      </c>
      <c r="J65" s="159">
        <f t="shared" si="124"/>
        <v>0</v>
      </c>
      <c r="K65" s="159">
        <f t="shared" si="124"/>
        <v>0</v>
      </c>
      <c r="L65" s="159">
        <f t="shared" si="124"/>
        <v>0</v>
      </c>
      <c r="M65" s="46">
        <f t="shared" si="124"/>
        <v>0</v>
      </c>
      <c r="N65" s="46">
        <f t="shared" si="124"/>
        <v>0</v>
      </c>
      <c r="O65" s="46">
        <f t="shared" si="124"/>
        <v>0</v>
      </c>
      <c r="P65" s="46">
        <f t="shared" si="124"/>
        <v>0</v>
      </c>
      <c r="Q65" s="47"/>
      <c r="R65" s="45">
        <f t="shared" ref="R65:BO65" si="125">SUBTOTAL(9,R63:R64)</f>
        <v>0</v>
      </c>
      <c r="S65" s="45">
        <f t="shared" si="125"/>
        <v>0</v>
      </c>
      <c r="T65" s="46">
        <f t="shared" si="125"/>
        <v>0</v>
      </c>
      <c r="U65" s="46">
        <f t="shared" si="125"/>
        <v>0</v>
      </c>
      <c r="V65" s="46">
        <f t="shared" si="125"/>
        <v>0</v>
      </c>
      <c r="W65" s="46">
        <f t="shared" si="125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25"/>
        <v>135.3948</v>
      </c>
      <c r="AH65" s="44">
        <f t="shared" si="125"/>
        <v>23.8932</v>
      </c>
      <c r="AI65" s="44">
        <f t="shared" si="125"/>
        <v>39.822000000000003</v>
      </c>
      <c r="AJ65" s="45">
        <f t="shared" si="125"/>
        <v>0</v>
      </c>
      <c r="AK65" s="44">
        <f t="shared" si="125"/>
        <v>3612.0892857142849</v>
      </c>
      <c r="AL65" s="44">
        <f t="shared" si="125"/>
        <v>3562.9792857142847</v>
      </c>
      <c r="AM65" s="44">
        <f t="shared" si="125"/>
        <v>427.55751428571415</v>
      </c>
      <c r="AN65" s="44">
        <f t="shared" si="76"/>
        <v>3990.5367999999989</v>
      </c>
      <c r="AO65" s="49">
        <f t="shared" si="125"/>
        <v>0</v>
      </c>
      <c r="AP65" s="49">
        <f t="shared" si="125"/>
        <v>0</v>
      </c>
      <c r="AQ65" s="49">
        <f t="shared" si="125"/>
        <v>0</v>
      </c>
      <c r="AR65" s="49">
        <f t="shared" si="125"/>
        <v>0</v>
      </c>
      <c r="AS65" s="49">
        <f t="shared" si="125"/>
        <v>0</v>
      </c>
      <c r="AT65" s="49">
        <f t="shared" si="125"/>
        <v>0</v>
      </c>
      <c r="AU65" s="49">
        <f>SUBTOTAL(9,AU63:AU64)</f>
        <v>0</v>
      </c>
      <c r="AV65" s="49">
        <f t="shared" si="125"/>
        <v>0</v>
      </c>
      <c r="AW65" s="49">
        <f t="shared" si="125"/>
        <v>0</v>
      </c>
      <c r="AX65" s="49">
        <f t="shared" si="125"/>
        <v>0</v>
      </c>
      <c r="AY65" s="49">
        <f t="shared" si="125"/>
        <v>0</v>
      </c>
      <c r="AZ65" s="44">
        <f t="shared" si="125"/>
        <v>0</v>
      </c>
      <c r="BA65" s="48">
        <f t="shared" si="125"/>
        <v>0</v>
      </c>
      <c r="BB65" s="48">
        <f t="shared" si="125"/>
        <v>0</v>
      </c>
      <c r="BC65" s="44">
        <f t="shared" si="125"/>
        <v>0</v>
      </c>
      <c r="BD65" s="44">
        <f t="shared" si="125"/>
        <v>0</v>
      </c>
      <c r="BE65" s="49">
        <f>SUBTOTAL(9,BE63:BE64)</f>
        <v>0</v>
      </c>
      <c r="BF65" s="49">
        <f t="shared" si="125"/>
        <v>0</v>
      </c>
      <c r="BG65" s="49" t="s">
        <v>1</v>
      </c>
      <c r="BH65" s="49">
        <f t="shared" si="125"/>
        <v>0</v>
      </c>
      <c r="BI65" s="49">
        <f t="shared" si="125"/>
        <v>0</v>
      </c>
      <c r="BJ65" s="49">
        <f t="shared" si="125"/>
        <v>0</v>
      </c>
      <c r="BK65" s="49">
        <f t="shared" si="125"/>
        <v>0</v>
      </c>
      <c r="BL65" s="49">
        <f t="shared" si="125"/>
        <v>0</v>
      </c>
      <c r="BM65" s="49">
        <f t="shared" si="125"/>
        <v>0</v>
      </c>
      <c r="BN65" s="49">
        <f t="shared" si="125"/>
        <v>0</v>
      </c>
      <c r="BO65" s="49">
        <f t="shared" si="125"/>
        <v>0</v>
      </c>
      <c r="BP65" s="49"/>
      <c r="BQ65" s="44">
        <f>SUBTOTAL(9,BQ63:BQ64)</f>
        <v>0</v>
      </c>
    </row>
    <row r="66" spans="1:96" x14ac:dyDescent="0.25">
      <c r="A66" s="259">
        <f>A63+1</f>
        <v>40532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6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SUM(BE66:BK66)*0.1+(BL66*0.5)</f>
        <v>0</v>
      </c>
      <c r="BD66" s="33">
        <f>SUM(BE66:BK66)+(BL66*0.5)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f>AZ66+BA66+BB66+BD66-BC66</f>
        <v>0</v>
      </c>
      <c r="BS66" s="146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</row>
    <row r="67" spans="1:96" ht="16.5" customHeight="1" thickBot="1" x14ac:dyDescent="0.3">
      <c r="A67" s="260"/>
      <c r="B67" s="16" t="s">
        <v>44</v>
      </c>
      <c r="C67" s="33" t="s">
        <v>138</v>
      </c>
      <c r="D67" s="34"/>
      <c r="E67" s="34"/>
      <c r="F67" s="35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v>0</v>
      </c>
      <c r="AL67" s="33">
        <f>AK67-SUM(Y67:AC67)</f>
        <v>0</v>
      </c>
      <c r="AM67" s="33">
        <f>+AL67*0.12</f>
        <v>0</v>
      </c>
      <c r="AN67" s="33">
        <f t="shared" ref="AN67" si="127">+AM67+AL67+AJ67</f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169"/>
      <c r="BM67" s="39"/>
      <c r="BN67" s="39"/>
      <c r="BO67" s="39"/>
      <c r="BP67" s="39"/>
      <c r="BQ67" s="41">
        <f>AZ67+BA67+BB67+BD67-BC67</f>
        <v>0</v>
      </c>
      <c r="BS67" s="146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</row>
    <row r="68" spans="1:96" ht="15.75" thickBot="1" x14ac:dyDescent="0.3">
      <c r="A68" s="42"/>
      <c r="B68" s="43"/>
      <c r="C68" s="44">
        <f>SUBTOTAL(9,C66:C67)</f>
        <v>0</v>
      </c>
      <c r="D68" s="45">
        <f>SUBTOTAL(9,D66:D67)</f>
        <v>0</v>
      </c>
      <c r="E68" s="45">
        <f>SUBTOTAL(9,E66:E67)</f>
        <v>0</v>
      </c>
      <c r="F68" s="47"/>
      <c r="G68" s="45">
        <f t="shared" ref="G68:P68" si="128">SUBTOTAL(9,G66:G67)</f>
        <v>0</v>
      </c>
      <c r="H68" s="45">
        <f t="shared" si="128"/>
        <v>0</v>
      </c>
      <c r="I68" s="159">
        <f t="shared" si="128"/>
        <v>0</v>
      </c>
      <c r="J68" s="159">
        <f t="shared" si="128"/>
        <v>0</v>
      </c>
      <c r="K68" s="159">
        <f t="shared" si="128"/>
        <v>0</v>
      </c>
      <c r="L68" s="159">
        <f t="shared" si="128"/>
        <v>0</v>
      </c>
      <c r="M68" s="46">
        <f t="shared" si="128"/>
        <v>0</v>
      </c>
      <c r="N68" s="46">
        <f t="shared" si="128"/>
        <v>0</v>
      </c>
      <c r="O68" s="46">
        <f t="shared" si="128"/>
        <v>0</v>
      </c>
      <c r="P68" s="46">
        <f t="shared" si="128"/>
        <v>0</v>
      </c>
      <c r="Q68" s="47"/>
      <c r="R68" s="45">
        <f t="shared" ref="R68:BO68" si="129">SUBTOTAL(9,R66:R67)</f>
        <v>0</v>
      </c>
      <c r="S68" s="45">
        <f t="shared" si="129"/>
        <v>0</v>
      </c>
      <c r="T68" s="46">
        <f t="shared" si="129"/>
        <v>0</v>
      </c>
      <c r="U68" s="46">
        <f t="shared" si="129"/>
        <v>0</v>
      </c>
      <c r="V68" s="46">
        <f t="shared" si="129"/>
        <v>0</v>
      </c>
      <c r="W68" s="46">
        <f t="shared" si="129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9"/>
        <v>0</v>
      </c>
      <c r="AH68" s="44">
        <f t="shared" si="129"/>
        <v>0</v>
      </c>
      <c r="AI68" s="44">
        <f t="shared" si="129"/>
        <v>0</v>
      </c>
      <c r="AJ68" s="45">
        <f t="shared" si="129"/>
        <v>0</v>
      </c>
      <c r="AK68" s="44">
        <f t="shared" si="129"/>
        <v>0</v>
      </c>
      <c r="AL68" s="44">
        <f t="shared" si="129"/>
        <v>0</v>
      </c>
      <c r="AM68" s="44">
        <f t="shared" si="129"/>
        <v>0</v>
      </c>
      <c r="AN68" s="44">
        <f t="shared" si="76"/>
        <v>0</v>
      </c>
      <c r="AO68" s="49">
        <f t="shared" si="129"/>
        <v>0</v>
      </c>
      <c r="AP68" s="49">
        <f t="shared" si="129"/>
        <v>0</v>
      </c>
      <c r="AQ68" s="49">
        <f t="shared" si="129"/>
        <v>0</v>
      </c>
      <c r="AR68" s="49">
        <f t="shared" si="129"/>
        <v>0</v>
      </c>
      <c r="AS68" s="49">
        <f t="shared" si="129"/>
        <v>0</v>
      </c>
      <c r="AT68" s="49">
        <f t="shared" si="129"/>
        <v>0</v>
      </c>
      <c r="AU68" s="49">
        <f>SUBTOTAL(9,AU66:AU67)</f>
        <v>0</v>
      </c>
      <c r="AV68" s="49">
        <f t="shared" si="129"/>
        <v>0</v>
      </c>
      <c r="AW68" s="49">
        <f t="shared" si="129"/>
        <v>0</v>
      </c>
      <c r="AX68" s="49">
        <f t="shared" si="129"/>
        <v>0</v>
      </c>
      <c r="AY68" s="49">
        <f t="shared" si="129"/>
        <v>0</v>
      </c>
      <c r="AZ68" s="44">
        <f t="shared" si="129"/>
        <v>0</v>
      </c>
      <c r="BA68" s="48">
        <f t="shared" si="129"/>
        <v>0</v>
      </c>
      <c r="BB68" s="48">
        <f t="shared" si="129"/>
        <v>0</v>
      </c>
      <c r="BC68" s="44">
        <f t="shared" si="129"/>
        <v>0</v>
      </c>
      <c r="BD68" s="44">
        <f t="shared" si="129"/>
        <v>0</v>
      </c>
      <c r="BE68" s="49">
        <f>SUBTOTAL(9,BE66:BE67)</f>
        <v>0</v>
      </c>
      <c r="BF68" s="49">
        <f t="shared" si="129"/>
        <v>0</v>
      </c>
      <c r="BG68" s="49">
        <f t="shared" si="129"/>
        <v>0</v>
      </c>
      <c r="BH68" s="49">
        <f t="shared" si="129"/>
        <v>0</v>
      </c>
      <c r="BI68" s="49">
        <f t="shared" si="129"/>
        <v>0</v>
      </c>
      <c r="BJ68" s="49">
        <f t="shared" si="129"/>
        <v>0</v>
      </c>
      <c r="BK68" s="49">
        <f t="shared" si="129"/>
        <v>0</v>
      </c>
      <c r="BL68" s="49">
        <f t="shared" si="129"/>
        <v>0</v>
      </c>
      <c r="BM68" s="49">
        <f t="shared" si="129"/>
        <v>0</v>
      </c>
      <c r="BN68" s="49">
        <f t="shared" si="129"/>
        <v>0</v>
      </c>
      <c r="BO68" s="49">
        <f t="shared" si="129"/>
        <v>0</v>
      </c>
      <c r="BP68" s="49"/>
      <c r="BQ68" s="44">
        <f>SUBTOTAL(9,BQ66:BQ67)</f>
        <v>0</v>
      </c>
    </row>
    <row r="69" spans="1:96" ht="15.75" customHeight="1" x14ac:dyDescent="0.25">
      <c r="A69" s="259">
        <f>+A66+1</f>
        <v>40533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6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SUM(BE69:BK69)*0.1+(BL69*0.5)</f>
        <v>0</v>
      </c>
      <c r="BD69" s="33">
        <f>SUM(BE69:BK69)+(BL69*0.5)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41">
        <f>AZ69+BA69+BB69+BD69-BC69</f>
        <v>0</v>
      </c>
      <c r="BS69" s="146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</row>
    <row r="70" spans="1:96" ht="15.75" thickBot="1" x14ac:dyDescent="0.3">
      <c r="A70" s="260"/>
      <c r="B70" s="16" t="s">
        <v>44</v>
      </c>
      <c r="C70" s="33">
        <v>31945.66</v>
      </c>
      <c r="D70" s="34">
        <v>24199.31</v>
      </c>
      <c r="E70" s="34">
        <v>24200</v>
      </c>
      <c r="F70" s="35">
        <v>44187</v>
      </c>
      <c r="G70" s="33">
        <f>IF(E70-D70&lt;0,E70-D70,0)*-1</f>
        <v>0</v>
      </c>
      <c r="H70" s="33">
        <f>IF(E70-D70&gt;0,E70-D70,0)</f>
        <v>0.68999999999869033</v>
      </c>
      <c r="I70" s="34"/>
      <c r="J70" s="34"/>
      <c r="K70" s="34">
        <v>7567.02</v>
      </c>
      <c r="L70" s="34">
        <v>0</v>
      </c>
      <c r="M70" s="36">
        <f>(+K70)*M$5</f>
        <v>162.69093000000001</v>
      </c>
      <c r="N70" s="36">
        <f>(+K70)*N$5</f>
        <v>37.835100000000004</v>
      </c>
      <c r="O70" s="36">
        <f>+K70-M70-N70+P70</f>
        <v>7366.4939700000004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70.5</v>
      </c>
      <c r="AA70" s="34"/>
      <c r="AB70" s="34"/>
      <c r="AC70" s="34">
        <v>108.83</v>
      </c>
      <c r="AD70" s="38" t="s">
        <v>140</v>
      </c>
      <c r="AE70" s="38">
        <v>0</v>
      </c>
      <c r="AF70" s="34">
        <v>2310.9499999999998</v>
      </c>
      <c r="AG70" s="33">
        <f>(AF70*0.8)*0.85</f>
        <v>1571.4459999999999</v>
      </c>
      <c r="AH70" s="33">
        <f>(AF70*0.8)*0.15</f>
        <v>277.31399999999996</v>
      </c>
      <c r="AI70" s="33">
        <f>AF70*0.2</f>
        <v>462.19</v>
      </c>
      <c r="AJ70" s="34"/>
      <c r="AK70" s="33">
        <f>(C70-AF70-AJ70)/1.12</f>
        <v>26459.562499999996</v>
      </c>
      <c r="AL70" s="33">
        <f>AK70-SUM(Y70:AC70)</f>
        <v>26280.232499999995</v>
      </c>
      <c r="AM70" s="33">
        <f>+AL70*0.12</f>
        <v>3153.627899999999</v>
      </c>
      <c r="AN70" s="33">
        <f t="shared" si="76"/>
        <v>29433.860399999994</v>
      </c>
      <c r="AO70" s="39"/>
      <c r="AP70" s="40">
        <v>70</v>
      </c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70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1">
        <f>AZ70+BA70+BB70+BD70-BC70</f>
        <v>70</v>
      </c>
      <c r="BS70" s="146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</row>
    <row r="71" spans="1:96" ht="16.5" customHeight="1" thickBot="1" x14ac:dyDescent="0.3">
      <c r="A71" s="42"/>
      <c r="B71" s="43"/>
      <c r="C71" s="44">
        <f>SUBTOTAL(9,C69:C70)</f>
        <v>31945.66</v>
      </c>
      <c r="D71" s="45">
        <f>SUBTOTAL(9,D69:D70)</f>
        <v>24199.31</v>
      </c>
      <c r="E71" s="45">
        <f>SUBTOTAL(9,E69:E70)</f>
        <v>24200</v>
      </c>
      <c r="F71" s="47"/>
      <c r="G71" s="45">
        <f t="shared" ref="G71:P71" si="130">SUBTOTAL(9,G69:G70)</f>
        <v>0</v>
      </c>
      <c r="H71" s="45">
        <f t="shared" si="130"/>
        <v>0.68999999999869033</v>
      </c>
      <c r="I71" s="159">
        <f t="shared" si="130"/>
        <v>0</v>
      </c>
      <c r="J71" s="159">
        <f t="shared" si="130"/>
        <v>0</v>
      </c>
      <c r="K71" s="159">
        <f t="shared" si="130"/>
        <v>7567.02</v>
      </c>
      <c r="L71" s="159">
        <f t="shared" si="130"/>
        <v>0</v>
      </c>
      <c r="M71" s="46">
        <f t="shared" si="130"/>
        <v>162.69093000000001</v>
      </c>
      <c r="N71" s="46">
        <f t="shared" si="130"/>
        <v>37.835100000000004</v>
      </c>
      <c r="O71" s="46">
        <f t="shared" si="130"/>
        <v>7366.4939700000004</v>
      </c>
      <c r="P71" s="46">
        <f t="shared" si="130"/>
        <v>0</v>
      </c>
      <c r="Q71" s="47"/>
      <c r="R71" s="45">
        <f t="shared" ref="R71:BO71" si="131">SUBTOTAL(9,R69:R70)</f>
        <v>0</v>
      </c>
      <c r="S71" s="45">
        <f t="shared" si="131"/>
        <v>0</v>
      </c>
      <c r="T71" s="46">
        <f t="shared" si="131"/>
        <v>0</v>
      </c>
      <c r="U71" s="46">
        <f t="shared" si="131"/>
        <v>0</v>
      </c>
      <c r="V71" s="46">
        <f t="shared" si="131"/>
        <v>0</v>
      </c>
      <c r="W71" s="46">
        <f t="shared" si="131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31"/>
        <v>1571.4459999999999</v>
      </c>
      <c r="AH71" s="44">
        <f t="shared" si="131"/>
        <v>277.31399999999996</v>
      </c>
      <c r="AI71" s="44">
        <f t="shared" si="131"/>
        <v>462.19</v>
      </c>
      <c r="AJ71" s="45">
        <f t="shared" si="131"/>
        <v>0</v>
      </c>
      <c r="AK71" s="44">
        <f t="shared" si="131"/>
        <v>26459.562499999996</v>
      </c>
      <c r="AL71" s="44">
        <f t="shared" si="131"/>
        <v>26280.232499999995</v>
      </c>
      <c r="AM71" s="44">
        <f t="shared" si="131"/>
        <v>3153.627899999999</v>
      </c>
      <c r="AN71" s="44">
        <f t="shared" si="76"/>
        <v>29433.860399999994</v>
      </c>
      <c r="AO71" s="49">
        <f t="shared" si="131"/>
        <v>0</v>
      </c>
      <c r="AP71" s="49">
        <f t="shared" si="131"/>
        <v>70</v>
      </c>
      <c r="AQ71" s="49">
        <f t="shared" si="131"/>
        <v>0</v>
      </c>
      <c r="AR71" s="49">
        <f t="shared" si="131"/>
        <v>0</v>
      </c>
      <c r="AS71" s="49">
        <f t="shared" si="131"/>
        <v>0</v>
      </c>
      <c r="AT71" s="49">
        <f t="shared" si="131"/>
        <v>0</v>
      </c>
      <c r="AU71" s="49">
        <f>SUBTOTAL(9,AU69:AU70)</f>
        <v>0</v>
      </c>
      <c r="AV71" s="49">
        <f t="shared" si="131"/>
        <v>0</v>
      </c>
      <c r="AW71" s="49">
        <f t="shared" si="131"/>
        <v>0</v>
      </c>
      <c r="AX71" s="49">
        <f t="shared" si="131"/>
        <v>0</v>
      </c>
      <c r="AY71" s="49">
        <f t="shared" si="131"/>
        <v>0</v>
      </c>
      <c r="AZ71" s="44">
        <f t="shared" si="131"/>
        <v>70</v>
      </c>
      <c r="BA71" s="48">
        <f t="shared" si="131"/>
        <v>0</v>
      </c>
      <c r="BB71" s="48">
        <f t="shared" si="131"/>
        <v>0</v>
      </c>
      <c r="BC71" s="44">
        <f t="shared" si="131"/>
        <v>0</v>
      </c>
      <c r="BD71" s="44">
        <f t="shared" si="131"/>
        <v>0</v>
      </c>
      <c r="BE71" s="49">
        <f>SUBTOTAL(9,BE69:BE70)</f>
        <v>0</v>
      </c>
      <c r="BF71" s="49">
        <f t="shared" si="131"/>
        <v>0</v>
      </c>
      <c r="BG71" s="49">
        <f t="shared" si="131"/>
        <v>0</v>
      </c>
      <c r="BH71" s="49">
        <f t="shared" si="131"/>
        <v>0</v>
      </c>
      <c r="BI71" s="49">
        <f t="shared" si="131"/>
        <v>0</v>
      </c>
      <c r="BJ71" s="49">
        <f t="shared" si="131"/>
        <v>0</v>
      </c>
      <c r="BK71" s="49">
        <f t="shared" si="131"/>
        <v>0</v>
      </c>
      <c r="BL71" s="49">
        <f t="shared" si="131"/>
        <v>0</v>
      </c>
      <c r="BM71" s="49">
        <f t="shared" si="131"/>
        <v>0</v>
      </c>
      <c r="BN71" s="49">
        <f t="shared" si="131"/>
        <v>0</v>
      </c>
      <c r="BO71" s="49">
        <f t="shared" si="131"/>
        <v>0</v>
      </c>
      <c r="BP71" s="49"/>
      <c r="BQ71" s="44">
        <f>SUBTOTAL(9,BQ69:BQ70)</f>
        <v>70</v>
      </c>
    </row>
    <row r="72" spans="1:96" x14ac:dyDescent="0.25">
      <c r="A72" s="259">
        <f>+A69+1</f>
        <v>40534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32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SUM(BE72:BK72)*0.1+(BL72*0.5)</f>
        <v>0</v>
      </c>
      <c r="BD72" s="33">
        <f>SUM(BE72:BK72)+(BL72*0.5)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41">
        <f>AZ72+BA72+BB72+BD72-BC72</f>
        <v>0</v>
      </c>
      <c r="BS72" s="146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</row>
    <row r="73" spans="1:96" ht="16.5" customHeight="1" thickBot="1" x14ac:dyDescent="0.3">
      <c r="A73" s="260"/>
      <c r="B73" s="16" t="s">
        <v>44</v>
      </c>
      <c r="C73" s="33">
        <v>69735.62</v>
      </c>
      <c r="D73" s="34">
        <v>56246.18</v>
      </c>
      <c r="E73" s="34">
        <v>56250</v>
      </c>
      <c r="F73" s="35">
        <v>44188</v>
      </c>
      <c r="G73" s="33">
        <f>IF(E73-D73&lt;0,E73-D73,0)*-1</f>
        <v>0</v>
      </c>
      <c r="H73" s="33">
        <f>IF(E73-D73&gt;0,E73-D73,0)</f>
        <v>3.819999999999709</v>
      </c>
      <c r="I73" s="34"/>
      <c r="J73" s="34"/>
      <c r="K73" s="34">
        <v>10610.76</v>
      </c>
      <c r="L73" s="34"/>
      <c r="M73" s="36">
        <f>(+K73)*M$5</f>
        <v>228.13133999999999</v>
      </c>
      <c r="N73" s="36">
        <f>(+K73)*N$5</f>
        <v>53.053800000000003</v>
      </c>
      <c r="O73" s="36">
        <f>+K73-M73-N73+P73</f>
        <v>10329.574860000001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131.25</v>
      </c>
      <c r="AA73" s="34"/>
      <c r="AB73" s="34"/>
      <c r="AC73" s="34">
        <v>282.43</v>
      </c>
      <c r="AD73" s="38" t="s">
        <v>140</v>
      </c>
      <c r="AE73" s="38"/>
      <c r="AF73" s="34">
        <v>2870.09</v>
      </c>
      <c r="AG73" s="33">
        <f>(AF73*0.8)*0.85</f>
        <v>1951.6612</v>
      </c>
      <c r="AH73" s="33">
        <f>(AF73*0.8)*0.15</f>
        <v>344.41079999999999</v>
      </c>
      <c r="AI73" s="33">
        <f>AF73*0.2</f>
        <v>574.01800000000003</v>
      </c>
      <c r="AJ73" s="34"/>
      <c r="AK73" s="33">
        <f>(C73-AF73-AJ73)/1.12</f>
        <v>59701.366071428565</v>
      </c>
      <c r="AL73" s="33">
        <f>AK73-SUM(Y73:AC73)</f>
        <v>59287.686071428565</v>
      </c>
      <c r="AM73" s="33">
        <f>+AL73*0.12</f>
        <v>7114.5223285714274</v>
      </c>
      <c r="AN73" s="33">
        <f t="shared" si="132"/>
        <v>66402.208399999989</v>
      </c>
      <c r="AO73" s="39"/>
      <c r="AP73" s="40"/>
      <c r="AQ73" s="40">
        <v>200</v>
      </c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200</v>
      </c>
      <c r="BA73" s="38"/>
      <c r="BB73" s="38"/>
      <c r="BC73" s="33">
        <f>SUM(BE73:BK73)*0.1+(BL73*0.5)</f>
        <v>0</v>
      </c>
      <c r="BD73" s="33">
        <f>SUM(BE73:BK73)+(BL73*0.5)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1">
        <f>AZ73+BA73+BB73+BD73-BC73</f>
        <v>200</v>
      </c>
      <c r="BS73" s="146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</row>
    <row r="74" spans="1:96" ht="15.75" thickBot="1" x14ac:dyDescent="0.3">
      <c r="A74" s="42"/>
      <c r="B74" s="43"/>
      <c r="C74" s="44">
        <f>SUBTOTAL(9,C72:C73)</f>
        <v>69735.62</v>
      </c>
      <c r="D74" s="45">
        <f>SUBTOTAL(9,D72:D73)</f>
        <v>56246.18</v>
      </c>
      <c r="E74" s="45">
        <f>SUBTOTAL(9,E72:E73)</f>
        <v>56250</v>
      </c>
      <c r="F74" s="47"/>
      <c r="G74" s="45">
        <f t="shared" ref="G74:P74" si="133">SUBTOTAL(9,G72:G73)</f>
        <v>0</v>
      </c>
      <c r="H74" s="45">
        <f t="shared" si="133"/>
        <v>3.819999999999709</v>
      </c>
      <c r="I74" s="159">
        <f t="shared" si="133"/>
        <v>0</v>
      </c>
      <c r="J74" s="159">
        <f t="shared" si="133"/>
        <v>0</v>
      </c>
      <c r="K74" s="159">
        <f t="shared" si="133"/>
        <v>10610.76</v>
      </c>
      <c r="L74" s="159">
        <f t="shared" si="133"/>
        <v>0</v>
      </c>
      <c r="M74" s="46">
        <f t="shared" si="133"/>
        <v>228.13133999999999</v>
      </c>
      <c r="N74" s="46">
        <f t="shared" si="133"/>
        <v>53.053800000000003</v>
      </c>
      <c r="O74" s="46">
        <f t="shared" si="133"/>
        <v>10329.574860000001</v>
      </c>
      <c r="P74" s="46">
        <f t="shared" si="133"/>
        <v>0</v>
      </c>
      <c r="Q74" s="47"/>
      <c r="R74" s="45">
        <f t="shared" ref="R74:BO74" si="134">SUBTOTAL(9,R72:R73)</f>
        <v>0</v>
      </c>
      <c r="S74" s="45">
        <f t="shared" si="134"/>
        <v>0</v>
      </c>
      <c r="T74" s="46">
        <f t="shared" si="134"/>
        <v>0</v>
      </c>
      <c r="U74" s="46">
        <f t="shared" si="134"/>
        <v>0</v>
      </c>
      <c r="V74" s="46">
        <f t="shared" si="134"/>
        <v>0</v>
      </c>
      <c r="W74" s="46">
        <f t="shared" si="134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34"/>
        <v>1951.6612</v>
      </c>
      <c r="AH74" s="44">
        <f t="shared" si="134"/>
        <v>344.41079999999999</v>
      </c>
      <c r="AI74" s="44">
        <f t="shared" si="134"/>
        <v>574.01800000000003</v>
      </c>
      <c r="AJ74" s="45">
        <f t="shared" si="134"/>
        <v>0</v>
      </c>
      <c r="AK74" s="44">
        <f t="shared" si="134"/>
        <v>59701.366071428565</v>
      </c>
      <c r="AL74" s="44">
        <f t="shared" si="134"/>
        <v>59287.686071428565</v>
      </c>
      <c r="AM74" s="44">
        <f t="shared" si="134"/>
        <v>7114.5223285714274</v>
      </c>
      <c r="AN74" s="44">
        <f t="shared" si="76"/>
        <v>66402.208399999989</v>
      </c>
      <c r="AO74" s="49">
        <f t="shared" si="134"/>
        <v>0</v>
      </c>
      <c r="AP74" s="49">
        <f t="shared" si="134"/>
        <v>0</v>
      </c>
      <c r="AQ74" s="49">
        <f t="shared" si="134"/>
        <v>200</v>
      </c>
      <c r="AR74" s="49">
        <f t="shared" si="134"/>
        <v>0</v>
      </c>
      <c r="AS74" s="49">
        <f t="shared" si="134"/>
        <v>0</v>
      </c>
      <c r="AT74" s="49">
        <f t="shared" si="134"/>
        <v>0</v>
      </c>
      <c r="AU74" s="49">
        <f>SUBTOTAL(9,AU72:AU73)</f>
        <v>0</v>
      </c>
      <c r="AV74" s="49">
        <f t="shared" si="134"/>
        <v>0</v>
      </c>
      <c r="AW74" s="49">
        <f t="shared" si="134"/>
        <v>0</v>
      </c>
      <c r="AX74" s="49">
        <f t="shared" si="134"/>
        <v>0</v>
      </c>
      <c r="AY74" s="49">
        <f t="shared" si="134"/>
        <v>0</v>
      </c>
      <c r="AZ74" s="44">
        <f t="shared" si="134"/>
        <v>200</v>
      </c>
      <c r="BA74" s="48">
        <f t="shared" si="134"/>
        <v>0</v>
      </c>
      <c r="BB74" s="48">
        <f t="shared" si="134"/>
        <v>0</v>
      </c>
      <c r="BC74" s="44">
        <f t="shared" si="134"/>
        <v>0</v>
      </c>
      <c r="BD74" s="44">
        <f t="shared" si="134"/>
        <v>0</v>
      </c>
      <c r="BE74" s="49">
        <f>SUBTOTAL(9,BE72:BE73)</f>
        <v>0</v>
      </c>
      <c r="BF74" s="49">
        <f t="shared" si="134"/>
        <v>0</v>
      </c>
      <c r="BG74" s="49">
        <f t="shared" si="134"/>
        <v>0</v>
      </c>
      <c r="BH74" s="49">
        <f t="shared" si="134"/>
        <v>0</v>
      </c>
      <c r="BI74" s="49">
        <f t="shared" si="134"/>
        <v>0</v>
      </c>
      <c r="BJ74" s="49">
        <f t="shared" si="134"/>
        <v>0</v>
      </c>
      <c r="BK74" s="49">
        <f t="shared" si="134"/>
        <v>0</v>
      </c>
      <c r="BL74" s="49">
        <f t="shared" si="134"/>
        <v>0</v>
      </c>
      <c r="BM74" s="49">
        <f t="shared" si="134"/>
        <v>0</v>
      </c>
      <c r="BN74" s="49">
        <f t="shared" si="134"/>
        <v>0</v>
      </c>
      <c r="BO74" s="49">
        <f t="shared" si="134"/>
        <v>0</v>
      </c>
      <c r="BP74" s="49"/>
      <c r="BQ74" s="44">
        <f>SUBTOTAL(9,BQ72:BQ73)</f>
        <v>200</v>
      </c>
    </row>
    <row r="75" spans="1:96" ht="15.75" customHeight="1" x14ac:dyDescent="0.25">
      <c r="A75" s="259">
        <f>+A72+1</f>
        <v>40535</v>
      </c>
      <c r="B75" s="16" t="s">
        <v>43</v>
      </c>
      <c r="C75" s="33"/>
      <c r="D75" s="34"/>
      <c r="E75" s="34"/>
      <c r="F75" s="35"/>
      <c r="G75" s="33">
        <f t="shared" ref="G75:G76" si="135">IF(E75-D75&lt;0,E75-D75,0)*-1</f>
        <v>0</v>
      </c>
      <c r="H75" s="33">
        <f t="shared" ref="H75:H76" si="136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SUM(BE75:BK75)*0.1+(BL75*0.5)</f>
        <v>0</v>
      </c>
      <c r="BD75" s="33">
        <f>SUM(BE75:BK75)+(BL75*0.5)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41">
        <f>AZ75+BA75+BB75+BD75-BC75</f>
        <v>0</v>
      </c>
      <c r="BS75" s="146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</row>
    <row r="76" spans="1:96" ht="15.75" thickBot="1" x14ac:dyDescent="0.3">
      <c r="A76" s="260"/>
      <c r="B76" s="16" t="s">
        <v>44</v>
      </c>
      <c r="C76" s="33">
        <v>32970.230000000003</v>
      </c>
      <c r="D76" s="34">
        <v>28653.47</v>
      </c>
      <c r="E76" s="34">
        <v>28655</v>
      </c>
      <c r="F76" s="35">
        <v>44193</v>
      </c>
      <c r="G76" s="33">
        <f t="shared" si="135"/>
        <v>0</v>
      </c>
      <c r="H76" s="33">
        <f t="shared" si="136"/>
        <v>1.5299999999988358</v>
      </c>
      <c r="I76" s="34"/>
      <c r="J76" s="34"/>
      <c r="K76" s="34">
        <v>3092.94</v>
      </c>
      <c r="L76" s="34"/>
      <c r="M76" s="36">
        <f>(+K76)*M$5</f>
        <v>66.49821</v>
      </c>
      <c r="N76" s="36">
        <f>(+K76)*N$5</f>
        <v>15.464700000000001</v>
      </c>
      <c r="O76" s="36">
        <f>+K76-M76-N76+P76</f>
        <v>3010.9770899999999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45.25</v>
      </c>
      <c r="AA76" s="34"/>
      <c r="AB76" s="34"/>
      <c r="AC76" s="34">
        <v>378.57</v>
      </c>
      <c r="AD76" s="38" t="s">
        <v>140</v>
      </c>
      <c r="AE76" s="38">
        <v>810</v>
      </c>
      <c r="AF76" s="34">
        <v>2172.37</v>
      </c>
      <c r="AG76" s="33">
        <f>(AF76*0.8)*0.85</f>
        <v>1477.2115999999999</v>
      </c>
      <c r="AH76" s="33">
        <f>(AF76*0.8)*0.15</f>
        <v>260.68439999999998</v>
      </c>
      <c r="AI76" s="33">
        <f>AF76*0.2</f>
        <v>434.47399999999999</v>
      </c>
      <c r="AJ76" s="34"/>
      <c r="AK76" s="33">
        <f>(C76-AF76-AJ76)/1.12</f>
        <v>27498.089285714286</v>
      </c>
      <c r="AL76" s="33">
        <f>AK76-SUM(Y76:AC76)</f>
        <v>27074.269285714287</v>
      </c>
      <c r="AM76" s="33">
        <f>+AL76*0.12</f>
        <v>3248.9123142857143</v>
      </c>
      <c r="AN76" s="33">
        <f>+AM76+AL76+AJ76</f>
        <v>30323.1816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41">
        <f>AZ76+BA76+BB76+BD76-BC76</f>
        <v>0</v>
      </c>
      <c r="BS76" s="146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</row>
    <row r="77" spans="1:96" ht="16.5" customHeight="1" thickBot="1" x14ac:dyDescent="0.3">
      <c r="A77" s="42"/>
      <c r="B77" s="43"/>
      <c r="C77" s="44">
        <f>SUBTOTAL(9,C75:C76)</f>
        <v>32970.230000000003</v>
      </c>
      <c r="D77" s="45">
        <f>SUBTOTAL(9,D75:D76)</f>
        <v>28653.47</v>
      </c>
      <c r="E77" s="45">
        <f>SUBTOTAL(9,E75:E76)</f>
        <v>28655</v>
      </c>
      <c r="F77" s="47"/>
      <c r="G77" s="45">
        <f t="shared" ref="G77:P77" si="137">SUBTOTAL(9,G75:G76)</f>
        <v>0</v>
      </c>
      <c r="H77" s="45">
        <f t="shared" si="137"/>
        <v>1.5299999999988358</v>
      </c>
      <c r="I77" s="45">
        <f t="shared" si="137"/>
        <v>0</v>
      </c>
      <c r="J77" s="45">
        <f t="shared" si="137"/>
        <v>0</v>
      </c>
      <c r="K77" s="159">
        <f t="shared" si="137"/>
        <v>3092.94</v>
      </c>
      <c r="L77" s="45">
        <f t="shared" si="137"/>
        <v>0</v>
      </c>
      <c r="M77" s="46">
        <f t="shared" si="137"/>
        <v>66.49821</v>
      </c>
      <c r="N77" s="46">
        <f t="shared" si="137"/>
        <v>15.464700000000001</v>
      </c>
      <c r="O77" s="46">
        <f t="shared" si="137"/>
        <v>3010.9770899999999</v>
      </c>
      <c r="P77" s="46">
        <f t="shared" si="137"/>
        <v>0</v>
      </c>
      <c r="Q77" s="116"/>
      <c r="R77" s="45">
        <f t="shared" ref="R77:BO77" si="138">SUBTOTAL(9,R75:R76)</f>
        <v>0</v>
      </c>
      <c r="S77" s="45">
        <f t="shared" si="138"/>
        <v>0</v>
      </c>
      <c r="T77" s="46">
        <f t="shared" si="138"/>
        <v>0</v>
      </c>
      <c r="U77" s="46">
        <f t="shared" si="138"/>
        <v>0</v>
      </c>
      <c r="V77" s="46">
        <f t="shared" si="138"/>
        <v>0</v>
      </c>
      <c r="W77" s="46">
        <f t="shared" si="138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8"/>
        <v>1477.2115999999999</v>
      </c>
      <c r="AH77" s="44">
        <f t="shared" si="138"/>
        <v>260.68439999999998</v>
      </c>
      <c r="AI77" s="44">
        <f t="shared" si="138"/>
        <v>434.47399999999999</v>
      </c>
      <c r="AJ77" s="45">
        <f t="shared" si="138"/>
        <v>0</v>
      </c>
      <c r="AK77" s="44">
        <f t="shared" si="138"/>
        <v>27498.089285714286</v>
      </c>
      <c r="AL77" s="44">
        <f t="shared" si="138"/>
        <v>27074.269285714287</v>
      </c>
      <c r="AM77" s="44">
        <f t="shared" si="138"/>
        <v>3248.9123142857143</v>
      </c>
      <c r="AN77" s="44">
        <f t="shared" ref="AN77:AN98" si="139">+AM77+AL77+AJ77</f>
        <v>30323.1816</v>
      </c>
      <c r="AO77" s="49">
        <f t="shared" si="138"/>
        <v>0</v>
      </c>
      <c r="AP77" s="49">
        <f t="shared" si="138"/>
        <v>0</v>
      </c>
      <c r="AQ77" s="49">
        <f t="shared" si="138"/>
        <v>0</v>
      </c>
      <c r="AR77" s="49">
        <f t="shared" si="138"/>
        <v>0</v>
      </c>
      <c r="AS77" s="49">
        <f t="shared" si="138"/>
        <v>0</v>
      </c>
      <c r="AT77" s="49">
        <f t="shared" si="138"/>
        <v>0</v>
      </c>
      <c r="AU77" s="49">
        <f>SUBTOTAL(9,AU75:AU76)</f>
        <v>0</v>
      </c>
      <c r="AV77" s="49">
        <f t="shared" si="138"/>
        <v>0</v>
      </c>
      <c r="AW77" s="49">
        <f t="shared" si="138"/>
        <v>0</v>
      </c>
      <c r="AX77" s="49">
        <f t="shared" si="138"/>
        <v>0</v>
      </c>
      <c r="AY77" s="49">
        <f t="shared" si="138"/>
        <v>0</v>
      </c>
      <c r="AZ77" s="44">
        <f t="shared" si="138"/>
        <v>0</v>
      </c>
      <c r="BA77" s="48">
        <f t="shared" si="138"/>
        <v>0</v>
      </c>
      <c r="BB77" s="48">
        <f t="shared" si="138"/>
        <v>0</v>
      </c>
      <c r="BC77" s="44">
        <f t="shared" si="138"/>
        <v>0</v>
      </c>
      <c r="BD77" s="44">
        <f t="shared" si="138"/>
        <v>0</v>
      </c>
      <c r="BE77" s="49">
        <f>SUBTOTAL(9,BE75:BE76)</f>
        <v>0</v>
      </c>
      <c r="BF77" s="49">
        <f t="shared" si="138"/>
        <v>0</v>
      </c>
      <c r="BG77" s="49">
        <f t="shared" si="138"/>
        <v>0</v>
      </c>
      <c r="BH77" s="49">
        <f t="shared" si="138"/>
        <v>0</v>
      </c>
      <c r="BI77" s="49">
        <f t="shared" si="138"/>
        <v>0</v>
      </c>
      <c r="BJ77" s="49">
        <f t="shared" si="138"/>
        <v>0</v>
      </c>
      <c r="BK77" s="49">
        <f t="shared" si="138"/>
        <v>0</v>
      </c>
      <c r="BL77" s="49">
        <f t="shared" si="138"/>
        <v>0</v>
      </c>
      <c r="BM77" s="49">
        <f t="shared" si="138"/>
        <v>0</v>
      </c>
      <c r="BN77" s="49">
        <f t="shared" si="138"/>
        <v>0</v>
      </c>
      <c r="BO77" s="49">
        <f t="shared" si="138"/>
        <v>0</v>
      </c>
      <c r="BP77" s="49"/>
      <c r="BQ77" s="44">
        <f>SUBTOTAL(9,BQ75:BQ76)</f>
        <v>0</v>
      </c>
    </row>
    <row r="78" spans="1:96" x14ac:dyDescent="0.25">
      <c r="A78" s="259">
        <f>+A75+1</f>
        <v>40536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SUM(BE78:BK78)*0.1+(BL78*0.5)</f>
        <v>0</v>
      </c>
      <c r="BD78" s="33">
        <f>SUM(BE78:BK78)+(BL78*0.5)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41">
        <f>AZ78+BA78+BB78+BD78-BC78</f>
        <v>0</v>
      </c>
      <c r="BS78" s="146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</row>
    <row r="79" spans="1:96" ht="16.5" customHeight="1" thickBot="1" x14ac:dyDescent="0.3">
      <c r="A79" s="260"/>
      <c r="B79" s="16" t="s">
        <v>44</v>
      </c>
      <c r="C79" s="33" t="s">
        <v>139</v>
      </c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v>0</v>
      </c>
      <c r="AL79" s="33">
        <f>AK79-SUM(Y79:AC79)</f>
        <v>0</v>
      </c>
      <c r="AM79" s="33">
        <f>+AL79*0.12</f>
        <v>0</v>
      </c>
      <c r="AN79" s="33">
        <f>+AM79+AL79+AJ79</f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1">
        <f>AZ79+BA79+BB79+BD79-BC79</f>
        <v>0</v>
      </c>
      <c r="BS79" s="146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</row>
    <row r="80" spans="1:96" ht="15.75" thickBot="1" x14ac:dyDescent="0.3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47"/>
      <c r="G80" s="45">
        <f t="shared" ref="G80:P80" si="140">SUBTOTAL(9,G78:G79)</f>
        <v>0</v>
      </c>
      <c r="H80" s="45">
        <f t="shared" si="140"/>
        <v>0</v>
      </c>
      <c r="I80" s="45"/>
      <c r="J80" s="45">
        <f t="shared" si="140"/>
        <v>0</v>
      </c>
      <c r="K80" s="159">
        <f t="shared" si="140"/>
        <v>0</v>
      </c>
      <c r="L80" s="45">
        <f t="shared" si="140"/>
        <v>0</v>
      </c>
      <c r="M80" s="46">
        <f t="shared" si="140"/>
        <v>0</v>
      </c>
      <c r="N80" s="46">
        <f t="shared" si="140"/>
        <v>0</v>
      </c>
      <c r="O80" s="46">
        <f t="shared" si="140"/>
        <v>0</v>
      </c>
      <c r="P80" s="46">
        <f t="shared" si="140"/>
        <v>0</v>
      </c>
      <c r="Q80" s="47"/>
      <c r="R80" s="45">
        <f t="shared" ref="R80:BO80" si="141">SUBTOTAL(9,R78:R79)</f>
        <v>0</v>
      </c>
      <c r="S80" s="45">
        <f t="shared" si="141"/>
        <v>0</v>
      </c>
      <c r="T80" s="46">
        <f t="shared" si="141"/>
        <v>0</v>
      </c>
      <c r="U80" s="46">
        <f t="shared" si="141"/>
        <v>0</v>
      </c>
      <c r="V80" s="46">
        <f t="shared" si="141"/>
        <v>0</v>
      </c>
      <c r="W80" s="46">
        <f t="shared" si="141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41"/>
        <v>0</v>
      </c>
      <c r="AH80" s="44">
        <f t="shared" si="141"/>
        <v>0</v>
      </c>
      <c r="AI80" s="44">
        <f t="shared" si="141"/>
        <v>0</v>
      </c>
      <c r="AJ80" s="45">
        <f t="shared" si="141"/>
        <v>0</v>
      </c>
      <c r="AK80" s="44">
        <f t="shared" si="141"/>
        <v>0</v>
      </c>
      <c r="AL80" s="44">
        <f t="shared" si="141"/>
        <v>0</v>
      </c>
      <c r="AM80" s="44">
        <f t="shared" si="141"/>
        <v>0</v>
      </c>
      <c r="AN80" s="44">
        <f t="shared" si="139"/>
        <v>0</v>
      </c>
      <c r="AO80" s="49">
        <f t="shared" si="141"/>
        <v>0</v>
      </c>
      <c r="AP80" s="49">
        <f t="shared" si="141"/>
        <v>0</v>
      </c>
      <c r="AQ80" s="49">
        <f t="shared" si="141"/>
        <v>0</v>
      </c>
      <c r="AR80" s="49">
        <f t="shared" si="141"/>
        <v>0</v>
      </c>
      <c r="AS80" s="49">
        <f t="shared" si="141"/>
        <v>0</v>
      </c>
      <c r="AT80" s="49">
        <f t="shared" si="141"/>
        <v>0</v>
      </c>
      <c r="AU80" s="49">
        <f>SUBTOTAL(9,AU78:AU79)</f>
        <v>0</v>
      </c>
      <c r="AV80" s="49">
        <f t="shared" si="141"/>
        <v>0</v>
      </c>
      <c r="AW80" s="49">
        <f t="shared" si="141"/>
        <v>0</v>
      </c>
      <c r="AX80" s="49">
        <f t="shared" si="141"/>
        <v>0</v>
      </c>
      <c r="AY80" s="49">
        <f t="shared" si="141"/>
        <v>0</v>
      </c>
      <c r="AZ80" s="44">
        <f t="shared" si="141"/>
        <v>0</v>
      </c>
      <c r="BA80" s="48">
        <f t="shared" si="141"/>
        <v>0</v>
      </c>
      <c r="BB80" s="48">
        <f t="shared" si="141"/>
        <v>0</v>
      </c>
      <c r="BC80" s="44">
        <f t="shared" si="141"/>
        <v>0</v>
      </c>
      <c r="BD80" s="44">
        <f t="shared" si="141"/>
        <v>0</v>
      </c>
      <c r="BE80" s="49">
        <f>SUBTOTAL(9,BE78:BE79)</f>
        <v>0</v>
      </c>
      <c r="BF80" s="49">
        <f t="shared" si="141"/>
        <v>0</v>
      </c>
      <c r="BG80" s="49">
        <f t="shared" si="141"/>
        <v>0</v>
      </c>
      <c r="BH80" s="49">
        <f t="shared" si="141"/>
        <v>0</v>
      </c>
      <c r="BI80" s="49">
        <f t="shared" si="141"/>
        <v>0</v>
      </c>
      <c r="BJ80" s="49">
        <f t="shared" si="141"/>
        <v>0</v>
      </c>
      <c r="BK80" s="49">
        <f t="shared" si="141"/>
        <v>0</v>
      </c>
      <c r="BL80" s="49">
        <f t="shared" si="141"/>
        <v>0</v>
      </c>
      <c r="BM80" s="49">
        <f t="shared" si="141"/>
        <v>0</v>
      </c>
      <c r="BN80" s="49">
        <f t="shared" si="141"/>
        <v>0</v>
      </c>
      <c r="BO80" s="49">
        <f t="shared" si="141"/>
        <v>0</v>
      </c>
      <c r="BP80" s="49"/>
      <c r="BQ80" s="44">
        <f>SUBTOTAL(9,BQ78:BQ79)</f>
        <v>0</v>
      </c>
    </row>
    <row r="81" spans="1:96" ht="15.75" customHeight="1" x14ac:dyDescent="0.25">
      <c r="A81" s="259">
        <f>+A78+1</f>
        <v>40537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" si="142">AK81-SUM(Y81:AC81)</f>
        <v>0</v>
      </c>
      <c r="AM81" s="33">
        <f t="shared" ref="AM81" si="143">+AL81*0.12</f>
        <v>0</v>
      </c>
      <c r="AN81" s="33">
        <f t="shared" ref="AN81" si="144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SUM(BE81:BK81)*0.1+(BL81*0.5)</f>
        <v>0</v>
      </c>
      <c r="BD81" s="33">
        <f>SUM(BE81:BK81)+(BL81*0.5)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41">
        <f>AZ81+BA81+BB81+BD81-BC81</f>
        <v>0</v>
      </c>
      <c r="BS81" s="146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</row>
    <row r="82" spans="1:96" ht="15.75" thickBot="1" x14ac:dyDescent="0.3">
      <c r="A82" s="260"/>
      <c r="B82" s="16" t="s">
        <v>44</v>
      </c>
      <c r="C82" s="33" t="s">
        <v>139</v>
      </c>
      <c r="D82" s="34"/>
      <c r="E82" s="34"/>
      <c r="F82" s="35"/>
      <c r="G82" s="33"/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195">
        <v>0</v>
      </c>
      <c r="AL82" s="195">
        <f>AK82-SUM(Y82:AC82)</f>
        <v>0</v>
      </c>
      <c r="AM82" s="195">
        <f>+AL82*0.12</f>
        <v>0</v>
      </c>
      <c r="AN82" s="195">
        <f>+AM82+AL82+AJ82</f>
        <v>0</v>
      </c>
      <c r="AO82" s="196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1">
        <f>AZ82+BA82+BB82+BD82-BC82</f>
        <v>0</v>
      </c>
      <c r="BS82" s="146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</row>
    <row r="83" spans="1:96" ht="16.5" customHeight="1" thickBot="1" x14ac:dyDescent="0.3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45">SUBTOTAL(9,G81:G82)</f>
        <v>0</v>
      </c>
      <c r="H83" s="45">
        <f t="shared" si="145"/>
        <v>0</v>
      </c>
      <c r="I83" s="45">
        <f t="shared" si="145"/>
        <v>0</v>
      </c>
      <c r="J83" s="45">
        <f t="shared" si="145"/>
        <v>0</v>
      </c>
      <c r="K83" s="159">
        <f t="shared" si="145"/>
        <v>0</v>
      </c>
      <c r="L83" s="45">
        <f t="shared" si="145"/>
        <v>0</v>
      </c>
      <c r="M83" s="46">
        <f t="shared" si="145"/>
        <v>0</v>
      </c>
      <c r="N83" s="46">
        <f t="shared" si="145"/>
        <v>0</v>
      </c>
      <c r="O83" s="46">
        <f t="shared" si="145"/>
        <v>0</v>
      </c>
      <c r="P83" s="46">
        <f t="shared" si="145"/>
        <v>0</v>
      </c>
      <c r="Q83" s="47"/>
      <c r="R83" s="45">
        <f t="shared" ref="R83:BO83" si="146">SUBTOTAL(9,R81:R82)</f>
        <v>0</v>
      </c>
      <c r="S83" s="45">
        <f t="shared" si="146"/>
        <v>0</v>
      </c>
      <c r="T83" s="46">
        <f t="shared" si="146"/>
        <v>0</v>
      </c>
      <c r="U83" s="46">
        <f t="shared" si="146"/>
        <v>0</v>
      </c>
      <c r="V83" s="46">
        <f t="shared" si="146"/>
        <v>0</v>
      </c>
      <c r="W83" s="46">
        <f t="shared" si="146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6"/>
        <v>0</v>
      </c>
      <c r="AH83" s="44">
        <f t="shared" si="146"/>
        <v>0</v>
      </c>
      <c r="AI83" s="44">
        <f t="shared" si="146"/>
        <v>0</v>
      </c>
      <c r="AJ83" s="197">
        <f t="shared" si="146"/>
        <v>0</v>
      </c>
      <c r="AK83" s="195">
        <f>(C83-AF83-AJ83)/1.12</f>
        <v>0</v>
      </c>
      <c r="AL83" s="195">
        <f>AK83-SUM(Y83:AC83)</f>
        <v>0</v>
      </c>
      <c r="AM83" s="195">
        <f>+AL83*0.12</f>
        <v>0</v>
      </c>
      <c r="AN83" s="195">
        <f>+AM83+AL83+AJ83</f>
        <v>0</v>
      </c>
      <c r="AO83" s="174">
        <f t="shared" si="146"/>
        <v>0</v>
      </c>
      <c r="AP83" s="49">
        <f t="shared" si="146"/>
        <v>0</v>
      </c>
      <c r="AQ83" s="49">
        <f t="shared" si="146"/>
        <v>0</v>
      </c>
      <c r="AR83" s="49">
        <f t="shared" si="146"/>
        <v>0</v>
      </c>
      <c r="AS83" s="49">
        <f t="shared" si="146"/>
        <v>0</v>
      </c>
      <c r="AT83" s="49">
        <f t="shared" si="146"/>
        <v>0</v>
      </c>
      <c r="AU83" s="49">
        <f>SUBTOTAL(9,AU81:AU82)</f>
        <v>0</v>
      </c>
      <c r="AV83" s="49">
        <f t="shared" si="146"/>
        <v>0</v>
      </c>
      <c r="AW83" s="49">
        <f t="shared" si="146"/>
        <v>0</v>
      </c>
      <c r="AX83" s="49">
        <f t="shared" si="146"/>
        <v>0</v>
      </c>
      <c r="AY83" s="49">
        <f t="shared" si="146"/>
        <v>0</v>
      </c>
      <c r="AZ83" s="44">
        <f t="shared" si="146"/>
        <v>0</v>
      </c>
      <c r="BA83" s="48" t="s">
        <v>1</v>
      </c>
      <c r="BB83" s="48">
        <f t="shared" si="146"/>
        <v>0</v>
      </c>
      <c r="BC83" s="44">
        <f t="shared" si="146"/>
        <v>0</v>
      </c>
      <c r="BD83" s="44">
        <f t="shared" si="146"/>
        <v>0</v>
      </c>
      <c r="BE83" s="49">
        <f>SUBTOTAL(9,BE81:BE82)</f>
        <v>0</v>
      </c>
      <c r="BF83" s="49"/>
      <c r="BG83" s="49">
        <f t="shared" si="146"/>
        <v>0</v>
      </c>
      <c r="BH83" s="49">
        <f t="shared" si="146"/>
        <v>0</v>
      </c>
      <c r="BI83" s="49">
        <f t="shared" si="146"/>
        <v>0</v>
      </c>
      <c r="BJ83" s="49">
        <f t="shared" si="146"/>
        <v>0</v>
      </c>
      <c r="BK83" s="49">
        <f t="shared" si="146"/>
        <v>0</v>
      </c>
      <c r="BL83" s="49">
        <f t="shared" si="146"/>
        <v>0</v>
      </c>
      <c r="BM83" s="49">
        <f t="shared" si="146"/>
        <v>0</v>
      </c>
      <c r="BN83" s="49">
        <f t="shared" si="146"/>
        <v>0</v>
      </c>
      <c r="BO83" s="49">
        <f t="shared" si="146"/>
        <v>0</v>
      </c>
      <c r="BP83" s="49"/>
      <c r="BQ83" s="44">
        <f>SUBTOTAL(9,BQ81:BQ82)</f>
        <v>0</v>
      </c>
    </row>
    <row r="84" spans="1:96" x14ac:dyDescent="0.25">
      <c r="A84" s="259">
        <f>+A81+1</f>
        <v>40538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SUM(BE84:BK84)*0.1+(BL84*0.5)</f>
        <v>0</v>
      </c>
      <c r="BD84" s="33">
        <f>SUM(BE84:BK84)+(BL84*0.5)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41">
        <f>AZ84+BA84+BB84+BD84-BC84</f>
        <v>0</v>
      </c>
      <c r="BS84" s="146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</row>
    <row r="85" spans="1:96" ht="16.5" customHeight="1" thickBot="1" x14ac:dyDescent="0.3">
      <c r="A85" s="260"/>
      <c r="B85" s="15" t="s">
        <v>44</v>
      </c>
      <c r="C85" s="33" t="s">
        <v>139</v>
      </c>
      <c r="D85" s="34"/>
      <c r="E85" s="34"/>
      <c r="F85" s="35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v>0</v>
      </c>
      <c r="AL85" s="33">
        <f t="shared" ref="AL85" si="147">AK85-SUM(Y85:AC85)</f>
        <v>0</v>
      </c>
      <c r="AM85" s="33">
        <f t="shared" ref="AM85" si="148">+AL85*0.12</f>
        <v>0</v>
      </c>
      <c r="AN85" s="33">
        <f t="shared" si="139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1">
        <f>AZ85+BA85+BB85+BD85-BC85</f>
        <v>0</v>
      </c>
      <c r="BS85" s="146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</row>
    <row r="86" spans="1:96" ht="15.75" thickBot="1" x14ac:dyDescent="0.3">
      <c r="A86" s="42"/>
      <c r="B86" s="43"/>
      <c r="C86" s="44">
        <f>SUBTOTAL(9,C84:C85)</f>
        <v>0</v>
      </c>
      <c r="D86" s="45">
        <f>SUBTOTAL(9,D84:D85)</f>
        <v>0</v>
      </c>
      <c r="E86" s="45">
        <f>SUBTOTAL(9,E84:E85)</f>
        <v>0</v>
      </c>
      <c r="F86" s="47"/>
      <c r="G86" s="45">
        <f t="shared" ref="G86:P86" si="149">SUBTOTAL(9,G84:G85)</f>
        <v>0</v>
      </c>
      <c r="H86" s="45">
        <f t="shared" si="149"/>
        <v>0</v>
      </c>
      <c r="I86" s="45">
        <f t="shared" si="149"/>
        <v>0</v>
      </c>
      <c r="J86" s="45">
        <f t="shared" si="149"/>
        <v>0</v>
      </c>
      <c r="K86" s="159">
        <f t="shared" si="149"/>
        <v>0</v>
      </c>
      <c r="L86" s="45">
        <f t="shared" si="149"/>
        <v>0</v>
      </c>
      <c r="M86" s="46">
        <f t="shared" si="149"/>
        <v>0</v>
      </c>
      <c r="N86" s="46">
        <f t="shared" si="149"/>
        <v>0</v>
      </c>
      <c r="O86" s="46">
        <f t="shared" si="149"/>
        <v>0</v>
      </c>
      <c r="P86" s="46">
        <f t="shared" si="149"/>
        <v>0</v>
      </c>
      <c r="Q86" s="47"/>
      <c r="R86" s="45">
        <f t="shared" ref="R86:BO86" si="150">SUBTOTAL(9,R84:R85)</f>
        <v>0</v>
      </c>
      <c r="S86" s="45">
        <f t="shared" si="150"/>
        <v>0</v>
      </c>
      <c r="T86" s="46">
        <f t="shared" si="150"/>
        <v>0</v>
      </c>
      <c r="U86" s="46">
        <f t="shared" si="150"/>
        <v>0</v>
      </c>
      <c r="V86" s="46">
        <f t="shared" si="150"/>
        <v>0</v>
      </c>
      <c r="W86" s="46">
        <f t="shared" si="150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50"/>
        <v>0</v>
      </c>
      <c r="AH86" s="44">
        <f t="shared" si="150"/>
        <v>0</v>
      </c>
      <c r="AI86" s="44">
        <f t="shared" si="150"/>
        <v>0</v>
      </c>
      <c r="AJ86" s="45">
        <f t="shared" si="150"/>
        <v>0</v>
      </c>
      <c r="AK86" s="44">
        <f t="shared" si="150"/>
        <v>0</v>
      </c>
      <c r="AL86" s="44">
        <f t="shared" si="150"/>
        <v>0</v>
      </c>
      <c r="AM86" s="44">
        <f t="shared" si="150"/>
        <v>0</v>
      </c>
      <c r="AN86" s="44">
        <f t="shared" si="139"/>
        <v>0</v>
      </c>
      <c r="AO86" s="49">
        <f t="shared" si="150"/>
        <v>0</v>
      </c>
      <c r="AP86" s="49">
        <f t="shared" si="150"/>
        <v>0</v>
      </c>
      <c r="AQ86" s="49">
        <f t="shared" si="150"/>
        <v>0</v>
      </c>
      <c r="AR86" s="49">
        <f t="shared" si="150"/>
        <v>0</v>
      </c>
      <c r="AS86" s="49">
        <f t="shared" si="150"/>
        <v>0</v>
      </c>
      <c r="AT86" s="49">
        <f t="shared" si="150"/>
        <v>0</v>
      </c>
      <c r="AU86" s="49">
        <f>SUBTOTAL(9,AU84:AU85)</f>
        <v>0</v>
      </c>
      <c r="AV86" s="49">
        <f t="shared" si="150"/>
        <v>0</v>
      </c>
      <c r="AW86" s="49">
        <f t="shared" si="150"/>
        <v>0</v>
      </c>
      <c r="AX86" s="49">
        <f t="shared" si="150"/>
        <v>0</v>
      </c>
      <c r="AY86" s="49">
        <f t="shared" si="150"/>
        <v>0</v>
      </c>
      <c r="AZ86" s="44">
        <f t="shared" si="150"/>
        <v>0</v>
      </c>
      <c r="BA86" s="48">
        <f t="shared" si="150"/>
        <v>0</v>
      </c>
      <c r="BB86" s="48">
        <f t="shared" si="150"/>
        <v>0</v>
      </c>
      <c r="BC86" s="44">
        <f t="shared" si="150"/>
        <v>0</v>
      </c>
      <c r="BD86" s="44">
        <f t="shared" si="150"/>
        <v>0</v>
      </c>
      <c r="BE86" s="49">
        <f>SUBTOTAL(9,BE84:BE85)</f>
        <v>0</v>
      </c>
      <c r="BF86" s="49">
        <f t="shared" si="150"/>
        <v>0</v>
      </c>
      <c r="BG86" s="49">
        <f t="shared" si="150"/>
        <v>0</v>
      </c>
      <c r="BH86" s="49">
        <f t="shared" si="150"/>
        <v>0</v>
      </c>
      <c r="BI86" s="49">
        <f t="shared" si="150"/>
        <v>0</v>
      </c>
      <c r="BJ86" s="49">
        <f t="shared" si="150"/>
        <v>0</v>
      </c>
      <c r="BK86" s="49">
        <f t="shared" si="150"/>
        <v>0</v>
      </c>
      <c r="BL86" s="49">
        <f t="shared" si="150"/>
        <v>0</v>
      </c>
      <c r="BM86" s="49">
        <f t="shared" si="150"/>
        <v>0</v>
      </c>
      <c r="BN86" s="49">
        <f t="shared" si="150"/>
        <v>0</v>
      </c>
      <c r="BO86" s="49">
        <f t="shared" si="150"/>
        <v>0</v>
      </c>
      <c r="BP86" s="49"/>
      <c r="BQ86" s="44">
        <f>SUBTOTAL(9,BQ84:BQ85)</f>
        <v>0</v>
      </c>
    </row>
    <row r="87" spans="1:96" ht="15.75" customHeight="1" x14ac:dyDescent="0.25">
      <c r="A87" s="259">
        <f>+A84+1</f>
        <v>40539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" si="151">(C87-AF87-AJ87)/1.12</f>
        <v>0</v>
      </c>
      <c r="AL87" s="33">
        <f t="shared" ref="AL87:AL88" si="152">AK87-SUM(Y87:AC87)</f>
        <v>0</v>
      </c>
      <c r="AM87" s="33">
        <f t="shared" ref="AM87:AM88" si="153">+AL87*0.12</f>
        <v>0</v>
      </c>
      <c r="AN87" s="33">
        <f t="shared" ref="AN87:AN88" si="154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SUM(BE87:BK87)*0.1+(BL87*0.5)</f>
        <v>0</v>
      </c>
      <c r="BD87" s="33">
        <f>SUM(BE87:BK87)+(BL87*0.5)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41">
        <f>AZ87+BA87+BB87+BD87-BC87</f>
        <v>0</v>
      </c>
      <c r="BS87" s="146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</row>
    <row r="88" spans="1:96" ht="15.75" thickBot="1" x14ac:dyDescent="0.3">
      <c r="A88" s="260"/>
      <c r="B88" s="15" t="s">
        <v>44</v>
      </c>
      <c r="C88" s="33" t="s">
        <v>138</v>
      </c>
      <c r="D88" s="34"/>
      <c r="E88" s="34"/>
      <c r="F88" s="35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v>0</v>
      </c>
      <c r="AL88" s="33">
        <f t="shared" si="152"/>
        <v>0</v>
      </c>
      <c r="AM88" s="33">
        <f t="shared" si="153"/>
        <v>0</v>
      </c>
      <c r="AN88" s="33">
        <f t="shared" si="154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41">
        <f>AZ88+BA88+BB88+BD88-BC88</f>
        <v>0</v>
      </c>
      <c r="BS88" s="146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</row>
    <row r="89" spans="1:96" ht="16.5" customHeight="1" thickBot="1" x14ac:dyDescent="0.3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47"/>
      <c r="G89" s="45">
        <f t="shared" ref="G89:P89" si="155">SUBTOTAL(9,G87:G88)</f>
        <v>0</v>
      </c>
      <c r="H89" s="45">
        <f t="shared" si="155"/>
        <v>0</v>
      </c>
      <c r="I89" s="45">
        <f t="shared" si="155"/>
        <v>0</v>
      </c>
      <c r="J89" s="45">
        <f t="shared" si="155"/>
        <v>0</v>
      </c>
      <c r="K89" s="159">
        <f t="shared" si="155"/>
        <v>0</v>
      </c>
      <c r="L89" s="45">
        <f t="shared" si="155"/>
        <v>0</v>
      </c>
      <c r="M89" s="46">
        <f t="shared" si="155"/>
        <v>0</v>
      </c>
      <c r="N89" s="46">
        <f t="shared" si="155"/>
        <v>0</v>
      </c>
      <c r="O89" s="46">
        <f t="shared" si="155"/>
        <v>0</v>
      </c>
      <c r="P89" s="46">
        <f t="shared" si="155"/>
        <v>0</v>
      </c>
      <c r="Q89" s="47"/>
      <c r="R89" s="45">
        <f t="shared" ref="R89:BO89" si="156">SUBTOTAL(9,R87:R88)</f>
        <v>0</v>
      </c>
      <c r="S89" s="45">
        <f t="shared" si="156"/>
        <v>0</v>
      </c>
      <c r="T89" s="46">
        <f t="shared" si="156"/>
        <v>0</v>
      </c>
      <c r="U89" s="46">
        <f t="shared" si="156"/>
        <v>0</v>
      </c>
      <c r="V89" s="46">
        <f t="shared" si="156"/>
        <v>0</v>
      </c>
      <c r="W89" s="46">
        <f t="shared" si="156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6"/>
        <v>0</v>
      </c>
      <c r="AH89" s="44">
        <f t="shared" si="156"/>
        <v>0</v>
      </c>
      <c r="AI89" s="44">
        <f t="shared" si="156"/>
        <v>0</v>
      </c>
      <c r="AJ89" s="45">
        <f t="shared" si="156"/>
        <v>0</v>
      </c>
      <c r="AK89" s="44">
        <f t="shared" si="156"/>
        <v>0</v>
      </c>
      <c r="AL89" s="44">
        <f t="shared" si="156"/>
        <v>0</v>
      </c>
      <c r="AM89" s="44">
        <f t="shared" si="156"/>
        <v>0</v>
      </c>
      <c r="AN89" s="44">
        <f t="shared" si="139"/>
        <v>0</v>
      </c>
      <c r="AO89" s="49">
        <f t="shared" si="156"/>
        <v>0</v>
      </c>
      <c r="AP89" s="49">
        <f t="shared" si="156"/>
        <v>0</v>
      </c>
      <c r="AQ89" s="49">
        <f t="shared" si="156"/>
        <v>0</v>
      </c>
      <c r="AR89" s="49">
        <f t="shared" si="156"/>
        <v>0</v>
      </c>
      <c r="AS89" s="49">
        <f t="shared" si="156"/>
        <v>0</v>
      </c>
      <c r="AT89" s="49">
        <f t="shared" si="156"/>
        <v>0</v>
      </c>
      <c r="AU89" s="49">
        <f>SUBTOTAL(9,AU87:AU88)</f>
        <v>0</v>
      </c>
      <c r="AV89" s="49">
        <f t="shared" si="156"/>
        <v>0</v>
      </c>
      <c r="AW89" s="49">
        <f t="shared" si="156"/>
        <v>0</v>
      </c>
      <c r="AX89" s="49">
        <f t="shared" si="156"/>
        <v>0</v>
      </c>
      <c r="AY89" s="49">
        <f t="shared" si="156"/>
        <v>0</v>
      </c>
      <c r="AZ89" s="44">
        <f t="shared" si="156"/>
        <v>0</v>
      </c>
      <c r="BA89" s="48">
        <f t="shared" si="156"/>
        <v>0</v>
      </c>
      <c r="BB89" s="48">
        <f t="shared" si="156"/>
        <v>0</v>
      </c>
      <c r="BC89" s="44">
        <f t="shared" si="156"/>
        <v>0</v>
      </c>
      <c r="BD89" s="44">
        <f t="shared" si="156"/>
        <v>0</v>
      </c>
      <c r="BE89" s="49">
        <f>SUBTOTAL(9,BE87:BE88)</f>
        <v>0</v>
      </c>
      <c r="BF89" s="49">
        <f t="shared" si="156"/>
        <v>0</v>
      </c>
      <c r="BG89" s="49">
        <f t="shared" si="156"/>
        <v>0</v>
      </c>
      <c r="BH89" s="49">
        <f t="shared" si="156"/>
        <v>0</v>
      </c>
      <c r="BI89" s="49">
        <f t="shared" si="156"/>
        <v>0</v>
      </c>
      <c r="BJ89" s="49">
        <f t="shared" si="156"/>
        <v>0</v>
      </c>
      <c r="BK89" s="49">
        <f t="shared" si="156"/>
        <v>0</v>
      </c>
      <c r="BL89" s="49">
        <f t="shared" si="156"/>
        <v>0</v>
      </c>
      <c r="BM89" s="49">
        <f t="shared" si="156"/>
        <v>0</v>
      </c>
      <c r="BN89" s="49">
        <f t="shared" si="156"/>
        <v>0</v>
      </c>
      <c r="BO89" s="49">
        <f t="shared" si="156"/>
        <v>0</v>
      </c>
      <c r="BP89" s="49"/>
      <c r="BQ89" s="44">
        <f>SUBTOTAL(9,BQ87:BQ88)</f>
        <v>0</v>
      </c>
    </row>
    <row r="90" spans="1:96" x14ac:dyDescent="0.25">
      <c r="A90" s="259">
        <f>+A87+1</f>
        <v>40540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7">(C90-AF90-AJ90)/1.12</f>
        <v>0</v>
      </c>
      <c r="AL90" s="33">
        <f t="shared" ref="AL90:AL91" si="158">AK90-SUM(Y90:AC90)</f>
        <v>0</v>
      </c>
      <c r="AM90" s="33">
        <f t="shared" ref="AM90:AM91" si="159">+AL90*0.12</f>
        <v>0</v>
      </c>
      <c r="AN90" s="33">
        <f t="shared" si="139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SUM(BE90:BK90)*0.1+(BL90*0.5)</f>
        <v>0</v>
      </c>
      <c r="BD90" s="33">
        <f>SUM(BE90:BK90)+(BL90*0.5)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41">
        <f>AZ90+BA90+BB90+BD90-BC90</f>
        <v>0</v>
      </c>
      <c r="BS90" s="146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</row>
    <row r="91" spans="1:96" ht="16.5" customHeight="1" thickBot="1" x14ac:dyDescent="0.3">
      <c r="A91" s="260"/>
      <c r="B91" s="16" t="s">
        <v>44</v>
      </c>
      <c r="C91" s="33">
        <v>15013.18</v>
      </c>
      <c r="D91" s="34">
        <v>12694.64</v>
      </c>
      <c r="E91" s="34">
        <v>12695</v>
      </c>
      <c r="F91" s="35">
        <v>44194</v>
      </c>
      <c r="G91" s="33">
        <f>IF(E91-D91&lt;0,E91-D91,0)*-1</f>
        <v>0</v>
      </c>
      <c r="H91" s="33">
        <f>IF(E91-D91&gt;0,E91-D91,0)</f>
        <v>0.36000000000058208</v>
      </c>
      <c r="I91" s="34"/>
      <c r="J91" s="34"/>
      <c r="K91" s="34">
        <v>1170.98</v>
      </c>
      <c r="L91" s="34"/>
      <c r="M91" s="36">
        <f>(+K91)*M$5</f>
        <v>25.176069999999999</v>
      </c>
      <c r="N91" s="36">
        <f>(+K91)*N$5</f>
        <v>5.8548999999999998</v>
      </c>
      <c r="O91" s="36">
        <f>+K91-M91-N91+P91</f>
        <v>1139.94903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43</v>
      </c>
      <c r="AA91" s="34"/>
      <c r="AB91" s="34"/>
      <c r="AC91" s="34">
        <v>224.56</v>
      </c>
      <c r="AD91" s="38" t="s">
        <v>140</v>
      </c>
      <c r="AE91" s="38">
        <v>880</v>
      </c>
      <c r="AF91" s="34">
        <v>1042.9100000000001</v>
      </c>
      <c r="AG91" s="33">
        <f>(AF91*0.8)*0.85</f>
        <v>709.17880000000002</v>
      </c>
      <c r="AH91" s="33">
        <f>(AF91*0.8)*0.15</f>
        <v>125.14920000000001</v>
      </c>
      <c r="AI91" s="33">
        <f>AF91*0.2</f>
        <v>208.58200000000002</v>
      </c>
      <c r="AJ91" s="34"/>
      <c r="AK91" s="33">
        <f t="shared" si="157"/>
        <v>12473.455357142857</v>
      </c>
      <c r="AL91" s="33">
        <f t="shared" si="158"/>
        <v>12205.895357142857</v>
      </c>
      <c r="AM91" s="33">
        <f t="shared" si="159"/>
        <v>1464.7074428571427</v>
      </c>
      <c r="AN91" s="33">
        <f t="shared" si="139"/>
        <v>13670.602800000001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1">
        <f>AZ91+BA91+BB91+BD91-BC91</f>
        <v>0</v>
      </c>
      <c r="BS91" s="146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</row>
    <row r="92" spans="1:96" ht="15.75" thickBot="1" x14ac:dyDescent="0.3">
      <c r="A92" s="42"/>
      <c r="B92" s="43"/>
      <c r="C92" s="44">
        <f>SUBTOTAL(9,C90:C91)</f>
        <v>15013.18</v>
      </c>
      <c r="D92" s="45">
        <f>SUBTOTAL(9,D90:D91)</f>
        <v>12694.64</v>
      </c>
      <c r="E92" s="45">
        <f>SUBTOTAL(9,E90:E91)</f>
        <v>12695</v>
      </c>
      <c r="F92" s="47"/>
      <c r="G92" s="45">
        <f t="shared" ref="G92:P92" si="160">SUBTOTAL(9,G90:G91)</f>
        <v>0</v>
      </c>
      <c r="H92" s="45">
        <f t="shared" si="160"/>
        <v>0.36000000000058208</v>
      </c>
      <c r="I92" s="45">
        <f t="shared" si="160"/>
        <v>0</v>
      </c>
      <c r="J92" s="45">
        <f t="shared" si="160"/>
        <v>0</v>
      </c>
      <c r="K92" s="159">
        <f t="shared" si="160"/>
        <v>1170.98</v>
      </c>
      <c r="L92" s="45">
        <f t="shared" si="160"/>
        <v>0</v>
      </c>
      <c r="M92" s="46">
        <f t="shared" si="160"/>
        <v>25.176069999999999</v>
      </c>
      <c r="N92" s="46">
        <f t="shared" si="160"/>
        <v>5.8548999999999998</v>
      </c>
      <c r="O92" s="46">
        <f t="shared" si="160"/>
        <v>1139.94903</v>
      </c>
      <c r="P92" s="46">
        <f t="shared" si="160"/>
        <v>0</v>
      </c>
      <c r="Q92" s="47"/>
      <c r="R92" s="45">
        <f t="shared" ref="R92:BO92" si="161">SUBTOTAL(9,R90:R91)</f>
        <v>0</v>
      </c>
      <c r="S92" s="45">
        <f t="shared" si="161"/>
        <v>0</v>
      </c>
      <c r="T92" s="46">
        <f t="shared" si="161"/>
        <v>0</v>
      </c>
      <c r="U92" s="46">
        <f t="shared" si="161"/>
        <v>0</v>
      </c>
      <c r="V92" s="46">
        <f t="shared" si="161"/>
        <v>0</v>
      </c>
      <c r="W92" s="46">
        <f t="shared" si="161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61"/>
        <v>709.17880000000002</v>
      </c>
      <c r="AH92" s="44">
        <f t="shared" si="161"/>
        <v>125.14920000000001</v>
      </c>
      <c r="AI92" s="44">
        <f t="shared" si="161"/>
        <v>208.58200000000002</v>
      </c>
      <c r="AJ92" s="45">
        <f t="shared" si="161"/>
        <v>0</v>
      </c>
      <c r="AK92" s="44">
        <f t="shared" si="161"/>
        <v>12473.455357142857</v>
      </c>
      <c r="AL92" s="44">
        <f t="shared" si="161"/>
        <v>12205.895357142857</v>
      </c>
      <c r="AM92" s="44">
        <f t="shared" si="161"/>
        <v>1464.7074428571427</v>
      </c>
      <c r="AN92" s="44">
        <f t="shared" si="139"/>
        <v>13670.602800000001</v>
      </c>
      <c r="AO92" s="49">
        <f t="shared" si="161"/>
        <v>0</v>
      </c>
      <c r="AP92" s="49">
        <f t="shared" si="161"/>
        <v>0</v>
      </c>
      <c r="AQ92" s="49">
        <f t="shared" si="161"/>
        <v>0</v>
      </c>
      <c r="AR92" s="49">
        <f t="shared" si="161"/>
        <v>0</v>
      </c>
      <c r="AS92" s="49">
        <f t="shared" si="161"/>
        <v>0</v>
      </c>
      <c r="AT92" s="49">
        <f t="shared" si="161"/>
        <v>0</v>
      </c>
      <c r="AU92" s="49">
        <f>SUBTOTAL(9,AU90:AU91)</f>
        <v>0</v>
      </c>
      <c r="AV92" s="49">
        <f t="shared" si="161"/>
        <v>0</v>
      </c>
      <c r="AW92" s="49">
        <f t="shared" si="161"/>
        <v>0</v>
      </c>
      <c r="AX92" s="49">
        <f t="shared" si="161"/>
        <v>0</v>
      </c>
      <c r="AY92" s="49">
        <f t="shared" si="161"/>
        <v>0</v>
      </c>
      <c r="AZ92" s="44">
        <f t="shared" si="161"/>
        <v>0</v>
      </c>
      <c r="BA92" s="48">
        <f t="shared" si="161"/>
        <v>0</v>
      </c>
      <c r="BB92" s="48">
        <f t="shared" si="161"/>
        <v>0</v>
      </c>
      <c r="BC92" s="44">
        <f t="shared" si="161"/>
        <v>0</v>
      </c>
      <c r="BD92" s="44">
        <f t="shared" si="161"/>
        <v>0</v>
      </c>
      <c r="BE92" s="49">
        <f>SUBTOTAL(9,BE90:BE91)</f>
        <v>0</v>
      </c>
      <c r="BF92" s="49">
        <f t="shared" si="161"/>
        <v>0</v>
      </c>
      <c r="BG92" s="49">
        <f t="shared" si="161"/>
        <v>0</v>
      </c>
      <c r="BH92" s="49">
        <f t="shared" si="161"/>
        <v>0</v>
      </c>
      <c r="BI92" s="49">
        <f t="shared" si="161"/>
        <v>0</v>
      </c>
      <c r="BJ92" s="49">
        <f t="shared" si="161"/>
        <v>0</v>
      </c>
      <c r="BK92" s="49">
        <f t="shared" si="161"/>
        <v>0</v>
      </c>
      <c r="BL92" s="49">
        <f t="shared" si="161"/>
        <v>0</v>
      </c>
      <c r="BM92" s="49">
        <f t="shared" si="161"/>
        <v>0</v>
      </c>
      <c r="BN92" s="49">
        <f t="shared" si="161"/>
        <v>0</v>
      </c>
      <c r="BO92" s="49">
        <f t="shared" si="161"/>
        <v>0</v>
      </c>
      <c r="BP92" s="49"/>
      <c r="BQ92" s="44">
        <f>SUBTOTAL(9,BQ90:BQ91)</f>
        <v>0</v>
      </c>
    </row>
    <row r="93" spans="1:96" ht="15.75" customHeight="1" x14ac:dyDescent="0.25">
      <c r="A93" s="259">
        <f>+A90+1</f>
        <v>40541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62">(C93-AF93-AJ93)/1.12</f>
        <v>0</v>
      </c>
      <c r="AL93" s="33">
        <f t="shared" ref="AL93:AL94" si="163">AK93-SUM(Y93:AC93)</f>
        <v>0</v>
      </c>
      <c r="AM93" s="33">
        <f t="shared" ref="AM93:AM94" si="164">+AL93*0.12</f>
        <v>0</v>
      </c>
      <c r="AN93" s="33">
        <f t="shared" ref="AN93:AN94" si="165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SUM(BE93:BK93)*0.1+(BL93*0.5)</f>
        <v>0</v>
      </c>
      <c r="BD93" s="33">
        <f>SUM(BE93:BK93)+(BL93*0.5)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41">
        <f>AZ93+BA93+BB93+BD93-BC93</f>
        <v>0</v>
      </c>
      <c r="BS93" s="146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</row>
    <row r="94" spans="1:96" ht="15.75" thickBot="1" x14ac:dyDescent="0.3">
      <c r="A94" s="260"/>
      <c r="B94" s="16" t="s">
        <v>44</v>
      </c>
      <c r="C94" s="33">
        <v>34015.760000000002</v>
      </c>
      <c r="D94" s="34">
        <v>26686.37</v>
      </c>
      <c r="E94" s="34">
        <v>26686.5</v>
      </c>
      <c r="F94" s="35">
        <v>44200</v>
      </c>
      <c r="G94" s="33">
        <f>IF(E94-D94&lt;0,E94-D94,0)*-1</f>
        <v>0</v>
      </c>
      <c r="H94" s="33">
        <f>IF(E94-D94&gt;0,E94-D94,0)</f>
        <v>0.13000000000101863</v>
      </c>
      <c r="I94" s="34"/>
      <c r="J94" s="34"/>
      <c r="K94" s="34">
        <v>6411.95</v>
      </c>
      <c r="L94" s="34"/>
      <c r="M94" s="36">
        <f>(+K94)*M$5</f>
        <v>137.85692499999999</v>
      </c>
      <c r="N94" s="36">
        <f>(+K94)*N$5</f>
        <v>32.059750000000001</v>
      </c>
      <c r="O94" s="36">
        <f>+K94-M94-N94+P94</f>
        <v>6242.0333249999994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14.25</v>
      </c>
      <c r="AA94" s="34">
        <v>93.5</v>
      </c>
      <c r="AB94" s="34"/>
      <c r="AC94" s="34">
        <v>439.69</v>
      </c>
      <c r="AD94" s="38" t="s">
        <v>140</v>
      </c>
      <c r="AE94" s="38">
        <v>370</v>
      </c>
      <c r="AF94" s="34">
        <v>1774.59</v>
      </c>
      <c r="AG94" s="33">
        <f>(AF94*0.8)*0.85</f>
        <v>1206.7212</v>
      </c>
      <c r="AH94" s="33">
        <f>(AF94*0.8)*0.15</f>
        <v>212.95079999999999</v>
      </c>
      <c r="AI94" s="33">
        <f>AF94*0.2</f>
        <v>354.91800000000001</v>
      </c>
      <c r="AJ94" s="34"/>
      <c r="AK94" s="33">
        <f t="shared" si="162"/>
        <v>28786.758928571428</v>
      </c>
      <c r="AL94" s="33">
        <f t="shared" si="163"/>
        <v>28239.318928571429</v>
      </c>
      <c r="AM94" s="33">
        <f t="shared" si="164"/>
        <v>3388.7182714285714</v>
      </c>
      <c r="AN94" s="33">
        <f t="shared" si="165"/>
        <v>31628.037199999999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1">
        <f>AZ94+BA94+BB94+BD94-BC94</f>
        <v>0</v>
      </c>
      <c r="BS94" s="146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</row>
    <row r="95" spans="1:96" ht="16.5" customHeight="1" thickBot="1" x14ac:dyDescent="0.3">
      <c r="A95" s="42"/>
      <c r="B95" s="43"/>
      <c r="C95" s="44">
        <f>SUBTOTAL(9,C93:C94)</f>
        <v>34015.760000000002</v>
      </c>
      <c r="D95" s="159">
        <f>SUBTOTAL(9,D93:D94)</f>
        <v>26686.37</v>
      </c>
      <c r="E95" s="45">
        <f>SUBTOTAL(9,E93:E94)</f>
        <v>26686.5</v>
      </c>
      <c r="F95" s="47"/>
      <c r="G95" s="45">
        <f t="shared" ref="G95:P95" si="166">SUBTOTAL(9,G93:G94)</f>
        <v>0</v>
      </c>
      <c r="H95" s="45">
        <f t="shared" si="166"/>
        <v>0.13000000000101863</v>
      </c>
      <c r="I95" s="45">
        <f t="shared" si="166"/>
        <v>0</v>
      </c>
      <c r="J95" s="45">
        <f t="shared" si="166"/>
        <v>0</v>
      </c>
      <c r="K95" s="159">
        <f t="shared" si="166"/>
        <v>6411.95</v>
      </c>
      <c r="L95" s="45">
        <f t="shared" si="166"/>
        <v>0</v>
      </c>
      <c r="M95" s="46">
        <f t="shared" si="166"/>
        <v>137.85692499999999</v>
      </c>
      <c r="N95" s="46">
        <f t="shared" si="166"/>
        <v>32.059750000000001</v>
      </c>
      <c r="O95" s="46">
        <f t="shared" si="166"/>
        <v>6242.0333249999994</v>
      </c>
      <c r="P95" s="46">
        <f t="shared" si="166"/>
        <v>0</v>
      </c>
      <c r="Q95" s="47"/>
      <c r="R95" s="45">
        <f t="shared" ref="R95:BO95" si="167">SUBTOTAL(9,R93:R94)</f>
        <v>0</v>
      </c>
      <c r="S95" s="45">
        <f t="shared" si="167"/>
        <v>0</v>
      </c>
      <c r="T95" s="46">
        <f t="shared" si="167"/>
        <v>0</v>
      </c>
      <c r="U95" s="46">
        <f t="shared" si="167"/>
        <v>0</v>
      </c>
      <c r="V95" s="46">
        <f t="shared" si="167"/>
        <v>0</v>
      </c>
      <c r="W95" s="46">
        <f t="shared" si="167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7"/>
        <v>1206.7212</v>
      </c>
      <c r="AH95" s="44">
        <f t="shared" si="167"/>
        <v>212.95079999999999</v>
      </c>
      <c r="AI95" s="44">
        <f t="shared" si="167"/>
        <v>354.91800000000001</v>
      </c>
      <c r="AJ95" s="45">
        <f t="shared" si="167"/>
        <v>0</v>
      </c>
      <c r="AK95" s="44">
        <f t="shared" si="167"/>
        <v>28786.758928571428</v>
      </c>
      <c r="AL95" s="44">
        <f t="shared" si="167"/>
        <v>28239.318928571429</v>
      </c>
      <c r="AM95" s="44">
        <f t="shared" si="167"/>
        <v>3388.7182714285714</v>
      </c>
      <c r="AN95" s="44">
        <f t="shared" si="139"/>
        <v>31628.037199999999</v>
      </c>
      <c r="AO95" s="49">
        <f t="shared" si="167"/>
        <v>0</v>
      </c>
      <c r="AP95" s="49">
        <f t="shared" si="167"/>
        <v>0</v>
      </c>
      <c r="AQ95" s="49">
        <f t="shared" si="167"/>
        <v>0</v>
      </c>
      <c r="AR95" s="49">
        <f t="shared" si="167"/>
        <v>0</v>
      </c>
      <c r="AS95" s="49">
        <f t="shared" si="167"/>
        <v>0</v>
      </c>
      <c r="AT95" s="49">
        <f t="shared" si="167"/>
        <v>0</v>
      </c>
      <c r="AU95" s="49">
        <f>SUBTOTAL(9,AU93:AU94)</f>
        <v>0</v>
      </c>
      <c r="AV95" s="49">
        <f t="shared" si="167"/>
        <v>0</v>
      </c>
      <c r="AW95" s="49">
        <f t="shared" si="167"/>
        <v>0</v>
      </c>
      <c r="AX95" s="49">
        <f t="shared" si="167"/>
        <v>0</v>
      </c>
      <c r="AY95" s="49">
        <f t="shared" si="167"/>
        <v>0</v>
      </c>
      <c r="AZ95" s="44">
        <f t="shared" si="167"/>
        <v>0</v>
      </c>
      <c r="BA95" s="48">
        <f t="shared" si="167"/>
        <v>0</v>
      </c>
      <c r="BB95" s="48">
        <f t="shared" si="167"/>
        <v>0</v>
      </c>
      <c r="BC95" s="44">
        <f t="shared" si="167"/>
        <v>0</v>
      </c>
      <c r="BD95" s="44">
        <f t="shared" si="167"/>
        <v>0</v>
      </c>
      <c r="BE95" s="49">
        <f>SUBTOTAL(9,BE93:BE94)</f>
        <v>0</v>
      </c>
      <c r="BF95" s="49">
        <f t="shared" si="167"/>
        <v>0</v>
      </c>
      <c r="BG95" s="49">
        <f t="shared" si="167"/>
        <v>0</v>
      </c>
      <c r="BH95" s="49">
        <f t="shared" si="167"/>
        <v>0</v>
      </c>
      <c r="BI95" s="49">
        <f t="shared" si="167"/>
        <v>0</v>
      </c>
      <c r="BJ95" s="49">
        <f t="shared" si="167"/>
        <v>0</v>
      </c>
      <c r="BK95" s="49">
        <f t="shared" si="167"/>
        <v>0</v>
      </c>
      <c r="BL95" s="49">
        <f t="shared" si="167"/>
        <v>0</v>
      </c>
      <c r="BM95" s="49">
        <f t="shared" si="167"/>
        <v>0</v>
      </c>
      <c r="BN95" s="49">
        <f t="shared" si="167"/>
        <v>0</v>
      </c>
      <c r="BO95" s="49">
        <f t="shared" si="167"/>
        <v>0</v>
      </c>
      <c r="BP95" s="49"/>
      <c r="BQ95" s="44">
        <f>SUBTOTAL(9,BQ93:BQ94)</f>
        <v>0</v>
      </c>
    </row>
    <row r="96" spans="1:96" x14ac:dyDescent="0.25">
      <c r="A96" s="265">
        <f>+A93+1</f>
        <v>40542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" si="168">(C96-AF96-AJ96)/1.12</f>
        <v>0</v>
      </c>
      <c r="AL96" s="33">
        <f t="shared" ref="AL96" si="169">AK96-SUM(Y96:AC96)</f>
        <v>0</v>
      </c>
      <c r="AM96" s="33">
        <f t="shared" ref="AM96:AM97" si="170">+AL96*0.12</f>
        <v>0</v>
      </c>
      <c r="AN96" s="33">
        <f t="shared" si="139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SUM(BE96:BK96)*0.1+(BL96*0.5)</f>
        <v>0</v>
      </c>
      <c r="BD96" s="33">
        <f>SUM(BE96:BK96)+(BL96*0.5)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41">
        <f>AZ96+BA96+BB96+BD96-BC96</f>
        <v>0</v>
      </c>
      <c r="BS96" s="146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</row>
    <row r="97" spans="1:96" ht="16.5" customHeight="1" thickBot="1" x14ac:dyDescent="0.3">
      <c r="A97" s="259"/>
      <c r="B97" s="16" t="s">
        <v>44</v>
      </c>
      <c r="C97" s="33" t="s">
        <v>139</v>
      </c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v>0</v>
      </c>
      <c r="AL97" s="33">
        <v>0</v>
      </c>
      <c r="AM97" s="33">
        <f t="shared" si="170"/>
        <v>0</v>
      </c>
      <c r="AN97" s="33">
        <f t="shared" si="139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1">
        <f>AZ97+BA97+BB97+BD97-BC97</f>
        <v>0</v>
      </c>
      <c r="BS97" s="146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</row>
    <row r="98" spans="1:96" ht="15.75" thickBot="1" x14ac:dyDescent="0.3">
      <c r="A98" s="157"/>
      <c r="B98" s="43"/>
      <c r="C98" s="44"/>
      <c r="D98" s="45">
        <f>SUBTOTAL(9,D96:D97)</f>
        <v>0</v>
      </c>
      <c r="E98" s="45">
        <f>SUBTOTAL(9,E96:E97)</f>
        <v>0</v>
      </c>
      <c r="F98" s="47"/>
      <c r="G98" s="45">
        <f t="shared" ref="G98:P98" si="171">SUBTOTAL(9,G96:G97)</f>
        <v>0</v>
      </c>
      <c r="H98" s="45">
        <f t="shared" si="171"/>
        <v>0</v>
      </c>
      <c r="I98" s="45">
        <f t="shared" si="171"/>
        <v>0</v>
      </c>
      <c r="J98" s="45">
        <f t="shared" si="171"/>
        <v>0</v>
      </c>
      <c r="K98" s="159">
        <f t="shared" si="171"/>
        <v>0</v>
      </c>
      <c r="L98" s="45">
        <f t="shared" si="171"/>
        <v>0</v>
      </c>
      <c r="M98" s="46">
        <f t="shared" si="171"/>
        <v>0</v>
      </c>
      <c r="N98" s="46">
        <f t="shared" si="171"/>
        <v>0</v>
      </c>
      <c r="O98" s="46">
        <f t="shared" si="171"/>
        <v>0</v>
      </c>
      <c r="P98" s="46">
        <f t="shared" si="171"/>
        <v>0</v>
      </c>
      <c r="Q98" s="47"/>
      <c r="R98" s="45">
        <f t="shared" ref="R98:BO98" si="172">SUBTOTAL(9,R96:R97)</f>
        <v>0</v>
      </c>
      <c r="S98" s="45">
        <f t="shared" si="172"/>
        <v>0</v>
      </c>
      <c r="T98" s="46">
        <f t="shared" si="172"/>
        <v>0</v>
      </c>
      <c r="U98" s="46">
        <f t="shared" si="172"/>
        <v>0</v>
      </c>
      <c r="V98" s="46">
        <f t="shared" si="172"/>
        <v>0</v>
      </c>
      <c r="W98" s="46">
        <f t="shared" si="172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72"/>
        <v>0</v>
      </c>
      <c r="AH98" s="44">
        <f t="shared" si="172"/>
        <v>0</v>
      </c>
      <c r="AI98" s="44">
        <f t="shared" si="172"/>
        <v>0</v>
      </c>
      <c r="AJ98" s="45">
        <f t="shared" si="172"/>
        <v>0</v>
      </c>
      <c r="AK98" s="44">
        <f t="shared" si="172"/>
        <v>0</v>
      </c>
      <c r="AL98" s="44">
        <f t="shared" si="172"/>
        <v>0</v>
      </c>
      <c r="AM98" s="44">
        <f t="shared" si="172"/>
        <v>0</v>
      </c>
      <c r="AN98" s="44">
        <f t="shared" si="139"/>
        <v>0</v>
      </c>
      <c r="AO98" s="49">
        <f t="shared" si="172"/>
        <v>0</v>
      </c>
      <c r="AP98" s="49">
        <f t="shared" si="172"/>
        <v>0</v>
      </c>
      <c r="AQ98" s="49">
        <f t="shared" si="172"/>
        <v>0</v>
      </c>
      <c r="AR98" s="49">
        <f t="shared" si="172"/>
        <v>0</v>
      </c>
      <c r="AS98" s="49">
        <f t="shared" si="172"/>
        <v>0</v>
      </c>
      <c r="AT98" s="49">
        <f t="shared" si="172"/>
        <v>0</v>
      </c>
      <c r="AU98" s="49">
        <f>SUBTOTAL(9,AU96:AU97)</f>
        <v>0</v>
      </c>
      <c r="AV98" s="49">
        <f t="shared" si="172"/>
        <v>0</v>
      </c>
      <c r="AW98" s="49">
        <f t="shared" si="172"/>
        <v>0</v>
      </c>
      <c r="AX98" s="49">
        <f t="shared" si="172"/>
        <v>0</v>
      </c>
      <c r="AY98" s="49">
        <f t="shared" si="172"/>
        <v>0</v>
      </c>
      <c r="AZ98" s="44">
        <f t="shared" si="172"/>
        <v>0</v>
      </c>
      <c r="BA98" s="48">
        <f t="shared" si="172"/>
        <v>0</v>
      </c>
      <c r="BB98" s="48">
        <f t="shared" si="172"/>
        <v>0</v>
      </c>
      <c r="BC98" s="44">
        <f t="shared" si="172"/>
        <v>0</v>
      </c>
      <c r="BD98" s="44">
        <f t="shared" si="172"/>
        <v>0</v>
      </c>
      <c r="BE98" s="49">
        <f>SUBTOTAL(9,BE96:BE97)</f>
        <v>0</v>
      </c>
      <c r="BF98" s="49">
        <f t="shared" si="172"/>
        <v>0</v>
      </c>
      <c r="BG98" s="49">
        <f t="shared" si="172"/>
        <v>0</v>
      </c>
      <c r="BH98" s="49">
        <f t="shared" si="172"/>
        <v>0</v>
      </c>
      <c r="BI98" s="49">
        <f t="shared" si="172"/>
        <v>0</v>
      </c>
      <c r="BJ98" s="49">
        <f t="shared" si="172"/>
        <v>0</v>
      </c>
      <c r="BK98" s="49">
        <f t="shared" si="172"/>
        <v>0</v>
      </c>
      <c r="BL98" s="49">
        <f t="shared" si="172"/>
        <v>0</v>
      </c>
      <c r="BM98" s="49">
        <f t="shared" si="172"/>
        <v>0</v>
      </c>
      <c r="BN98" s="49">
        <f t="shared" si="172"/>
        <v>0</v>
      </c>
      <c r="BO98" s="49">
        <f t="shared" si="172"/>
        <v>0</v>
      </c>
      <c r="BP98" s="49"/>
      <c r="BQ98" s="158">
        <f>SUBTOTAL(9,BQ96:BQ97)</f>
        <v>0</v>
      </c>
    </row>
    <row r="99" spans="1:96" ht="15.75" customHeight="1" x14ac:dyDescent="0.25">
      <c r="A99" s="265"/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73">(C99-AF99-AJ99)/1.12</f>
        <v>0</v>
      </c>
      <c r="AL99" s="33">
        <f t="shared" ref="AL99" si="174">AK99-SUM(Y99:AC99)</f>
        <v>0</v>
      </c>
      <c r="AM99" s="33">
        <f t="shared" ref="AM99" si="175">+AL99*0.12</f>
        <v>0</v>
      </c>
      <c r="AN99" s="33">
        <f t="shared" ref="AN99" si="176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SUM(BE99:BK99)*0.1+(BL99*0.5)</f>
        <v>0</v>
      </c>
      <c r="BD99" s="33">
        <f>SUM(BE99:BK99)+(BL99*0.5)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41">
        <f>AZ99+BA99+BB99+BD99-BC99</f>
        <v>0</v>
      </c>
      <c r="BS99" s="146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</row>
    <row r="100" spans="1:96" ht="15.75" thickBot="1" x14ac:dyDescent="0.3">
      <c r="A100" s="261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>
        <v>0</v>
      </c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7">(C100-AF100-AJ100)/1.12</f>
        <v>0</v>
      </c>
      <c r="AL100" s="33">
        <f t="shared" ref="AL100" si="178">AK100-SUM(Y100:AC100)</f>
        <v>0</v>
      </c>
      <c r="AM100" s="33">
        <f t="shared" ref="AM100" si="179">+AL100*0.12</f>
        <v>0</v>
      </c>
      <c r="AN100" s="33">
        <f t="shared" ref="AN100" si="180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41">
        <f>AZ100+BA100+BB100+BD100-BC100</f>
        <v>0</v>
      </c>
      <c r="BS100" s="146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</row>
    <row r="101" spans="1:96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 t="shared" ref="G101:P101" si="181">SUBTOTAL(9,G99:G100)</f>
        <v>0</v>
      </c>
      <c r="H101" s="45">
        <f t="shared" si="181"/>
        <v>0</v>
      </c>
      <c r="I101" s="45">
        <f t="shared" si="181"/>
        <v>0</v>
      </c>
      <c r="J101" s="45">
        <f t="shared" si="181"/>
        <v>0</v>
      </c>
      <c r="K101" s="159">
        <f t="shared" si="181"/>
        <v>0</v>
      </c>
      <c r="L101" s="45">
        <f t="shared" si="181"/>
        <v>0</v>
      </c>
      <c r="M101" s="46">
        <f t="shared" si="181"/>
        <v>0</v>
      </c>
      <c r="N101" s="46">
        <f t="shared" si="181"/>
        <v>0</v>
      </c>
      <c r="O101" s="46">
        <f t="shared" si="181"/>
        <v>0</v>
      </c>
      <c r="P101" s="46">
        <f t="shared" si="181"/>
        <v>0</v>
      </c>
      <c r="Q101" s="47"/>
      <c r="R101" s="45">
        <f t="shared" ref="R101:W101" si="182">SUBTOTAL(9,R99:R100)</f>
        <v>0</v>
      </c>
      <c r="S101" s="45">
        <f t="shared" si="182"/>
        <v>0</v>
      </c>
      <c r="T101" s="46">
        <f t="shared" si="182"/>
        <v>0</v>
      </c>
      <c r="U101" s="46">
        <f t="shared" si="182"/>
        <v>0</v>
      </c>
      <c r="V101" s="46">
        <f t="shared" si="182"/>
        <v>0</v>
      </c>
      <c r="W101" s="46">
        <f t="shared" si="182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83">SUBTOTAL(9,AG99:AG100)</f>
        <v>0</v>
      </c>
      <c r="AH101" s="44">
        <f t="shared" si="183"/>
        <v>0</v>
      </c>
      <c r="AI101" s="44">
        <f t="shared" si="183"/>
        <v>0</v>
      </c>
      <c r="AJ101" s="45">
        <f t="shared" si="183"/>
        <v>0</v>
      </c>
      <c r="AK101" s="44">
        <f t="shared" si="183"/>
        <v>0</v>
      </c>
      <c r="AL101" s="44">
        <f t="shared" si="183"/>
        <v>0</v>
      </c>
      <c r="AM101" s="44">
        <f t="shared" si="183"/>
        <v>0</v>
      </c>
      <c r="AN101" s="44">
        <f>+AM101+AL101+AJ101</f>
        <v>0</v>
      </c>
      <c r="AO101" s="49">
        <f t="shared" ref="AO101:AZ101" si="184">SUBTOTAL(9,AO99:AO100)</f>
        <v>0</v>
      </c>
      <c r="AP101" s="49">
        <f t="shared" si="184"/>
        <v>0</v>
      </c>
      <c r="AQ101" s="174">
        <f t="shared" si="184"/>
        <v>0</v>
      </c>
      <c r="AR101" s="49">
        <f t="shared" si="184"/>
        <v>0</v>
      </c>
      <c r="AS101" s="49">
        <f t="shared" si="184"/>
        <v>0</v>
      </c>
      <c r="AT101" s="49">
        <f t="shared" si="184"/>
        <v>0</v>
      </c>
      <c r="AU101" s="49">
        <f t="shared" si="184"/>
        <v>0</v>
      </c>
      <c r="AV101" s="49">
        <f t="shared" si="184"/>
        <v>0</v>
      </c>
      <c r="AW101" s="49">
        <f t="shared" si="184"/>
        <v>0</v>
      </c>
      <c r="AX101" s="49">
        <f t="shared" si="184"/>
        <v>0</v>
      </c>
      <c r="AY101" s="49">
        <f t="shared" si="184"/>
        <v>0</v>
      </c>
      <c r="AZ101" s="44">
        <f t="shared" si="184"/>
        <v>0</v>
      </c>
      <c r="BA101" s="48"/>
      <c r="BB101" s="48">
        <f t="shared" ref="BB101:BO101" si="185">SUBTOTAL(9,BB99:BB100)</f>
        <v>0</v>
      </c>
      <c r="BC101" s="44">
        <f t="shared" si="185"/>
        <v>0</v>
      </c>
      <c r="BD101" s="44">
        <f t="shared" si="185"/>
        <v>0</v>
      </c>
      <c r="BE101" s="49">
        <f t="shared" si="185"/>
        <v>0</v>
      </c>
      <c r="BF101" s="49">
        <f t="shared" si="185"/>
        <v>0</v>
      </c>
      <c r="BG101" s="49">
        <f t="shared" si="185"/>
        <v>0</v>
      </c>
      <c r="BH101" s="49">
        <f t="shared" si="185"/>
        <v>0</v>
      </c>
      <c r="BI101" s="49">
        <f t="shared" si="185"/>
        <v>0</v>
      </c>
      <c r="BJ101" s="49">
        <f t="shared" si="185"/>
        <v>0</v>
      </c>
      <c r="BK101" s="49">
        <f t="shared" si="185"/>
        <v>0</v>
      </c>
      <c r="BL101" s="49">
        <f t="shared" si="185"/>
        <v>0</v>
      </c>
      <c r="BM101" s="49">
        <f t="shared" si="185"/>
        <v>0</v>
      </c>
      <c r="BN101" s="49">
        <f t="shared" si="185"/>
        <v>0</v>
      </c>
      <c r="BO101" s="49">
        <f t="shared" si="185"/>
        <v>0</v>
      </c>
      <c r="BP101" s="49"/>
      <c r="BQ101" s="44">
        <f>SUBTOTAL(9,BQ99:BQ100)</f>
        <v>0</v>
      </c>
    </row>
    <row r="102" spans="1:96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0"/>
    </row>
    <row r="103" spans="1:96" ht="16.5" customHeight="1" thickTop="1" thickBot="1" x14ac:dyDescent="0.3">
      <c r="A103" s="56" t="s">
        <v>45</v>
      </c>
      <c r="B103" s="56"/>
      <c r="C103" s="57">
        <f>SUBTOTAL(9,C8:C102)</f>
        <v>589898.52</v>
      </c>
      <c r="D103" s="57">
        <f>SUBTOTAL(9,D8:D102)</f>
        <v>432258.22</v>
      </c>
      <c r="E103" s="57">
        <f>SUBTOTAL(9,E8:E102)</f>
        <v>432203.5</v>
      </c>
      <c r="F103" s="57"/>
      <c r="G103" s="57">
        <f t="shared" ref="G103:O103" si="186">SUBTOTAL(9,G8:G102)</f>
        <v>76.759999999998399</v>
      </c>
      <c r="H103" s="57">
        <f t="shared" si="186"/>
        <v>22.119999999995343</v>
      </c>
      <c r="I103" s="57">
        <f t="shared" si="186"/>
        <v>0</v>
      </c>
      <c r="J103" s="57">
        <f t="shared" si="186"/>
        <v>0</v>
      </c>
      <c r="K103" s="57">
        <f t="shared" si="186"/>
        <v>125378.69999999998</v>
      </c>
      <c r="L103" s="57">
        <f t="shared" si="186"/>
        <v>0</v>
      </c>
      <c r="M103" s="57">
        <f t="shared" si="186"/>
        <v>3039.2578449999996</v>
      </c>
      <c r="N103" s="57">
        <f t="shared" si="186"/>
        <v>706.80414999999994</v>
      </c>
      <c r="O103" s="57">
        <f t="shared" si="186"/>
        <v>137614.76800499999</v>
      </c>
      <c r="P103" s="57"/>
      <c r="Q103" s="57"/>
      <c r="R103" s="57">
        <f t="shared" ref="R103:W103" si="187">SUBTOTAL(9,R8:R102)</f>
        <v>0</v>
      </c>
      <c r="S103" s="57">
        <f t="shared" si="187"/>
        <v>0</v>
      </c>
      <c r="T103" s="57">
        <f t="shared" si="187"/>
        <v>0</v>
      </c>
      <c r="U103" s="57">
        <f t="shared" si="187"/>
        <v>0</v>
      </c>
      <c r="V103" s="57">
        <f t="shared" si="187"/>
        <v>0</v>
      </c>
      <c r="W103" s="57">
        <f t="shared" si="187"/>
        <v>0</v>
      </c>
      <c r="X103" s="57"/>
      <c r="Y103" s="57">
        <f>SUBTOTAL(9,Y8:Y102)</f>
        <v>0</v>
      </c>
      <c r="Z103" s="57">
        <f>SUBTOTAL(9,Z8:Z102)</f>
        <v>1556.75</v>
      </c>
      <c r="AA103" s="57">
        <f>SUBTOTAL(9,AA8:AA102)</f>
        <v>112</v>
      </c>
      <c r="AB103" s="57">
        <f>SUBTOTAL(9,AB8:AB102)</f>
        <v>17.5</v>
      </c>
      <c r="AC103" s="57">
        <f>SUBTOTAL(9,AC8:AC102)</f>
        <v>5648.3499999999985</v>
      </c>
      <c r="AD103" s="57"/>
      <c r="AE103" s="57">
        <f t="shared" ref="AE103:AK103" si="188">SUBTOTAL(9,AE8:AE102)</f>
        <v>24205</v>
      </c>
      <c r="AF103" s="57">
        <f t="shared" si="188"/>
        <v>34143.079999999994</v>
      </c>
      <c r="AG103" s="57">
        <f t="shared" si="188"/>
        <v>23217.294399999999</v>
      </c>
      <c r="AH103" s="57">
        <f t="shared" si="188"/>
        <v>4097.1696000000002</v>
      </c>
      <c r="AI103" s="57">
        <f t="shared" si="188"/>
        <v>6828.6160000000009</v>
      </c>
      <c r="AJ103" s="57">
        <f t="shared" si="188"/>
        <v>0</v>
      </c>
      <c r="AK103" s="57" t="e">
        <f t="shared" si="188"/>
        <v>#VALUE!</v>
      </c>
      <c r="AL103" s="57" t="e">
        <f>+AL11+AL14+AL17+AL20+AL23+AL26+AL29+AL32+AL35+AL38+AL41+AL44+AL47+AL50+AL53+AL56+AL59+AL62+AL65+AL68+AL71+AL74+AL77+AL80+AL83+AL86+AL89+AL92+AL95+AL98+AL100</f>
        <v>#VALUE!</v>
      </c>
      <c r="AM103" s="57" t="e">
        <f>+AM11+AM14+AM17+AM20+AM23+AM26+AM29+AM32+AM35+AM38+AM41+AM44+AM47+AM50+AM53+AM56+AM59+AM62+AM65+AM68+AM71+AM74+AM77+AM80+AM83+AM86+AM89+AM92+AM95+AM98+AM100</f>
        <v>#VALUE!</v>
      </c>
      <c r="AN103" s="57" t="e">
        <f>+AN11+AN14+AN17+AN20+AN23+AN26+AN29+AN32+AN35+AN38+AN41+AN44+AN47+AN50+AN53+AN56+AN59+AN62+AN65+AN68+AN71+AN74+AN77+AN80+AN83+AN86+AN89+AN92+AN95+AN98+AN100</f>
        <v>#VALUE!</v>
      </c>
      <c r="AO103" s="120">
        <f t="shared" ref="AO103:BO103" si="189">SUBTOTAL(9,AO8:AO102)</f>
        <v>3685</v>
      </c>
      <c r="AP103" s="120">
        <f t="shared" si="189"/>
        <v>2070</v>
      </c>
      <c r="AQ103" s="120">
        <f t="shared" si="189"/>
        <v>1120</v>
      </c>
      <c r="AR103" s="120">
        <f t="shared" si="189"/>
        <v>2090</v>
      </c>
      <c r="AS103" s="120">
        <f t="shared" si="189"/>
        <v>0</v>
      </c>
      <c r="AT103" s="120">
        <f t="shared" si="189"/>
        <v>0</v>
      </c>
      <c r="AU103" s="135">
        <f t="shared" si="189"/>
        <v>0</v>
      </c>
      <c r="AV103" s="135">
        <f t="shared" si="189"/>
        <v>0</v>
      </c>
      <c r="AW103" s="135">
        <f t="shared" si="189"/>
        <v>0</v>
      </c>
      <c r="AX103" s="135">
        <f t="shared" si="189"/>
        <v>0</v>
      </c>
      <c r="AY103" s="57">
        <f t="shared" si="189"/>
        <v>0</v>
      </c>
      <c r="AZ103" s="57">
        <f t="shared" si="189"/>
        <v>8965</v>
      </c>
      <c r="BA103" s="135">
        <f t="shared" si="189"/>
        <v>415</v>
      </c>
      <c r="BB103" s="57">
        <f t="shared" si="189"/>
        <v>0</v>
      </c>
      <c r="BC103" s="57">
        <f t="shared" si="189"/>
        <v>0</v>
      </c>
      <c r="BD103" s="57">
        <f t="shared" si="189"/>
        <v>0</v>
      </c>
      <c r="BE103" s="134">
        <f t="shared" si="189"/>
        <v>0</v>
      </c>
      <c r="BF103" s="57">
        <f t="shared" si="189"/>
        <v>0</v>
      </c>
      <c r="BG103" s="57">
        <f t="shared" si="189"/>
        <v>0</v>
      </c>
      <c r="BH103" s="57">
        <f t="shared" si="189"/>
        <v>0</v>
      </c>
      <c r="BI103" s="57">
        <f t="shared" si="189"/>
        <v>0</v>
      </c>
      <c r="BJ103" s="57">
        <f t="shared" si="189"/>
        <v>0</v>
      </c>
      <c r="BK103" s="57">
        <f t="shared" si="189"/>
        <v>0</v>
      </c>
      <c r="BL103" s="57">
        <f t="shared" si="189"/>
        <v>0</v>
      </c>
      <c r="BM103" s="57">
        <f t="shared" si="189"/>
        <v>0</v>
      </c>
      <c r="BN103" s="57">
        <f t="shared" si="189"/>
        <v>0</v>
      </c>
      <c r="BO103" s="57">
        <f t="shared" si="189"/>
        <v>0</v>
      </c>
      <c r="BP103" s="57"/>
      <c r="BQ103" s="57">
        <f>SUBTOTAL(9,BQ8:BQ102)</f>
        <v>9380</v>
      </c>
    </row>
    <row r="104" spans="1:96" ht="15.75" thickTop="1" x14ac:dyDescent="0.25">
      <c r="A104" s="4" t="s">
        <v>99</v>
      </c>
      <c r="B104" s="4"/>
      <c r="C104" s="13">
        <f>AZ103</f>
        <v>8965</v>
      </c>
      <c r="D104" s="147"/>
      <c r="G104" s="147"/>
      <c r="AK104" s="154" t="s">
        <v>118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67</v>
      </c>
      <c r="BE104" s="151">
        <f t="shared" ref="BE104:BI104" si="190">+BE11+BE14+BE17+BE20+BE23+BE26+BE29+BE32+BE35+BE38+BE41+BE44+BE47+BE50+BE53</f>
        <v>0</v>
      </c>
      <c r="BF104" s="151">
        <f t="shared" si="190"/>
        <v>0</v>
      </c>
      <c r="BG104" s="151">
        <f t="shared" si="190"/>
        <v>0</v>
      </c>
      <c r="BH104" s="151">
        <f t="shared" si="190"/>
        <v>0</v>
      </c>
      <c r="BI104" s="151">
        <f t="shared" si="190"/>
        <v>0</v>
      </c>
      <c r="BJ104" s="138"/>
      <c r="BK104" s="138"/>
      <c r="BL104" s="138"/>
      <c r="BM104" s="138"/>
      <c r="BN104" s="138"/>
      <c r="BO104" s="138"/>
      <c r="BP104" s="138"/>
      <c r="BQ104" s="147">
        <f>SUM(BE104:BO104)</f>
        <v>0</v>
      </c>
    </row>
    <row r="105" spans="1:96" ht="15.75" customHeight="1" x14ac:dyDescent="0.25">
      <c r="A105" s="4" t="s">
        <v>100</v>
      </c>
      <c r="B105" s="4"/>
      <c r="C105" s="13">
        <f>+BD103</f>
        <v>0</v>
      </c>
      <c r="D105" s="147"/>
      <c r="E105" s="147"/>
      <c r="AE105" s="136" t="s">
        <v>134</v>
      </c>
      <c r="AF105" s="147">
        <f>AE103-6750</f>
        <v>17455</v>
      </c>
      <c r="AG105" s="147">
        <f>SUM(AG94,AG91,AG76,AG73,AG70,AG64,AG61,AG58,AG55)</f>
        <v>11543.448800000002</v>
      </c>
      <c r="AK105" s="154" t="s">
        <v>119</v>
      </c>
      <c r="AL105" s="154" t="e">
        <f>+AL103</f>
        <v>#VALUE!</v>
      </c>
      <c r="AM105" s="147"/>
      <c r="AN105" s="149"/>
      <c r="AO105" s="150">
        <f t="shared" ref="AO105:AX105" si="191">+AO104-AO103</f>
        <v>115</v>
      </c>
      <c r="AP105" s="150">
        <f t="shared" si="191"/>
        <v>30</v>
      </c>
      <c r="AQ105" s="150">
        <f t="shared" si="191"/>
        <v>980</v>
      </c>
      <c r="AR105" s="150">
        <f t="shared" si="191"/>
        <v>10</v>
      </c>
      <c r="AS105" s="150">
        <f t="shared" si="191"/>
        <v>1000</v>
      </c>
      <c r="AT105" s="150">
        <f t="shared" si="191"/>
        <v>1500</v>
      </c>
      <c r="AU105" s="150">
        <f>+AU104-AU103</f>
        <v>0</v>
      </c>
      <c r="AV105" s="150">
        <f t="shared" si="191"/>
        <v>0</v>
      </c>
      <c r="AW105" s="150">
        <f t="shared" si="191"/>
        <v>1500</v>
      </c>
      <c r="AX105" s="150">
        <f t="shared" si="191"/>
        <v>1500</v>
      </c>
      <c r="BD105" s="138" t="s">
        <v>103</v>
      </c>
      <c r="BE105" s="151">
        <f>BE104*0.9</f>
        <v>0</v>
      </c>
      <c r="BF105" s="151">
        <f>BF104*0.9</f>
        <v>0</v>
      </c>
      <c r="BG105" s="151">
        <f t="shared" ref="BG105:BO105" si="192">BG104*0.9</f>
        <v>0</v>
      </c>
      <c r="BH105" s="151">
        <f t="shared" si="192"/>
        <v>0</v>
      </c>
      <c r="BI105" s="151">
        <f t="shared" si="192"/>
        <v>0</v>
      </c>
      <c r="BJ105" s="151">
        <f t="shared" si="192"/>
        <v>0</v>
      </c>
      <c r="BK105" s="151">
        <f t="shared" si="192"/>
        <v>0</v>
      </c>
      <c r="BL105" s="151">
        <f t="shared" si="192"/>
        <v>0</v>
      </c>
      <c r="BM105" s="151">
        <f t="shared" si="192"/>
        <v>0</v>
      </c>
      <c r="BN105" s="151">
        <f t="shared" si="192"/>
        <v>0</v>
      </c>
      <c r="BO105" s="151">
        <f t="shared" si="192"/>
        <v>0</v>
      </c>
      <c r="BP105" s="151"/>
      <c r="BQ105" s="147">
        <f>SUM(BE105:BO105)</f>
        <v>0</v>
      </c>
    </row>
    <row r="106" spans="1:96" ht="15.75" x14ac:dyDescent="0.25">
      <c r="A106" s="4" t="s">
        <v>101</v>
      </c>
      <c r="B106" s="4"/>
      <c r="C106" s="13">
        <f>+BC103</f>
        <v>0</v>
      </c>
      <c r="D106" s="147"/>
      <c r="AD106" s="175"/>
      <c r="AE106" s="176" t="s">
        <v>132</v>
      </c>
      <c r="AF106" s="150">
        <v>6750</v>
      </c>
      <c r="AK106" s="154" t="s">
        <v>120</v>
      </c>
      <c r="AL106" s="154">
        <f>+AJ103</f>
        <v>0</v>
      </c>
      <c r="AM106" s="148"/>
      <c r="AN106" s="149"/>
      <c r="AO106" s="150">
        <f t="shared" ref="AO106:AX106" si="193">+AO105*0.9</f>
        <v>103.5</v>
      </c>
      <c r="AP106" s="150">
        <f t="shared" si="193"/>
        <v>27</v>
      </c>
      <c r="AQ106" s="150">
        <f t="shared" si="193"/>
        <v>882</v>
      </c>
      <c r="AR106" s="150">
        <f t="shared" si="193"/>
        <v>9</v>
      </c>
      <c r="AS106" s="150">
        <f t="shared" si="193"/>
        <v>900</v>
      </c>
      <c r="AT106" s="150">
        <f t="shared" si="193"/>
        <v>1350</v>
      </c>
      <c r="AU106" s="150">
        <f>+AU105*0.9</f>
        <v>0</v>
      </c>
      <c r="AV106" s="150">
        <f t="shared" si="193"/>
        <v>0</v>
      </c>
      <c r="AW106" s="150">
        <f t="shared" si="193"/>
        <v>1350</v>
      </c>
      <c r="AX106" s="150">
        <f t="shared" si="193"/>
        <v>1350</v>
      </c>
      <c r="BD106" s="139"/>
      <c r="BE106" s="13"/>
      <c r="BF106" s="13"/>
      <c r="BG106" s="13"/>
      <c r="BH106" s="13"/>
      <c r="BI106" s="4"/>
      <c r="BJ106" s="4"/>
      <c r="BK106" s="4"/>
      <c r="BL106" s="4"/>
      <c r="BM106" s="4"/>
      <c r="BN106" s="4"/>
      <c r="BO106" s="4"/>
      <c r="BP106" s="4"/>
    </row>
    <row r="107" spans="1:96" ht="16.5" customHeight="1" thickBot="1" x14ac:dyDescent="0.3">
      <c r="A107" s="4" t="s">
        <v>34</v>
      </c>
      <c r="B107" s="4"/>
      <c r="C107" s="152">
        <f>+BA103</f>
        <v>415</v>
      </c>
      <c r="D107" s="147"/>
      <c r="E107" s="147"/>
      <c r="AK107" s="154" t="s">
        <v>121</v>
      </c>
      <c r="AL107" s="154" t="e">
        <f>+AL105+AL106</f>
        <v>#VALUE!</v>
      </c>
      <c r="AM107" s="148"/>
      <c r="AN107" s="149"/>
      <c r="BD107" s="140" t="s">
        <v>68</v>
      </c>
      <c r="BE107" s="153">
        <f t="shared" ref="BE107:BO107" si="194">BE56+BE59+BE62+BE65+BE68+BE71+BE74+BE77+BE80+BE83+BE86+BE89+BE92+BE95+BE98+BE100</f>
        <v>0</v>
      </c>
      <c r="BF107" s="153">
        <f t="shared" si="194"/>
        <v>0</v>
      </c>
      <c r="BG107" s="153" t="e">
        <f t="shared" si="194"/>
        <v>#VALUE!</v>
      </c>
      <c r="BH107" s="153">
        <f t="shared" si="194"/>
        <v>0</v>
      </c>
      <c r="BI107" s="153">
        <f t="shared" si="194"/>
        <v>0</v>
      </c>
      <c r="BJ107" s="153">
        <f t="shared" si="194"/>
        <v>0</v>
      </c>
      <c r="BK107" s="153">
        <f t="shared" si="194"/>
        <v>0</v>
      </c>
      <c r="BL107" s="153">
        <f t="shared" si="194"/>
        <v>0</v>
      </c>
      <c r="BM107" s="153">
        <f t="shared" si="194"/>
        <v>0</v>
      </c>
      <c r="BN107" s="153">
        <f t="shared" si="194"/>
        <v>0</v>
      </c>
      <c r="BO107" s="153">
        <f t="shared" si="194"/>
        <v>0</v>
      </c>
      <c r="BP107" s="153"/>
      <c r="BQ107" s="147" t="e">
        <f>SUM(BE107:BO107)</f>
        <v>#VALUE!</v>
      </c>
    </row>
    <row r="108" spans="1:96" ht="15.75" thickTop="1" x14ac:dyDescent="0.25">
      <c r="C108" s="3">
        <f>+C107+C106+C105+C104+C103</f>
        <v>599278.52</v>
      </c>
      <c r="D108" s="147"/>
      <c r="AM108" s="148"/>
      <c r="AN108" s="149"/>
      <c r="BD108" s="141" t="s">
        <v>103</v>
      </c>
      <c r="BE108" s="153">
        <f>+BE107*0.9</f>
        <v>0</v>
      </c>
      <c r="BF108" s="153">
        <f t="shared" ref="BF108:BO108" si="195">+BF107*0.9</f>
        <v>0</v>
      </c>
      <c r="BG108" s="153" t="e">
        <f t="shared" si="195"/>
        <v>#VALUE!</v>
      </c>
      <c r="BH108" s="153">
        <f t="shared" si="195"/>
        <v>0</v>
      </c>
      <c r="BI108" s="153">
        <f t="shared" si="195"/>
        <v>0</v>
      </c>
      <c r="BJ108" s="153">
        <f t="shared" si="195"/>
        <v>0</v>
      </c>
      <c r="BK108" s="153">
        <f t="shared" si="195"/>
        <v>0</v>
      </c>
      <c r="BL108" s="153">
        <f t="shared" si="195"/>
        <v>0</v>
      </c>
      <c r="BM108" s="153">
        <f t="shared" si="195"/>
        <v>0</v>
      </c>
      <c r="BN108" s="153">
        <f t="shared" si="195"/>
        <v>0</v>
      </c>
      <c r="BO108" s="153">
        <f t="shared" si="195"/>
        <v>0</v>
      </c>
      <c r="BP108" s="153"/>
      <c r="BQ108" s="147" t="e">
        <f>SUM(BE108:BO108)</f>
        <v>#VALUE!</v>
      </c>
    </row>
    <row r="109" spans="1:96" ht="15.75" customHeight="1" x14ac:dyDescent="0.25">
      <c r="D109" s="147"/>
      <c r="AM109" s="148"/>
      <c r="AN109" s="149"/>
      <c r="AR109" s="136" t="s">
        <v>130</v>
      </c>
      <c r="BD109" s="142"/>
      <c r="BE109" s="147"/>
      <c r="BF109" s="147"/>
      <c r="BG109" s="147"/>
      <c r="BH109" s="147"/>
    </row>
    <row r="110" spans="1:96" x14ac:dyDescent="0.25">
      <c r="A110" s="1" t="s">
        <v>115</v>
      </c>
      <c r="C110" s="147"/>
      <c r="D110" s="147"/>
      <c r="AM110" s="148"/>
      <c r="AN110" s="149"/>
      <c r="BD110" s="142"/>
      <c r="BE110" s="147"/>
      <c r="BF110" s="147"/>
      <c r="BG110" s="147"/>
      <c r="BH110" s="147"/>
    </row>
    <row r="111" spans="1:96" ht="15.75" customHeight="1" x14ac:dyDescent="0.25">
      <c r="D111" s="264" t="s">
        <v>107</v>
      </c>
      <c r="E111" s="264"/>
      <c r="F111" s="264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4"/>
      <c r="BJ111" s="4"/>
      <c r="BK111" s="4"/>
      <c r="BL111" s="4"/>
      <c r="BM111" s="4"/>
      <c r="BN111" s="4"/>
      <c r="BO111" s="4"/>
      <c r="BP111" s="4"/>
    </row>
    <row r="112" spans="1:96" x14ac:dyDescent="0.25">
      <c r="A112" s="136" t="s">
        <v>95</v>
      </c>
      <c r="C112" s="150"/>
      <c r="D112" s="147" t="s">
        <v>108</v>
      </c>
      <c r="E112" s="136" t="s">
        <v>109</v>
      </c>
      <c r="F112" s="136" t="s">
        <v>2</v>
      </c>
      <c r="AI112" s="147"/>
      <c r="BD112" s="142" t="s">
        <v>98</v>
      </c>
      <c r="BE112" s="150"/>
      <c r="BF112" s="150"/>
      <c r="BG112" s="150"/>
    </row>
    <row r="113" spans="1:59" ht="15.75" customHeight="1" x14ac:dyDescent="0.25">
      <c r="A113" s="136" t="s">
        <v>124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0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Q6:BQ7"/>
    <mergeCell ref="BF6:BF7"/>
    <mergeCell ref="BG6:BG7"/>
    <mergeCell ref="AK6:AK7"/>
    <mergeCell ref="BL6:BL7"/>
    <mergeCell ref="AR6:AR7"/>
    <mergeCell ref="BK6:BK7"/>
    <mergeCell ref="BE6:BE7"/>
    <mergeCell ref="BJ6:BJ7"/>
    <mergeCell ref="BI6:BI7"/>
    <mergeCell ref="BA6:BA7"/>
    <mergeCell ref="BD6:BD7"/>
    <mergeCell ref="AU6:AU7"/>
    <mergeCell ref="BP6:BP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H6:BH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40513</v>
      </c>
      <c r="C2" s="60">
        <f>'SALES SUMMARY'!A12</f>
        <v>40514</v>
      </c>
      <c r="D2" s="60">
        <f>'SALES SUMMARY'!A15</f>
        <v>40515</v>
      </c>
      <c r="E2" s="60">
        <f>'SALES SUMMARY'!A18</f>
        <v>40516</v>
      </c>
      <c r="F2" s="60">
        <f>'SALES SUMMARY'!A21</f>
        <v>40517</v>
      </c>
      <c r="G2" s="60">
        <f>'SALES SUMMARY'!A24</f>
        <v>40518</v>
      </c>
      <c r="H2" s="60">
        <f>'SALES SUMMARY'!A27</f>
        <v>40519</v>
      </c>
      <c r="I2" s="60">
        <f>'SALES SUMMARY'!A30</f>
        <v>40520</v>
      </c>
      <c r="J2" s="60">
        <f>'SALES SUMMARY'!A33</f>
        <v>40521</v>
      </c>
      <c r="K2" s="60">
        <f>'SALES SUMMARY'!A36</f>
        <v>40522</v>
      </c>
      <c r="L2" s="60">
        <f>'SALES SUMMARY'!A39</f>
        <v>40523</v>
      </c>
      <c r="M2" s="60">
        <f>'SALES SUMMARY'!A42</f>
        <v>40524</v>
      </c>
      <c r="N2" s="60">
        <f>'SALES SUMMARY'!A45</f>
        <v>40525</v>
      </c>
      <c r="O2" s="60">
        <f>'SALES SUMMARY'!A48</f>
        <v>40526</v>
      </c>
      <c r="P2" s="60">
        <f>'SALES SUMMARY'!A51</f>
        <v>40527</v>
      </c>
      <c r="Q2" s="60">
        <f>'SALES SUMMARY'!A54</f>
        <v>40528</v>
      </c>
      <c r="R2" s="60">
        <f>'SALES SUMMARY'!A57</f>
        <v>40529</v>
      </c>
      <c r="S2" s="60">
        <f>'SALES SUMMARY'!A60</f>
        <v>40530</v>
      </c>
      <c r="T2" s="60">
        <f>'SALES SUMMARY'!A63</f>
        <v>40531</v>
      </c>
      <c r="U2" s="60">
        <f>'SALES SUMMARY'!A66</f>
        <v>40532</v>
      </c>
      <c r="V2" s="60">
        <f>'SALES SUMMARY'!A69</f>
        <v>40533</v>
      </c>
      <c r="W2" s="60">
        <f>'SALES SUMMARY'!A72</f>
        <v>40534</v>
      </c>
      <c r="X2" s="60">
        <f>'SALES SUMMARY'!A75</f>
        <v>40535</v>
      </c>
      <c r="Y2" s="60">
        <f>'SALES SUMMARY'!A78</f>
        <v>40536</v>
      </c>
      <c r="Z2" s="60">
        <f>'SALES SUMMARY'!A81</f>
        <v>40537</v>
      </c>
      <c r="AA2" s="60">
        <f>'SALES SUMMARY'!A84</f>
        <v>40538</v>
      </c>
      <c r="AB2" s="60">
        <f>'SALES SUMMARY'!A87</f>
        <v>40539</v>
      </c>
      <c r="AC2" s="60">
        <f>'SALES SUMMARY'!A90</f>
        <v>40540</v>
      </c>
      <c r="AD2" s="60">
        <f>'SALES SUMMARY'!A93</f>
        <v>40541</v>
      </c>
      <c r="AE2" s="60">
        <f>'SALES SUMMARY'!A96</f>
        <v>40542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11825</v>
      </c>
      <c r="C3" s="61">
        <f>'SALES SUMMARY'!E14</f>
        <v>22446</v>
      </c>
      <c r="D3" s="61">
        <f>'SALES SUMMARY'!E17</f>
        <v>12440</v>
      </c>
      <c r="E3" s="61">
        <f>'SALES SUMMARY'!E20</f>
        <v>15791</v>
      </c>
      <c r="F3" s="61">
        <f>'SALES SUMMARY'!E23</f>
        <v>2545</v>
      </c>
      <c r="G3" s="61">
        <f>'SALES SUMMARY'!E26</f>
        <v>0</v>
      </c>
      <c r="H3" s="61">
        <f>'SALES SUMMARY'!E29</f>
        <v>12640</v>
      </c>
      <c r="I3" s="61">
        <f>'SALES SUMMARY'!E32</f>
        <v>3517</v>
      </c>
      <c r="J3" s="61">
        <f>'SALES SUMMARY'!E35</f>
        <v>18345</v>
      </c>
      <c r="K3" s="61">
        <f>'SALES SUMMARY'!E38</f>
        <v>14220</v>
      </c>
      <c r="L3" s="61">
        <f>'SALES SUMMARY'!E41</f>
        <v>27012</v>
      </c>
      <c r="M3" s="61">
        <f>'SALES SUMMARY'!E44</f>
        <v>9906</v>
      </c>
      <c r="N3" s="61">
        <f>'SALES SUMMARY'!E47</f>
        <v>0</v>
      </c>
      <c r="O3" s="61">
        <f>'SALES SUMMARY'!E50</f>
        <v>17820</v>
      </c>
      <c r="P3" s="61">
        <f>'SALES SUMMARY'!E53</f>
        <v>40470</v>
      </c>
      <c r="Q3" s="61">
        <f>'SALES SUMMARY'!E56</f>
        <v>16750</v>
      </c>
      <c r="R3" s="61">
        <f>'SALES SUMMARY'!E59</f>
        <v>31500</v>
      </c>
      <c r="S3" s="61">
        <f>'SALES SUMMARY'!E62</f>
        <v>22900</v>
      </c>
      <c r="T3" s="61">
        <f>'SALES SUMMARY'!E65</f>
        <v>3590</v>
      </c>
      <c r="U3" s="61">
        <f>'SALES SUMMARY'!E68</f>
        <v>0</v>
      </c>
      <c r="V3" s="61">
        <f>'SALES SUMMARY'!E71</f>
        <v>24200</v>
      </c>
      <c r="W3" s="61">
        <f>'SALES SUMMARY'!E74</f>
        <v>56250</v>
      </c>
      <c r="X3" s="61">
        <f>'SALES SUMMARY'!E77</f>
        <v>28655</v>
      </c>
      <c r="Y3" s="61">
        <f>'SALES SUMMARY'!E80</f>
        <v>0</v>
      </c>
      <c r="Z3" s="61">
        <f>'SALES SUMMARY'!E83</f>
        <v>0</v>
      </c>
      <c r="AA3" s="61">
        <f>'SALES SUMMARY'!E86</f>
        <v>0</v>
      </c>
      <c r="AB3" s="61">
        <f>'SALES SUMMARY'!E89</f>
        <v>0</v>
      </c>
      <c r="AC3" s="61">
        <f>'SALES SUMMARY'!E92</f>
        <v>12695</v>
      </c>
      <c r="AD3" s="61">
        <f>'SALES SUMMARY'!E95</f>
        <v>26686.5</v>
      </c>
      <c r="AE3" s="61">
        <f>'SALES SUMMARY'!E98</f>
        <v>0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-76.759999999998399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0.21999999999934516</v>
      </c>
      <c r="C6" s="61">
        <f>'SALES SUMMARY'!H14</f>
        <v>0</v>
      </c>
      <c r="D6" s="61">
        <f>'SALES SUMMARY'!H17</f>
        <v>1.6100000000005821</v>
      </c>
      <c r="E6" s="61">
        <f>'SALES SUMMARY'!H20</f>
        <v>0.62999999999919964</v>
      </c>
      <c r="F6" s="61">
        <f>'SALES SUMMARY'!H23</f>
        <v>0.26000000000021828</v>
      </c>
      <c r="G6" s="61">
        <f>'SALES SUMMARY'!H26</f>
        <v>0</v>
      </c>
      <c r="H6" s="61">
        <f>'SALES SUMMARY'!H29</f>
        <v>2.0900000000001455</v>
      </c>
      <c r="I6" s="61">
        <f>'SALES SUMMARY'!H32</f>
        <v>0.65999999999985448</v>
      </c>
      <c r="J6" s="61">
        <f>'SALES SUMMARY'!H35</f>
        <v>0.40999999999985448</v>
      </c>
      <c r="K6" s="61">
        <f>'SALES SUMMARY'!H38</f>
        <v>0.78000000000065484</v>
      </c>
      <c r="L6" s="61">
        <f>'SALES SUMMARY'!H41</f>
        <v>1.5900000000001455</v>
      </c>
      <c r="M6" s="61">
        <f>'SALES SUMMARY'!H44</f>
        <v>0</v>
      </c>
      <c r="N6" s="61">
        <f>'SALES SUMMARY'!H47</f>
        <v>0</v>
      </c>
      <c r="O6" s="61">
        <f>'SALES SUMMARY'!H50</f>
        <v>3.8600000000005821</v>
      </c>
      <c r="P6" s="61">
        <f>'SALES SUMMARY'!H53</f>
        <v>1.0899999999965075</v>
      </c>
      <c r="Q6" s="61">
        <f>'SALES SUMMARY'!H56</f>
        <v>0.18000000000029104</v>
      </c>
      <c r="R6" s="61">
        <f>'SALES SUMMARY'!H59</f>
        <v>0.18000000000029104</v>
      </c>
      <c r="S6" s="61">
        <f>'SALES SUMMARY'!H62</f>
        <v>2.0299999999988358</v>
      </c>
      <c r="T6" s="61">
        <f>'SALES SUMMARY'!H65</f>
        <v>0</v>
      </c>
      <c r="U6" s="61">
        <f>'SALES SUMMARY'!H68</f>
        <v>0</v>
      </c>
      <c r="V6" s="61">
        <f>'SALES SUMMARY'!H71</f>
        <v>0.68999999999869033</v>
      </c>
      <c r="W6" s="61">
        <f>'SALES SUMMARY'!H74</f>
        <v>3.819999999999709</v>
      </c>
      <c r="X6" s="61">
        <f>'SALES SUMMARY'!H77</f>
        <v>1.5299999999988358</v>
      </c>
      <c r="Y6" s="61">
        <f>'SALES SUMMARY'!H80</f>
        <v>0</v>
      </c>
      <c r="Z6" s="61">
        <f>'SALES SUMMARY'!H83</f>
        <v>0</v>
      </c>
      <c r="AA6" s="61">
        <f>'SALES SUMMARY'!H86</f>
        <v>0</v>
      </c>
      <c r="AB6" s="61">
        <f>'SALES SUMMARY'!H89</f>
        <v>0</v>
      </c>
      <c r="AC6" s="61">
        <f>'SALES SUMMARY'!H92</f>
        <v>0.36000000000058208</v>
      </c>
      <c r="AD6" s="61">
        <f>'SALES SUMMARY'!H95</f>
        <v>0.13000000000101863</v>
      </c>
      <c r="AE6" s="61">
        <f>'SALES SUMMARY'!H98</f>
        <v>0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-178.93224499999999</v>
      </c>
      <c r="C9" s="61">
        <f>-'SALES SUMMARY'!M14</f>
        <v>-28.316574999999997</v>
      </c>
      <c r="D9" s="61">
        <f>-'SALES SUMMARY'!M17</f>
        <v>-152.53476000000001</v>
      </c>
      <c r="E9" s="61">
        <f>-'SALES SUMMARY'!M20</f>
        <v>-162.76445999999999</v>
      </c>
      <c r="F9" s="61">
        <f>-'SALES SUMMARY'!M23</f>
        <v>-8.5307699999999986</v>
      </c>
      <c r="G9" s="61">
        <f>-'SALES SUMMARY'!M26</f>
        <v>0</v>
      </c>
      <c r="H9" s="61">
        <f>-'SALES SUMMARY'!M29</f>
        <v>-108.45976</v>
      </c>
      <c r="I9" s="61">
        <f>-'SALES SUMMARY'!M32</f>
        <v>0</v>
      </c>
      <c r="J9" s="61">
        <f>-'SALES SUMMARY'!M35</f>
        <v>-148.36354499999999</v>
      </c>
      <c r="K9" s="61">
        <f>-'SALES SUMMARY'!M38</f>
        <v>-147.39023999999998</v>
      </c>
      <c r="L9" s="61">
        <f>-'SALES SUMMARY'!M41</f>
        <v>-315.33576999999997</v>
      </c>
      <c r="M9" s="61">
        <f>-'SALES SUMMARY'!M44</f>
        <v>-53.513714999999998</v>
      </c>
      <c r="N9" s="61">
        <f>-'SALES SUMMARY'!M47</f>
        <v>0</v>
      </c>
      <c r="O9" s="61">
        <f>-'SALES SUMMARY'!M50</f>
        <v>-60.828874999999996</v>
      </c>
      <c r="P9" s="61">
        <f>-'SALES SUMMARY'!M53</f>
        <v>-115.45865499999999</v>
      </c>
      <c r="Q9" s="61">
        <f>-'SALES SUMMARY'!M56</f>
        <v>-106.46563499999999</v>
      </c>
      <c r="R9" s="61">
        <f>-'SALES SUMMARY'!M59</f>
        <v>-108.96350499999998</v>
      </c>
      <c r="S9" s="61">
        <f>-'SALES SUMMARY'!M62</f>
        <v>-379.43006499999996</v>
      </c>
      <c r="T9" s="61">
        <f>-'SALES SUMMARY'!M65</f>
        <v>0</v>
      </c>
      <c r="U9" s="61">
        <f>-'SALES SUMMARY'!M68</f>
        <v>0</v>
      </c>
      <c r="V9" s="61">
        <f>-'SALES SUMMARY'!M71</f>
        <v>-162.69093000000001</v>
      </c>
      <c r="W9" s="61">
        <f>-'SALES SUMMARY'!M74</f>
        <v>-228.13133999999999</v>
      </c>
      <c r="X9" s="61">
        <f>-'SALES SUMMARY'!M77</f>
        <v>-66.49821</v>
      </c>
      <c r="Y9" s="61">
        <f>-'SALES SUMMARY'!M80</f>
        <v>0</v>
      </c>
      <c r="Z9" s="61">
        <f>-'SALES SUMMARY'!M83</f>
        <v>0</v>
      </c>
      <c r="AA9" s="61">
        <f>-'SALES SUMMARY'!M86</f>
        <v>0</v>
      </c>
      <c r="AB9" s="61">
        <f>-'SALES SUMMARY'!M89</f>
        <v>0</v>
      </c>
      <c r="AC9" s="61">
        <f>-'SALES SUMMARY'!M92</f>
        <v>-25.176069999999999</v>
      </c>
      <c r="AD9" s="61">
        <f>-'SALES SUMMARY'!M95</f>
        <v>-137.85692499999999</v>
      </c>
      <c r="AE9" s="61">
        <f>-'SALES SUMMARY'!M98</f>
        <v>0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-41.61215</v>
      </c>
      <c r="C10" s="61">
        <f>-'SALES SUMMARY'!N14</f>
        <v>-6.5852500000000003</v>
      </c>
      <c r="D10" s="61">
        <f>-'SALES SUMMARY'!N17</f>
        <v>-35.473200000000006</v>
      </c>
      <c r="E10" s="61">
        <f>-'SALES SUMMARY'!N20</f>
        <v>-37.852199999999996</v>
      </c>
      <c r="F10" s="61">
        <f>-'SALES SUMMARY'!N23</f>
        <v>-1.9839</v>
      </c>
      <c r="G10" s="61">
        <f>-'SALES SUMMARY'!N26</f>
        <v>0</v>
      </c>
      <c r="H10" s="61">
        <f>-'SALES SUMMARY'!N29</f>
        <v>-25.223200000000002</v>
      </c>
      <c r="I10" s="61">
        <f>-'SALES SUMMARY'!N32</f>
        <v>0</v>
      </c>
      <c r="J10" s="61">
        <f>-'SALES SUMMARY'!N35</f>
        <v>-34.503149999999998</v>
      </c>
      <c r="K10" s="61">
        <f>-'SALES SUMMARY'!N38</f>
        <v>-34.276800000000001</v>
      </c>
      <c r="L10" s="61">
        <f>-'SALES SUMMARY'!N41</f>
        <v>-73.3339</v>
      </c>
      <c r="M10" s="61">
        <f>-'SALES SUMMARY'!N44</f>
        <v>-12.445050000000002</v>
      </c>
      <c r="N10" s="61">
        <f>-'SALES SUMMARY'!N47</f>
        <v>0</v>
      </c>
      <c r="O10" s="61">
        <f>-'SALES SUMMARY'!N50</f>
        <v>-14.14625</v>
      </c>
      <c r="P10" s="61">
        <f>-'SALES SUMMARY'!N53</f>
        <v>-26.850850000000001</v>
      </c>
      <c r="Q10" s="61">
        <f>-'SALES SUMMARY'!N56</f>
        <v>-24.759450000000001</v>
      </c>
      <c r="R10" s="61">
        <f>-'SALES SUMMARY'!N59</f>
        <v>-25.340350000000001</v>
      </c>
      <c r="S10" s="61">
        <f>-'SALES SUMMARY'!N62</f>
        <v>-88.239549999999994</v>
      </c>
      <c r="T10" s="61">
        <f>-'SALES SUMMARY'!N65</f>
        <v>0</v>
      </c>
      <c r="U10" s="61">
        <f>-'SALES SUMMARY'!N68</f>
        <v>0</v>
      </c>
      <c r="V10" s="61">
        <f>-'SALES SUMMARY'!N71</f>
        <v>-37.835100000000004</v>
      </c>
      <c r="W10" s="61">
        <f>-'SALES SUMMARY'!N74</f>
        <v>-53.053800000000003</v>
      </c>
      <c r="X10" s="61">
        <f>-'SALES SUMMARY'!N77</f>
        <v>-15.464700000000001</v>
      </c>
      <c r="Y10" s="61">
        <f>-'SALES SUMMARY'!N80</f>
        <v>0</v>
      </c>
      <c r="Z10" s="61">
        <f>-'SALES SUMMARY'!N83</f>
        <v>0</v>
      </c>
      <c r="AA10" s="61">
        <f>-'SALES SUMMARY'!N86</f>
        <v>0</v>
      </c>
      <c r="AB10" s="61">
        <f>-'SALES SUMMARY'!N89</f>
        <v>0</v>
      </c>
      <c r="AC10" s="61">
        <f>-'SALES SUMMARY'!N92</f>
        <v>-5.8548999999999998</v>
      </c>
      <c r="AD10" s="61">
        <f>-'SALES SUMMARY'!N95</f>
        <v>-32.059750000000001</v>
      </c>
      <c r="AE10" s="61">
        <f>-'SALES SUMMARY'!N98</f>
        <v>0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-8101.8856050000004</v>
      </c>
      <c r="C11" s="61">
        <f>-'SALES SUMMARY'!O14</f>
        <v>-1282.1481749999998</v>
      </c>
      <c r="D11" s="61">
        <f>-'SALES SUMMARY'!O17</f>
        <v>-6906.6320400000004</v>
      </c>
      <c r="E11" s="61">
        <f>-'SALES SUMMARY'!O20</f>
        <v>-7369.823339999999</v>
      </c>
      <c r="F11" s="61">
        <f>-'SALES SUMMARY'!O23</f>
        <v>-386.26532999999995</v>
      </c>
      <c r="G11" s="61">
        <f>-'SALES SUMMARY'!O26</f>
        <v>0</v>
      </c>
      <c r="H11" s="61">
        <f>-'SALES SUMMARY'!O29</f>
        <v>-4910.9570400000002</v>
      </c>
      <c r="I11" s="61">
        <f>-'SALES SUMMARY'!O32</f>
        <v>0</v>
      </c>
      <c r="J11" s="61">
        <f>-'SALES SUMMARY'!O35</f>
        <v>-6717.7633050000004</v>
      </c>
      <c r="K11" s="61">
        <f>-'SALES SUMMARY'!O38</f>
        <v>-6673.6929600000003</v>
      </c>
      <c r="L11" s="61">
        <f>-'SALES SUMMARY'!O41</f>
        <v>-14278.110330000001</v>
      </c>
      <c r="M11" s="61">
        <f>-'SALES SUMMARY'!O44</f>
        <v>-2423.0512350000004</v>
      </c>
      <c r="N11" s="61">
        <f>-'SALES SUMMARY'!O47</f>
        <v>0</v>
      </c>
      <c r="O11" s="61">
        <f>-'SALES SUMMARY'!O50</f>
        <v>-2754.2748750000001</v>
      </c>
      <c r="P11" s="61">
        <f>-'SALES SUMMARY'!O53</f>
        <v>-5227.8604949999999</v>
      </c>
      <c r="Q11" s="61">
        <f>-'SALES SUMMARY'!O56</f>
        <v>-4820.6649150000012</v>
      </c>
      <c r="R11" s="61">
        <f>-'SALES SUMMARY'!O59</f>
        <v>-4933.7661449999996</v>
      </c>
      <c r="S11" s="61">
        <f>-'SALES SUMMARY'!O62</f>
        <v>-17180.240385000001</v>
      </c>
      <c r="T11" s="61">
        <f>-'SALES SUMMARY'!O65</f>
        <v>0</v>
      </c>
      <c r="U11" s="61">
        <f>-'SALES SUMMARY'!O68</f>
        <v>0</v>
      </c>
      <c r="V11" s="61">
        <f>-'SALES SUMMARY'!O71</f>
        <v>-7366.4939700000004</v>
      </c>
      <c r="W11" s="61">
        <f>-'SALES SUMMARY'!O74</f>
        <v>-10329.574860000001</v>
      </c>
      <c r="X11" s="61">
        <f>-'SALES SUMMARY'!O77</f>
        <v>-3010.9770899999999</v>
      </c>
      <c r="Y11" s="61">
        <f>-'SALES SUMMARY'!O80</f>
        <v>0</v>
      </c>
      <c r="Z11" s="61">
        <f>-'SALES SUMMARY'!O83</f>
        <v>0</v>
      </c>
      <c r="AA11" s="61">
        <f>-'SALES SUMMARY'!O86</f>
        <v>0</v>
      </c>
      <c r="AB11" s="61">
        <f>-'SALES SUMMARY'!O89</f>
        <v>0</v>
      </c>
      <c r="AC11" s="61">
        <f>-'SALES SUMMARY'!O92</f>
        <v>-1139.94903</v>
      </c>
      <c r="AD11" s="61">
        <f>-'SALES SUMMARY'!O95</f>
        <v>-6242.0333249999994</v>
      </c>
      <c r="AE11" s="61">
        <f>-'SALES SUMMARY'!O98</f>
        <v>0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 t="e">
        <f>-'SALES SUMMARY'!#REF!</f>
        <v>#REF!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805.19479999999999</v>
      </c>
      <c r="C23" s="61">
        <f>'SALES SUMMARY'!AG14</f>
        <v>972.87600000000009</v>
      </c>
      <c r="D23" s="61">
        <f>'SALES SUMMARY'!AG17</f>
        <v>840.08560000000011</v>
      </c>
      <c r="E23" s="61">
        <f>'SALES SUMMARY'!AG20</f>
        <v>1072.0608</v>
      </c>
      <c r="F23" s="61">
        <f>'SALES SUMMARY'!AG23</f>
        <v>68.55080000000001</v>
      </c>
      <c r="G23" s="61">
        <f>'SALES SUMMARY'!AG26</f>
        <v>0</v>
      </c>
      <c r="H23" s="61">
        <f>'SALES SUMMARY'!AG29</f>
        <v>816.18359999999996</v>
      </c>
      <c r="I23" s="61">
        <f>'SALES SUMMARY'!AG32</f>
        <v>173.82840000000002</v>
      </c>
      <c r="J23" s="61">
        <f>'SALES SUMMARY'!AG35</f>
        <v>1005.7811999999999</v>
      </c>
      <c r="K23" s="61">
        <f>'SALES SUMMARY'!AG38</f>
        <v>1044.3712</v>
      </c>
      <c r="L23" s="61">
        <f>'SALES SUMMARY'!AG41</f>
        <v>2103.3964000000001</v>
      </c>
      <c r="M23" s="61">
        <f>'SALES SUMMARY'!AG44</f>
        <v>616.54920000000004</v>
      </c>
      <c r="N23" s="61">
        <f>'SALES SUMMARY'!AG47</f>
        <v>0</v>
      </c>
      <c r="O23" s="61">
        <f>'SALES SUMMARY'!AG50</f>
        <v>1112.3440000000001</v>
      </c>
      <c r="P23" s="61">
        <f>'SALES SUMMARY'!AG53</f>
        <v>1042.6235999999999</v>
      </c>
      <c r="Q23" s="61">
        <f>'SALES SUMMARY'!AG56</f>
        <v>724.32240000000013</v>
      </c>
      <c r="R23" s="61">
        <f>'SALES SUMMARY'!AG59</f>
        <v>1746.3148000000001</v>
      </c>
      <c r="S23" s="61">
        <f>'SALES SUMMARY'!AG62</f>
        <v>2021.1980000000001</v>
      </c>
      <c r="T23" s="61">
        <f>'SALES SUMMARY'!AG65</f>
        <v>135.3948</v>
      </c>
      <c r="U23" s="61">
        <f>'SALES SUMMARY'!AG68</f>
        <v>0</v>
      </c>
      <c r="V23" s="61">
        <f>'SALES SUMMARY'!AG71</f>
        <v>1571.4459999999999</v>
      </c>
      <c r="W23" s="61">
        <f>'SALES SUMMARY'!AG74</f>
        <v>1951.6612</v>
      </c>
      <c r="X23" s="61">
        <f>'SALES SUMMARY'!AG77</f>
        <v>1477.2115999999999</v>
      </c>
      <c r="Y23" s="61">
        <f>'SALES SUMMARY'!AG80</f>
        <v>0</v>
      </c>
      <c r="Z23" s="61">
        <f>'SALES SUMMARY'!AG83</f>
        <v>0</v>
      </c>
      <c r="AA23" s="61">
        <f>'SALES SUMMARY'!AG86</f>
        <v>0</v>
      </c>
      <c r="AB23" s="61">
        <f>'SALES SUMMARY'!AG89</f>
        <v>0</v>
      </c>
      <c r="AC23" s="61">
        <f>'SALES SUMMARY'!AG92</f>
        <v>709.17880000000002</v>
      </c>
      <c r="AD23" s="61">
        <f>'SALES SUMMARY'!AG95</f>
        <v>1206.7212</v>
      </c>
      <c r="AE23" s="61">
        <f>'SALES SUMMARY'!AG98</f>
        <v>0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142.0932</v>
      </c>
      <c r="C24" s="61">
        <f>'SALES SUMMARY'!AH14</f>
        <v>171.68400000000003</v>
      </c>
      <c r="D24" s="61">
        <f>'SALES SUMMARY'!AH17</f>
        <v>148.25040000000001</v>
      </c>
      <c r="E24" s="61">
        <f>'SALES SUMMARY'!AH20</f>
        <v>189.18719999999999</v>
      </c>
      <c r="F24" s="61">
        <f>'SALES SUMMARY'!AH23</f>
        <v>12.097200000000001</v>
      </c>
      <c r="G24" s="61">
        <f>'SALES SUMMARY'!AH26</f>
        <v>0</v>
      </c>
      <c r="H24" s="61">
        <f>'SALES SUMMARY'!AH29</f>
        <v>144.0324</v>
      </c>
      <c r="I24" s="61">
        <f>'SALES SUMMARY'!AH32</f>
        <v>30.675600000000003</v>
      </c>
      <c r="J24" s="61">
        <f>'SALES SUMMARY'!AH35</f>
        <v>177.49079999999998</v>
      </c>
      <c r="K24" s="61">
        <f>'SALES SUMMARY'!AH38</f>
        <v>184.30080000000001</v>
      </c>
      <c r="L24" s="61">
        <f>'SALES SUMMARY'!AH41</f>
        <v>371.18760000000003</v>
      </c>
      <c r="M24" s="61">
        <f>'SALES SUMMARY'!AH44</f>
        <v>108.8028</v>
      </c>
      <c r="N24" s="61">
        <f>'SALES SUMMARY'!AH47</f>
        <v>0</v>
      </c>
      <c r="O24" s="61">
        <f>'SALES SUMMARY'!AH50</f>
        <v>196.29600000000002</v>
      </c>
      <c r="P24" s="61">
        <f>'SALES SUMMARY'!AH53</f>
        <v>183.9924</v>
      </c>
      <c r="Q24" s="61">
        <f>'SALES SUMMARY'!AH56</f>
        <v>127.82160000000002</v>
      </c>
      <c r="R24" s="61">
        <f>'SALES SUMMARY'!AH59</f>
        <v>308.17320000000001</v>
      </c>
      <c r="S24" s="61">
        <f>'SALES SUMMARY'!AH62</f>
        <v>356.68200000000002</v>
      </c>
      <c r="T24" s="61">
        <f>'SALES SUMMARY'!AH65</f>
        <v>23.8932</v>
      </c>
      <c r="U24" s="61">
        <f>'SALES SUMMARY'!AH68</f>
        <v>0</v>
      </c>
      <c r="V24" s="61">
        <f>'SALES SUMMARY'!AH71</f>
        <v>277.31399999999996</v>
      </c>
      <c r="W24" s="61">
        <f>'SALES SUMMARY'!AH74</f>
        <v>344.41079999999999</v>
      </c>
      <c r="X24" s="61">
        <f>'SALES SUMMARY'!AH77</f>
        <v>260.68439999999998</v>
      </c>
      <c r="Y24" s="61">
        <f>'SALES SUMMARY'!AH80</f>
        <v>0</v>
      </c>
      <c r="Z24" s="61">
        <f>'SALES SUMMARY'!AH83</f>
        <v>0</v>
      </c>
      <c r="AA24" s="61">
        <f>'SALES SUMMARY'!AH86</f>
        <v>0</v>
      </c>
      <c r="AB24" s="61">
        <f>'SALES SUMMARY'!AH89</f>
        <v>0</v>
      </c>
      <c r="AC24" s="61">
        <f>'SALES SUMMARY'!AH92</f>
        <v>125.14920000000001</v>
      </c>
      <c r="AD24" s="61">
        <f>'SALES SUMMARY'!AH95</f>
        <v>212.95079999999999</v>
      </c>
      <c r="AE24" s="61">
        <f>'SALES SUMMARY'!AH98</f>
        <v>0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236.822</v>
      </c>
      <c r="C25" s="61">
        <f>'SALES SUMMARY'!AI14</f>
        <v>286.14000000000004</v>
      </c>
      <c r="D25" s="61">
        <f>'SALES SUMMARY'!AI17</f>
        <v>247.08400000000003</v>
      </c>
      <c r="E25" s="61">
        <f>'SALES SUMMARY'!AI20</f>
        <v>315.31200000000001</v>
      </c>
      <c r="F25" s="61">
        <f>'SALES SUMMARY'!AI23</f>
        <v>20.162000000000003</v>
      </c>
      <c r="G25" s="61">
        <f>'SALES SUMMARY'!AI26</f>
        <v>0</v>
      </c>
      <c r="H25" s="61">
        <f>'SALES SUMMARY'!AI29</f>
        <v>240.054</v>
      </c>
      <c r="I25" s="61">
        <f>'SALES SUMMARY'!AI32</f>
        <v>51.126000000000005</v>
      </c>
      <c r="J25" s="61">
        <f>'SALES SUMMARY'!AI35</f>
        <v>295.81799999999998</v>
      </c>
      <c r="K25" s="61">
        <f>'SALES SUMMARY'!AI38</f>
        <v>307.16800000000001</v>
      </c>
      <c r="L25" s="61">
        <f>'SALES SUMMARY'!AI41</f>
        <v>618.64600000000007</v>
      </c>
      <c r="M25" s="61">
        <f>'SALES SUMMARY'!AI44</f>
        <v>181.33800000000002</v>
      </c>
      <c r="N25" s="61">
        <f>'SALES SUMMARY'!AI47</f>
        <v>0</v>
      </c>
      <c r="O25" s="61">
        <f>'SALES SUMMARY'!AI50</f>
        <v>327.16000000000003</v>
      </c>
      <c r="P25" s="61">
        <f>'SALES SUMMARY'!AI53</f>
        <v>306.654</v>
      </c>
      <c r="Q25" s="61">
        <f>'SALES SUMMARY'!AI56</f>
        <v>213.03600000000003</v>
      </c>
      <c r="R25" s="61">
        <f>'SALES SUMMARY'!AI59</f>
        <v>513.62200000000007</v>
      </c>
      <c r="S25" s="61">
        <f>'SALES SUMMARY'!AI62</f>
        <v>594.47</v>
      </c>
      <c r="T25" s="61">
        <f>'SALES SUMMARY'!AI65</f>
        <v>39.822000000000003</v>
      </c>
      <c r="U25" s="61">
        <f>'SALES SUMMARY'!AI68</f>
        <v>0</v>
      </c>
      <c r="V25" s="61">
        <f>'SALES SUMMARY'!AI71</f>
        <v>462.19</v>
      </c>
      <c r="W25" s="61">
        <f>'SALES SUMMARY'!AI74</f>
        <v>574.01800000000003</v>
      </c>
      <c r="X25" s="61">
        <f>'SALES SUMMARY'!AI77</f>
        <v>434.47399999999999</v>
      </c>
      <c r="Y25" s="61">
        <f>'SALES SUMMARY'!AI80</f>
        <v>0</v>
      </c>
      <c r="Z25" s="61">
        <f>'SALES SUMMARY'!AI83</f>
        <v>0</v>
      </c>
      <c r="AA25" s="61">
        <f>'SALES SUMMARY'!AI86</f>
        <v>0</v>
      </c>
      <c r="AB25" s="61">
        <f>'SALES SUMMARY'!AI89</f>
        <v>0</v>
      </c>
      <c r="AC25" s="61">
        <f>'SALES SUMMARY'!AI92</f>
        <v>208.58200000000002</v>
      </c>
      <c r="AD25" s="61">
        <f>'SALES SUMMARY'!AI95</f>
        <v>354.91800000000001</v>
      </c>
      <c r="AE25" s="61">
        <f>'SALES SUMMARY'!AI98</f>
        <v>0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19946.830357142855</v>
      </c>
      <c r="C27" s="61">
        <f>'SALES SUMMARY'!AK14</f>
        <v>20723.133928571428</v>
      </c>
      <c r="D27" s="61">
        <f>'SALES SUMMARY'!AK17</f>
        <v>20710.776785714283</v>
      </c>
      <c r="E27" s="61">
        <f>'SALES SUMMARY'!AK20</f>
        <v>21387.267857142855</v>
      </c>
      <c r="F27" s="61">
        <f>'SALES SUMMARY'!AK23</f>
        <v>0</v>
      </c>
      <c r="G27" s="61" t="e">
        <f>'SALES SUMMARY'!AK26</f>
        <v>#VALUE!</v>
      </c>
      <c r="H27" s="61">
        <f>'SALES SUMMARY'!AK29</f>
        <v>16566.169642857141</v>
      </c>
      <c r="I27" s="61">
        <f>'SALES SUMMARY'!AK32</f>
        <v>4024.2321428571427</v>
      </c>
      <c r="J27" s="61">
        <f>'SALES SUMMARY'!AK35</f>
        <v>22603.008928571424</v>
      </c>
      <c r="K27" s="61">
        <f>'SALES SUMMARY'!AK38</f>
        <v>18864.116071428572</v>
      </c>
      <c r="L27" s="61">
        <f>'SALES SUMMARY'!AK41</f>
        <v>35117.982142857138</v>
      </c>
      <c r="M27" s="61">
        <f>'SALES SUMMARY'!AK44</f>
        <v>10554.526785714284</v>
      </c>
      <c r="N27" s="61">
        <f>'SALES SUMMARY'!AK47</f>
        <v>0</v>
      </c>
      <c r="O27" s="61">
        <f>'SALES SUMMARY'!AK50</f>
        <v>18395.741071428569</v>
      </c>
      <c r="P27" s="61">
        <f>'SALES SUMMARY'!AK53</f>
        <v>40313.830357142855</v>
      </c>
      <c r="Q27" s="61">
        <f>'SALES SUMMARY'!AK56</f>
        <v>19433.133928571428</v>
      </c>
      <c r="R27" s="61">
        <f>'SALES SUMMARY'!AK59</f>
        <v>30818.401785714283</v>
      </c>
      <c r="S27" s="61">
        <f>'SALES SUMMARY'!AK62</f>
        <v>33946.625</v>
      </c>
      <c r="T27" s="61">
        <f>'SALES SUMMARY'!AK65</f>
        <v>3612.0892857142849</v>
      </c>
      <c r="U27" s="61">
        <f>'SALES SUMMARY'!AK68</f>
        <v>0</v>
      </c>
      <c r="V27" s="61">
        <f>'SALES SUMMARY'!AK71</f>
        <v>26459.562499999996</v>
      </c>
      <c r="W27" s="61">
        <f>'SALES SUMMARY'!AK74</f>
        <v>59701.366071428565</v>
      </c>
      <c r="X27" s="61">
        <f>'SALES SUMMARY'!AK77</f>
        <v>27498.089285714286</v>
      </c>
      <c r="Y27" s="61">
        <f>'SALES SUMMARY'!AK80</f>
        <v>0</v>
      </c>
      <c r="Z27" s="61">
        <f>'SALES SUMMARY'!AK83</f>
        <v>0</v>
      </c>
      <c r="AA27" s="61">
        <f>'SALES SUMMARY'!AK86</f>
        <v>0</v>
      </c>
      <c r="AB27" s="61">
        <f>'SALES SUMMARY'!AK89</f>
        <v>0</v>
      </c>
      <c r="AC27" s="61">
        <f>'SALES SUMMARY'!AK92</f>
        <v>12473.455357142857</v>
      </c>
      <c r="AD27" s="61">
        <f>'SALES SUMMARY'!AK95</f>
        <v>28786.758928571428</v>
      </c>
      <c r="AE27" s="61">
        <f>'SALES SUMMARY'!AK98</f>
        <v>0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2393.6196428571425</v>
      </c>
      <c r="C28" s="61">
        <f>'SALES SUMMARY'!AM14</f>
        <v>2404.3180714285709</v>
      </c>
      <c r="D28" s="61">
        <f>'SALES SUMMARY'!AM17</f>
        <v>2467.4780142857139</v>
      </c>
      <c r="E28" s="61">
        <f>'SALES SUMMARY'!AM20</f>
        <v>2480.7333428571424</v>
      </c>
      <c r="F28" s="61">
        <f>'SALES SUMMARY'!AM23</f>
        <v>0</v>
      </c>
      <c r="G28" s="61" t="e">
        <f>'SALES SUMMARY'!AM26</f>
        <v>#VALUE!</v>
      </c>
      <c r="H28" s="61">
        <f>'SALES SUMMARY'!AM29</f>
        <v>1954.7207571428569</v>
      </c>
      <c r="I28" s="61">
        <f>'SALES SUMMARY'!AM32</f>
        <v>477.33625714285711</v>
      </c>
      <c r="J28" s="61">
        <f>'SALES SUMMARY'!AM35</f>
        <v>2677.0522714285707</v>
      </c>
      <c r="K28" s="61">
        <f>'SALES SUMMARY'!AM38</f>
        <v>2211.0055285714288</v>
      </c>
      <c r="L28" s="61">
        <f>'SALES SUMMARY'!AM41</f>
        <v>4187.9762571428564</v>
      </c>
      <c r="M28" s="61">
        <f>'SALES SUMMARY'!AM44</f>
        <v>1260.7580142857141</v>
      </c>
      <c r="N28" s="61">
        <f>'SALES SUMMARY'!AM47</f>
        <v>0</v>
      </c>
      <c r="O28" s="61">
        <f>'SALES SUMMARY'!AM50</f>
        <v>2118.2521285714283</v>
      </c>
      <c r="P28" s="61">
        <f>'SALES SUMMARY'!AM53</f>
        <v>4759.5780428571425</v>
      </c>
      <c r="Q28" s="61">
        <f>'SALES SUMMARY'!AM56</f>
        <v>2281.7464714285711</v>
      </c>
      <c r="R28" s="61">
        <f>'SALES SUMMARY'!AM59</f>
        <v>3670.5086142857135</v>
      </c>
      <c r="S28" s="61">
        <f>'SALES SUMMARY'!AM62</f>
        <v>4019.9921999999997</v>
      </c>
      <c r="T28" s="61">
        <f>'SALES SUMMARY'!AM65</f>
        <v>427.55751428571415</v>
      </c>
      <c r="U28" s="61">
        <f>'SALES SUMMARY'!AM68</f>
        <v>0</v>
      </c>
      <c r="V28" s="61">
        <f>'SALES SUMMARY'!AM71</f>
        <v>3153.627899999999</v>
      </c>
      <c r="W28" s="61">
        <f>'SALES SUMMARY'!AM74</f>
        <v>7114.5223285714274</v>
      </c>
      <c r="X28" s="61">
        <f>'SALES SUMMARY'!AM77</f>
        <v>3248.9123142857143</v>
      </c>
      <c r="Y28" s="61">
        <f>'SALES SUMMARY'!AM80</f>
        <v>0</v>
      </c>
      <c r="Z28" s="61">
        <f>'SALES SUMMARY'!AM83</f>
        <v>0</v>
      </c>
      <c r="AA28" s="61">
        <f>'SALES SUMMARY'!AM86</f>
        <v>0</v>
      </c>
      <c r="AB28" s="61">
        <f>'SALES SUMMARY'!AM89</f>
        <v>0</v>
      </c>
      <c r="AC28" s="61">
        <f>'SALES SUMMARY'!AM92</f>
        <v>1464.7074428571427</v>
      </c>
      <c r="AD28" s="61">
        <f>'SALES SUMMARY'!AM95</f>
        <v>3388.7182714285714</v>
      </c>
      <c r="AE28" s="61">
        <f>'SALES SUMMARY'!AM98</f>
        <v>0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-390</v>
      </c>
      <c r="D30" s="63">
        <f>-'SALES SUMMARY'!AZ17</f>
        <v>0</v>
      </c>
      <c r="E30" s="63">
        <f>-'SALES SUMMARY'!AZ20</f>
        <v>-140</v>
      </c>
      <c r="F30" s="63">
        <f>-'SALES SUMMARY'!AZ23</f>
        <v>-2430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-1140</v>
      </c>
      <c r="K30" s="63">
        <f>-'SALES SUMMARY'!AZ38</f>
        <v>-245</v>
      </c>
      <c r="L30" s="63">
        <f>-'SALES SUMMARY'!AZ41</f>
        <v>-485</v>
      </c>
      <c r="M30" s="63">
        <f>-'SALES SUMMARY'!AZ44</f>
        <v>-2010</v>
      </c>
      <c r="N30" s="63">
        <f>-'SALES SUMMARY'!AZ47</f>
        <v>0</v>
      </c>
      <c r="O30" s="63">
        <f>-'SALES SUMMARY'!AZ50</f>
        <v>-815</v>
      </c>
      <c r="P30" s="63">
        <f>-'SALES SUMMARY'!AZ53</f>
        <v>0</v>
      </c>
      <c r="Q30" s="63">
        <f>-'SALES SUMMARY'!AZ56</f>
        <v>-560</v>
      </c>
      <c r="R30" s="63">
        <f>-'SALES SUMMARY'!AZ59</f>
        <v>-480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-70</v>
      </c>
      <c r="W30" s="63">
        <f>-'SALES SUMMARY'!AZ74</f>
        <v>-200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-415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SUMMARY'!BQ11</f>
        <v>0</v>
      </c>
      <c r="C34" s="63">
        <f>'SALES SUMMARY'!BQ14</f>
        <v>390</v>
      </c>
      <c r="D34" s="63">
        <f>'SALES SUMMARY'!BQ17</f>
        <v>0</v>
      </c>
      <c r="E34" s="63">
        <f>'SALES SUMMARY'!BQ20</f>
        <v>140</v>
      </c>
      <c r="F34" s="63">
        <f>'SALES SUMMARY'!BQ23</f>
        <v>2430</v>
      </c>
      <c r="G34" s="63">
        <f>'SALES SUMMARY'!BQ26</f>
        <v>0</v>
      </c>
      <c r="H34" s="63">
        <f>'SALES SUMMARY'!BQ29</f>
        <v>0</v>
      </c>
      <c r="I34" s="63">
        <f>'SALES SUMMARY'!BQ32</f>
        <v>0</v>
      </c>
      <c r="J34" s="63">
        <f>'SALES SUMMARY'!BQ35</f>
        <v>1140</v>
      </c>
      <c r="K34" s="63">
        <f>'SALES SUMMARY'!BQ38</f>
        <v>245</v>
      </c>
      <c r="L34" s="63">
        <f>'SALES SUMMARY'!BQ41</f>
        <v>485</v>
      </c>
      <c r="M34" s="63">
        <f>'SALES SUMMARY'!BQ44</f>
        <v>2010</v>
      </c>
      <c r="N34" s="63">
        <f>'SALES SUMMARY'!BQ47</f>
        <v>0</v>
      </c>
      <c r="O34" s="63">
        <f>'SALES SUMMARY'!BQ50</f>
        <v>815</v>
      </c>
      <c r="P34" s="63">
        <f>'SALES SUMMARY'!BQ53</f>
        <v>0</v>
      </c>
      <c r="Q34" s="63">
        <f>'SALES SUMMARY'!BQ56</f>
        <v>975</v>
      </c>
      <c r="R34" s="63">
        <f>'SALES SUMMARY'!BQ59</f>
        <v>480</v>
      </c>
      <c r="S34" s="63">
        <f>'SALES SUMMARY'!BQ62</f>
        <v>0</v>
      </c>
      <c r="T34" s="63">
        <f>'SALES SUMMARY'!BQ65</f>
        <v>0</v>
      </c>
      <c r="U34" s="63">
        <f>'SALES SUMMARY'!BQ68</f>
        <v>0</v>
      </c>
      <c r="V34" s="63">
        <f>'SALES SUMMARY'!BQ71</f>
        <v>70</v>
      </c>
      <c r="W34" s="63">
        <f>'SALES SUMMARY'!BQ74</f>
        <v>200</v>
      </c>
      <c r="X34" s="63">
        <f>'SALES SUMMARY'!BQ77</f>
        <v>0</v>
      </c>
      <c r="Y34" s="63">
        <f>'SALES SUMMARY'!BQ80</f>
        <v>0</v>
      </c>
      <c r="Z34" s="63">
        <f>'SALES SUMMARY'!BQ83</f>
        <v>0</v>
      </c>
      <c r="AA34" s="63">
        <f>'SALES SUMMARY'!BQ86</f>
        <v>0</v>
      </c>
      <c r="AB34" s="63">
        <f>'SALES SUMMARY'!BQ89</f>
        <v>0</v>
      </c>
      <c r="AC34" s="63">
        <f>'SALES SUMMARY'!BQ92</f>
        <v>0</v>
      </c>
      <c r="AD34" s="63">
        <f>'SALES SUMMARY'!BQ95</f>
        <v>0</v>
      </c>
      <c r="AE34" s="63">
        <f>'SALES SUMMARY'!BQ98</f>
        <v>0</v>
      </c>
      <c r="AF34" s="63">
        <f>'SALES SUMMARY'!BQ100</f>
        <v>0</v>
      </c>
    </row>
    <row r="36" spans="1:32" x14ac:dyDescent="0.25">
      <c r="A36" s="58" t="s">
        <v>62</v>
      </c>
      <c r="B36" s="62">
        <f>SUM(B5:B35)-B3</f>
        <v>3377.3499999999967</v>
      </c>
      <c r="C36" s="62">
        <f t="shared" ref="C36:AF36" si="0">SUM(C5:C35)-C3</f>
        <v>718.34200000000055</v>
      </c>
      <c r="D36" s="62" t="e">
        <f t="shared" si="0"/>
        <v>#REF!</v>
      </c>
      <c r="E36" s="62">
        <f t="shared" si="0"/>
        <v>2083.7511999999988</v>
      </c>
      <c r="F36" s="62">
        <f t="shared" si="0"/>
        <v>-2840.71</v>
      </c>
      <c r="G36" s="62" t="e">
        <f t="shared" si="0"/>
        <v>#VALUE!</v>
      </c>
      <c r="H36" s="62">
        <f t="shared" si="0"/>
        <v>2038.6103999999996</v>
      </c>
      <c r="I36" s="62">
        <f t="shared" si="0"/>
        <v>1240.8583999999992</v>
      </c>
      <c r="J36" s="62">
        <f t="shared" si="0"/>
        <v>1513.9311999999918</v>
      </c>
      <c r="K36" s="62">
        <f t="shared" si="0"/>
        <v>1536.3816000000006</v>
      </c>
      <c r="L36" s="62">
        <f t="shared" si="0"/>
        <v>721.99839999999676</v>
      </c>
      <c r="M36" s="62">
        <f t="shared" si="0"/>
        <v>326.96479999999792</v>
      </c>
      <c r="N36" s="62">
        <f t="shared" si="0"/>
        <v>0</v>
      </c>
      <c r="O36" s="62">
        <f t="shared" si="0"/>
        <v>1504.403199999997</v>
      </c>
      <c r="P36" s="62">
        <f t="shared" si="0"/>
        <v>767.59839999999531</v>
      </c>
      <c r="Q36" s="62">
        <f t="shared" si="0"/>
        <v>1078.3503999999994</v>
      </c>
      <c r="R36" s="62">
        <f t="shared" si="0"/>
        <v>489.13039999999819</v>
      </c>
      <c r="S36" s="62">
        <f t="shared" si="0"/>
        <v>393.08720000000176</v>
      </c>
      <c r="T36" s="62">
        <f t="shared" si="0"/>
        <v>648.7567999999992</v>
      </c>
      <c r="U36" s="62">
        <f t="shared" si="0"/>
        <v>0</v>
      </c>
      <c r="V36" s="62">
        <f t="shared" si="0"/>
        <v>157.81039999999484</v>
      </c>
      <c r="W36" s="62">
        <f t="shared" si="0"/>
        <v>2829.0383999999904</v>
      </c>
      <c r="X36" s="62">
        <f t="shared" si="0"/>
        <v>1172.9615999999987</v>
      </c>
      <c r="Y36" s="62">
        <f t="shared" si="0"/>
        <v>0</v>
      </c>
      <c r="Z36" s="62" t="e">
        <f t="shared" si="0"/>
        <v>#VALUE!</v>
      </c>
      <c r="AA36" s="62">
        <f t="shared" si="0"/>
        <v>0</v>
      </c>
      <c r="AB36" s="62">
        <f t="shared" si="0"/>
        <v>0</v>
      </c>
      <c r="AC36" s="62">
        <f t="shared" si="0"/>
        <v>1115.4528000000009</v>
      </c>
      <c r="AD36" s="62">
        <f t="shared" si="0"/>
        <v>851.74719999999797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69</v>
      </c>
      <c r="B2" s="72"/>
      <c r="C2" s="72"/>
      <c r="D2" s="72"/>
      <c r="E2" s="72"/>
      <c r="F2" s="72"/>
      <c r="I2" s="72" t="s">
        <v>69</v>
      </c>
      <c r="J2" s="72"/>
      <c r="K2" s="72"/>
      <c r="L2" s="72"/>
      <c r="M2" s="72"/>
      <c r="N2" s="72"/>
    </row>
    <row r="3" spans="1:15" ht="15.75" x14ac:dyDescent="0.25">
      <c r="A3" s="74" t="s">
        <v>136</v>
      </c>
      <c r="B3" s="72"/>
      <c r="C3" s="72"/>
      <c r="D3" s="72"/>
      <c r="E3" s="72"/>
      <c r="F3" s="72"/>
      <c r="I3" s="74" t="s">
        <v>137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70" t="s">
        <v>2</v>
      </c>
      <c r="B5" s="272" t="s">
        <v>3</v>
      </c>
      <c r="C5" s="272" t="s">
        <v>70</v>
      </c>
      <c r="D5" s="274" t="s">
        <v>29</v>
      </c>
      <c r="E5" s="275"/>
      <c r="F5" s="268" t="s">
        <v>71</v>
      </c>
      <c r="I5" s="270" t="s">
        <v>2</v>
      </c>
      <c r="J5" s="272" t="s">
        <v>3</v>
      </c>
      <c r="K5" s="272" t="s">
        <v>70</v>
      </c>
      <c r="L5" s="274" t="s">
        <v>29</v>
      </c>
      <c r="M5" s="275"/>
      <c r="N5" s="268" t="s">
        <v>72</v>
      </c>
    </row>
    <row r="6" spans="1:15" ht="26.25" thickBot="1" x14ac:dyDescent="0.25">
      <c r="A6" s="271"/>
      <c r="B6" s="273"/>
      <c r="C6" s="273"/>
      <c r="D6" s="76" t="s">
        <v>73</v>
      </c>
      <c r="E6" s="76" t="s">
        <v>74</v>
      </c>
      <c r="F6" s="269"/>
      <c r="I6" s="271"/>
      <c r="J6" s="273"/>
      <c r="K6" s="273"/>
      <c r="L6" s="76" t="s">
        <v>73</v>
      </c>
      <c r="M6" s="76" t="s">
        <v>74</v>
      </c>
      <c r="N6" s="269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66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66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67"/>
      <c r="B9" s="83" t="s">
        <v>44</v>
      </c>
      <c r="C9" s="80">
        <f>+'SALES SUMMARY'!AF10</f>
        <v>1184.1099999999999</v>
      </c>
      <c r="D9" s="81">
        <f>(C9*0.8)*0.85</f>
        <v>805.19479999999999</v>
      </c>
      <c r="E9" s="81">
        <f>(C9*0.8)*0.15</f>
        <v>142.0932</v>
      </c>
      <c r="F9" s="82">
        <f>C9*0.2</f>
        <v>236.822</v>
      </c>
      <c r="I9" s="267"/>
      <c r="J9" s="83" t="s">
        <v>44</v>
      </c>
      <c r="K9" s="80">
        <f>+'SALES SUMMARY'!AF55</f>
        <v>1065.18</v>
      </c>
      <c r="L9" s="81">
        <f>(K9*0.8)*0.85</f>
        <v>724.32240000000013</v>
      </c>
      <c r="M9" s="81">
        <f>(K9*0.8)*0.15</f>
        <v>127.82160000000002</v>
      </c>
      <c r="N9" s="82">
        <f>K9*0.2</f>
        <v>213.03600000000003</v>
      </c>
    </row>
    <row r="10" spans="1:15" ht="13.5" thickBot="1" x14ac:dyDescent="0.25">
      <c r="A10" s="126"/>
      <c r="B10" s="84"/>
      <c r="C10" s="85">
        <f>+C9+C8</f>
        <v>1184.1099999999999</v>
      </c>
      <c r="D10" s="86">
        <f>+D9+D8</f>
        <v>805.19479999999999</v>
      </c>
      <c r="E10" s="86">
        <f>+E9+E8</f>
        <v>142.0932</v>
      </c>
      <c r="F10" s="87">
        <f>+F9+F8</f>
        <v>236.822</v>
      </c>
      <c r="I10" s="126"/>
      <c r="J10" s="84"/>
      <c r="K10" s="85">
        <f>+K9+K8</f>
        <v>1065.18</v>
      </c>
      <c r="L10" s="86">
        <f>+L9+L8</f>
        <v>724.32240000000013</v>
      </c>
      <c r="M10" s="86">
        <f>+M9+M8</f>
        <v>127.82160000000002</v>
      </c>
      <c r="N10" s="87">
        <f>+N9+N8</f>
        <v>213.03600000000003</v>
      </c>
    </row>
    <row r="11" spans="1:15" x14ac:dyDescent="0.2">
      <c r="A11" s="266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67"/>
      <c r="B12" s="83"/>
      <c r="C12" s="80">
        <f>+'SALES SUMMARY'!AF13</f>
        <v>1430.7</v>
      </c>
      <c r="D12" s="81">
        <f>(C12*0.8)*0.85</f>
        <v>972.87600000000009</v>
      </c>
      <c r="E12" s="81">
        <f>(C12*0.8)*0.15</f>
        <v>171.68400000000003</v>
      </c>
      <c r="F12" s="82">
        <f>C12*0.2</f>
        <v>286.14000000000004</v>
      </c>
      <c r="I12" s="124"/>
      <c r="J12" s="83"/>
      <c r="K12" s="80">
        <f>+'SALES SUMMARY'!AF58</f>
        <v>2568.11</v>
      </c>
      <c r="L12" s="81">
        <f>(K12*0.8)*0.85</f>
        <v>1746.3148000000001</v>
      </c>
      <c r="M12" s="81">
        <f>(K12*0.8)*0.15</f>
        <v>308.17320000000001</v>
      </c>
      <c r="N12" s="82">
        <f>K12*0.2</f>
        <v>513.62200000000007</v>
      </c>
    </row>
    <row r="13" spans="1:15" ht="13.5" thickBot="1" x14ac:dyDescent="0.25">
      <c r="A13" s="126"/>
      <c r="B13" s="84"/>
      <c r="C13" s="85">
        <f>+C12+C11</f>
        <v>1430.7</v>
      </c>
      <c r="D13" s="86">
        <f>+D12+D11</f>
        <v>972.87600000000009</v>
      </c>
      <c r="E13" s="86">
        <f>+E12+E11</f>
        <v>171.68400000000003</v>
      </c>
      <c r="F13" s="87">
        <f>+F12+F11</f>
        <v>286.14000000000004</v>
      </c>
      <c r="I13" s="126"/>
      <c r="J13" s="84"/>
      <c r="K13" s="85">
        <f>+K12+K11</f>
        <v>2568.11</v>
      </c>
      <c r="L13" s="86">
        <f>+L12+L11</f>
        <v>1746.3148000000001</v>
      </c>
      <c r="M13" s="86">
        <f>+M12+M11</f>
        <v>308.17320000000001</v>
      </c>
      <c r="N13" s="87">
        <f>+N12+N11</f>
        <v>513.62200000000007</v>
      </c>
    </row>
    <row r="14" spans="1:15" x14ac:dyDescent="0.2">
      <c r="A14" s="266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67"/>
      <c r="B15" s="83"/>
      <c r="C15" s="80">
        <f>+'SALES SUMMARY'!AF16</f>
        <v>1235.42</v>
      </c>
      <c r="D15" s="81">
        <f>(C15*0.8)*0.85</f>
        <v>840.08560000000011</v>
      </c>
      <c r="E15" s="81">
        <f>(C15*0.8)*0.15</f>
        <v>148.25040000000001</v>
      </c>
      <c r="F15" s="82">
        <f>C15*0.2</f>
        <v>247.08400000000003</v>
      </c>
      <c r="I15" s="124"/>
      <c r="J15" s="83"/>
      <c r="K15" s="80">
        <f>+'SALES SUMMARY'!AF61</f>
        <v>2972.35</v>
      </c>
      <c r="L15" s="81">
        <f>(K15*0.8)*0.85</f>
        <v>2021.1980000000001</v>
      </c>
      <c r="M15" s="81">
        <f>(K15*0.8)*0.15</f>
        <v>356.68200000000002</v>
      </c>
      <c r="N15" s="82">
        <f>K15*0.2</f>
        <v>594.47</v>
      </c>
    </row>
    <row r="16" spans="1:15" ht="13.5" thickBot="1" x14ac:dyDescent="0.25">
      <c r="A16" s="127"/>
      <c r="B16" s="84"/>
      <c r="C16" s="85">
        <f>+C15+C14</f>
        <v>1235.42</v>
      </c>
      <c r="D16" s="86">
        <f>+D15+D14</f>
        <v>840.08560000000011</v>
      </c>
      <c r="E16" s="86">
        <f>+E15+E14</f>
        <v>148.25040000000001</v>
      </c>
      <c r="F16" s="87">
        <f>+F15+F14</f>
        <v>247.08400000000003</v>
      </c>
      <c r="I16" s="127"/>
      <c r="J16" s="84"/>
      <c r="K16" s="85">
        <f>+K15+K14</f>
        <v>2972.35</v>
      </c>
      <c r="L16" s="86">
        <f>+L15+L14</f>
        <v>2021.1980000000001</v>
      </c>
      <c r="M16" s="86">
        <f>+M15+M14</f>
        <v>356.68200000000002</v>
      </c>
      <c r="N16" s="87">
        <f>+N15+N14</f>
        <v>594.47</v>
      </c>
    </row>
    <row r="17" spans="1:14" x14ac:dyDescent="0.2">
      <c r="A17" s="266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67"/>
      <c r="B18" s="83"/>
      <c r="C18" s="80">
        <f>+'SALES SUMMARY'!AF19</f>
        <v>1576.56</v>
      </c>
      <c r="D18" s="81">
        <f>(C18*0.8)*0.85</f>
        <v>1072.0608</v>
      </c>
      <c r="E18" s="81">
        <f>(C18*0.8)*0.15</f>
        <v>189.18719999999999</v>
      </c>
      <c r="F18" s="82">
        <f>C18*0.2</f>
        <v>315.31200000000001</v>
      </c>
      <c r="I18" s="124"/>
      <c r="J18" s="83"/>
      <c r="K18" s="80">
        <f>+'SALES SUMMARY'!AF64</f>
        <v>199.11</v>
      </c>
      <c r="L18" s="81">
        <f>(K18*0.8)*0.85</f>
        <v>135.3948</v>
      </c>
      <c r="M18" s="81">
        <f>(K18*0.8)*0.15</f>
        <v>23.8932</v>
      </c>
      <c r="N18" s="82">
        <f>K18*0.2</f>
        <v>39.822000000000003</v>
      </c>
    </row>
    <row r="19" spans="1:14" ht="13.5" thickBot="1" x14ac:dyDescent="0.25">
      <c r="A19" s="127"/>
      <c r="B19" s="84"/>
      <c r="C19" s="85">
        <f>+C18+C17</f>
        <v>1576.56</v>
      </c>
      <c r="D19" s="86">
        <f>+D18+D17</f>
        <v>1072.0608</v>
      </c>
      <c r="E19" s="86">
        <f>+E18+E17</f>
        <v>189.18719999999999</v>
      </c>
      <c r="F19" s="87">
        <f>+F18+F17</f>
        <v>315.31200000000001</v>
      </c>
      <c r="I19" s="127"/>
      <c r="J19" s="84"/>
      <c r="K19" s="85">
        <f>+K18+K17</f>
        <v>199.11</v>
      </c>
      <c r="L19" s="86">
        <f>+L18+L17</f>
        <v>135.3948</v>
      </c>
      <c r="M19" s="86">
        <f>+M18+M17</f>
        <v>23.8932</v>
      </c>
      <c r="N19" s="87">
        <f>+N18+N17</f>
        <v>39.822000000000003</v>
      </c>
    </row>
    <row r="20" spans="1:14" x14ac:dyDescent="0.2">
      <c r="A20" s="266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67"/>
      <c r="B21" s="83"/>
      <c r="C21" s="80">
        <f>+'SALES SUMMARY'!AF22</f>
        <v>100.81</v>
      </c>
      <c r="D21" s="81">
        <f>(C21*0.8)*0.85</f>
        <v>68.55080000000001</v>
      </c>
      <c r="E21" s="81">
        <f>(C21*0.8)*0.15</f>
        <v>12.097200000000001</v>
      </c>
      <c r="F21" s="82">
        <f>C21*0.2</f>
        <v>20.162000000000003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 x14ac:dyDescent="0.25">
      <c r="A22" s="127"/>
      <c r="B22" s="84"/>
      <c r="C22" s="85">
        <f>+C21+C20</f>
        <v>100.81</v>
      </c>
      <c r="D22" s="86">
        <f>+D21+D20</f>
        <v>68.55080000000001</v>
      </c>
      <c r="E22" s="86">
        <f>+E21+E20</f>
        <v>12.097200000000001</v>
      </c>
      <c r="F22" s="87">
        <f>+F21+F20</f>
        <v>20.162000000000003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 x14ac:dyDescent="0.2">
      <c r="A23" s="266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67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2310.9499999999998</v>
      </c>
      <c r="L24" s="81">
        <f>(K24*0.8)*0.85</f>
        <v>1571.4459999999999</v>
      </c>
      <c r="M24" s="81">
        <f>(K24*0.8)*0.15</f>
        <v>277.31399999999996</v>
      </c>
      <c r="N24" s="82">
        <f>K24*0.2</f>
        <v>462.19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2310.9499999999998</v>
      </c>
      <c r="L25" s="86">
        <f>+L24+L23</f>
        <v>1571.4459999999999</v>
      </c>
      <c r="M25" s="86">
        <f>+M24+M23</f>
        <v>277.31399999999996</v>
      </c>
      <c r="N25" s="87">
        <f>+N24+N23</f>
        <v>462.19</v>
      </c>
    </row>
    <row r="26" spans="1:14" x14ac:dyDescent="0.2">
      <c r="A26" s="266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67"/>
      <c r="B27" s="83"/>
      <c r="C27" s="80">
        <f>+'SALES SUMMARY'!AF28</f>
        <v>1200.27</v>
      </c>
      <c r="D27" s="81">
        <f>(C27*0.8)*0.85</f>
        <v>816.18359999999996</v>
      </c>
      <c r="E27" s="81">
        <f>(C27*0.8)*0.15</f>
        <v>144.0324</v>
      </c>
      <c r="F27" s="82">
        <f>C27*0.2</f>
        <v>240.054</v>
      </c>
      <c r="I27" s="124"/>
      <c r="J27" s="83"/>
      <c r="K27" s="80">
        <f>+'SALES SUMMARY'!AF73</f>
        <v>2870.09</v>
      </c>
      <c r="L27" s="81">
        <f>(K27*0.8)*0.85</f>
        <v>1951.6612</v>
      </c>
      <c r="M27" s="81">
        <f>(K27*0.8)*0.15</f>
        <v>344.41079999999999</v>
      </c>
      <c r="N27" s="82">
        <f>K27*0.2</f>
        <v>574.01800000000003</v>
      </c>
    </row>
    <row r="28" spans="1:14" ht="13.5" thickBot="1" x14ac:dyDescent="0.25">
      <c r="A28" s="127"/>
      <c r="B28" s="84"/>
      <c r="C28" s="85">
        <f>+C27+C26</f>
        <v>1200.27</v>
      </c>
      <c r="D28" s="86">
        <f>+D27+D26</f>
        <v>816.18359999999996</v>
      </c>
      <c r="E28" s="86">
        <f>+E27+E26</f>
        <v>144.0324</v>
      </c>
      <c r="F28" s="87">
        <f>+F27+F26</f>
        <v>240.054</v>
      </c>
      <c r="I28" s="127"/>
      <c r="J28" s="84"/>
      <c r="K28" s="85">
        <f>+K27+K26</f>
        <v>2870.09</v>
      </c>
      <c r="L28" s="86">
        <f>+L27+L26</f>
        <v>1951.6612</v>
      </c>
      <c r="M28" s="86">
        <f>+M27+M26</f>
        <v>344.41079999999999</v>
      </c>
      <c r="N28" s="87">
        <f>+N27+N26</f>
        <v>574.01800000000003</v>
      </c>
    </row>
    <row r="29" spans="1:14" x14ac:dyDescent="0.2">
      <c r="A29" s="266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67"/>
      <c r="B30" s="83"/>
      <c r="C30" s="80">
        <f>+'SALES SUMMARY'!AF31</f>
        <v>255.63</v>
      </c>
      <c r="D30" s="81">
        <f>(C30*0.8)*0.85</f>
        <v>173.82840000000002</v>
      </c>
      <c r="E30" s="81">
        <f>(C30*0.8)*0.15</f>
        <v>30.675600000000003</v>
      </c>
      <c r="F30" s="82">
        <f>C30*0.2</f>
        <v>51.126000000000005</v>
      </c>
      <c r="I30" s="124"/>
      <c r="J30" s="83"/>
      <c r="K30" s="80">
        <f>+'SALES SUMMARY'!AF76</f>
        <v>2172.37</v>
      </c>
      <c r="L30" s="81">
        <f>(K30*0.8)*0.85</f>
        <v>1477.2115999999999</v>
      </c>
      <c r="M30" s="81">
        <f>(K30*0.8)*0.15</f>
        <v>260.68439999999998</v>
      </c>
      <c r="N30" s="82">
        <f>K30*0.2</f>
        <v>434.47399999999999</v>
      </c>
    </row>
    <row r="31" spans="1:14" ht="13.5" thickBot="1" x14ac:dyDescent="0.25">
      <c r="A31" s="127"/>
      <c r="B31" s="84"/>
      <c r="C31" s="85">
        <f>+C30+C29</f>
        <v>255.63</v>
      </c>
      <c r="D31" s="86">
        <f>+D30+D29</f>
        <v>173.82840000000002</v>
      </c>
      <c r="E31" s="86">
        <f>+E30+E29</f>
        <v>30.675600000000003</v>
      </c>
      <c r="F31" s="87">
        <f>+F30+F29</f>
        <v>51.126000000000005</v>
      </c>
      <c r="I31" s="127"/>
      <c r="J31" s="84"/>
      <c r="K31" s="85">
        <f>+K30+K29</f>
        <v>2172.37</v>
      </c>
      <c r="L31" s="86">
        <f>+L30+L29</f>
        <v>1477.2115999999999</v>
      </c>
      <c r="M31" s="86">
        <f>+M30+M29</f>
        <v>260.68439999999998</v>
      </c>
      <c r="N31" s="87">
        <f>+N30+N29</f>
        <v>434.47399999999999</v>
      </c>
    </row>
    <row r="32" spans="1:14" x14ac:dyDescent="0.2">
      <c r="A32" s="266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67"/>
      <c r="B33" s="83"/>
      <c r="C33" s="80">
        <f>+'SALES SUMMARY'!AF34</f>
        <v>1479.09</v>
      </c>
      <c r="D33" s="81">
        <f>(C33*0.8)*0.85</f>
        <v>1005.7811999999999</v>
      </c>
      <c r="E33" s="81">
        <f>(C33*0.8)*0.15</f>
        <v>177.49079999999998</v>
      </c>
      <c r="F33" s="82">
        <f>C33*0.2</f>
        <v>295.81799999999998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 x14ac:dyDescent="0.25">
      <c r="A34" s="127"/>
      <c r="B34" s="84"/>
      <c r="C34" s="85">
        <f>+C33+C32</f>
        <v>1479.09</v>
      </c>
      <c r="D34" s="86">
        <f>+D33+D32</f>
        <v>1005.7811999999999</v>
      </c>
      <c r="E34" s="86">
        <f>+E33+E32</f>
        <v>177.49079999999998</v>
      </c>
      <c r="F34" s="87">
        <f>+F33+F32</f>
        <v>295.81799999999998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 x14ac:dyDescent="0.2">
      <c r="A35" s="266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67"/>
      <c r="B36" s="83"/>
      <c r="C36" s="80">
        <f>+'SALES SUMMARY'!AF37</f>
        <v>1535.84</v>
      </c>
      <c r="D36" s="81">
        <f>(C36*0.8)*0.85</f>
        <v>1044.3712</v>
      </c>
      <c r="E36" s="81">
        <f>(C36*0.8)*0.15</f>
        <v>184.30080000000001</v>
      </c>
      <c r="F36" s="82">
        <f>C36*0.2</f>
        <v>307.16800000000001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 x14ac:dyDescent="0.25">
      <c r="A37" s="127"/>
      <c r="B37" s="84"/>
      <c r="C37" s="85">
        <f>+C36+C35</f>
        <v>1535.84</v>
      </c>
      <c r="D37" s="86">
        <f>+D36+D35</f>
        <v>1044.3712</v>
      </c>
      <c r="E37" s="86">
        <f>+E36+E35</f>
        <v>184.30080000000001</v>
      </c>
      <c r="F37" s="87">
        <f>+F36+F35</f>
        <v>307.16800000000001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 x14ac:dyDescent="0.25">
      <c r="A38" s="266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67"/>
      <c r="B39" s="83"/>
      <c r="C39" s="80">
        <f>+'SALES SUMMARY'!AF40</f>
        <v>3093.23</v>
      </c>
      <c r="D39" s="81">
        <f>(C39*0.8)*0.85</f>
        <v>2103.3964000000001</v>
      </c>
      <c r="E39" s="81">
        <f>(C39*0.8)*0.15</f>
        <v>371.18760000000003</v>
      </c>
      <c r="F39" s="82">
        <f>C39*0.2</f>
        <v>618.64600000000007</v>
      </c>
      <c r="I39" s="124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5" thickBot="1" x14ac:dyDescent="0.25">
      <c r="A40" s="127"/>
      <c r="B40" s="84"/>
      <c r="C40" s="85">
        <f>+C39+C38</f>
        <v>3093.23</v>
      </c>
      <c r="D40" s="86">
        <f>+D39+D38</f>
        <v>2103.3964000000001</v>
      </c>
      <c r="E40" s="86">
        <f>+E39+E38</f>
        <v>371.18760000000003</v>
      </c>
      <c r="F40" s="87">
        <f>+F39+F38</f>
        <v>618.64600000000007</v>
      </c>
      <c r="I40" s="127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 x14ac:dyDescent="0.2">
      <c r="A41" s="266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67"/>
      <c r="B42" s="83"/>
      <c r="C42" s="80">
        <f>+'SALES SUMMARY'!AF43</f>
        <v>906.69</v>
      </c>
      <c r="D42" s="81">
        <f>(C42*0.8)*0.85</f>
        <v>616.54920000000004</v>
      </c>
      <c r="E42" s="81">
        <f>(C42*0.8)*0.15</f>
        <v>108.8028</v>
      </c>
      <c r="F42" s="82">
        <f>C42*0.2</f>
        <v>181.33800000000002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 x14ac:dyDescent="0.25">
      <c r="A43" s="126"/>
      <c r="B43" s="84"/>
      <c r="C43" s="85">
        <f>+C42+C41</f>
        <v>906.69</v>
      </c>
      <c r="D43" s="86">
        <f>+D42+D41</f>
        <v>616.54920000000004</v>
      </c>
      <c r="E43" s="86">
        <f>+E42+E41</f>
        <v>108.8028</v>
      </c>
      <c r="F43" s="87">
        <f>+F42+F41</f>
        <v>181.33800000000002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 x14ac:dyDescent="0.2">
      <c r="A44" s="266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67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1042.9100000000001</v>
      </c>
      <c r="L45" s="81">
        <f>(K45*0.8)*0.85</f>
        <v>709.17880000000002</v>
      </c>
      <c r="M45" s="81">
        <f>(K45*0.8)*0.15</f>
        <v>125.14920000000001</v>
      </c>
      <c r="N45" s="82">
        <f>K45*0.2</f>
        <v>208.58200000000002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1042.9100000000001</v>
      </c>
      <c r="L46" s="86">
        <f>+L45+L44</f>
        <v>709.17880000000002</v>
      </c>
      <c r="M46" s="86">
        <f>+M45+M44</f>
        <v>125.14920000000001</v>
      </c>
      <c r="N46" s="87">
        <f>+N45+N44</f>
        <v>208.58200000000002</v>
      </c>
    </row>
    <row r="47" spans="1:18" x14ac:dyDescent="0.2">
      <c r="A47" s="266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67"/>
      <c r="B48" s="83"/>
      <c r="C48" s="80">
        <f>+'SALES SUMMARY'!AF49</f>
        <v>1635.8</v>
      </c>
      <c r="D48" s="81">
        <f>(C48*0.8)*0.85</f>
        <v>1112.3440000000001</v>
      </c>
      <c r="E48" s="81">
        <f>(C48*0.8)*0.15</f>
        <v>196.29600000000002</v>
      </c>
      <c r="F48" s="82">
        <f>C48*0.2</f>
        <v>327.16000000000003</v>
      </c>
      <c r="I48" s="124"/>
      <c r="J48" s="83"/>
      <c r="K48" s="80">
        <f>+'SALES SUMMARY'!AF94</f>
        <v>1774.59</v>
      </c>
      <c r="L48" s="81">
        <f>(K48*0.8)*0.85</f>
        <v>1206.7212</v>
      </c>
      <c r="M48" s="81">
        <f>(K48*0.8)*0.15</f>
        <v>212.95079999999999</v>
      </c>
      <c r="N48" s="82">
        <f>K48*0.2</f>
        <v>354.91800000000001</v>
      </c>
    </row>
    <row r="49" spans="1:16" ht="13.5" thickBot="1" x14ac:dyDescent="0.25">
      <c r="A49" s="126"/>
      <c r="B49" s="84"/>
      <c r="C49" s="85">
        <f>+C48+C47</f>
        <v>1635.8</v>
      </c>
      <c r="D49" s="86">
        <f>+D48+D47</f>
        <v>1112.3440000000001</v>
      </c>
      <c r="E49" s="86">
        <f>+E48+E47</f>
        <v>196.29600000000002</v>
      </c>
      <c r="F49" s="87">
        <f>+F48+F47</f>
        <v>327.16000000000003</v>
      </c>
      <c r="G49" s="128"/>
      <c r="H49" s="128"/>
      <c r="I49" s="126"/>
      <c r="J49" s="84"/>
      <c r="K49" s="85">
        <f>+K48+K47</f>
        <v>1774.59</v>
      </c>
      <c r="L49" s="86">
        <f>+L48+L47</f>
        <v>1206.7212</v>
      </c>
      <c r="M49" s="86">
        <f>+M48+M47</f>
        <v>212.95079999999999</v>
      </c>
      <c r="N49" s="87">
        <f>+N48+N47</f>
        <v>354.91800000000001</v>
      </c>
    </row>
    <row r="50" spans="1:16" x14ac:dyDescent="0.2">
      <c r="A50" s="266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67"/>
      <c r="B51" s="83"/>
      <c r="C51" s="80">
        <f>+'SALES SUMMARY'!AF52</f>
        <v>1533.27</v>
      </c>
      <c r="D51" s="81">
        <f>(C51*0.8)*0.85</f>
        <v>1042.6235999999999</v>
      </c>
      <c r="E51" s="81">
        <f>(C51*0.8)*0.15</f>
        <v>183.9924</v>
      </c>
      <c r="F51" s="82">
        <f>C51*0.2</f>
        <v>306.654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 x14ac:dyDescent="0.25">
      <c r="A52" s="126"/>
      <c r="B52" s="84"/>
      <c r="C52" s="85">
        <f>+C51+C50</f>
        <v>1533.27</v>
      </c>
      <c r="D52" s="86">
        <f>+D51+D50</f>
        <v>1042.6235999999999</v>
      </c>
      <c r="E52" s="86">
        <f>+E51+E50</f>
        <v>183.9924</v>
      </c>
      <c r="F52" s="87">
        <f>+F51+F50</f>
        <v>306.654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17167.419999999998</v>
      </c>
      <c r="D54" s="90">
        <f>D10+D13+D16+D19+D22+D25+D28+D31+D34+D37+D40+D43+D46+D49+D52</f>
        <v>11673.845599999997</v>
      </c>
      <c r="E54" s="90">
        <f>E10+E13+E16+E19+E22+E25+E28+E31+E34+E37+E40+E43+E46+E49+E52</f>
        <v>2060.0904</v>
      </c>
      <c r="F54" s="90">
        <f>F10+F13+F16+F19+F22+F25+F28+F31+F34+F37+F40+F43+F46+F49+F52</f>
        <v>3433.4840000000004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69</v>
      </c>
      <c r="D56" s="91"/>
      <c r="E56" s="91"/>
      <c r="F56" s="92">
        <f>D54</f>
        <v>11673.845599999997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16975.66</v>
      </c>
      <c r="L57" s="90">
        <f>+L10+L13+L16+L19+L22+L25+L28+L31+L34+L37+L40+L43+L46+L49+L52+L55</f>
        <v>11543.4488</v>
      </c>
      <c r="M57" s="90">
        <f>+M10+M13+M16+M19+M22+M25+M28+M31+M34+M37+M40+M43+M46+M49+M52+M55</f>
        <v>2037.0792000000004</v>
      </c>
      <c r="N57" s="90">
        <f>+N10+N13+N16+N19+N22+N25+N28+N31+N34+N37+N40+N43+N46+N49+N52+N55</f>
        <v>3395.1320000000005</v>
      </c>
    </row>
    <row r="58" spans="1:16" ht="14.25" thickTop="1" thickBot="1" x14ac:dyDescent="0.25">
      <c r="A58" s="91"/>
      <c r="B58" s="91"/>
      <c r="C58" s="91" t="s">
        <v>75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76</v>
      </c>
      <c r="D59" s="91"/>
      <c r="E59" s="91"/>
      <c r="F59" s="93">
        <v>4580</v>
      </c>
      <c r="I59" s="91"/>
      <c r="J59" s="91" t="s">
        <v>69</v>
      </c>
      <c r="K59" s="91"/>
      <c r="L59" s="91"/>
      <c r="M59" s="130"/>
      <c r="N59" s="94">
        <f>L57</f>
        <v>11543.4488</v>
      </c>
    </row>
    <row r="60" spans="1:16" ht="14.25" thickTop="1" thickBot="1" x14ac:dyDescent="0.25">
      <c r="A60" s="91"/>
      <c r="B60" s="91"/>
      <c r="C60" s="91" t="s">
        <v>77</v>
      </c>
      <c r="D60" s="91"/>
      <c r="E60" s="91"/>
      <c r="F60" s="93">
        <f>(F54-F59)*0.6</f>
        <v>-687.90959999999973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78</v>
      </c>
      <c r="D61" s="91"/>
      <c r="E61" s="91"/>
      <c r="F61" s="94">
        <f>+F59+F60</f>
        <v>3892.0904</v>
      </c>
      <c r="I61" s="91"/>
      <c r="J61" s="91" t="s">
        <v>75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76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79</v>
      </c>
      <c r="D63" s="91"/>
      <c r="E63" s="91"/>
      <c r="F63" s="93">
        <f>E54</f>
        <v>2060.0904</v>
      </c>
      <c r="I63" s="91"/>
      <c r="J63" s="91" t="s">
        <v>80</v>
      </c>
      <c r="K63" s="91"/>
      <c r="L63" s="91"/>
      <c r="M63" s="131"/>
      <c r="N63" s="133">
        <f>(N57-N62)*0.6</f>
        <v>-710.92079999999964</v>
      </c>
    </row>
    <row r="64" spans="1:16" ht="14.25" thickTop="1" thickBot="1" x14ac:dyDescent="0.25">
      <c r="I64" s="91"/>
      <c r="J64" s="91" t="s">
        <v>78</v>
      </c>
      <c r="K64" s="91"/>
      <c r="L64" s="91"/>
      <c r="M64" s="130"/>
      <c r="N64" s="94">
        <f>+N62+N63</f>
        <v>3869.0792000000001</v>
      </c>
    </row>
    <row r="65" spans="3:14" ht="13.5" thickTop="1" x14ac:dyDescent="0.2">
      <c r="C65" s="91" t="s">
        <v>81</v>
      </c>
      <c r="I65" s="91"/>
      <c r="J65" s="91"/>
      <c r="K65" s="91"/>
      <c r="L65" s="91"/>
      <c r="M65" s="131"/>
    </row>
    <row r="66" spans="3:14" x14ac:dyDescent="0.2">
      <c r="C66" s="91" t="s">
        <v>82</v>
      </c>
      <c r="F66" s="93">
        <f>(F54-F59)*0.4</f>
        <v>-458.60639999999989</v>
      </c>
      <c r="I66" s="91"/>
      <c r="J66" s="91" t="s">
        <v>79</v>
      </c>
      <c r="K66" s="91"/>
      <c r="L66" s="91"/>
      <c r="M66" s="130"/>
      <c r="N66" s="93">
        <f>M57</f>
        <v>2037.0792000000004</v>
      </c>
    </row>
    <row r="67" spans="3:14" x14ac:dyDescent="0.2">
      <c r="M67" s="83"/>
    </row>
    <row r="68" spans="3:14" ht="13.5" thickBot="1" x14ac:dyDescent="0.25">
      <c r="C68" s="91" t="s">
        <v>83</v>
      </c>
      <c r="F68" s="95">
        <f>+F56+F59+F60+F63+F66</f>
        <v>17167.419999999998</v>
      </c>
      <c r="G68" s="128">
        <f>+F68-C54</f>
        <v>0</v>
      </c>
      <c r="J68" s="91" t="s">
        <v>81</v>
      </c>
      <c r="M68" s="83"/>
    </row>
    <row r="69" spans="3:14" ht="13.5" thickTop="1" x14ac:dyDescent="0.2">
      <c r="J69" s="91" t="s">
        <v>82</v>
      </c>
      <c r="M69" s="83"/>
      <c r="N69" s="93">
        <f>(N57-N62)*0.4</f>
        <v>-473.94719999999984</v>
      </c>
    </row>
    <row r="71" spans="3:14" ht="13.5" thickBot="1" x14ac:dyDescent="0.25">
      <c r="J71" s="91" t="s">
        <v>83</v>
      </c>
      <c r="N71" s="95">
        <f>+N59+N62+N63+N66+N69</f>
        <v>16975.660000000003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84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85</v>
      </c>
      <c r="B8" s="96"/>
      <c r="C8" s="96"/>
      <c r="D8" s="96"/>
      <c r="E8" s="96"/>
      <c r="F8" s="96"/>
      <c r="G8" s="100">
        <f>+'SALES SUMMARY'!C103</f>
        <v>589898.52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86</v>
      </c>
      <c r="B10" s="96"/>
      <c r="C10" s="96"/>
      <c r="D10" s="96"/>
      <c r="E10" s="96"/>
      <c r="F10" s="96"/>
      <c r="G10" s="100">
        <f>+'SALES SUMMARY'!AF103</f>
        <v>34143.079999999994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 t="e">
        <f>+'SALES SUMMARY'!AM103</f>
        <v>#VALUE!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 t="e">
        <f>G8-G10-G12</f>
        <v>#VALUE!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84</v>
      </c>
      <c r="B17" s="104"/>
      <c r="C17" s="104"/>
      <c r="D17" s="104"/>
      <c r="E17" s="104"/>
      <c r="F17" s="105">
        <v>0.02</v>
      </c>
      <c r="G17" s="106" t="e">
        <f>G14*F17</f>
        <v>#VALUE!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104</v>
      </c>
      <c r="B19" s="104"/>
      <c r="C19" s="104"/>
      <c r="D19" s="104"/>
      <c r="E19" s="104"/>
      <c r="F19" s="105"/>
      <c r="G19" s="122" t="e">
        <f>+G17*0.12</f>
        <v>#VALUE!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105</v>
      </c>
      <c r="B21" s="104"/>
      <c r="C21" s="104"/>
      <c r="D21" s="104"/>
      <c r="E21" s="104"/>
      <c r="F21" s="105"/>
      <c r="G21" s="122" t="e">
        <f>+G17*0.15</f>
        <v>#VALUE!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122</v>
      </c>
      <c r="B23" s="104"/>
      <c r="C23" s="104"/>
      <c r="D23" s="104"/>
      <c r="E23" s="104"/>
      <c r="F23" s="104"/>
      <c r="G23" s="112" t="e">
        <f>G17+G19-G21</f>
        <v>#VALUE!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87</v>
      </c>
      <c r="B28" s="96"/>
      <c r="C28" s="96"/>
      <c r="D28" s="96"/>
      <c r="E28" s="96"/>
      <c r="F28" s="96" t="s">
        <v>88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84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85</v>
      </c>
      <c r="B42" s="96"/>
      <c r="C42" s="96"/>
      <c r="D42" s="96"/>
      <c r="E42" s="96"/>
      <c r="F42" s="96"/>
      <c r="G42" s="100">
        <f>G8</f>
        <v>589898.52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86</v>
      </c>
      <c r="B44" s="96"/>
      <c r="C44" s="96"/>
      <c r="D44" s="96"/>
      <c r="E44" s="96"/>
      <c r="F44" s="96"/>
      <c r="G44" s="100">
        <f>+G10</f>
        <v>34143.079999999994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 t="e">
        <f>G12</f>
        <v>#VALUE!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 t="e">
        <f>G42-G44-G46</f>
        <v>#VALUE!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84</v>
      </c>
      <c r="B51" s="104"/>
      <c r="C51" s="104"/>
      <c r="D51" s="104"/>
      <c r="E51" s="104"/>
      <c r="F51" s="105">
        <v>0.02</v>
      </c>
      <c r="G51" s="106" t="e">
        <f>G48*F51</f>
        <v>#VALUE!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104</v>
      </c>
      <c r="B53" s="104"/>
      <c r="C53" s="104"/>
      <c r="D53" s="104"/>
      <c r="E53" s="104"/>
      <c r="F53" s="105"/>
      <c r="G53" s="122" t="e">
        <f>+G51*0.12</f>
        <v>#VALUE!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105</v>
      </c>
      <c r="B55" s="104"/>
      <c r="C55" s="104"/>
      <c r="D55" s="104"/>
      <c r="E55" s="104"/>
      <c r="F55" s="105"/>
      <c r="G55" s="122" t="e">
        <f>+G51*0.15</f>
        <v>#VALUE!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122</v>
      </c>
      <c r="B57" s="104"/>
      <c r="C57" s="104"/>
      <c r="D57" s="104"/>
      <c r="E57" s="104"/>
      <c r="F57" s="104"/>
      <c r="G57" s="112" t="e">
        <f>G51+G53-G55</f>
        <v>#VALUE!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89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87</v>
      </c>
      <c r="B62" s="96"/>
      <c r="C62" s="96"/>
      <c r="D62" s="96"/>
      <c r="E62" s="96"/>
      <c r="F62" s="96" t="s">
        <v>88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90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85</v>
      </c>
      <c r="B74" s="96"/>
      <c r="C74" s="96"/>
      <c r="D74" s="96"/>
      <c r="E74" s="96"/>
      <c r="F74" s="96"/>
      <c r="G74" s="100">
        <f>G8</f>
        <v>589898.52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86</v>
      </c>
      <c r="B76" s="96"/>
      <c r="C76" s="96"/>
      <c r="D76" s="96"/>
      <c r="E76" s="96"/>
      <c r="F76" s="96"/>
      <c r="G76" s="100">
        <f>G10</f>
        <v>34143.079999999994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 t="e">
        <f>G12</f>
        <v>#VALUE!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 t="e">
        <f>G74-G76-G78</f>
        <v>#VALUE!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90</v>
      </c>
      <c r="B83" s="104"/>
      <c r="C83" s="104"/>
      <c r="D83" s="104"/>
      <c r="E83" s="104"/>
      <c r="F83" s="105">
        <v>0.05</v>
      </c>
      <c r="G83" s="111" t="e">
        <f>G80*F83</f>
        <v>#VALUE!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104</v>
      </c>
      <c r="B85" s="104"/>
      <c r="C85" s="104"/>
      <c r="D85" s="104"/>
      <c r="E85" s="104"/>
      <c r="F85" s="105"/>
      <c r="G85" s="122" t="e">
        <f>+G83*0.12</f>
        <v>#VALUE!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106</v>
      </c>
      <c r="B87" s="104"/>
      <c r="C87" s="104"/>
      <c r="D87" s="104"/>
      <c r="E87" s="104"/>
      <c r="F87" s="105"/>
      <c r="G87" s="122" t="e">
        <f>+G83*0.15</f>
        <v>#VALUE!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122</v>
      </c>
      <c r="B89" s="104"/>
      <c r="C89" s="104"/>
      <c r="D89" s="104"/>
      <c r="E89" s="104"/>
      <c r="F89" s="104"/>
      <c r="G89" s="112" t="e">
        <f>+G83+G85-G87</f>
        <v>#VALUE!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87</v>
      </c>
      <c r="B96" s="96"/>
      <c r="C96" s="96"/>
      <c r="D96" s="96"/>
      <c r="E96" s="96"/>
      <c r="F96" s="96" t="s">
        <v>88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90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85</v>
      </c>
      <c r="B106" s="96"/>
      <c r="C106" s="96"/>
      <c r="D106" s="96"/>
      <c r="E106" s="96"/>
      <c r="F106" s="96"/>
      <c r="G106" s="100">
        <f>G8</f>
        <v>589898.52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86</v>
      </c>
      <c r="B108" s="96"/>
      <c r="C108" s="96"/>
      <c r="D108" s="96"/>
      <c r="E108" s="96"/>
      <c r="F108" s="96"/>
      <c r="G108" s="100">
        <f>G10</f>
        <v>34143.079999999994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 t="e">
        <f>G12</f>
        <v>#VALUE!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 t="e">
        <f>G80</f>
        <v>#VALUE!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91</v>
      </c>
      <c r="B115" s="104"/>
      <c r="C115" s="104"/>
      <c r="D115" s="104"/>
      <c r="E115" s="104"/>
      <c r="F115" s="105">
        <f>F83</f>
        <v>0.05</v>
      </c>
      <c r="G115" s="111" t="e">
        <f>G112*F115</f>
        <v>#VALUE!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104</v>
      </c>
      <c r="B117" s="104"/>
      <c r="C117" s="104"/>
      <c r="D117" s="104"/>
      <c r="E117" s="104"/>
      <c r="F117" s="105"/>
      <c r="G117" s="122" t="e">
        <f>+G115*0.12</f>
        <v>#VALUE!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105</v>
      </c>
      <c r="B119" s="104"/>
      <c r="C119" s="104"/>
      <c r="D119" s="104"/>
      <c r="E119" s="104"/>
      <c r="F119" s="105"/>
      <c r="G119" s="122" t="e">
        <f>+G115*0.15</f>
        <v>#VALUE!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122</v>
      </c>
      <c r="B121" s="104"/>
      <c r="C121" s="104"/>
      <c r="D121" s="104"/>
      <c r="E121" s="104"/>
      <c r="F121" s="104"/>
      <c r="G121" s="112" t="e">
        <f>G115+G117-G119</f>
        <v>#VALUE!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92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87</v>
      </c>
      <c r="B128" s="96"/>
      <c r="C128" s="96"/>
      <c r="D128" s="96"/>
      <c r="E128" s="96"/>
      <c r="F128" s="96" t="s">
        <v>88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B0CF-ED26-4F20-8ECA-88844C6805D5}">
  <dimension ref="A1:DT155"/>
  <sheetViews>
    <sheetView zoomScale="120" zoomScaleNormal="120" workbookViewId="0">
      <pane xSplit="3" ySplit="7" topLeftCell="AB9" activePane="bottomRight" state="frozen"/>
      <selection pane="topRight" activeCell="D1" sqref="D1"/>
      <selection pane="bottomLeft" activeCell="A8" sqref="A8"/>
      <selection pane="bottomRight" activeCell="AG71" sqref="AG71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1" width="10.7109375" style="136" hidden="1" customWidth="1"/>
    <col min="62" max="63" width="10.7109375" style="136" customWidth="1"/>
    <col min="64" max="67" width="10.7109375" style="136" hidden="1" customWidth="1"/>
    <col min="68" max="69" width="10.7109375" style="136" customWidth="1"/>
    <col min="70" max="71" width="9.140625" style="136"/>
    <col min="72" max="124" width="12.7109375" style="4" customWidth="1"/>
    <col min="125" max="16384" width="9.140625" style="136"/>
  </cols>
  <sheetData>
    <row r="1" spans="1:124" ht="16.5" hidden="1" customHeight="1" thickTop="1" thickBot="1" x14ac:dyDescent="0.3">
      <c r="A1" s="1" t="s">
        <v>93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customHeight="1" thickBot="1" x14ac:dyDescent="0.3">
      <c r="A2" s="1" t="s">
        <v>66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customHeight="1" thickBot="1" x14ac:dyDescent="0.3">
      <c r="A4" s="9" t="s">
        <v>129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 t="s">
        <v>34</v>
      </c>
      <c r="DE4" s="144"/>
      <c r="DF4" s="144" t="s">
        <v>25</v>
      </c>
      <c r="DG4" s="144" t="s">
        <v>35</v>
      </c>
      <c r="DH4" s="144"/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 t="s">
        <v>36</v>
      </c>
    </row>
    <row r="5" spans="1:124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143">
        <v>0.5</v>
      </c>
      <c r="BM5" s="4"/>
      <c r="BN5" s="4"/>
      <c r="BO5" s="4"/>
      <c r="BP5" s="4"/>
      <c r="BQ5" s="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 t="s">
        <v>41</v>
      </c>
      <c r="DD5" s="144"/>
      <c r="DE5" s="144" t="s">
        <v>42</v>
      </c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</row>
    <row r="6" spans="1:124" ht="34.5" customHeight="1" thickTop="1" thickBot="1" x14ac:dyDescent="0.3">
      <c r="A6" s="262" t="s">
        <v>2</v>
      </c>
      <c r="B6" s="235" t="s">
        <v>3</v>
      </c>
      <c r="C6" s="243" t="s">
        <v>4</v>
      </c>
      <c r="D6" s="239" t="s">
        <v>5</v>
      </c>
      <c r="E6" s="239" t="s">
        <v>6</v>
      </c>
      <c r="F6" s="239" t="s">
        <v>7</v>
      </c>
      <c r="G6" s="243" t="s">
        <v>8</v>
      </c>
      <c r="H6" s="243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5" t="s">
        <v>14</v>
      </c>
      <c r="N6" s="235" t="s">
        <v>15</v>
      </c>
      <c r="O6" s="235" t="s">
        <v>16</v>
      </c>
      <c r="P6" s="235" t="s">
        <v>17</v>
      </c>
      <c r="Q6" s="239" t="s">
        <v>46</v>
      </c>
      <c r="R6" s="239" t="s">
        <v>18</v>
      </c>
      <c r="S6" s="239" t="s">
        <v>19</v>
      </c>
      <c r="T6" s="235" t="s">
        <v>20</v>
      </c>
      <c r="U6" s="235" t="s">
        <v>21</v>
      </c>
      <c r="V6" s="235" t="s">
        <v>22</v>
      </c>
      <c r="W6" s="235" t="s">
        <v>47</v>
      </c>
      <c r="X6" s="239" t="s">
        <v>46</v>
      </c>
      <c r="Y6" s="200"/>
      <c r="Z6" s="239" t="s">
        <v>23</v>
      </c>
      <c r="AA6" s="248" t="s">
        <v>24</v>
      </c>
      <c r="AB6" s="239" t="s">
        <v>25</v>
      </c>
      <c r="AC6" s="239" t="s">
        <v>26</v>
      </c>
      <c r="AD6" s="254" t="s">
        <v>94</v>
      </c>
      <c r="AE6" s="255"/>
      <c r="AF6" s="242" t="s">
        <v>28</v>
      </c>
      <c r="AG6" s="250" t="s">
        <v>29</v>
      </c>
      <c r="AH6" s="251"/>
      <c r="AI6" s="243" t="s">
        <v>30</v>
      </c>
      <c r="AJ6" s="200"/>
      <c r="AK6" s="243" t="s">
        <v>31</v>
      </c>
      <c r="AL6" s="243" t="s">
        <v>32</v>
      </c>
      <c r="AM6" s="246" t="s">
        <v>33</v>
      </c>
      <c r="AN6" s="252" t="s">
        <v>102</v>
      </c>
      <c r="AO6" s="17"/>
      <c r="AP6" s="237" t="s">
        <v>63</v>
      </c>
      <c r="AQ6" s="237" t="s">
        <v>133</v>
      </c>
      <c r="AR6" s="237" t="s">
        <v>110</v>
      </c>
      <c r="AS6" s="237" t="s">
        <v>64</v>
      </c>
      <c r="AT6" s="237" t="s">
        <v>97</v>
      </c>
      <c r="AU6" s="237" t="s">
        <v>117</v>
      </c>
      <c r="AV6" s="237" t="s">
        <v>112</v>
      </c>
      <c r="AW6" s="237" t="s">
        <v>113</v>
      </c>
      <c r="AX6" s="237" t="s">
        <v>114</v>
      </c>
      <c r="AY6" s="198"/>
      <c r="AZ6" s="202"/>
      <c r="BA6" s="257" t="s">
        <v>34</v>
      </c>
      <c r="BB6" s="204"/>
      <c r="BC6" s="243" t="s">
        <v>25</v>
      </c>
      <c r="BD6" s="243" t="s">
        <v>35</v>
      </c>
      <c r="BE6" s="237" t="s">
        <v>123</v>
      </c>
      <c r="BF6" s="237" t="s">
        <v>111</v>
      </c>
      <c r="BG6" s="237" t="s">
        <v>126</v>
      </c>
      <c r="BH6" s="237" t="s">
        <v>127</v>
      </c>
      <c r="BI6" s="237" t="s">
        <v>128</v>
      </c>
      <c r="BJ6" s="237" t="s">
        <v>125</v>
      </c>
      <c r="BK6" s="237" t="s">
        <v>135</v>
      </c>
      <c r="BL6" s="237" t="s">
        <v>116</v>
      </c>
      <c r="BM6" s="18"/>
      <c r="BN6" s="18"/>
      <c r="BO6" s="18"/>
      <c r="BP6" s="237" t="s">
        <v>131</v>
      </c>
      <c r="BQ6" s="250" t="s">
        <v>36</v>
      </c>
    </row>
    <row r="7" spans="1:124" ht="35.25" thickTop="1" thickBot="1" x14ac:dyDescent="0.3">
      <c r="A7" s="263"/>
      <c r="B7" s="236"/>
      <c r="C7" s="245"/>
      <c r="D7" s="241"/>
      <c r="E7" s="241"/>
      <c r="F7" s="240"/>
      <c r="G7" s="245"/>
      <c r="H7" s="245"/>
      <c r="I7" s="240"/>
      <c r="J7" s="240"/>
      <c r="K7" s="241"/>
      <c r="L7" s="240"/>
      <c r="M7" s="236"/>
      <c r="N7" s="236"/>
      <c r="O7" s="236"/>
      <c r="P7" s="236"/>
      <c r="Q7" s="240"/>
      <c r="R7" s="241"/>
      <c r="S7" s="240"/>
      <c r="T7" s="236"/>
      <c r="U7" s="236"/>
      <c r="V7" s="236"/>
      <c r="W7" s="236"/>
      <c r="X7" s="240"/>
      <c r="Y7" s="19" t="s">
        <v>37</v>
      </c>
      <c r="Z7" s="241"/>
      <c r="AA7" s="249"/>
      <c r="AB7" s="241"/>
      <c r="AC7" s="241"/>
      <c r="AD7" s="118" t="s">
        <v>95</v>
      </c>
      <c r="AE7" s="119" t="s">
        <v>96</v>
      </c>
      <c r="AF7" s="241"/>
      <c r="AG7" s="20" t="s">
        <v>38</v>
      </c>
      <c r="AH7" s="20" t="s">
        <v>39</v>
      </c>
      <c r="AI7" s="244"/>
      <c r="AJ7" s="201" t="s">
        <v>40</v>
      </c>
      <c r="AK7" s="245"/>
      <c r="AL7" s="245"/>
      <c r="AM7" s="247"/>
      <c r="AN7" s="253"/>
      <c r="AO7" s="21" t="s">
        <v>65</v>
      </c>
      <c r="AP7" s="238"/>
      <c r="AQ7" s="238"/>
      <c r="AR7" s="238"/>
      <c r="AS7" s="238"/>
      <c r="AT7" s="238"/>
      <c r="AU7" s="238"/>
      <c r="AV7" s="238"/>
      <c r="AW7" s="238"/>
      <c r="AX7" s="238"/>
      <c r="AY7" s="199"/>
      <c r="AZ7" s="203" t="s">
        <v>41</v>
      </c>
      <c r="BA7" s="258"/>
      <c r="BB7" s="205" t="s">
        <v>42</v>
      </c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2"/>
      <c r="BN7" s="22"/>
      <c r="BO7" s="22"/>
      <c r="BP7" s="238"/>
      <c r="BQ7" s="256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s="222" customFormat="1" ht="16.5" thickTop="1" thickBot="1" x14ac:dyDescent="0.3">
      <c r="A8" s="226"/>
      <c r="B8" s="227"/>
      <c r="C8" s="228"/>
      <c r="D8" s="229"/>
      <c r="E8" s="229"/>
      <c r="F8" s="229"/>
      <c r="G8" s="228"/>
      <c r="H8" s="228"/>
      <c r="I8" s="229"/>
      <c r="J8" s="229"/>
      <c r="K8" s="229"/>
      <c r="L8" s="229"/>
      <c r="M8" s="227"/>
      <c r="N8" s="227"/>
      <c r="O8" s="227"/>
      <c r="P8" s="227"/>
      <c r="Q8" s="230"/>
      <c r="R8" s="229"/>
      <c r="S8" s="229"/>
      <c r="T8" s="227"/>
      <c r="U8" s="227"/>
      <c r="V8" s="227"/>
      <c r="W8" s="227"/>
      <c r="X8" s="230"/>
      <c r="Y8" s="229"/>
      <c r="Z8" s="229"/>
      <c r="AA8" s="229"/>
      <c r="AB8" s="229"/>
      <c r="AC8" s="213"/>
      <c r="AD8" s="231"/>
      <c r="AE8" s="231"/>
      <c r="AF8" s="229"/>
      <c r="AG8" s="228"/>
      <c r="AH8" s="228"/>
      <c r="AI8" s="228"/>
      <c r="AJ8" s="229"/>
      <c r="AK8" s="228"/>
      <c r="AL8" s="228"/>
      <c r="AM8" s="228"/>
      <c r="AN8" s="228"/>
      <c r="AO8" s="232"/>
      <c r="AP8" s="233"/>
      <c r="AQ8" s="233"/>
      <c r="AR8" s="233"/>
      <c r="AS8" s="233"/>
      <c r="AT8" s="233"/>
      <c r="AU8" s="233"/>
      <c r="AV8" s="233"/>
      <c r="AW8" s="233"/>
      <c r="AX8" s="233"/>
      <c r="AY8" s="233"/>
      <c r="AZ8" s="228"/>
      <c r="BA8" s="231"/>
      <c r="BB8" s="231"/>
      <c r="BC8" s="228"/>
      <c r="BD8" s="228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4"/>
      <c r="BT8" s="225"/>
      <c r="BU8" s="225"/>
      <c r="BV8" s="225"/>
      <c r="BW8" s="225"/>
      <c r="BX8" s="225"/>
      <c r="BY8" s="225"/>
      <c r="BZ8" s="225"/>
      <c r="CA8" s="225"/>
      <c r="CB8" s="225"/>
      <c r="CC8" s="225"/>
      <c r="CD8" s="225"/>
      <c r="CE8" s="225"/>
      <c r="CF8" s="225"/>
      <c r="CG8" s="225"/>
      <c r="CH8" s="225"/>
      <c r="CI8" s="225"/>
      <c r="CJ8" s="225"/>
      <c r="CK8" s="225"/>
      <c r="CL8" s="225"/>
      <c r="CM8" s="225"/>
      <c r="CN8" s="225"/>
      <c r="CO8" s="225"/>
      <c r="CP8" s="225"/>
      <c r="CQ8" s="225"/>
      <c r="CR8" s="225"/>
      <c r="CS8" s="225"/>
      <c r="CT8" s="225"/>
      <c r="CU8" s="225"/>
      <c r="CV8" s="225"/>
      <c r="CW8" s="225"/>
      <c r="CX8" s="225"/>
      <c r="CY8" s="225"/>
      <c r="CZ8" s="225"/>
      <c r="DA8" s="225"/>
      <c r="DB8" s="225"/>
      <c r="DC8" s="225"/>
      <c r="DD8" s="225"/>
      <c r="DE8" s="225"/>
      <c r="DF8" s="225"/>
      <c r="DG8" s="225"/>
      <c r="DH8" s="225"/>
      <c r="DI8" s="225"/>
      <c r="DJ8" s="225"/>
      <c r="DK8" s="225"/>
      <c r="DL8" s="225"/>
      <c r="DM8" s="225"/>
      <c r="DN8" s="225"/>
      <c r="DO8" s="225"/>
      <c r="DP8" s="225"/>
      <c r="DQ8" s="225"/>
      <c r="DR8" s="225"/>
      <c r="DS8" s="225"/>
      <c r="DT8" s="225"/>
    </row>
    <row r="9" spans="1:124" ht="15.75" customHeight="1" thickTop="1" x14ac:dyDescent="0.25">
      <c r="A9" s="206">
        <v>40513</v>
      </c>
      <c r="B9" s="32" t="s">
        <v>43</v>
      </c>
      <c r="C9" s="33"/>
      <c r="D9" s="34"/>
      <c r="E9" s="34"/>
      <c r="F9" s="35"/>
      <c r="G9" s="33">
        <v>0</v>
      </c>
      <c r="H9" s="33">
        <v>0</v>
      </c>
      <c r="I9" s="34"/>
      <c r="J9" s="34"/>
      <c r="K9" s="34"/>
      <c r="L9" s="34"/>
      <c r="M9" s="36">
        <v>0</v>
      </c>
      <c r="N9" s="36">
        <v>0</v>
      </c>
      <c r="O9" s="36">
        <v>0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v>0</v>
      </c>
      <c r="AH9" s="33">
        <v>0</v>
      </c>
      <c r="AI9" s="33">
        <v>0</v>
      </c>
      <c r="AJ9" s="34"/>
      <c r="AK9" s="33">
        <v>0</v>
      </c>
      <c r="AL9" s="33">
        <v>0</v>
      </c>
      <c r="AM9" s="33">
        <v>0</v>
      </c>
      <c r="AN9" s="33"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v>0</v>
      </c>
      <c r="BA9" s="38"/>
      <c r="BB9" s="38"/>
      <c r="BC9" s="33">
        <v>0</v>
      </c>
      <c r="BD9" s="33"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v>0</v>
      </c>
    </row>
    <row r="10" spans="1:124" ht="15.75" hidden="1" thickBot="1" x14ac:dyDescent="0.3">
      <c r="A10" s="208"/>
      <c r="B10" s="15" t="s">
        <v>44</v>
      </c>
      <c r="C10" s="33">
        <v>23524.560000000001</v>
      </c>
      <c r="D10" s="34">
        <v>11824.78</v>
      </c>
      <c r="E10" s="34">
        <v>11825</v>
      </c>
      <c r="F10" s="35">
        <v>44167</v>
      </c>
      <c r="G10" s="33">
        <v>0</v>
      </c>
      <c r="H10" s="33">
        <v>0.21999999999934516</v>
      </c>
      <c r="I10" s="34"/>
      <c r="J10" s="34"/>
      <c r="K10" s="34">
        <v>8322.43</v>
      </c>
      <c r="L10" s="34"/>
      <c r="M10" s="36">
        <v>178.93224499999999</v>
      </c>
      <c r="N10" s="36">
        <v>41.61215</v>
      </c>
      <c r="O10" s="36">
        <v>8101.8856050000004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/>
      <c r="AA10" s="34"/>
      <c r="AB10" s="34"/>
      <c r="AC10" s="34"/>
      <c r="AD10" s="38" t="s">
        <v>140</v>
      </c>
      <c r="AE10" s="38">
        <v>3065</v>
      </c>
      <c r="AF10" s="34">
        <v>1184.1099999999999</v>
      </c>
      <c r="AG10" s="33">
        <v>805.19479999999999</v>
      </c>
      <c r="AH10" s="33">
        <v>142.0932</v>
      </c>
      <c r="AI10" s="33">
        <v>236.822</v>
      </c>
      <c r="AJ10" s="34"/>
      <c r="AK10" s="33">
        <v>19946.830357142855</v>
      </c>
      <c r="AL10" s="33">
        <v>19946.830357142855</v>
      </c>
      <c r="AM10" s="33">
        <v>2393.6196428571425</v>
      </c>
      <c r="AN10" s="33">
        <v>22340.449999999997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v>0</v>
      </c>
      <c r="BA10" s="38"/>
      <c r="BB10" s="38"/>
      <c r="BC10" s="33">
        <v>0</v>
      </c>
      <c r="BD10" s="33"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1">
        <v>0</v>
      </c>
    </row>
    <row r="11" spans="1:124" hidden="1" x14ac:dyDescent="0.25">
      <c r="A11" s="206">
        <v>40514</v>
      </c>
      <c r="B11" s="32" t="s">
        <v>43</v>
      </c>
      <c r="C11" s="33"/>
      <c r="D11" s="34"/>
      <c r="E11" s="34"/>
      <c r="F11" s="35"/>
      <c r="G11" s="33">
        <v>0</v>
      </c>
      <c r="H11" s="33">
        <v>0</v>
      </c>
      <c r="I11" s="34"/>
      <c r="J11" s="34"/>
      <c r="K11" s="34"/>
      <c r="L11" s="34"/>
      <c r="M11" s="36">
        <v>0</v>
      </c>
      <c r="N11" s="36">
        <v>0</v>
      </c>
      <c r="O11" s="36">
        <v>0</v>
      </c>
      <c r="P11" s="36"/>
      <c r="Q11" s="37"/>
      <c r="R11" s="34"/>
      <c r="S11" s="34"/>
      <c r="T11" s="36">
        <v>0</v>
      </c>
      <c r="U11" s="36">
        <v>0</v>
      </c>
      <c r="V11" s="36">
        <v>0</v>
      </c>
      <c r="W11" s="36"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v>0</v>
      </c>
      <c r="AH11" s="33">
        <v>0</v>
      </c>
      <c r="AI11" s="33">
        <v>0</v>
      </c>
      <c r="AJ11" s="34"/>
      <c r="AK11" s="33">
        <v>0</v>
      </c>
      <c r="AL11" s="33">
        <v>0</v>
      </c>
      <c r="AM11" s="33">
        <v>0</v>
      </c>
      <c r="AN11" s="33"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v>0</v>
      </c>
      <c r="BA11" s="38"/>
      <c r="BB11" s="38"/>
      <c r="BC11" s="33">
        <v>0</v>
      </c>
      <c r="BD11" s="33"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41">
        <v>0</v>
      </c>
      <c r="BS11" s="146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</row>
    <row r="12" spans="1:124" ht="16.5" hidden="1" customHeight="1" x14ac:dyDescent="0.25">
      <c r="A12" s="207"/>
      <c r="B12" s="15" t="s">
        <v>44</v>
      </c>
      <c r="C12" s="33">
        <v>24640.61</v>
      </c>
      <c r="D12" s="34">
        <v>22522.76</v>
      </c>
      <c r="E12" s="34">
        <v>22446</v>
      </c>
      <c r="F12" s="35">
        <v>44168</v>
      </c>
      <c r="G12" s="33">
        <v>76.759999999998399</v>
      </c>
      <c r="H12" s="33">
        <v>0</v>
      </c>
      <c r="I12" s="34"/>
      <c r="J12" s="34"/>
      <c r="K12" s="34">
        <v>1317.05</v>
      </c>
      <c r="L12" s="34">
        <v>0</v>
      </c>
      <c r="M12" s="36">
        <v>28.316574999999997</v>
      </c>
      <c r="N12" s="36">
        <v>6.5852500000000003</v>
      </c>
      <c r="O12" s="36">
        <v>1282.1481749999998</v>
      </c>
      <c r="P12" s="36">
        <v>0</v>
      </c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>
        <v>87</v>
      </c>
      <c r="AA12" s="34"/>
      <c r="AB12" s="34"/>
      <c r="AC12" s="34">
        <v>600.15</v>
      </c>
      <c r="AD12" s="38" t="s">
        <v>140</v>
      </c>
      <c r="AE12" s="38">
        <v>2190</v>
      </c>
      <c r="AF12" s="34">
        <v>1430.7</v>
      </c>
      <c r="AG12" s="33">
        <v>972.87600000000009</v>
      </c>
      <c r="AH12" s="33">
        <v>171.68400000000003</v>
      </c>
      <c r="AI12" s="33">
        <v>286.14000000000004</v>
      </c>
      <c r="AJ12" s="34">
        <v>0</v>
      </c>
      <c r="AK12" s="33">
        <v>20723.133928571428</v>
      </c>
      <c r="AL12" s="33">
        <v>20035.983928571426</v>
      </c>
      <c r="AM12" s="33">
        <v>2404.3180714285709</v>
      </c>
      <c r="AN12" s="33">
        <v>22440.301999999996</v>
      </c>
      <c r="AO12" s="39"/>
      <c r="AP12" s="40"/>
      <c r="AQ12" s="40"/>
      <c r="AR12" s="40">
        <v>390</v>
      </c>
      <c r="AS12" s="40"/>
      <c r="AT12" s="40"/>
      <c r="AU12" s="40"/>
      <c r="AV12" s="40"/>
      <c r="AW12" s="40"/>
      <c r="AX12" s="40"/>
      <c r="AY12" s="40"/>
      <c r="AZ12" s="33">
        <v>390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v>390</v>
      </c>
      <c r="BS12" s="146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</row>
    <row r="13" spans="1:124" ht="15.75" hidden="1" customHeight="1" x14ac:dyDescent="0.25">
      <c r="A13" s="206">
        <v>40515</v>
      </c>
      <c r="B13" s="32" t="s">
        <v>43</v>
      </c>
      <c r="C13" s="33"/>
      <c r="D13" s="34"/>
      <c r="E13" s="34"/>
      <c r="F13" s="35"/>
      <c r="G13" s="33">
        <v>0</v>
      </c>
      <c r="H13" s="33">
        <v>0</v>
      </c>
      <c r="I13" s="34"/>
      <c r="J13" s="34"/>
      <c r="K13" s="34"/>
      <c r="L13" s="34"/>
      <c r="M13" s="36">
        <v>0</v>
      </c>
      <c r="N13" s="36">
        <v>0</v>
      </c>
      <c r="O13" s="36">
        <v>0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v>0</v>
      </c>
      <c r="AH13" s="33">
        <v>0</v>
      </c>
      <c r="AI13" s="33">
        <v>0</v>
      </c>
      <c r="AJ13" s="34"/>
      <c r="AK13" s="33">
        <v>0</v>
      </c>
      <c r="AL13" s="33">
        <v>0</v>
      </c>
      <c r="AM13" s="33">
        <v>0</v>
      </c>
      <c r="AN13" s="33"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v>0</v>
      </c>
      <c r="BA13" s="38"/>
      <c r="BB13" s="38"/>
      <c r="BC13" s="33">
        <v>0</v>
      </c>
      <c r="BD13" s="33"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v>0</v>
      </c>
      <c r="BS13" s="146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</row>
    <row r="14" spans="1:124" ht="15.75" hidden="1" thickBot="1" x14ac:dyDescent="0.3">
      <c r="A14" s="207"/>
      <c r="B14" s="15" t="s">
        <v>44</v>
      </c>
      <c r="C14" s="33">
        <v>24431.49</v>
      </c>
      <c r="D14" s="34">
        <v>12438.39</v>
      </c>
      <c r="E14" s="34">
        <v>12440</v>
      </c>
      <c r="F14" s="35">
        <v>44169</v>
      </c>
      <c r="G14" s="33">
        <v>0</v>
      </c>
      <c r="H14" s="33">
        <v>1.6100000000005821</v>
      </c>
      <c r="I14" s="34"/>
      <c r="J14" s="34"/>
      <c r="K14" s="34">
        <v>7094.64</v>
      </c>
      <c r="L14" s="34"/>
      <c r="M14" s="36">
        <v>152.53476000000001</v>
      </c>
      <c r="N14" s="36">
        <v>35.473200000000006</v>
      </c>
      <c r="O14" s="36">
        <v>6906.6320400000004</v>
      </c>
      <c r="P14" s="36">
        <v>0</v>
      </c>
      <c r="Q14" s="37"/>
      <c r="R14" s="34"/>
      <c r="S14" s="34"/>
      <c r="T14" s="36">
        <v>0</v>
      </c>
      <c r="U14" s="36">
        <v>0</v>
      </c>
      <c r="V14" s="36">
        <v>0</v>
      </c>
      <c r="W14" s="36">
        <v>0</v>
      </c>
      <c r="X14" s="37"/>
      <c r="Y14" s="34"/>
      <c r="Z14" s="194">
        <v>25.25</v>
      </c>
      <c r="AA14" s="34"/>
      <c r="AB14" s="34"/>
      <c r="AC14" s="34">
        <v>123.21</v>
      </c>
      <c r="AD14" s="38" t="s">
        <v>140</v>
      </c>
      <c r="AE14" s="38">
        <v>4750</v>
      </c>
      <c r="AF14" s="34">
        <v>1235.42</v>
      </c>
      <c r="AG14" s="33">
        <v>840.08560000000011</v>
      </c>
      <c r="AH14" s="33">
        <v>148.25040000000001</v>
      </c>
      <c r="AI14" s="33">
        <v>247.08400000000003</v>
      </c>
      <c r="AJ14" s="34">
        <v>0</v>
      </c>
      <c r="AK14" s="33">
        <v>20710.776785714283</v>
      </c>
      <c r="AL14" s="33">
        <v>20562.316785714283</v>
      </c>
      <c r="AM14" s="33">
        <v>2467.4780142857139</v>
      </c>
      <c r="AN14" s="33">
        <v>23029.794799999996</v>
      </c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33">
        <v>0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41">
        <v>0</v>
      </c>
      <c r="BS14" s="146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</row>
    <row r="15" spans="1:124" hidden="1" x14ac:dyDescent="0.25">
      <c r="A15" s="206">
        <v>40516</v>
      </c>
      <c r="B15" s="32" t="s">
        <v>43</v>
      </c>
      <c r="C15" s="33"/>
      <c r="D15" s="34"/>
      <c r="E15" s="34"/>
      <c r="F15" s="35"/>
      <c r="G15" s="33">
        <v>0</v>
      </c>
      <c r="H15" s="33">
        <v>0</v>
      </c>
      <c r="I15" s="34"/>
      <c r="J15" s="34"/>
      <c r="K15" s="34"/>
      <c r="L15" s="34"/>
      <c r="M15" s="36">
        <v>0</v>
      </c>
      <c r="N15" s="36">
        <v>0</v>
      </c>
      <c r="O15" s="36"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v>0</v>
      </c>
      <c r="AH15" s="33">
        <v>0</v>
      </c>
      <c r="AI15" s="33">
        <v>0</v>
      </c>
      <c r="AJ15" s="34"/>
      <c r="AK15" s="33">
        <v>0</v>
      </c>
      <c r="AL15" s="33">
        <v>0</v>
      </c>
      <c r="AM15" s="33">
        <v>0</v>
      </c>
      <c r="AN15" s="33"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v>0</v>
      </c>
      <c r="BA15" s="38"/>
      <c r="BB15" s="38"/>
      <c r="BC15" s="33">
        <v>0</v>
      </c>
      <c r="BD15" s="33"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v>0</v>
      </c>
      <c r="BS15" s="146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</row>
    <row r="16" spans="1:124" ht="16.5" hidden="1" customHeight="1" thickBot="1" x14ac:dyDescent="0.3">
      <c r="A16" s="207"/>
      <c r="B16" s="15" t="s">
        <v>44</v>
      </c>
      <c r="C16" s="33">
        <v>25530.3</v>
      </c>
      <c r="D16" s="34">
        <v>15790.37</v>
      </c>
      <c r="E16" s="34">
        <v>15791</v>
      </c>
      <c r="F16" s="35">
        <v>44172</v>
      </c>
      <c r="G16" s="33">
        <v>0</v>
      </c>
      <c r="H16" s="33">
        <v>0.62999999999919964</v>
      </c>
      <c r="I16" s="34"/>
      <c r="J16" s="34"/>
      <c r="K16" s="34">
        <v>7570.44</v>
      </c>
      <c r="L16" s="34"/>
      <c r="M16" s="36">
        <v>162.76445999999999</v>
      </c>
      <c r="N16" s="36">
        <v>37.852199999999996</v>
      </c>
      <c r="O16" s="36">
        <v>7369.823339999999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>
        <v>20.75</v>
      </c>
      <c r="AA16" s="192"/>
      <c r="AB16" s="34"/>
      <c r="AC16" s="34">
        <v>693.74</v>
      </c>
      <c r="AD16" s="38" t="s">
        <v>140</v>
      </c>
      <c r="AE16" s="38">
        <v>1455</v>
      </c>
      <c r="AF16" s="34">
        <v>1576.56</v>
      </c>
      <c r="AG16" s="33">
        <v>1072.0608</v>
      </c>
      <c r="AH16" s="33">
        <v>189.18719999999999</v>
      </c>
      <c r="AI16" s="33">
        <v>315.31200000000001</v>
      </c>
      <c r="AJ16" s="34">
        <v>0</v>
      </c>
      <c r="AK16" s="33">
        <v>21387.267857142855</v>
      </c>
      <c r="AL16" s="33">
        <v>20672.777857142853</v>
      </c>
      <c r="AM16" s="33">
        <v>2480.7333428571424</v>
      </c>
      <c r="AN16" s="33">
        <v>23153.511199999997</v>
      </c>
      <c r="AO16" s="39">
        <v>140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v>140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v>140</v>
      </c>
      <c r="BS16" s="146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</row>
    <row r="17" spans="1:124" ht="15.75" hidden="1" customHeight="1" x14ac:dyDescent="0.25">
      <c r="A17" s="206">
        <v>40517</v>
      </c>
      <c r="B17" s="32" t="s">
        <v>43</v>
      </c>
      <c r="C17" s="33"/>
      <c r="D17" s="34"/>
      <c r="E17" s="34"/>
      <c r="F17" s="35"/>
      <c r="G17" s="33">
        <v>0</v>
      </c>
      <c r="H17" s="33">
        <v>0</v>
      </c>
      <c r="I17" s="34"/>
      <c r="J17" s="34"/>
      <c r="K17" s="34"/>
      <c r="L17" s="34"/>
      <c r="M17" s="36">
        <v>0</v>
      </c>
      <c r="N17" s="36">
        <v>0</v>
      </c>
      <c r="O17" s="36"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v>0</v>
      </c>
      <c r="AH17" s="33">
        <v>0</v>
      </c>
      <c r="AI17" s="33">
        <v>0</v>
      </c>
      <c r="AJ17" s="34">
        <v>0</v>
      </c>
      <c r="AK17" s="33">
        <v>0</v>
      </c>
      <c r="AL17" s="33">
        <v>0</v>
      </c>
      <c r="AM17" s="33">
        <v>0</v>
      </c>
      <c r="AN17" s="33"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v>0</v>
      </c>
      <c r="BA17" s="38"/>
      <c r="BB17" s="38"/>
      <c r="BC17" s="33">
        <v>0</v>
      </c>
      <c r="BD17" s="33"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41">
        <v>0</v>
      </c>
      <c r="BS17" s="146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</row>
    <row r="18" spans="1:124" hidden="1" x14ac:dyDescent="0.25">
      <c r="A18" s="207"/>
      <c r="B18" s="15" t="s">
        <v>44</v>
      </c>
      <c r="C18" s="33">
        <v>4886.7</v>
      </c>
      <c r="D18" s="34">
        <v>2544.7399999999998</v>
      </c>
      <c r="E18" s="34">
        <v>2545</v>
      </c>
      <c r="F18" s="35">
        <v>44172</v>
      </c>
      <c r="G18" s="33">
        <v>0</v>
      </c>
      <c r="H18" s="33">
        <v>0.26000000000021828</v>
      </c>
      <c r="I18" s="34"/>
      <c r="J18" s="34"/>
      <c r="K18" s="34">
        <v>396.78</v>
      </c>
      <c r="L18" s="34"/>
      <c r="M18" s="36">
        <v>8.5307699999999986</v>
      </c>
      <c r="N18" s="36">
        <v>1.9839</v>
      </c>
      <c r="O18" s="36">
        <v>386.26532999999995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>
        <v>90.18</v>
      </c>
      <c r="AD18" s="38" t="s">
        <v>140</v>
      </c>
      <c r="AE18" s="38">
        <v>1855</v>
      </c>
      <c r="AF18" s="34">
        <v>100.81</v>
      </c>
      <c r="AG18" s="33">
        <v>68.55080000000001</v>
      </c>
      <c r="AH18" s="33">
        <v>12.097200000000001</v>
      </c>
      <c r="AI18" s="33">
        <v>20.162000000000003</v>
      </c>
      <c r="AJ18" s="34">
        <v>0</v>
      </c>
      <c r="AK18" s="33">
        <v>4273.1160714285706</v>
      </c>
      <c r="AL18" s="33">
        <v>4182.9360714285704</v>
      </c>
      <c r="AM18" s="33">
        <v>501.95232857142844</v>
      </c>
      <c r="AN18" s="33">
        <v>4684.8883999999989</v>
      </c>
      <c r="AO18" s="39">
        <v>2000</v>
      </c>
      <c r="AP18" s="40"/>
      <c r="AQ18" s="40"/>
      <c r="AR18" s="40">
        <v>430</v>
      </c>
      <c r="AS18" s="40"/>
      <c r="AT18" s="40"/>
      <c r="AU18" s="40"/>
      <c r="AV18" s="40"/>
      <c r="AW18" s="40"/>
      <c r="AX18" s="40"/>
      <c r="AY18" s="40"/>
      <c r="AZ18" s="33">
        <v>2430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v>2430</v>
      </c>
      <c r="BS18" s="146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</row>
    <row r="19" spans="1:124" hidden="1" x14ac:dyDescent="0.25">
      <c r="A19" s="206">
        <v>40518</v>
      </c>
      <c r="B19" s="32" t="s">
        <v>43</v>
      </c>
      <c r="C19" s="33"/>
      <c r="D19" s="34"/>
      <c r="E19" s="34"/>
      <c r="F19" s="35"/>
      <c r="G19" s="33">
        <v>0</v>
      </c>
      <c r="H19" s="33">
        <v>0</v>
      </c>
      <c r="I19" s="34"/>
      <c r="J19" s="34"/>
      <c r="K19" s="34"/>
      <c r="L19" s="34"/>
      <c r="M19" s="36">
        <v>0</v>
      </c>
      <c r="N19" s="36">
        <v>0</v>
      </c>
      <c r="O19" s="36"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v>0</v>
      </c>
      <c r="AH19" s="33">
        <v>0</v>
      </c>
      <c r="AI19" s="33">
        <v>0</v>
      </c>
      <c r="AJ19" s="34">
        <v>0</v>
      </c>
      <c r="AK19" s="33">
        <v>0</v>
      </c>
      <c r="AL19" s="33">
        <v>0</v>
      </c>
      <c r="AM19" s="33">
        <v>0</v>
      </c>
      <c r="AN19" s="33"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v>0</v>
      </c>
      <c r="BS19" s="146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</row>
    <row r="20" spans="1:124" ht="16.5" hidden="1" customHeight="1" x14ac:dyDescent="0.25">
      <c r="A20" s="207"/>
      <c r="B20" s="15" t="s">
        <v>44</v>
      </c>
      <c r="C20" s="33" t="s">
        <v>138</v>
      </c>
      <c r="D20" s="34"/>
      <c r="E20" s="34"/>
      <c r="F20" s="35"/>
      <c r="G20" s="33">
        <v>0</v>
      </c>
      <c r="H20" s="33">
        <v>0</v>
      </c>
      <c r="I20" s="34"/>
      <c r="J20" s="34"/>
      <c r="K20" s="34"/>
      <c r="L20" s="34"/>
      <c r="M20" s="36">
        <v>0</v>
      </c>
      <c r="N20" s="36">
        <v>0</v>
      </c>
      <c r="O20" s="36">
        <v>0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/>
      <c r="AA20" s="34"/>
      <c r="AB20" s="34"/>
      <c r="AC20" s="34"/>
      <c r="AD20" s="38"/>
      <c r="AE20" s="38"/>
      <c r="AF20" s="34"/>
      <c r="AG20" s="33">
        <v>0</v>
      </c>
      <c r="AH20" s="33">
        <v>0</v>
      </c>
      <c r="AI20" s="33">
        <v>0</v>
      </c>
      <c r="AJ20" s="34">
        <v>0</v>
      </c>
      <c r="AK20" s="33" t="e">
        <v>#VALUE!</v>
      </c>
      <c r="AL20" s="33" t="e">
        <v>#VALUE!</v>
      </c>
      <c r="AM20" s="33" t="e">
        <v>#VALUE!</v>
      </c>
      <c r="AN20" s="33" t="e">
        <v>#VALUE!</v>
      </c>
      <c r="AO20" s="39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/>
      <c r="BB20" s="38"/>
      <c r="BC20" s="33">
        <v>0</v>
      </c>
      <c r="BD20" s="33"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41">
        <v>0</v>
      </c>
      <c r="BS20" s="146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</row>
    <row r="21" spans="1:124" ht="15.75" hidden="1" customHeight="1" x14ac:dyDescent="0.25">
      <c r="A21" s="206">
        <v>40519</v>
      </c>
      <c r="B21" s="32" t="s">
        <v>43</v>
      </c>
      <c r="C21" s="33"/>
      <c r="D21" s="34"/>
      <c r="E21" s="34"/>
      <c r="F21" s="35"/>
      <c r="G21" s="33"/>
      <c r="H21" s="33">
        <v>0</v>
      </c>
      <c r="I21" s="34"/>
      <c r="J21" s="34"/>
      <c r="K21" s="34"/>
      <c r="L21" s="34"/>
      <c r="M21" s="36">
        <v>0</v>
      </c>
      <c r="N21" s="36">
        <v>0</v>
      </c>
      <c r="O21" s="36"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v>0</v>
      </c>
      <c r="AH21" s="33">
        <v>0</v>
      </c>
      <c r="AI21" s="33">
        <v>0</v>
      </c>
      <c r="AJ21" s="34">
        <v>0</v>
      </c>
      <c r="AK21" s="33">
        <v>0</v>
      </c>
      <c r="AL21" s="33">
        <v>0</v>
      </c>
      <c r="AM21" s="33">
        <v>0</v>
      </c>
      <c r="AN21" s="33"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v>0</v>
      </c>
      <c r="BA21" s="38"/>
      <c r="BB21" s="38"/>
      <c r="BC21" s="33">
        <v>0</v>
      </c>
      <c r="BD21" s="33"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v>0</v>
      </c>
      <c r="BS21" s="146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</row>
    <row r="22" spans="1:124" ht="16.5" hidden="1" customHeight="1" x14ac:dyDescent="0.25">
      <c r="A22" s="207"/>
      <c r="B22" s="15" t="s">
        <v>44</v>
      </c>
      <c r="C22" s="33">
        <v>19754.38</v>
      </c>
      <c r="D22" s="34">
        <v>12637.91</v>
      </c>
      <c r="E22" s="34">
        <v>12640</v>
      </c>
      <c r="F22" s="35">
        <v>44174</v>
      </c>
      <c r="G22" s="33">
        <v>0</v>
      </c>
      <c r="H22" s="33">
        <v>2.0900000000001455</v>
      </c>
      <c r="I22" s="34"/>
      <c r="J22" s="34"/>
      <c r="K22" s="34">
        <v>5044.6400000000003</v>
      </c>
      <c r="L22" s="34"/>
      <c r="M22" s="36">
        <v>108.45976</v>
      </c>
      <c r="N22" s="36">
        <v>25.223200000000002</v>
      </c>
      <c r="O22" s="36">
        <v>4910.9570400000002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17</v>
      </c>
      <c r="AA22" s="34"/>
      <c r="AB22" s="34"/>
      <c r="AC22" s="34">
        <v>259.83</v>
      </c>
      <c r="AD22" s="38" t="s">
        <v>140</v>
      </c>
      <c r="AE22" s="38">
        <v>1795</v>
      </c>
      <c r="AF22" s="34">
        <v>1200.27</v>
      </c>
      <c r="AG22" s="33">
        <v>816.18359999999996</v>
      </c>
      <c r="AH22" s="33">
        <v>144.0324</v>
      </c>
      <c r="AI22" s="33">
        <v>240.054</v>
      </c>
      <c r="AJ22" s="34">
        <v>0</v>
      </c>
      <c r="AK22" s="33">
        <v>16566.169642857141</v>
      </c>
      <c r="AL22" s="33">
        <v>16289.339642857141</v>
      </c>
      <c r="AM22" s="33">
        <v>1954.7207571428569</v>
      </c>
      <c r="AN22" s="33">
        <v>18244.060399999998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/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1">
        <v>0</v>
      </c>
      <c r="BS22" s="146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</row>
    <row r="23" spans="1:124" hidden="1" x14ac:dyDescent="0.25">
      <c r="A23" s="206">
        <v>40520</v>
      </c>
      <c r="B23" s="32" t="s">
        <v>43</v>
      </c>
      <c r="C23" s="33"/>
      <c r="D23" s="34"/>
      <c r="E23" s="34"/>
      <c r="F23" s="35"/>
      <c r="G23" s="33">
        <v>0</v>
      </c>
      <c r="H23" s="33">
        <v>0</v>
      </c>
      <c r="I23" s="34"/>
      <c r="J23" s="34"/>
      <c r="K23" s="34"/>
      <c r="L23" s="34"/>
      <c r="M23" s="36">
        <v>0</v>
      </c>
      <c r="N23" s="36">
        <v>0</v>
      </c>
      <c r="O23" s="36"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v>0</v>
      </c>
      <c r="AH23" s="33">
        <v>0</v>
      </c>
      <c r="AI23" s="33">
        <v>0</v>
      </c>
      <c r="AJ23" s="34">
        <v>0</v>
      </c>
      <c r="AK23" s="33">
        <v>0</v>
      </c>
      <c r="AL23" s="33">
        <v>0</v>
      </c>
      <c r="AM23" s="33">
        <v>0</v>
      </c>
      <c r="AN23" s="33"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v>0</v>
      </c>
      <c r="BA23" s="38"/>
      <c r="BB23" s="38"/>
      <c r="BC23" s="33">
        <v>0</v>
      </c>
      <c r="BD23" s="33"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41">
        <v>0</v>
      </c>
      <c r="BS23" s="146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</row>
    <row r="24" spans="1:124" hidden="1" x14ac:dyDescent="0.25">
      <c r="A24" s="207"/>
      <c r="B24" s="15" t="s">
        <v>44</v>
      </c>
      <c r="C24" s="33">
        <v>4762.7700000000004</v>
      </c>
      <c r="D24" s="34">
        <v>3516.34</v>
      </c>
      <c r="E24" s="34">
        <v>3517</v>
      </c>
      <c r="F24" s="35">
        <v>44174</v>
      </c>
      <c r="G24" s="33">
        <v>0</v>
      </c>
      <c r="H24" s="33">
        <v>0.65999999999985448</v>
      </c>
      <c r="I24" s="34"/>
      <c r="J24" s="34"/>
      <c r="K24" s="34">
        <v>0</v>
      </c>
      <c r="L24" s="34"/>
      <c r="M24" s="36">
        <v>0</v>
      </c>
      <c r="N24" s="36">
        <v>0</v>
      </c>
      <c r="O24" s="36"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46.43</v>
      </c>
      <c r="AD24" s="38" t="s">
        <v>140</v>
      </c>
      <c r="AE24" s="38">
        <v>1200</v>
      </c>
      <c r="AF24" s="34">
        <v>255.63</v>
      </c>
      <c r="AG24" s="33">
        <v>173.82840000000002</v>
      </c>
      <c r="AH24" s="33">
        <v>30.675600000000003</v>
      </c>
      <c r="AI24" s="33">
        <v>51.126000000000005</v>
      </c>
      <c r="AJ24" s="34">
        <v>0</v>
      </c>
      <c r="AK24" s="33">
        <v>4024.2321428571427</v>
      </c>
      <c r="AL24" s="33">
        <v>3977.8021428571428</v>
      </c>
      <c r="AM24" s="33">
        <v>477.33625714285711</v>
      </c>
      <c r="AN24" s="33">
        <v>4455.1383999999998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v>0</v>
      </c>
      <c r="BA24" s="38"/>
      <c r="BB24" s="38"/>
      <c r="BC24" s="33">
        <v>0</v>
      </c>
      <c r="BD24" s="33"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v>0</v>
      </c>
      <c r="BS24" s="146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</row>
    <row r="25" spans="1:124" ht="15.75" hidden="1" customHeight="1" x14ac:dyDescent="0.25">
      <c r="A25" s="206">
        <v>40521</v>
      </c>
      <c r="B25" s="32" t="s">
        <v>43</v>
      </c>
      <c r="C25" s="33"/>
      <c r="D25" s="34"/>
      <c r="E25" s="34"/>
      <c r="F25" s="35"/>
      <c r="G25" s="33">
        <v>0</v>
      </c>
      <c r="H25" s="33">
        <v>0</v>
      </c>
      <c r="I25" s="34"/>
      <c r="J25" s="34"/>
      <c r="K25" s="34"/>
      <c r="L25" s="34"/>
      <c r="M25" s="36">
        <v>0</v>
      </c>
      <c r="N25" s="36">
        <v>0</v>
      </c>
      <c r="O25" s="36"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v>0</v>
      </c>
      <c r="AH25" s="33">
        <v>0</v>
      </c>
      <c r="AI25" s="33">
        <v>0</v>
      </c>
      <c r="AJ25" s="34"/>
      <c r="AK25" s="33">
        <v>0</v>
      </c>
      <c r="AL25" s="33">
        <v>0</v>
      </c>
      <c r="AM25" s="33">
        <v>0</v>
      </c>
      <c r="AN25" s="33"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v>0</v>
      </c>
      <c r="BA25" s="38"/>
      <c r="BB25" s="38"/>
      <c r="BC25" s="33">
        <v>0</v>
      </c>
      <c r="BD25" s="33">
        <v>0</v>
      </c>
      <c r="BE25" s="39"/>
      <c r="BF25" s="39"/>
      <c r="BG25" s="39"/>
      <c r="BH25" s="39"/>
      <c r="BI25" s="39"/>
      <c r="BJ25" s="39"/>
      <c r="BK25" s="39">
        <v>0</v>
      </c>
      <c r="BL25" s="39"/>
      <c r="BM25" s="39"/>
      <c r="BN25" s="39"/>
      <c r="BO25" s="39"/>
      <c r="BP25" s="39"/>
      <c r="BQ25" s="41">
        <v>0</v>
      </c>
      <c r="BS25" s="146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</row>
    <row r="26" spans="1:124" hidden="1" x14ac:dyDescent="0.25">
      <c r="A26" s="207"/>
      <c r="B26" s="15" t="s">
        <v>44</v>
      </c>
      <c r="C26" s="33">
        <v>26794.46</v>
      </c>
      <c r="D26" s="34">
        <v>18344.59</v>
      </c>
      <c r="E26" s="34">
        <v>18345</v>
      </c>
      <c r="F26" s="35">
        <v>44175</v>
      </c>
      <c r="G26" s="33">
        <v>0</v>
      </c>
      <c r="H26" s="33">
        <v>0.40999999999985448</v>
      </c>
      <c r="I26" s="34"/>
      <c r="J26" s="34"/>
      <c r="K26" s="34">
        <v>6900.63</v>
      </c>
      <c r="L26" s="34"/>
      <c r="M26" s="36">
        <v>148.36354499999999</v>
      </c>
      <c r="N26" s="36">
        <v>34.503149999999998</v>
      </c>
      <c r="O26" s="36">
        <v>6717.7633050000004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>
        <v>86.5</v>
      </c>
      <c r="AA26" s="34"/>
      <c r="AB26" s="34"/>
      <c r="AC26" s="34">
        <v>207.74</v>
      </c>
      <c r="AD26" s="38" t="s">
        <v>140</v>
      </c>
      <c r="AE26" s="38">
        <v>1245</v>
      </c>
      <c r="AF26" s="34">
        <v>1479.09</v>
      </c>
      <c r="AG26" s="33">
        <v>1005.7811999999999</v>
      </c>
      <c r="AH26" s="33">
        <v>177.49079999999998</v>
      </c>
      <c r="AI26" s="33">
        <v>295.81799999999998</v>
      </c>
      <c r="AJ26" s="34">
        <v>0</v>
      </c>
      <c r="AK26" s="33">
        <v>22603.008928571424</v>
      </c>
      <c r="AL26" s="33">
        <v>22308.768928571422</v>
      </c>
      <c r="AM26" s="33">
        <v>2677.0522714285707</v>
      </c>
      <c r="AN26" s="33">
        <v>24985.821199999991</v>
      </c>
      <c r="AO26" s="39">
        <v>250</v>
      </c>
      <c r="AP26" s="40">
        <v>250</v>
      </c>
      <c r="AQ26" s="40"/>
      <c r="AR26" s="40">
        <v>640</v>
      </c>
      <c r="AS26" s="40"/>
      <c r="AT26" s="40"/>
      <c r="AU26" s="40"/>
      <c r="AV26" s="40"/>
      <c r="AW26" s="40"/>
      <c r="AX26" s="40"/>
      <c r="AY26" s="40"/>
      <c r="AZ26" s="33">
        <v>1140</v>
      </c>
      <c r="BA26" s="38"/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41">
        <v>1140</v>
      </c>
      <c r="BS26" s="146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</row>
    <row r="27" spans="1:124" hidden="1" x14ac:dyDescent="0.25">
      <c r="A27" s="206">
        <v>40522</v>
      </c>
      <c r="B27" s="15" t="s">
        <v>43</v>
      </c>
      <c r="C27" s="33"/>
      <c r="D27" s="34"/>
      <c r="E27" s="34"/>
      <c r="F27" s="35"/>
      <c r="G27" s="33">
        <v>0</v>
      </c>
      <c r="H27" s="33">
        <v>0</v>
      </c>
      <c r="I27" s="34"/>
      <c r="J27" s="34">
        <v>0</v>
      </c>
      <c r="K27" s="34"/>
      <c r="L27" s="34"/>
      <c r="M27" s="36">
        <v>0</v>
      </c>
      <c r="N27" s="36">
        <v>0</v>
      </c>
      <c r="O27" s="36">
        <v>0</v>
      </c>
      <c r="P27" s="36">
        <v>0</v>
      </c>
      <c r="Q27" s="37"/>
      <c r="R27" s="34"/>
      <c r="S27" s="34"/>
      <c r="T27" s="36">
        <v>0</v>
      </c>
      <c r="U27" s="36">
        <v>0</v>
      </c>
      <c r="V27" s="36">
        <v>0</v>
      </c>
      <c r="W27" s="36"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v>0</v>
      </c>
      <c r="AH27" s="33">
        <v>0</v>
      </c>
      <c r="AI27" s="33">
        <v>0</v>
      </c>
      <c r="AJ27" s="34">
        <v>0</v>
      </c>
      <c r="AK27" s="33">
        <v>0</v>
      </c>
      <c r="AL27" s="33">
        <v>0</v>
      </c>
      <c r="AM27" s="33">
        <v>0</v>
      </c>
      <c r="AN27" s="33"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v>0</v>
      </c>
      <c r="BA27" s="38"/>
      <c r="BB27" s="38"/>
      <c r="BC27" s="33">
        <v>0</v>
      </c>
      <c r="BD27" s="33"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v>0</v>
      </c>
      <c r="BS27" s="146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</row>
    <row r="28" spans="1:124" ht="16.5" hidden="1" customHeight="1" thickBot="1" x14ac:dyDescent="0.3">
      <c r="A28" s="207"/>
      <c r="B28" s="15" t="s">
        <v>44</v>
      </c>
      <c r="C28" s="33">
        <v>22663.65</v>
      </c>
      <c r="D28" s="34">
        <v>14219.22</v>
      </c>
      <c r="E28" s="34">
        <v>14220</v>
      </c>
      <c r="F28" s="35">
        <v>44176</v>
      </c>
      <c r="G28" s="33">
        <v>0</v>
      </c>
      <c r="H28" s="33">
        <v>0.78000000000065484</v>
      </c>
      <c r="I28" s="34"/>
      <c r="J28" s="34"/>
      <c r="K28" s="34">
        <v>6855.36</v>
      </c>
      <c r="L28" s="34"/>
      <c r="M28" s="36">
        <v>147.39023999999998</v>
      </c>
      <c r="N28" s="36">
        <v>34.276800000000001</v>
      </c>
      <c r="O28" s="36">
        <v>6673.6929600000003</v>
      </c>
      <c r="P28" s="36">
        <v>0</v>
      </c>
      <c r="Q28" s="37"/>
      <c r="R28" s="34"/>
      <c r="S28" s="34"/>
      <c r="T28" s="36">
        <v>0</v>
      </c>
      <c r="U28" s="36">
        <v>0</v>
      </c>
      <c r="V28" s="36">
        <v>0</v>
      </c>
      <c r="W28" s="36">
        <v>0</v>
      </c>
      <c r="X28" s="37"/>
      <c r="Y28" s="34"/>
      <c r="Z28" s="34">
        <v>318.75</v>
      </c>
      <c r="AA28" s="34"/>
      <c r="AB28" s="34"/>
      <c r="AC28" s="192">
        <v>120.32</v>
      </c>
      <c r="AD28" s="38" t="s">
        <v>140</v>
      </c>
      <c r="AE28" s="38">
        <v>1150</v>
      </c>
      <c r="AF28" s="34">
        <v>1535.84</v>
      </c>
      <c r="AG28" s="33">
        <v>1044.3712</v>
      </c>
      <c r="AH28" s="33">
        <v>184.30080000000001</v>
      </c>
      <c r="AI28" s="33">
        <v>307.16800000000001</v>
      </c>
      <c r="AJ28" s="34"/>
      <c r="AK28" s="33">
        <v>18864.116071428572</v>
      </c>
      <c r="AL28" s="33">
        <v>18425.046071428573</v>
      </c>
      <c r="AM28" s="33">
        <v>2211.0055285714288</v>
      </c>
      <c r="AN28" s="33">
        <v>20636.051600000003</v>
      </c>
      <c r="AO28" s="39"/>
      <c r="AP28" s="40"/>
      <c r="AQ28" s="40">
        <v>245</v>
      </c>
      <c r="AR28" s="40"/>
      <c r="AS28" s="40"/>
      <c r="AT28" s="40"/>
      <c r="AU28" s="40"/>
      <c r="AV28" s="40"/>
      <c r="AW28" s="40"/>
      <c r="AX28" s="40"/>
      <c r="AY28" s="40"/>
      <c r="AZ28" s="33">
        <v>245</v>
      </c>
      <c r="BA28" s="38"/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v>245</v>
      </c>
      <c r="BS28" s="146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</row>
    <row r="29" spans="1:124" ht="15.75" hidden="1" customHeight="1" x14ac:dyDescent="0.25">
      <c r="A29" s="206">
        <v>40523</v>
      </c>
      <c r="B29" s="16" t="s">
        <v>43</v>
      </c>
      <c r="C29" s="33"/>
      <c r="D29" s="34"/>
      <c r="E29" s="34"/>
      <c r="F29" s="35"/>
      <c r="G29" s="33">
        <v>0</v>
      </c>
      <c r="H29" s="33">
        <v>0</v>
      </c>
      <c r="I29" s="34"/>
      <c r="J29" s="34"/>
      <c r="K29" s="34"/>
      <c r="L29" s="34"/>
      <c r="M29" s="36">
        <v>0</v>
      </c>
      <c r="N29" s="36">
        <v>0</v>
      </c>
      <c r="O29" s="36"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v>0</v>
      </c>
      <c r="AH29" s="33">
        <v>0</v>
      </c>
      <c r="AI29" s="33">
        <v>0</v>
      </c>
      <c r="AJ29" s="34"/>
      <c r="AK29" s="33">
        <v>0</v>
      </c>
      <c r="AL29" s="33">
        <v>0</v>
      </c>
      <c r="AM29" s="33">
        <v>0</v>
      </c>
      <c r="AN29" s="33"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v>0</v>
      </c>
      <c r="BA29" s="38"/>
      <c r="BB29" s="38"/>
      <c r="BC29" s="33">
        <v>0</v>
      </c>
      <c r="BD29" s="33"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41">
        <v>0</v>
      </c>
      <c r="BS29" s="146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</row>
    <row r="30" spans="1:124" hidden="1" x14ac:dyDescent="0.25">
      <c r="A30" s="207"/>
      <c r="B30" s="16" t="s">
        <v>44</v>
      </c>
      <c r="C30" s="33">
        <v>42425.37</v>
      </c>
      <c r="D30" s="34">
        <v>27010.41</v>
      </c>
      <c r="E30" s="34">
        <v>27012</v>
      </c>
      <c r="F30" s="35">
        <v>44177</v>
      </c>
      <c r="G30" s="33">
        <v>0</v>
      </c>
      <c r="H30" s="33">
        <v>1.5900000000001455</v>
      </c>
      <c r="I30" s="34"/>
      <c r="J30" s="34"/>
      <c r="K30" s="34">
        <v>14666.78</v>
      </c>
      <c r="L30" s="34"/>
      <c r="M30" s="36">
        <v>315.33576999999997</v>
      </c>
      <c r="N30" s="36">
        <v>73.3339</v>
      </c>
      <c r="O30" s="36">
        <v>14278.110330000001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71.75</v>
      </c>
      <c r="AA30" s="34"/>
      <c r="AB30" s="34"/>
      <c r="AC30" s="34">
        <v>146.43</v>
      </c>
      <c r="AD30" s="38" t="s">
        <v>140</v>
      </c>
      <c r="AE30" s="38">
        <v>530</v>
      </c>
      <c r="AF30" s="34">
        <v>3093.23</v>
      </c>
      <c r="AG30" s="33">
        <v>2103.3964000000001</v>
      </c>
      <c r="AH30" s="33">
        <v>371.18760000000003</v>
      </c>
      <c r="AI30" s="33">
        <v>618.64600000000007</v>
      </c>
      <c r="AJ30" s="34"/>
      <c r="AK30" s="33">
        <v>35117.982142857138</v>
      </c>
      <c r="AL30" s="33">
        <v>34899.802142857137</v>
      </c>
      <c r="AM30" s="33">
        <v>4187.9762571428564</v>
      </c>
      <c r="AN30" s="33">
        <v>39087.778399999996</v>
      </c>
      <c r="AO30" s="39"/>
      <c r="AP30" s="40">
        <v>415</v>
      </c>
      <c r="AQ30" s="40"/>
      <c r="AR30" s="40">
        <v>70</v>
      </c>
      <c r="AS30" s="40"/>
      <c r="AT30" s="40"/>
      <c r="AU30" s="40"/>
      <c r="AV30" s="40"/>
      <c r="AW30" s="40"/>
      <c r="AX30" s="40"/>
      <c r="AY30" s="40"/>
      <c r="AZ30" s="33">
        <v>485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v>485</v>
      </c>
      <c r="BS30" s="146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</row>
    <row r="31" spans="1:124" hidden="1" x14ac:dyDescent="0.25">
      <c r="A31" s="206">
        <v>40524</v>
      </c>
      <c r="B31" s="15" t="s">
        <v>43</v>
      </c>
      <c r="C31" s="33"/>
      <c r="D31" s="34"/>
      <c r="E31" s="34"/>
      <c r="F31" s="35"/>
      <c r="G31" s="33">
        <v>0</v>
      </c>
      <c r="H31" s="33">
        <v>0</v>
      </c>
      <c r="I31" s="34"/>
      <c r="J31" s="34"/>
      <c r="K31" s="34"/>
      <c r="L31" s="34"/>
      <c r="M31" s="36">
        <v>0</v>
      </c>
      <c r="N31" s="36">
        <v>0</v>
      </c>
      <c r="O31" s="36"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v>0</v>
      </c>
      <c r="AH31" s="33">
        <v>0</v>
      </c>
      <c r="AI31" s="33">
        <v>0</v>
      </c>
      <c r="AJ31" s="34"/>
      <c r="AK31" s="33">
        <v>0</v>
      </c>
      <c r="AL31" s="33">
        <v>0</v>
      </c>
      <c r="AM31" s="33">
        <v>0</v>
      </c>
      <c r="AN31" s="33"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v>0</v>
      </c>
      <c r="BA31" s="38"/>
      <c r="BB31" s="38"/>
      <c r="BC31" s="33">
        <v>0</v>
      </c>
      <c r="BD31" s="33"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v>0</v>
      </c>
      <c r="BS31" s="146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</row>
    <row r="32" spans="1:124" s="181" customFormat="1" ht="16.5" hidden="1" customHeight="1" x14ac:dyDescent="0.25">
      <c r="A32" s="207"/>
      <c r="B32" s="178" t="s">
        <v>44</v>
      </c>
      <c r="C32" s="179">
        <v>12727.76</v>
      </c>
      <c r="D32" s="186">
        <v>9905.5400000000009</v>
      </c>
      <c r="E32" s="186">
        <v>9906</v>
      </c>
      <c r="F32" s="185">
        <v>44179</v>
      </c>
      <c r="G32" s="179">
        <v>0</v>
      </c>
      <c r="H32" s="179">
        <v>0</v>
      </c>
      <c r="I32" s="186"/>
      <c r="J32" s="186"/>
      <c r="K32" s="186">
        <v>2489.0100000000002</v>
      </c>
      <c r="L32" s="186"/>
      <c r="M32" s="179">
        <v>53.513714999999998</v>
      </c>
      <c r="N32" s="179">
        <v>12.445050000000002</v>
      </c>
      <c r="O32" s="179">
        <v>2423.0512350000004</v>
      </c>
      <c r="P32" s="179"/>
      <c r="Q32" s="187"/>
      <c r="R32" s="186"/>
      <c r="S32" s="186"/>
      <c r="T32" s="179"/>
      <c r="U32" s="179"/>
      <c r="V32" s="179"/>
      <c r="W32" s="179"/>
      <c r="X32" s="187"/>
      <c r="Y32" s="186"/>
      <c r="Z32" s="186"/>
      <c r="AA32" s="186"/>
      <c r="AB32" s="186"/>
      <c r="AC32" s="186">
        <v>48.21</v>
      </c>
      <c r="AD32" s="38" t="s">
        <v>140</v>
      </c>
      <c r="AE32" s="177">
        <v>285</v>
      </c>
      <c r="AF32" s="188">
        <v>906.69</v>
      </c>
      <c r="AG32" s="179">
        <v>616.54920000000004</v>
      </c>
      <c r="AH32" s="179">
        <v>108.8028</v>
      </c>
      <c r="AI32" s="179">
        <v>181.33800000000002</v>
      </c>
      <c r="AJ32" s="188"/>
      <c r="AK32" s="33">
        <v>10554.526785714284</v>
      </c>
      <c r="AL32" s="33">
        <v>10506.316785714285</v>
      </c>
      <c r="AM32" s="33">
        <v>1260.7580142857141</v>
      </c>
      <c r="AN32" s="33">
        <v>11767.074799999999</v>
      </c>
      <c r="AO32" s="189"/>
      <c r="AP32" s="190">
        <v>1335</v>
      </c>
      <c r="AQ32" s="190">
        <v>675</v>
      </c>
      <c r="AR32" s="190"/>
      <c r="AS32" s="179"/>
      <c r="AT32" s="179"/>
      <c r="AU32" s="179"/>
      <c r="AV32" s="179"/>
      <c r="AW32" s="179"/>
      <c r="AX32" s="179"/>
      <c r="AY32" s="179"/>
      <c r="AZ32" s="179">
        <v>2010</v>
      </c>
      <c r="BA32" s="177"/>
      <c r="BB32" s="177">
        <v>0</v>
      </c>
      <c r="BC32" s="179"/>
      <c r="BD32" s="179"/>
      <c r="BE32" s="180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0">
        <v>2010</v>
      </c>
      <c r="BS32" s="182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4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4"/>
      <c r="DR32" s="184"/>
      <c r="DS32" s="184"/>
      <c r="DT32" s="184"/>
    </row>
    <row r="33" spans="1:124" ht="15.75" hidden="1" customHeight="1" x14ac:dyDescent="0.25">
      <c r="A33" s="206">
        <v>40525</v>
      </c>
      <c r="B33" s="15" t="s">
        <v>43</v>
      </c>
      <c r="C33" s="33"/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v>0</v>
      </c>
      <c r="AH33" s="33">
        <v>0</v>
      </c>
      <c r="AI33" s="33">
        <v>0</v>
      </c>
      <c r="AJ33" s="34"/>
      <c r="AK33" s="33">
        <v>0</v>
      </c>
      <c r="AL33" s="33">
        <v>0</v>
      </c>
      <c r="AM33" s="33">
        <v>0</v>
      </c>
      <c r="AN33" s="33"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v>0</v>
      </c>
      <c r="BA33" s="38"/>
      <c r="BB33" s="38"/>
      <c r="BC33" s="33">
        <v>0</v>
      </c>
      <c r="BD33" s="33"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41">
        <v>0</v>
      </c>
      <c r="BS33" s="146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</row>
    <row r="34" spans="1:124" s="181" customFormat="1" hidden="1" x14ac:dyDescent="0.25">
      <c r="A34" s="207"/>
      <c r="B34" s="178" t="s">
        <v>44</v>
      </c>
      <c r="C34" s="179" t="s">
        <v>138</v>
      </c>
      <c r="D34" s="186"/>
      <c r="E34" s="186"/>
      <c r="F34" s="185"/>
      <c r="G34" s="179">
        <v>0</v>
      </c>
      <c r="H34" s="179">
        <v>0</v>
      </c>
      <c r="I34" s="186"/>
      <c r="J34" s="186"/>
      <c r="K34" s="186"/>
      <c r="L34" s="186"/>
      <c r="M34" s="179">
        <v>0</v>
      </c>
      <c r="N34" s="179">
        <v>0</v>
      </c>
      <c r="O34" s="179">
        <v>0</v>
      </c>
      <c r="P34" s="179"/>
      <c r="Q34" s="191"/>
      <c r="R34" s="188"/>
      <c r="S34" s="188"/>
      <c r="T34" s="179"/>
      <c r="U34" s="179"/>
      <c r="V34" s="179"/>
      <c r="W34" s="179"/>
      <c r="X34" s="191"/>
      <c r="Y34" s="188"/>
      <c r="Z34" s="188"/>
      <c r="AA34" s="188"/>
      <c r="AB34" s="188">
        <v>0</v>
      </c>
      <c r="AC34" s="188"/>
      <c r="AD34" s="38"/>
      <c r="AE34" s="177"/>
      <c r="AF34" s="186"/>
      <c r="AG34" s="179">
        <v>0</v>
      </c>
      <c r="AH34" s="179">
        <v>0</v>
      </c>
      <c r="AI34" s="179">
        <v>0</v>
      </c>
      <c r="AJ34" s="186"/>
      <c r="AK34" s="179">
        <v>0</v>
      </c>
      <c r="AL34" s="179">
        <v>0</v>
      </c>
      <c r="AM34" s="179">
        <v>0</v>
      </c>
      <c r="AN34" s="179">
        <v>0</v>
      </c>
      <c r="AO34" s="189"/>
      <c r="AP34" s="190"/>
      <c r="AQ34" s="190"/>
      <c r="AR34" s="190"/>
      <c r="AS34" s="179"/>
      <c r="AT34" s="179"/>
      <c r="AU34" s="179"/>
      <c r="AV34" s="179"/>
      <c r="AW34" s="179"/>
      <c r="AX34" s="179"/>
      <c r="AY34" s="179"/>
      <c r="AZ34" s="179">
        <v>0</v>
      </c>
      <c r="BA34" s="177"/>
      <c r="BB34" s="177"/>
      <c r="BC34" s="179"/>
      <c r="BD34" s="179"/>
      <c r="BE34" s="180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0">
        <v>0</v>
      </c>
      <c r="BS34" s="182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4"/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4"/>
      <c r="DR34" s="184"/>
      <c r="DS34" s="184"/>
      <c r="DT34" s="184"/>
    </row>
    <row r="35" spans="1:124" hidden="1" x14ac:dyDescent="0.25">
      <c r="A35" s="206">
        <v>40526</v>
      </c>
      <c r="B35" s="16" t="s">
        <v>43</v>
      </c>
      <c r="C35" s="33"/>
      <c r="D35" s="34"/>
      <c r="E35" s="34"/>
      <c r="F35" s="35"/>
      <c r="G35" s="33">
        <v>0</v>
      </c>
      <c r="H35" s="33">
        <v>0</v>
      </c>
      <c r="I35" s="34"/>
      <c r="J35" s="34"/>
      <c r="K35" s="34"/>
      <c r="L35" s="34"/>
      <c r="M35" s="36">
        <v>0</v>
      </c>
      <c r="N35" s="36">
        <v>0</v>
      </c>
      <c r="O35" s="36"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v>0</v>
      </c>
      <c r="AH35" s="33">
        <v>0</v>
      </c>
      <c r="AI35" s="33">
        <v>0</v>
      </c>
      <c r="AJ35" s="34"/>
      <c r="AK35" s="33">
        <v>0</v>
      </c>
      <c r="AL35" s="33">
        <v>0</v>
      </c>
      <c r="AM35" s="33">
        <v>0</v>
      </c>
      <c r="AN35" s="33"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v>0</v>
      </c>
      <c r="BA35" s="38"/>
      <c r="BB35" s="38"/>
      <c r="BC35" s="33">
        <v>0</v>
      </c>
      <c r="BD35" s="33"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41">
        <v>0</v>
      </c>
      <c r="BS35" s="146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</row>
    <row r="36" spans="1:124" s="4" customFormat="1" hidden="1" x14ac:dyDescent="0.25">
      <c r="A36" s="207"/>
      <c r="B36" s="16" t="s">
        <v>44</v>
      </c>
      <c r="C36" s="33">
        <v>22239.03</v>
      </c>
      <c r="D36" s="34">
        <v>17816.14</v>
      </c>
      <c r="E36" s="34">
        <v>17820</v>
      </c>
      <c r="F36" s="35">
        <v>44177</v>
      </c>
      <c r="G36" s="33">
        <v>0</v>
      </c>
      <c r="H36" s="33">
        <v>3.8600000000005821</v>
      </c>
      <c r="I36" s="34"/>
      <c r="J36" s="34"/>
      <c r="K36" s="34">
        <v>2829.25</v>
      </c>
      <c r="L36" s="34"/>
      <c r="M36" s="36">
        <v>60.828874999999996</v>
      </c>
      <c r="N36" s="36">
        <v>14.14625</v>
      </c>
      <c r="O36" s="36">
        <v>2754.2748750000001</v>
      </c>
      <c r="P36" s="36"/>
      <c r="Q36" s="37"/>
      <c r="R36" s="34"/>
      <c r="S36" s="34"/>
      <c r="T36" s="36"/>
      <c r="U36" s="36"/>
      <c r="V36" s="36"/>
      <c r="W36" s="36"/>
      <c r="X36" s="37"/>
      <c r="Y36" s="34"/>
      <c r="Z36" s="34">
        <v>299</v>
      </c>
      <c r="AA36" s="34"/>
      <c r="AB36" s="34"/>
      <c r="AC36" s="34">
        <v>444.64</v>
      </c>
      <c r="AD36" s="38" t="s">
        <v>140</v>
      </c>
      <c r="AE36" s="38">
        <v>860</v>
      </c>
      <c r="AF36" s="34">
        <v>1635.8</v>
      </c>
      <c r="AG36" s="33">
        <v>1112.3440000000001</v>
      </c>
      <c r="AH36" s="33">
        <v>196.29600000000002</v>
      </c>
      <c r="AI36" s="33">
        <v>327.16000000000003</v>
      </c>
      <c r="AJ36" s="34"/>
      <c r="AK36" s="33">
        <v>18395.741071428569</v>
      </c>
      <c r="AL36" s="33">
        <v>17652.101071428569</v>
      </c>
      <c r="AM36" s="33">
        <v>2118.2521285714283</v>
      </c>
      <c r="AN36" s="33">
        <v>19770.353199999998</v>
      </c>
      <c r="AO36" s="39">
        <v>815</v>
      </c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v>815</v>
      </c>
      <c r="BA36" s="38"/>
      <c r="BB36" s="38"/>
      <c r="BC36" s="33"/>
      <c r="BD36" s="33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v>815</v>
      </c>
      <c r="BR36" s="136"/>
      <c r="BS36" s="146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</row>
    <row r="37" spans="1:124" s="4" customFormat="1" ht="15.75" hidden="1" customHeight="1" x14ac:dyDescent="0.25">
      <c r="A37" s="206">
        <v>40527</v>
      </c>
      <c r="B37" s="16" t="s">
        <v>43</v>
      </c>
      <c r="C37" s="33"/>
      <c r="D37" s="34"/>
      <c r="E37" s="34"/>
      <c r="F37" s="35"/>
      <c r="G37" s="33">
        <v>0</v>
      </c>
      <c r="H37" s="33">
        <v>0</v>
      </c>
      <c r="I37" s="34"/>
      <c r="J37" s="34"/>
      <c r="K37" s="34"/>
      <c r="L37" s="34"/>
      <c r="M37" s="36">
        <v>0</v>
      </c>
      <c r="N37" s="36">
        <v>0</v>
      </c>
      <c r="O37" s="36"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v>0</v>
      </c>
      <c r="AH37" s="33">
        <v>0</v>
      </c>
      <c r="AI37" s="33">
        <v>0</v>
      </c>
      <c r="AJ37" s="34"/>
      <c r="AK37" s="33">
        <v>0</v>
      </c>
      <c r="AL37" s="33">
        <v>0</v>
      </c>
      <c r="AM37" s="33">
        <v>0</v>
      </c>
      <c r="AN37" s="33"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v>0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v>0</v>
      </c>
      <c r="BR37" s="136"/>
      <c r="BS37" s="146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</row>
    <row r="38" spans="1:124" s="4" customFormat="1" hidden="1" x14ac:dyDescent="0.25">
      <c r="A38" s="207"/>
      <c r="B38" s="16" t="s">
        <v>44</v>
      </c>
      <c r="C38" s="33">
        <v>46684.76</v>
      </c>
      <c r="D38" s="34">
        <v>40468.910000000003</v>
      </c>
      <c r="E38" s="34">
        <v>40470</v>
      </c>
      <c r="F38" s="35">
        <v>44181</v>
      </c>
      <c r="G38" s="33">
        <v>0</v>
      </c>
      <c r="H38" s="33">
        <v>1.0899999999965075</v>
      </c>
      <c r="I38" s="34"/>
      <c r="J38" s="34"/>
      <c r="K38" s="34">
        <v>5370.17</v>
      </c>
      <c r="L38" s="34"/>
      <c r="M38" s="36">
        <v>115.45865499999999</v>
      </c>
      <c r="N38" s="36">
        <v>26.850850000000001</v>
      </c>
      <c r="O38" s="36">
        <v>5227.8604949999999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>
        <v>11.5</v>
      </c>
      <c r="AA38" s="34"/>
      <c r="AB38" s="34"/>
      <c r="AC38" s="34">
        <v>639.17999999999995</v>
      </c>
      <c r="AD38" s="38" t="s">
        <v>140</v>
      </c>
      <c r="AE38" s="38">
        <v>195</v>
      </c>
      <c r="AF38" s="34">
        <v>1533.27</v>
      </c>
      <c r="AG38" s="33">
        <v>1042.6235999999999</v>
      </c>
      <c r="AH38" s="33">
        <v>183.9924</v>
      </c>
      <c r="AI38" s="33">
        <v>306.654</v>
      </c>
      <c r="AJ38" s="34"/>
      <c r="AK38" s="33">
        <v>40313.830357142855</v>
      </c>
      <c r="AL38" s="33">
        <v>39663.150357142855</v>
      </c>
      <c r="AM38" s="33">
        <v>4759.5780428571425</v>
      </c>
      <c r="AN38" s="33">
        <v>44422.7284</v>
      </c>
      <c r="AO38" s="39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v>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41">
        <v>0</v>
      </c>
      <c r="BR38" s="136"/>
      <c r="BS38" s="146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</row>
    <row r="39" spans="1:124" s="4" customFormat="1" hidden="1" x14ac:dyDescent="0.25">
      <c r="A39" s="206">
        <v>40528</v>
      </c>
      <c r="B39" s="16" t="s">
        <v>43</v>
      </c>
      <c r="C39" s="33"/>
      <c r="D39" s="34"/>
      <c r="E39" s="34"/>
      <c r="F39" s="35"/>
      <c r="G39" s="33">
        <v>0</v>
      </c>
      <c r="H39" s="33">
        <v>0</v>
      </c>
      <c r="I39" s="34"/>
      <c r="J39" s="34"/>
      <c r="K39" s="34"/>
      <c r="L39" s="34"/>
      <c r="M39" s="36">
        <v>0</v>
      </c>
      <c r="N39" s="36">
        <v>0</v>
      </c>
      <c r="O39" s="36"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v>0</v>
      </c>
      <c r="AH39" s="33">
        <v>0</v>
      </c>
      <c r="AI39" s="33">
        <v>0</v>
      </c>
      <c r="AJ39" s="34"/>
      <c r="AK39" s="33">
        <v>0</v>
      </c>
      <c r="AL39" s="33">
        <v>0</v>
      </c>
      <c r="AM39" s="33">
        <v>0</v>
      </c>
      <c r="AN39" s="33"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v>0</v>
      </c>
      <c r="BA39" s="38"/>
      <c r="BB39" s="38"/>
      <c r="BC39" s="33">
        <v>0</v>
      </c>
      <c r="BD39" s="33"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v>0</v>
      </c>
      <c r="BR39" s="136"/>
      <c r="BS39" s="146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</row>
    <row r="40" spans="1:124" s="4" customFormat="1" ht="16.5" hidden="1" customHeight="1" x14ac:dyDescent="0.25">
      <c r="A40" s="207"/>
      <c r="B40" s="16" t="s">
        <v>44</v>
      </c>
      <c r="C40" s="33">
        <v>22830.29</v>
      </c>
      <c r="D40" s="34">
        <v>16749.82</v>
      </c>
      <c r="E40" s="34">
        <v>16750</v>
      </c>
      <c r="F40" s="35">
        <v>44182</v>
      </c>
      <c r="G40" s="33">
        <v>0</v>
      </c>
      <c r="H40" s="33">
        <v>0.18000000000029104</v>
      </c>
      <c r="I40" s="34"/>
      <c r="J40" s="34"/>
      <c r="K40" s="34">
        <v>4951.8900000000003</v>
      </c>
      <c r="L40" s="34"/>
      <c r="M40" s="36">
        <v>106.46563499999999</v>
      </c>
      <c r="N40" s="36">
        <v>24.759450000000001</v>
      </c>
      <c r="O40" s="36">
        <v>4820.6649150000012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108.75</v>
      </c>
      <c r="AA40" s="34"/>
      <c r="AB40" s="34"/>
      <c r="AC40" s="34">
        <v>309.83</v>
      </c>
      <c r="AD40" s="38" t="s">
        <v>140</v>
      </c>
      <c r="AE40" s="38">
        <v>710</v>
      </c>
      <c r="AF40" s="34">
        <v>1065.18</v>
      </c>
      <c r="AG40" s="33">
        <v>724.32240000000013</v>
      </c>
      <c r="AH40" s="33">
        <v>127.82160000000002</v>
      </c>
      <c r="AI40" s="33">
        <v>213.03600000000003</v>
      </c>
      <c r="AJ40" s="34"/>
      <c r="AK40" s="33">
        <v>19433.133928571428</v>
      </c>
      <c r="AL40" s="33">
        <v>19014.553928571426</v>
      </c>
      <c r="AM40" s="33">
        <v>2281.7464714285711</v>
      </c>
      <c r="AN40" s="33">
        <v>21296.300399999996</v>
      </c>
      <c r="AO40" s="39"/>
      <c r="AP40" s="40"/>
      <c r="AQ40" s="40"/>
      <c r="AR40" s="40">
        <v>560</v>
      </c>
      <c r="AS40" s="40"/>
      <c r="AT40" s="40"/>
      <c r="AU40" s="40"/>
      <c r="AV40" s="40"/>
      <c r="AW40" s="40"/>
      <c r="AX40" s="40"/>
      <c r="AY40" s="40"/>
      <c r="AZ40" s="33">
        <v>560</v>
      </c>
      <c r="BA40" s="38">
        <v>415</v>
      </c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v>975</v>
      </c>
      <c r="BR40" s="136"/>
      <c r="BS40" s="146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</row>
    <row r="41" spans="1:124" s="4" customFormat="1" ht="15.75" hidden="1" customHeight="1" x14ac:dyDescent="0.25">
      <c r="A41" s="206">
        <v>40529</v>
      </c>
      <c r="B41" s="16" t="s">
        <v>43</v>
      </c>
      <c r="C41" s="33"/>
      <c r="D41" s="34"/>
      <c r="E41" s="34"/>
      <c r="F41" s="35"/>
      <c r="G41" s="33"/>
      <c r="H41" s="33">
        <v>0</v>
      </c>
      <c r="I41" s="34"/>
      <c r="J41" s="34"/>
      <c r="K41" s="34"/>
      <c r="L41" s="34"/>
      <c r="M41" s="36">
        <v>0</v>
      </c>
      <c r="N41" s="36">
        <v>0</v>
      </c>
      <c r="O41" s="36">
        <v>0</v>
      </c>
      <c r="P41" s="36">
        <v>0</v>
      </c>
      <c r="Q41" s="37"/>
      <c r="R41" s="34"/>
      <c r="S41" s="34"/>
      <c r="T41" s="36">
        <v>0</v>
      </c>
      <c r="U41" s="36">
        <v>0</v>
      </c>
      <c r="V41" s="36">
        <v>0</v>
      </c>
      <c r="W41" s="36"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v>0</v>
      </c>
      <c r="AH41" s="33">
        <v>0</v>
      </c>
      <c r="AI41" s="33">
        <v>0</v>
      </c>
      <c r="AJ41" s="34"/>
      <c r="AK41" s="33">
        <v>0</v>
      </c>
      <c r="AL41" s="33">
        <v>0</v>
      </c>
      <c r="AM41" s="33">
        <v>0</v>
      </c>
      <c r="AN41" s="33"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v>0</v>
      </c>
      <c r="BA41" s="38"/>
      <c r="BB41" s="38"/>
      <c r="BC41" s="33">
        <v>0</v>
      </c>
      <c r="BD41" s="33"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41">
        <v>0</v>
      </c>
      <c r="BR41" s="136"/>
      <c r="BS41" s="146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</row>
    <row r="42" spans="1:124" s="4" customFormat="1" ht="15.75" hidden="1" thickBot="1" x14ac:dyDescent="0.3">
      <c r="A42" s="207"/>
      <c r="B42" s="16" t="s">
        <v>44</v>
      </c>
      <c r="C42" s="166">
        <v>37084.720000000001</v>
      </c>
      <c r="D42" s="34">
        <v>31499.82</v>
      </c>
      <c r="E42" s="34">
        <v>31500</v>
      </c>
      <c r="F42" s="35">
        <v>44183</v>
      </c>
      <c r="G42" s="33"/>
      <c r="H42" s="33">
        <v>0.18000000000029104</v>
      </c>
      <c r="I42" s="34"/>
      <c r="J42" s="34"/>
      <c r="K42" s="34">
        <v>5068.07</v>
      </c>
      <c r="L42" s="34"/>
      <c r="M42" s="36">
        <v>108.96350499999998</v>
      </c>
      <c r="N42" s="36">
        <v>25.340350000000001</v>
      </c>
      <c r="O42" s="36">
        <v>4933.7661449999996</v>
      </c>
      <c r="P42" s="36">
        <v>0</v>
      </c>
      <c r="Q42" s="37"/>
      <c r="R42" s="34"/>
      <c r="S42" s="34"/>
      <c r="T42" s="36">
        <v>0</v>
      </c>
      <c r="U42" s="36">
        <v>0</v>
      </c>
      <c r="V42" s="36">
        <v>0</v>
      </c>
      <c r="W42" s="36">
        <v>0</v>
      </c>
      <c r="X42" s="37"/>
      <c r="Y42" s="34"/>
      <c r="Z42" s="34">
        <v>40</v>
      </c>
      <c r="AA42" s="34">
        <v>18.5</v>
      </c>
      <c r="AB42" s="34"/>
      <c r="AC42" s="34">
        <v>172.33</v>
      </c>
      <c r="AD42" s="38" t="s">
        <v>140</v>
      </c>
      <c r="AE42" s="38">
        <v>255</v>
      </c>
      <c r="AF42" s="34">
        <v>2568.11</v>
      </c>
      <c r="AG42" s="33">
        <v>1746.3148000000001</v>
      </c>
      <c r="AH42" s="33">
        <v>308.17320000000001</v>
      </c>
      <c r="AI42" s="33">
        <v>513.62200000000007</v>
      </c>
      <c r="AJ42" s="34"/>
      <c r="AK42" s="33">
        <v>30818.401785714283</v>
      </c>
      <c r="AL42" s="33">
        <v>30587.571785714281</v>
      </c>
      <c r="AM42" s="33">
        <v>3670.5086142857135</v>
      </c>
      <c r="AN42" s="33">
        <v>34258.080399999992</v>
      </c>
      <c r="AO42" s="39">
        <v>480</v>
      </c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v>480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v>480</v>
      </c>
      <c r="BR42" s="136"/>
      <c r="BS42" s="146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</row>
    <row r="43" spans="1:124" s="4" customFormat="1" hidden="1" x14ac:dyDescent="0.25">
      <c r="A43" s="206">
        <v>40530</v>
      </c>
      <c r="B43" s="16" t="s">
        <v>43</v>
      </c>
      <c r="C43" s="33"/>
      <c r="D43" s="34"/>
      <c r="E43" s="34"/>
      <c r="F43" s="35"/>
      <c r="G43" s="33"/>
      <c r="H43" s="33">
        <v>0</v>
      </c>
      <c r="I43" s="34"/>
      <c r="J43" s="34"/>
      <c r="K43" s="34"/>
      <c r="L43" s="34"/>
      <c r="M43" s="36">
        <v>0</v>
      </c>
      <c r="N43" s="36">
        <v>0</v>
      </c>
      <c r="O43" s="36"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v>0</v>
      </c>
      <c r="AH43" s="33">
        <v>0</v>
      </c>
      <c r="AI43" s="33">
        <v>0</v>
      </c>
      <c r="AJ43" s="34"/>
      <c r="AK43" s="33">
        <v>0</v>
      </c>
      <c r="AL43" s="33">
        <v>0</v>
      </c>
      <c r="AM43" s="33">
        <v>0</v>
      </c>
      <c r="AN43" s="33"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v>0</v>
      </c>
      <c r="BA43" s="38"/>
      <c r="BB43" s="38"/>
      <c r="BC43" s="33">
        <v>0</v>
      </c>
      <c r="BD43" s="33"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1">
        <v>0</v>
      </c>
      <c r="BR43" s="136"/>
      <c r="BS43" s="146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</row>
    <row r="44" spans="1:124" s="4" customFormat="1" ht="16.5" hidden="1" customHeight="1" x14ac:dyDescent="0.25">
      <c r="A44" s="207"/>
      <c r="B44" s="16" t="s">
        <v>44</v>
      </c>
      <c r="C44" s="33">
        <v>40992.57</v>
      </c>
      <c r="D44" s="34">
        <v>22897.97</v>
      </c>
      <c r="E44" s="34">
        <v>22900</v>
      </c>
      <c r="F44" s="35">
        <v>44184</v>
      </c>
      <c r="G44" s="33"/>
      <c r="H44" s="33">
        <v>2.0299999999988358</v>
      </c>
      <c r="I44" s="34"/>
      <c r="J44" s="34"/>
      <c r="K44" s="34">
        <v>17647.91</v>
      </c>
      <c r="L44" s="34"/>
      <c r="M44" s="36">
        <v>379.43006499999996</v>
      </c>
      <c r="N44" s="36">
        <v>88.239549999999994</v>
      </c>
      <c r="O44" s="36">
        <v>17180.240385000001</v>
      </c>
      <c r="P44" s="36">
        <v>0</v>
      </c>
      <c r="Q44" s="37"/>
      <c r="R44" s="34"/>
      <c r="S44" s="34"/>
      <c r="T44" s="36">
        <v>0</v>
      </c>
      <c r="U44" s="36">
        <v>0</v>
      </c>
      <c r="V44" s="36">
        <v>0</v>
      </c>
      <c r="W44" s="36">
        <v>0</v>
      </c>
      <c r="X44" s="37"/>
      <c r="Y44" s="34"/>
      <c r="Z44" s="34">
        <v>166.25</v>
      </c>
      <c r="AA44" s="34"/>
      <c r="AB44" s="34">
        <v>17.5</v>
      </c>
      <c r="AC44" s="34">
        <v>262.94</v>
      </c>
      <c r="AD44" s="38" t="s">
        <v>140</v>
      </c>
      <c r="AE44" s="38">
        <v>0</v>
      </c>
      <c r="AF44" s="34">
        <v>2972.35</v>
      </c>
      <c r="AG44" s="33">
        <v>2021.1980000000001</v>
      </c>
      <c r="AH44" s="33">
        <v>356.68200000000002</v>
      </c>
      <c r="AI44" s="33">
        <v>594.47</v>
      </c>
      <c r="AJ44" s="34"/>
      <c r="AK44" s="33">
        <v>33946.625</v>
      </c>
      <c r="AL44" s="33">
        <v>33499.934999999998</v>
      </c>
      <c r="AM44" s="33">
        <v>4019.9921999999997</v>
      </c>
      <c r="AN44" s="33">
        <v>37519.927199999998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v>0</v>
      </c>
      <c r="BA44" s="38"/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41">
        <v>0</v>
      </c>
      <c r="BR44" s="136"/>
      <c r="BS44" s="146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</row>
    <row r="45" spans="1:124" s="4" customFormat="1" ht="15.75" hidden="1" customHeight="1" x14ac:dyDescent="0.25">
      <c r="A45" s="206">
        <v>40531</v>
      </c>
      <c r="B45" s="16" t="s">
        <v>43</v>
      </c>
      <c r="C45" s="33">
        <v>0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v>0</v>
      </c>
      <c r="AH45" s="33">
        <v>0</v>
      </c>
      <c r="AI45" s="33">
        <v>0</v>
      </c>
      <c r="AJ45" s="34"/>
      <c r="AK45" s="33">
        <v>0</v>
      </c>
      <c r="AL45" s="33">
        <v>0</v>
      </c>
      <c r="AM45" s="33">
        <v>0</v>
      </c>
      <c r="AN45" s="33"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v>0</v>
      </c>
      <c r="BA45" s="38"/>
      <c r="BB45" s="38"/>
      <c r="BC45" s="33">
        <v>0</v>
      </c>
      <c r="BD45" s="33"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v>0</v>
      </c>
      <c r="BR45" s="136"/>
      <c r="BS45" s="146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</row>
    <row r="46" spans="1:124" s="4" customFormat="1" ht="16.5" hidden="1" customHeight="1" x14ac:dyDescent="0.25">
      <c r="A46" s="207"/>
      <c r="B46" s="16" t="s">
        <v>44</v>
      </c>
      <c r="C46" s="33">
        <v>4244.6499999999996</v>
      </c>
      <c r="D46" s="34">
        <v>3590.54</v>
      </c>
      <c r="E46" s="34">
        <v>3590</v>
      </c>
      <c r="F46" s="35">
        <v>44186</v>
      </c>
      <c r="G46" s="33"/>
      <c r="H46" s="33">
        <v>0</v>
      </c>
      <c r="I46" s="34"/>
      <c r="J46" s="34"/>
      <c r="K46" s="34">
        <v>0</v>
      </c>
      <c r="L46" s="34"/>
      <c r="M46" s="36">
        <v>0</v>
      </c>
      <c r="N46" s="36">
        <v>0</v>
      </c>
      <c r="O46" s="36">
        <v>0</v>
      </c>
      <c r="P46" s="36">
        <v>0</v>
      </c>
      <c r="Q46" s="37"/>
      <c r="R46" s="34"/>
      <c r="S46" s="34"/>
      <c r="T46" s="36">
        <v>0</v>
      </c>
      <c r="U46" s="36">
        <v>0</v>
      </c>
      <c r="V46" s="36">
        <v>0</v>
      </c>
      <c r="W46" s="36">
        <v>0</v>
      </c>
      <c r="X46" s="37"/>
      <c r="Y46" s="34"/>
      <c r="Z46" s="34"/>
      <c r="AA46" s="34"/>
      <c r="AB46" s="34"/>
      <c r="AC46" s="34">
        <v>49.11</v>
      </c>
      <c r="AD46" s="38" t="s">
        <v>140</v>
      </c>
      <c r="AE46" s="38">
        <v>605</v>
      </c>
      <c r="AF46" s="34">
        <v>199.11</v>
      </c>
      <c r="AG46" s="33">
        <v>135.3948</v>
      </c>
      <c r="AH46" s="33">
        <v>23.8932</v>
      </c>
      <c r="AI46" s="33">
        <v>39.822000000000003</v>
      </c>
      <c r="AJ46" s="34"/>
      <c r="AK46" s="33">
        <v>3612.0892857142849</v>
      </c>
      <c r="AL46" s="33">
        <v>3562.9792857142847</v>
      </c>
      <c r="AM46" s="33">
        <v>427.55751428571415</v>
      </c>
      <c r="AN46" s="33">
        <v>3990.5367999999989</v>
      </c>
      <c r="AO46" s="39"/>
      <c r="AP46" s="40">
        <v>0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1">
        <v>0</v>
      </c>
      <c r="BR46" s="136"/>
      <c r="BS46" s="146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</row>
    <row r="47" spans="1:124" s="4" customFormat="1" hidden="1" x14ac:dyDescent="0.25">
      <c r="A47" s="206">
        <v>40532</v>
      </c>
      <c r="B47" s="16" t="s">
        <v>43</v>
      </c>
      <c r="C47" s="33"/>
      <c r="D47" s="34"/>
      <c r="E47" s="34"/>
      <c r="F47" s="35"/>
      <c r="G47" s="33">
        <v>0</v>
      </c>
      <c r="H47" s="33">
        <v>0</v>
      </c>
      <c r="I47" s="34"/>
      <c r="J47" s="34"/>
      <c r="K47" s="34">
        <v>0</v>
      </c>
      <c r="L47" s="34"/>
      <c r="M47" s="36">
        <v>0</v>
      </c>
      <c r="N47" s="36">
        <v>0</v>
      </c>
      <c r="O47" s="36"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v>0</v>
      </c>
      <c r="AH47" s="33">
        <v>0</v>
      </c>
      <c r="AI47" s="33">
        <v>0</v>
      </c>
      <c r="AJ47" s="34"/>
      <c r="AK47" s="33">
        <v>0</v>
      </c>
      <c r="AL47" s="33">
        <v>0</v>
      </c>
      <c r="AM47" s="33">
        <v>0</v>
      </c>
      <c r="AN47" s="33"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v>0</v>
      </c>
      <c r="BA47" s="38"/>
      <c r="BB47" s="38"/>
      <c r="BC47" s="33">
        <v>0</v>
      </c>
      <c r="BD47" s="33"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41">
        <v>0</v>
      </c>
      <c r="BR47" s="136"/>
      <c r="BS47" s="146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</row>
    <row r="48" spans="1:124" s="4" customFormat="1" ht="16.5" hidden="1" customHeight="1" x14ac:dyDescent="0.25">
      <c r="A48" s="207"/>
      <c r="B48" s="16" t="s">
        <v>44</v>
      </c>
      <c r="C48" s="33" t="s">
        <v>138</v>
      </c>
      <c r="D48" s="34"/>
      <c r="E48" s="34"/>
      <c r="F48" s="35"/>
      <c r="G48" s="33">
        <v>0</v>
      </c>
      <c r="H48" s="33">
        <v>0</v>
      </c>
      <c r="I48" s="34"/>
      <c r="J48" s="34"/>
      <c r="K48" s="34"/>
      <c r="L48" s="34"/>
      <c r="M48" s="36">
        <v>0</v>
      </c>
      <c r="N48" s="36">
        <v>0</v>
      </c>
      <c r="O48" s="36"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v>0</v>
      </c>
      <c r="AH48" s="33">
        <v>0</v>
      </c>
      <c r="AI48" s="33">
        <v>0</v>
      </c>
      <c r="AJ48" s="34"/>
      <c r="AK48" s="33">
        <v>0</v>
      </c>
      <c r="AL48" s="33">
        <v>0</v>
      </c>
      <c r="AM48" s="33">
        <v>0</v>
      </c>
      <c r="AN48" s="33"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v>0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169"/>
      <c r="BM48" s="39"/>
      <c r="BN48" s="39"/>
      <c r="BO48" s="39"/>
      <c r="BP48" s="39"/>
      <c r="BQ48" s="41">
        <v>0</v>
      </c>
      <c r="BR48" s="136"/>
      <c r="BS48" s="146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</row>
    <row r="49" spans="1:96" s="4" customFormat="1" ht="15.75" hidden="1" customHeight="1" x14ac:dyDescent="0.25">
      <c r="A49" s="206">
        <v>40533</v>
      </c>
      <c r="B49" s="16" t="s">
        <v>43</v>
      </c>
      <c r="C49" s="33"/>
      <c r="D49" s="34"/>
      <c r="E49" s="34"/>
      <c r="F49" s="35"/>
      <c r="G49" s="33">
        <v>0</v>
      </c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v>0</v>
      </c>
      <c r="AH49" s="33">
        <v>0</v>
      </c>
      <c r="AI49" s="33">
        <v>0</v>
      </c>
      <c r="AJ49" s="34"/>
      <c r="AK49" s="33">
        <v>0</v>
      </c>
      <c r="AL49" s="33">
        <v>0</v>
      </c>
      <c r="AM49" s="33">
        <v>0</v>
      </c>
      <c r="AN49" s="33"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v>0</v>
      </c>
      <c r="BR49" s="136"/>
      <c r="BS49" s="146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</row>
    <row r="50" spans="1:96" s="4" customFormat="1" hidden="1" x14ac:dyDescent="0.25">
      <c r="A50" s="207"/>
      <c r="B50" s="16" t="s">
        <v>44</v>
      </c>
      <c r="C50" s="33">
        <v>31945.66</v>
      </c>
      <c r="D50" s="34">
        <v>24199.31</v>
      </c>
      <c r="E50" s="34">
        <v>24200</v>
      </c>
      <c r="F50" s="35">
        <v>44187</v>
      </c>
      <c r="G50" s="33">
        <v>0</v>
      </c>
      <c r="H50" s="33">
        <v>0.68999999999869033</v>
      </c>
      <c r="I50" s="34"/>
      <c r="J50" s="34"/>
      <c r="K50" s="34">
        <v>7567.02</v>
      </c>
      <c r="L50" s="34">
        <v>0</v>
      </c>
      <c r="M50" s="36">
        <v>162.69093000000001</v>
      </c>
      <c r="N50" s="36">
        <v>37.835100000000004</v>
      </c>
      <c r="O50" s="36">
        <v>7366.4939700000004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>
        <v>70.5</v>
      </c>
      <c r="AA50" s="34"/>
      <c r="AB50" s="34"/>
      <c r="AC50" s="34">
        <v>108.83</v>
      </c>
      <c r="AD50" s="38" t="s">
        <v>140</v>
      </c>
      <c r="AE50" s="38">
        <v>0</v>
      </c>
      <c r="AF50" s="34">
        <v>2310.9499999999998</v>
      </c>
      <c r="AG50" s="33">
        <v>1571.4459999999999</v>
      </c>
      <c r="AH50" s="33">
        <v>277.31399999999996</v>
      </c>
      <c r="AI50" s="33">
        <v>462.19</v>
      </c>
      <c r="AJ50" s="34"/>
      <c r="AK50" s="33">
        <v>26459.562499999996</v>
      </c>
      <c r="AL50" s="33">
        <v>26280.232499999995</v>
      </c>
      <c r="AM50" s="33">
        <v>3153.627899999999</v>
      </c>
      <c r="AN50" s="33">
        <v>29433.860399999994</v>
      </c>
      <c r="AO50" s="39"/>
      <c r="AP50" s="40">
        <v>70</v>
      </c>
      <c r="AQ50" s="40"/>
      <c r="AR50" s="40"/>
      <c r="AS50" s="40"/>
      <c r="AT50" s="40"/>
      <c r="AU50" s="40"/>
      <c r="AV50" s="40"/>
      <c r="AW50" s="40"/>
      <c r="AX50" s="40"/>
      <c r="AY50" s="40"/>
      <c r="AZ50" s="33">
        <v>70</v>
      </c>
      <c r="BA50" s="38"/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41">
        <v>70</v>
      </c>
      <c r="BR50" s="136"/>
      <c r="BS50" s="146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</row>
    <row r="51" spans="1:96" s="4" customFormat="1" hidden="1" x14ac:dyDescent="0.25">
      <c r="A51" s="206">
        <v>40534</v>
      </c>
      <c r="B51" s="16" t="s">
        <v>43</v>
      </c>
      <c r="C51" s="33"/>
      <c r="D51" s="34"/>
      <c r="E51" s="34"/>
      <c r="F51" s="35"/>
      <c r="G51" s="33">
        <v>0</v>
      </c>
      <c r="H51" s="33">
        <v>0</v>
      </c>
      <c r="I51" s="34"/>
      <c r="J51" s="34"/>
      <c r="K51" s="34"/>
      <c r="L51" s="34"/>
      <c r="M51" s="36">
        <v>0</v>
      </c>
      <c r="N51" s="36">
        <v>0</v>
      </c>
      <c r="O51" s="36"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v>0</v>
      </c>
      <c r="AH51" s="33">
        <v>0</v>
      </c>
      <c r="AI51" s="33">
        <v>0</v>
      </c>
      <c r="AJ51" s="34"/>
      <c r="AK51" s="33">
        <v>0</v>
      </c>
      <c r="AL51" s="33">
        <v>0</v>
      </c>
      <c r="AM51" s="33">
        <v>0</v>
      </c>
      <c r="AN51" s="33"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v>0</v>
      </c>
      <c r="BA51" s="38"/>
      <c r="BB51" s="38"/>
      <c r="BC51" s="33">
        <v>0</v>
      </c>
      <c r="BD51" s="33"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v>0</v>
      </c>
      <c r="BR51" s="136"/>
      <c r="BS51" s="146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</row>
    <row r="52" spans="1:96" s="4" customFormat="1" ht="16.5" hidden="1" customHeight="1" x14ac:dyDescent="0.25">
      <c r="A52" s="207"/>
      <c r="B52" s="16" t="s">
        <v>44</v>
      </c>
      <c r="C52" s="33">
        <v>69735.62</v>
      </c>
      <c r="D52" s="34">
        <v>56246.18</v>
      </c>
      <c r="E52" s="34">
        <v>56250</v>
      </c>
      <c r="F52" s="35">
        <v>44188</v>
      </c>
      <c r="G52" s="33">
        <v>0</v>
      </c>
      <c r="H52" s="33">
        <v>3.819999999999709</v>
      </c>
      <c r="I52" s="34"/>
      <c r="J52" s="34"/>
      <c r="K52" s="34">
        <v>10610.76</v>
      </c>
      <c r="L52" s="34"/>
      <c r="M52" s="36">
        <v>228.13133999999999</v>
      </c>
      <c r="N52" s="36">
        <v>53.053800000000003</v>
      </c>
      <c r="O52" s="36">
        <v>10329.574860000001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131.25</v>
      </c>
      <c r="AA52" s="34"/>
      <c r="AB52" s="34"/>
      <c r="AC52" s="34">
        <v>282.43</v>
      </c>
      <c r="AD52" s="38" t="s">
        <v>140</v>
      </c>
      <c r="AE52" s="38"/>
      <c r="AF52" s="34">
        <v>2870.09</v>
      </c>
      <c r="AG52" s="33">
        <v>1951.6612</v>
      </c>
      <c r="AH52" s="33">
        <v>344.41079999999999</v>
      </c>
      <c r="AI52" s="33">
        <v>574.01800000000003</v>
      </c>
      <c r="AJ52" s="34"/>
      <c r="AK52" s="33">
        <v>59701.366071428565</v>
      </c>
      <c r="AL52" s="33">
        <v>59287.686071428565</v>
      </c>
      <c r="AM52" s="33">
        <v>7114.5223285714274</v>
      </c>
      <c r="AN52" s="33">
        <v>66402.208399999989</v>
      </c>
      <c r="AO52" s="39"/>
      <c r="AP52" s="40"/>
      <c r="AQ52" s="40">
        <v>200</v>
      </c>
      <c r="AR52" s="40"/>
      <c r="AS52" s="40"/>
      <c r="AT52" s="40"/>
      <c r="AU52" s="40"/>
      <c r="AV52" s="40"/>
      <c r="AW52" s="40"/>
      <c r="AX52" s="40"/>
      <c r="AY52" s="40"/>
      <c r="AZ52" s="33">
        <v>200</v>
      </c>
      <c r="BA52" s="38"/>
      <c r="BB52" s="38"/>
      <c r="BC52" s="33">
        <v>0</v>
      </c>
      <c r="BD52" s="33"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v>200</v>
      </c>
      <c r="BR52" s="136"/>
      <c r="BS52" s="146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</row>
    <row r="53" spans="1:96" s="4" customFormat="1" ht="15.75" hidden="1" customHeight="1" x14ac:dyDescent="0.25">
      <c r="A53" s="206">
        <v>40535</v>
      </c>
      <c r="B53" s="16" t="s">
        <v>43</v>
      </c>
      <c r="C53" s="33"/>
      <c r="D53" s="34"/>
      <c r="E53" s="34"/>
      <c r="F53" s="35"/>
      <c r="G53" s="33">
        <v>0</v>
      </c>
      <c r="H53" s="33">
        <v>0</v>
      </c>
      <c r="I53" s="34"/>
      <c r="J53" s="34"/>
      <c r="K53" s="34"/>
      <c r="L53" s="34"/>
      <c r="M53" s="36">
        <v>0</v>
      </c>
      <c r="N53" s="36">
        <v>0</v>
      </c>
      <c r="O53" s="36"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v>0</v>
      </c>
      <c r="AH53" s="33">
        <v>0</v>
      </c>
      <c r="AI53" s="33">
        <v>0</v>
      </c>
      <c r="AJ53" s="34"/>
      <c r="AK53" s="33">
        <v>0</v>
      </c>
      <c r="AL53" s="33">
        <v>0</v>
      </c>
      <c r="AM53" s="33">
        <v>0</v>
      </c>
      <c r="AN53" s="33"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v>0</v>
      </c>
      <c r="BA53" s="38"/>
      <c r="BB53" s="38"/>
      <c r="BC53" s="33">
        <v>0</v>
      </c>
      <c r="BD53" s="33"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41">
        <v>0</v>
      </c>
      <c r="BR53" s="136"/>
      <c r="BS53" s="146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</row>
    <row r="54" spans="1:96" s="4" customFormat="1" hidden="1" x14ac:dyDescent="0.25">
      <c r="A54" s="207"/>
      <c r="B54" s="16" t="s">
        <v>44</v>
      </c>
      <c r="C54" s="33">
        <v>32970.230000000003</v>
      </c>
      <c r="D54" s="34">
        <v>28653.47</v>
      </c>
      <c r="E54" s="34">
        <v>28655</v>
      </c>
      <c r="F54" s="35">
        <v>44193</v>
      </c>
      <c r="G54" s="33">
        <v>0</v>
      </c>
      <c r="H54" s="33">
        <v>1.5299999999988358</v>
      </c>
      <c r="I54" s="34"/>
      <c r="J54" s="34"/>
      <c r="K54" s="34">
        <v>3092.94</v>
      </c>
      <c r="L54" s="34"/>
      <c r="M54" s="36">
        <v>66.49821</v>
      </c>
      <c r="N54" s="36">
        <v>15.464700000000001</v>
      </c>
      <c r="O54" s="36">
        <v>3010.9770899999999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45.25</v>
      </c>
      <c r="AA54" s="34"/>
      <c r="AB54" s="34"/>
      <c r="AC54" s="34">
        <v>378.57</v>
      </c>
      <c r="AD54" s="38" t="s">
        <v>140</v>
      </c>
      <c r="AE54" s="38">
        <v>810</v>
      </c>
      <c r="AF54" s="34">
        <v>2172.37</v>
      </c>
      <c r="AG54" s="33">
        <v>1477.2115999999999</v>
      </c>
      <c r="AH54" s="33">
        <v>260.68439999999998</v>
      </c>
      <c r="AI54" s="33">
        <v>434.47399999999999</v>
      </c>
      <c r="AJ54" s="34"/>
      <c r="AK54" s="33">
        <v>27498.089285714286</v>
      </c>
      <c r="AL54" s="33">
        <v>27074.269285714287</v>
      </c>
      <c r="AM54" s="33">
        <v>3248.9123142857143</v>
      </c>
      <c r="AN54" s="33">
        <v>30323.1816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v>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v>0</v>
      </c>
      <c r="BR54" s="136"/>
      <c r="BS54" s="146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</row>
    <row r="55" spans="1:96" s="4" customFormat="1" hidden="1" x14ac:dyDescent="0.25">
      <c r="A55" s="206">
        <v>40536</v>
      </c>
      <c r="B55" s="16" t="s">
        <v>43</v>
      </c>
      <c r="C55" s="33"/>
      <c r="D55" s="34"/>
      <c r="E55" s="34"/>
      <c r="F55" s="35"/>
      <c r="G55" s="33">
        <v>0</v>
      </c>
      <c r="H55" s="33">
        <v>0</v>
      </c>
      <c r="I55" s="34"/>
      <c r="J55" s="34"/>
      <c r="K55" s="34"/>
      <c r="L55" s="34"/>
      <c r="M55" s="36">
        <v>0</v>
      </c>
      <c r="N55" s="36">
        <v>0</v>
      </c>
      <c r="O55" s="36">
        <v>0</v>
      </c>
      <c r="P55" s="36">
        <v>0</v>
      </c>
      <c r="Q55" s="37"/>
      <c r="R55" s="34"/>
      <c r="S55" s="34"/>
      <c r="T55" s="36">
        <v>0</v>
      </c>
      <c r="U55" s="36">
        <v>0</v>
      </c>
      <c r="V55" s="36">
        <v>0</v>
      </c>
      <c r="W55" s="36"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v>0</v>
      </c>
      <c r="AH55" s="33">
        <v>0</v>
      </c>
      <c r="AI55" s="33">
        <v>0</v>
      </c>
      <c r="AJ55" s="34"/>
      <c r="AK55" s="33">
        <v>0</v>
      </c>
      <c r="AL55" s="33">
        <v>0</v>
      </c>
      <c r="AM55" s="33">
        <v>0</v>
      </c>
      <c r="AN55" s="33"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41">
        <v>0</v>
      </c>
      <c r="BR55" s="136"/>
      <c r="BS55" s="146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</row>
    <row r="56" spans="1:96" s="4" customFormat="1" ht="16.5" hidden="1" customHeight="1" x14ac:dyDescent="0.25">
      <c r="A56" s="207"/>
      <c r="B56" s="16" t="s">
        <v>44</v>
      </c>
      <c r="C56" s="33" t="s">
        <v>139</v>
      </c>
      <c r="D56" s="34"/>
      <c r="E56" s="34"/>
      <c r="F56" s="35"/>
      <c r="G56" s="33">
        <v>0</v>
      </c>
      <c r="H56" s="33">
        <v>0</v>
      </c>
      <c r="I56" s="34"/>
      <c r="J56" s="34"/>
      <c r="K56" s="34"/>
      <c r="L56" s="34"/>
      <c r="M56" s="36">
        <v>0</v>
      </c>
      <c r="N56" s="36">
        <v>0</v>
      </c>
      <c r="O56" s="36">
        <v>0</v>
      </c>
      <c r="P56" s="36">
        <v>0</v>
      </c>
      <c r="Q56" s="37"/>
      <c r="R56" s="34"/>
      <c r="S56" s="34"/>
      <c r="T56" s="36">
        <v>0</v>
      </c>
      <c r="U56" s="36">
        <v>0</v>
      </c>
      <c r="V56" s="36">
        <v>0</v>
      </c>
      <c r="W56" s="36">
        <v>0</v>
      </c>
      <c r="X56" s="37"/>
      <c r="Y56" s="34"/>
      <c r="Z56" s="34"/>
      <c r="AA56" s="34"/>
      <c r="AB56" s="34"/>
      <c r="AC56" s="34"/>
      <c r="AD56" s="38"/>
      <c r="AE56" s="38"/>
      <c r="AF56" s="34"/>
      <c r="AG56" s="33">
        <v>0</v>
      </c>
      <c r="AH56" s="33">
        <v>0</v>
      </c>
      <c r="AI56" s="33">
        <v>0</v>
      </c>
      <c r="AJ56" s="34"/>
      <c r="AK56" s="33">
        <v>0</v>
      </c>
      <c r="AL56" s="33">
        <v>0</v>
      </c>
      <c r="AM56" s="33">
        <v>0</v>
      </c>
      <c r="AN56" s="33">
        <v>0</v>
      </c>
      <c r="AO56" s="39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3">
        <v>0</v>
      </c>
      <c r="BA56" s="38"/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41">
        <v>0</v>
      </c>
      <c r="BR56" s="136"/>
      <c r="BS56" s="146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</row>
    <row r="57" spans="1:96" s="4" customFormat="1" ht="15.75" hidden="1" customHeight="1" x14ac:dyDescent="0.25">
      <c r="A57" s="206">
        <v>40537</v>
      </c>
      <c r="B57" s="16" t="s">
        <v>43</v>
      </c>
      <c r="C57" s="33"/>
      <c r="D57" s="34"/>
      <c r="E57" s="34"/>
      <c r="F57" s="35"/>
      <c r="G57" s="33">
        <v>0</v>
      </c>
      <c r="H57" s="33">
        <v>0</v>
      </c>
      <c r="I57" s="34"/>
      <c r="J57" s="34"/>
      <c r="K57" s="34"/>
      <c r="L57" s="34"/>
      <c r="M57" s="36">
        <v>0</v>
      </c>
      <c r="N57" s="36">
        <v>0</v>
      </c>
      <c r="O57" s="36">
        <v>0</v>
      </c>
      <c r="P57" s="36"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v>0</v>
      </c>
      <c r="AH57" s="33">
        <v>0</v>
      </c>
      <c r="AI57" s="33">
        <v>0</v>
      </c>
      <c r="AJ57" s="34"/>
      <c r="AK57" s="33">
        <v>0</v>
      </c>
      <c r="AL57" s="33">
        <v>0</v>
      </c>
      <c r="AM57" s="33">
        <v>0</v>
      </c>
      <c r="AN57" s="33"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v>0</v>
      </c>
      <c r="BA57" s="38"/>
      <c r="BB57" s="38"/>
      <c r="BC57" s="33">
        <v>0</v>
      </c>
      <c r="BD57" s="33"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v>0</v>
      </c>
      <c r="BR57" s="136"/>
      <c r="BS57" s="146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</row>
    <row r="58" spans="1:96" s="4" customFormat="1" hidden="1" x14ac:dyDescent="0.25">
      <c r="A58" s="207"/>
      <c r="B58" s="16" t="s">
        <v>44</v>
      </c>
      <c r="C58" s="33" t="s">
        <v>139</v>
      </c>
      <c r="D58" s="34"/>
      <c r="E58" s="34"/>
      <c r="F58" s="35"/>
      <c r="G58" s="33"/>
      <c r="H58" s="33">
        <v>0</v>
      </c>
      <c r="I58" s="34"/>
      <c r="J58" s="34"/>
      <c r="K58" s="34"/>
      <c r="L58" s="34"/>
      <c r="M58" s="36">
        <v>0</v>
      </c>
      <c r="N58" s="36">
        <v>0</v>
      </c>
      <c r="O58" s="36">
        <v>0</v>
      </c>
      <c r="P58" s="36"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/>
      <c r="AA58" s="34"/>
      <c r="AB58" s="34"/>
      <c r="AC58" s="34"/>
      <c r="AD58" s="38"/>
      <c r="AE58" s="38"/>
      <c r="AF58" s="34"/>
      <c r="AG58" s="33">
        <v>0</v>
      </c>
      <c r="AH58" s="33">
        <v>0</v>
      </c>
      <c r="AI58" s="33">
        <v>0</v>
      </c>
      <c r="AJ58" s="34"/>
      <c r="AK58" s="195">
        <v>0</v>
      </c>
      <c r="AL58" s="195">
        <v>0</v>
      </c>
      <c r="AM58" s="195">
        <v>0</v>
      </c>
      <c r="AN58" s="195">
        <v>0</v>
      </c>
      <c r="AO58" s="196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v>0</v>
      </c>
      <c r="BR58" s="136"/>
      <c r="BS58" s="146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</row>
    <row r="59" spans="1:96" s="4" customFormat="1" hidden="1" x14ac:dyDescent="0.25">
      <c r="A59" s="206">
        <v>40538</v>
      </c>
      <c r="B59" s="32" t="s">
        <v>43</v>
      </c>
      <c r="C59" s="33"/>
      <c r="D59" s="34"/>
      <c r="E59" s="34"/>
      <c r="F59" s="35"/>
      <c r="G59" s="33">
        <v>0</v>
      </c>
      <c r="H59" s="33">
        <v>0</v>
      </c>
      <c r="I59" s="34"/>
      <c r="J59" s="34"/>
      <c r="K59" s="34"/>
      <c r="L59" s="34"/>
      <c r="M59" s="36">
        <v>0</v>
      </c>
      <c r="N59" s="36">
        <v>0</v>
      </c>
      <c r="O59" s="36"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v>0</v>
      </c>
      <c r="AH59" s="33">
        <v>0</v>
      </c>
      <c r="AI59" s="33">
        <v>0</v>
      </c>
      <c r="AJ59" s="34"/>
      <c r="AK59" s="33">
        <v>0</v>
      </c>
      <c r="AL59" s="33">
        <v>0</v>
      </c>
      <c r="AM59" s="33">
        <v>0</v>
      </c>
      <c r="AN59" s="33"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v>0</v>
      </c>
      <c r="BA59" s="38"/>
      <c r="BB59" s="38"/>
      <c r="BC59" s="33">
        <v>0</v>
      </c>
      <c r="BD59" s="33"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41">
        <v>0</v>
      </c>
      <c r="BR59" s="136"/>
      <c r="BS59" s="146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</row>
    <row r="60" spans="1:96" s="4" customFormat="1" ht="16.5" hidden="1" customHeight="1" x14ac:dyDescent="0.25">
      <c r="A60" s="207"/>
      <c r="B60" s="15" t="s">
        <v>44</v>
      </c>
      <c r="C60" s="33" t="s">
        <v>139</v>
      </c>
      <c r="D60" s="34"/>
      <c r="E60" s="34"/>
      <c r="F60" s="35"/>
      <c r="G60" s="33">
        <v>0</v>
      </c>
      <c r="H60" s="33">
        <v>0</v>
      </c>
      <c r="I60" s="34"/>
      <c r="J60" s="34"/>
      <c r="K60" s="34"/>
      <c r="L60" s="34"/>
      <c r="M60" s="36">
        <v>0</v>
      </c>
      <c r="N60" s="36">
        <v>0</v>
      </c>
      <c r="O60" s="36"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v>0</v>
      </c>
      <c r="AH60" s="33">
        <v>0</v>
      </c>
      <c r="AI60" s="33">
        <v>0</v>
      </c>
      <c r="AJ60" s="34"/>
      <c r="AK60" s="33">
        <v>0</v>
      </c>
      <c r="AL60" s="33">
        <v>0</v>
      </c>
      <c r="AM60" s="33">
        <v>0</v>
      </c>
      <c r="AN60" s="33"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v>0</v>
      </c>
      <c r="BA60" s="38"/>
      <c r="BB60" s="38"/>
      <c r="BC60" s="33"/>
      <c r="BD60" s="33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v>0</v>
      </c>
      <c r="BR60" s="136"/>
      <c r="BS60" s="146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</row>
    <row r="61" spans="1:96" s="4" customFormat="1" ht="15.75" hidden="1" customHeight="1" x14ac:dyDescent="0.25">
      <c r="A61" s="206">
        <v>40539</v>
      </c>
      <c r="B61" s="15" t="s">
        <v>43</v>
      </c>
      <c r="C61" s="33"/>
      <c r="D61" s="34"/>
      <c r="E61" s="34"/>
      <c r="F61" s="35"/>
      <c r="G61" s="33">
        <v>0</v>
      </c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v>0</v>
      </c>
      <c r="AH61" s="33">
        <v>0</v>
      </c>
      <c r="AI61" s="33">
        <v>0</v>
      </c>
      <c r="AJ61" s="34"/>
      <c r="AK61" s="33">
        <v>0</v>
      </c>
      <c r="AL61" s="33">
        <v>0</v>
      </c>
      <c r="AM61" s="33">
        <v>0</v>
      </c>
      <c r="AN61" s="33"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v>0</v>
      </c>
      <c r="BA61" s="38"/>
      <c r="BB61" s="38"/>
      <c r="BC61" s="33">
        <v>0</v>
      </c>
      <c r="BD61" s="33"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v>0</v>
      </c>
      <c r="BR61" s="136"/>
      <c r="BS61" s="146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</row>
    <row r="62" spans="1:96" s="4" customFormat="1" hidden="1" x14ac:dyDescent="0.25">
      <c r="A62" s="207"/>
      <c r="B62" s="15" t="s">
        <v>44</v>
      </c>
      <c r="C62" s="33" t="s">
        <v>138</v>
      </c>
      <c r="D62" s="34"/>
      <c r="E62" s="34"/>
      <c r="F62" s="35"/>
      <c r="G62" s="33">
        <v>0</v>
      </c>
      <c r="H62" s="33">
        <v>0</v>
      </c>
      <c r="I62" s="34"/>
      <c r="J62" s="34"/>
      <c r="K62" s="34"/>
      <c r="L62" s="34"/>
      <c r="M62" s="36">
        <v>0</v>
      </c>
      <c r="N62" s="36">
        <v>0</v>
      </c>
      <c r="O62" s="36">
        <v>0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/>
      <c r="AA62" s="34"/>
      <c r="AB62" s="34"/>
      <c r="AC62" s="34"/>
      <c r="AD62" s="38"/>
      <c r="AE62" s="38"/>
      <c r="AF62" s="34"/>
      <c r="AG62" s="33">
        <v>0</v>
      </c>
      <c r="AH62" s="33">
        <v>0</v>
      </c>
      <c r="AI62" s="33">
        <v>0</v>
      </c>
      <c r="AJ62" s="34"/>
      <c r="AK62" s="33">
        <v>0</v>
      </c>
      <c r="AL62" s="33">
        <v>0</v>
      </c>
      <c r="AM62" s="33">
        <v>0</v>
      </c>
      <c r="AN62" s="33">
        <v>0</v>
      </c>
      <c r="AO62" s="39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33">
        <v>0</v>
      </c>
      <c r="BA62" s="38"/>
      <c r="BB62" s="38"/>
      <c r="BC62" s="33"/>
      <c r="BD62" s="33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41">
        <v>0</v>
      </c>
      <c r="BR62" s="136"/>
      <c r="BS62" s="146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</row>
    <row r="63" spans="1:96" s="4" customFormat="1" hidden="1" x14ac:dyDescent="0.25">
      <c r="A63" s="206">
        <v>40540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v>0</v>
      </c>
      <c r="AH63" s="33">
        <v>0</v>
      </c>
      <c r="AI63" s="33">
        <v>0</v>
      </c>
      <c r="AJ63" s="34"/>
      <c r="AK63" s="33">
        <v>0</v>
      </c>
      <c r="AL63" s="33">
        <v>0</v>
      </c>
      <c r="AM63" s="33">
        <v>0</v>
      </c>
      <c r="AN63" s="33"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v>0</v>
      </c>
      <c r="BA63" s="38"/>
      <c r="BB63" s="38"/>
      <c r="BC63" s="33">
        <v>0</v>
      </c>
      <c r="BD63" s="33"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v>0</v>
      </c>
      <c r="BR63" s="136"/>
      <c r="BS63" s="146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</row>
    <row r="64" spans="1:96" s="4" customFormat="1" ht="16.5" hidden="1" customHeight="1" x14ac:dyDescent="0.25">
      <c r="A64" s="207"/>
      <c r="B64" s="16" t="s">
        <v>44</v>
      </c>
      <c r="C64" s="33">
        <v>15013.18</v>
      </c>
      <c r="D64" s="34">
        <v>12694.64</v>
      </c>
      <c r="E64" s="34">
        <v>12695</v>
      </c>
      <c r="F64" s="35">
        <v>44194</v>
      </c>
      <c r="G64" s="33">
        <v>0</v>
      </c>
      <c r="H64" s="33">
        <v>0.36000000000058208</v>
      </c>
      <c r="I64" s="34"/>
      <c r="J64" s="34"/>
      <c r="K64" s="34">
        <v>1170.98</v>
      </c>
      <c r="L64" s="34"/>
      <c r="M64" s="36">
        <v>25.176069999999999</v>
      </c>
      <c r="N64" s="36">
        <v>5.8548999999999998</v>
      </c>
      <c r="O64" s="36">
        <v>1139.94903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43</v>
      </c>
      <c r="AA64" s="34"/>
      <c r="AB64" s="34"/>
      <c r="AC64" s="34">
        <v>224.56</v>
      </c>
      <c r="AD64" s="38" t="s">
        <v>140</v>
      </c>
      <c r="AE64" s="38">
        <v>880</v>
      </c>
      <c r="AF64" s="34">
        <v>1042.9100000000001</v>
      </c>
      <c r="AG64" s="33">
        <v>709.17880000000002</v>
      </c>
      <c r="AH64" s="33">
        <v>125.14920000000001</v>
      </c>
      <c r="AI64" s="33">
        <v>208.58200000000002</v>
      </c>
      <c r="AJ64" s="34"/>
      <c r="AK64" s="33">
        <v>12473.455357142857</v>
      </c>
      <c r="AL64" s="33">
        <v>12205.895357142857</v>
      </c>
      <c r="AM64" s="33">
        <v>1464.7074428571427</v>
      </c>
      <c r="AN64" s="33">
        <v>13670.602800000001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1">
        <v>0</v>
      </c>
      <c r="BR64" s="136"/>
      <c r="BS64" s="146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</row>
    <row r="65" spans="1:96" s="4" customFormat="1" ht="15.75" hidden="1" customHeight="1" x14ac:dyDescent="0.25">
      <c r="A65" s="206">
        <v>40541</v>
      </c>
      <c r="B65" s="16" t="s">
        <v>43</v>
      </c>
      <c r="C65" s="33"/>
      <c r="D65" s="34"/>
      <c r="E65" s="34"/>
      <c r="F65" s="35"/>
      <c r="G65" s="33">
        <v>0</v>
      </c>
      <c r="H65" s="33">
        <v>0</v>
      </c>
      <c r="I65" s="34"/>
      <c r="J65" s="34"/>
      <c r="K65" s="34"/>
      <c r="L65" s="34"/>
      <c r="M65" s="36">
        <v>0</v>
      </c>
      <c r="N65" s="36">
        <v>0</v>
      </c>
      <c r="O65" s="36"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v>0</v>
      </c>
      <c r="AH65" s="33">
        <v>0</v>
      </c>
      <c r="AI65" s="33">
        <v>0</v>
      </c>
      <c r="AJ65" s="34"/>
      <c r="AK65" s="33">
        <v>0</v>
      </c>
      <c r="AL65" s="33">
        <v>0</v>
      </c>
      <c r="AM65" s="33">
        <v>0</v>
      </c>
      <c r="AN65" s="33"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v>0</v>
      </c>
      <c r="BA65" s="38"/>
      <c r="BB65" s="38"/>
      <c r="BC65" s="33">
        <v>0</v>
      </c>
      <c r="BD65" s="33"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41">
        <v>0</v>
      </c>
      <c r="BR65" s="136"/>
      <c r="BS65" s="146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</row>
    <row r="66" spans="1:96" s="4" customFormat="1" ht="15.75" hidden="1" thickBot="1" x14ac:dyDescent="0.3">
      <c r="A66" s="207"/>
      <c r="B66" s="16" t="s">
        <v>44</v>
      </c>
      <c r="C66" s="33">
        <v>34015.760000000002</v>
      </c>
      <c r="D66" s="34">
        <v>26686.37</v>
      </c>
      <c r="E66" s="34">
        <v>26686.5</v>
      </c>
      <c r="F66" s="35">
        <v>44200</v>
      </c>
      <c r="G66" s="33">
        <v>0</v>
      </c>
      <c r="H66" s="33">
        <v>0.13000000000101863</v>
      </c>
      <c r="I66" s="34"/>
      <c r="J66" s="34"/>
      <c r="K66" s="34">
        <v>6411.95</v>
      </c>
      <c r="L66" s="34"/>
      <c r="M66" s="36">
        <v>137.85692499999999</v>
      </c>
      <c r="N66" s="36">
        <v>32.059750000000001</v>
      </c>
      <c r="O66" s="36">
        <v>6242.0333249999994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14.25</v>
      </c>
      <c r="AA66" s="34">
        <v>93.5</v>
      </c>
      <c r="AB66" s="34"/>
      <c r="AC66" s="34">
        <v>439.69</v>
      </c>
      <c r="AD66" s="38" t="s">
        <v>140</v>
      </c>
      <c r="AE66" s="38">
        <v>370</v>
      </c>
      <c r="AF66" s="34">
        <v>1774.59</v>
      </c>
      <c r="AG66" s="33">
        <v>1206.7212</v>
      </c>
      <c r="AH66" s="33">
        <v>212.95079999999999</v>
      </c>
      <c r="AI66" s="33">
        <v>354.91800000000001</v>
      </c>
      <c r="AJ66" s="34"/>
      <c r="AK66" s="33">
        <v>28786.758928571428</v>
      </c>
      <c r="AL66" s="33">
        <v>28239.318928571429</v>
      </c>
      <c r="AM66" s="33">
        <v>3388.7182714285714</v>
      </c>
      <c r="AN66" s="33">
        <v>31628.037199999999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v>0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v>0</v>
      </c>
      <c r="BR66" s="136"/>
      <c r="BS66" s="146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</row>
    <row r="67" spans="1:96" s="4" customFormat="1" hidden="1" x14ac:dyDescent="0.25">
      <c r="A67" s="209">
        <v>40542</v>
      </c>
      <c r="B67" s="16" t="s">
        <v>43</v>
      </c>
      <c r="C67" s="33"/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v>0</v>
      </c>
      <c r="AH67" s="33">
        <v>0</v>
      </c>
      <c r="AI67" s="33">
        <v>0</v>
      </c>
      <c r="AJ67" s="34"/>
      <c r="AK67" s="33">
        <v>0</v>
      </c>
      <c r="AL67" s="33">
        <v>0</v>
      </c>
      <c r="AM67" s="33">
        <v>0</v>
      </c>
      <c r="AN67" s="33"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41">
        <v>0</v>
      </c>
      <c r="BR67" s="136"/>
      <c r="BS67" s="146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</row>
    <row r="68" spans="1:96" s="225" customFormat="1" ht="16.5" customHeight="1" thickBot="1" x14ac:dyDescent="0.3">
      <c r="A68" s="210"/>
      <c r="B68" s="211" t="s">
        <v>44</v>
      </c>
      <c r="C68" s="212" t="s">
        <v>139</v>
      </c>
      <c r="D68" s="213"/>
      <c r="E68" s="213"/>
      <c r="F68" s="214"/>
      <c r="G68" s="212">
        <v>0</v>
      </c>
      <c r="H68" s="212">
        <v>0</v>
      </c>
      <c r="I68" s="213"/>
      <c r="J68" s="213"/>
      <c r="K68" s="213"/>
      <c r="L68" s="213"/>
      <c r="M68" s="215">
        <v>0</v>
      </c>
      <c r="N68" s="215">
        <v>0</v>
      </c>
      <c r="O68" s="215">
        <v>0</v>
      </c>
      <c r="P68" s="215"/>
      <c r="Q68" s="216"/>
      <c r="R68" s="213"/>
      <c r="S68" s="213"/>
      <c r="T68" s="215"/>
      <c r="U68" s="215"/>
      <c r="V68" s="215"/>
      <c r="W68" s="215"/>
      <c r="X68" s="216"/>
      <c r="Y68" s="213"/>
      <c r="Z68" s="213"/>
      <c r="AA68" s="213"/>
      <c r="AB68" s="213"/>
      <c r="AC68" s="213"/>
      <c r="AD68" s="217"/>
      <c r="AE68" s="218"/>
      <c r="AF68" s="213"/>
      <c r="AG68" s="212">
        <v>0</v>
      </c>
      <c r="AH68" s="212">
        <v>0</v>
      </c>
      <c r="AI68" s="212">
        <v>0</v>
      </c>
      <c r="AJ68" s="213"/>
      <c r="AK68" s="212">
        <v>0</v>
      </c>
      <c r="AL68" s="212">
        <v>0</v>
      </c>
      <c r="AM68" s="212">
        <v>0</v>
      </c>
      <c r="AN68" s="212">
        <v>0</v>
      </c>
      <c r="AO68" s="219"/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12">
        <v>0</v>
      </c>
      <c r="BA68" s="217"/>
      <c r="BB68" s="217"/>
      <c r="BC68" s="212"/>
      <c r="BD68" s="212"/>
      <c r="BE68" s="219"/>
      <c r="BF68" s="219"/>
      <c r="BG68" s="219"/>
      <c r="BH68" s="219"/>
      <c r="BI68" s="219"/>
      <c r="BJ68" s="219"/>
      <c r="BK68" s="219"/>
      <c r="BL68" s="219"/>
      <c r="BM68" s="219"/>
      <c r="BN68" s="219"/>
      <c r="BO68" s="219"/>
      <c r="BP68" s="219"/>
      <c r="BQ68" s="221">
        <v>0</v>
      </c>
      <c r="BR68" s="222"/>
      <c r="BS68" s="223"/>
      <c r="BT68" s="224"/>
      <c r="BU68" s="224"/>
      <c r="BV68" s="224"/>
      <c r="BW68" s="224"/>
      <c r="BX68" s="224"/>
      <c r="BY68" s="224"/>
      <c r="BZ68" s="224"/>
      <c r="CA68" s="224"/>
      <c r="CB68" s="224"/>
      <c r="CC68" s="224"/>
      <c r="CD68" s="224"/>
      <c r="CE68" s="224"/>
      <c r="CF68" s="224"/>
      <c r="CG68" s="224"/>
      <c r="CH68" s="224"/>
      <c r="CI68" s="224"/>
      <c r="CJ68" s="224"/>
      <c r="CK68" s="224"/>
      <c r="CL68" s="224"/>
      <c r="CM68" s="224"/>
      <c r="CN68" s="224"/>
      <c r="CO68" s="224"/>
      <c r="CP68" s="224"/>
      <c r="CQ68" s="224"/>
      <c r="CR68" s="224"/>
    </row>
    <row r="69" spans="1:96" s="4" customFormat="1" ht="16.5" thickTop="1" thickBot="1" x14ac:dyDescent="0.3">
      <c r="A69" s="155"/>
      <c r="C69" s="50"/>
      <c r="D69" s="51"/>
      <c r="E69" s="51"/>
      <c r="F69" s="52"/>
      <c r="G69" s="50"/>
      <c r="H69" s="50"/>
      <c r="I69" s="51"/>
      <c r="J69" s="51"/>
      <c r="K69" s="51"/>
      <c r="L69" s="51"/>
      <c r="M69" s="53"/>
      <c r="N69" s="53"/>
      <c r="O69" s="53"/>
      <c r="P69" s="53"/>
      <c r="Q69" s="52"/>
      <c r="R69" s="51"/>
      <c r="S69" s="51"/>
      <c r="T69" s="53"/>
      <c r="U69" s="53"/>
      <c r="V69" s="53"/>
      <c r="W69" s="53"/>
      <c r="X69" s="52"/>
      <c r="Y69" s="51"/>
      <c r="Z69" s="51"/>
      <c r="AA69" s="51"/>
      <c r="AB69" s="51"/>
      <c r="AC69" s="51"/>
      <c r="AD69" s="54"/>
      <c r="AE69" s="54"/>
      <c r="AF69" s="51"/>
      <c r="AG69" s="50"/>
      <c r="AH69" s="50"/>
      <c r="AI69" s="50"/>
      <c r="AJ69" s="51"/>
      <c r="AK69" s="50"/>
      <c r="AL69" s="50"/>
      <c r="AM69" s="50"/>
      <c r="AN69" s="50"/>
      <c r="AO69" s="156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0"/>
      <c r="BA69" s="54"/>
      <c r="BB69" s="54"/>
      <c r="BC69" s="50"/>
      <c r="BD69" s="50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0"/>
      <c r="BR69" s="136"/>
      <c r="BS69" s="136"/>
    </row>
    <row r="70" spans="1:96" s="4" customFormat="1" ht="16.5" customHeight="1" thickTop="1" thickBot="1" x14ac:dyDescent="0.3">
      <c r="A70" s="56" t="s">
        <v>45</v>
      </c>
      <c r="B70" s="56"/>
      <c r="C70" s="57">
        <v>589898.52</v>
      </c>
      <c r="D70" s="57">
        <v>432258.22</v>
      </c>
      <c r="E70" s="57">
        <v>432203.5</v>
      </c>
      <c r="F70" s="57"/>
      <c r="G70" s="57">
        <v>76.759999999998399</v>
      </c>
      <c r="H70" s="57">
        <v>22.119999999995343</v>
      </c>
      <c r="I70" s="57">
        <v>0</v>
      </c>
      <c r="J70" s="57">
        <v>0</v>
      </c>
      <c r="K70" s="57">
        <v>125378.69999999998</v>
      </c>
      <c r="L70" s="57">
        <v>0</v>
      </c>
      <c r="M70" s="57">
        <v>3039.2578449999996</v>
      </c>
      <c r="N70" s="57">
        <v>706.80414999999994</v>
      </c>
      <c r="O70" s="57">
        <v>137614.76800499999</v>
      </c>
      <c r="P70" s="57"/>
      <c r="Q70" s="57"/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/>
      <c r="Y70" s="57">
        <v>0</v>
      </c>
      <c r="Z70" s="57">
        <v>1556.75</v>
      </c>
      <c r="AA70" s="57">
        <v>112</v>
      </c>
      <c r="AB70" s="57">
        <v>17.5</v>
      </c>
      <c r="AC70" s="57">
        <v>5648.3499999999985</v>
      </c>
      <c r="AD70" s="57"/>
      <c r="AE70" s="57">
        <v>24205</v>
      </c>
      <c r="AF70" s="57">
        <v>34143.079999999994</v>
      </c>
      <c r="AG70" s="57">
        <v>23217.294399999999</v>
      </c>
      <c r="AH70" s="57">
        <v>4097.1696000000002</v>
      </c>
      <c r="AI70" s="57">
        <v>6828.6160000000009</v>
      </c>
      <c r="AJ70" s="57">
        <v>0</v>
      </c>
      <c r="AK70" s="57" t="e">
        <v>#VALUE!</v>
      </c>
      <c r="AL70" s="57" t="e">
        <v>#VALUE!</v>
      </c>
      <c r="AM70" s="57" t="e">
        <v>#VALUE!</v>
      </c>
      <c r="AN70" s="57" t="e">
        <v>#VALUE!</v>
      </c>
      <c r="AO70" s="120">
        <v>3685</v>
      </c>
      <c r="AP70" s="120">
        <v>2070</v>
      </c>
      <c r="AQ70" s="120">
        <v>1120</v>
      </c>
      <c r="AR70" s="120">
        <v>2090</v>
      </c>
      <c r="AS70" s="120">
        <v>0</v>
      </c>
      <c r="AT70" s="120">
        <v>0</v>
      </c>
      <c r="AU70" s="135">
        <v>0</v>
      </c>
      <c r="AV70" s="135">
        <v>0</v>
      </c>
      <c r="AW70" s="135">
        <v>0</v>
      </c>
      <c r="AX70" s="135">
        <v>0</v>
      </c>
      <c r="AY70" s="57">
        <v>0</v>
      </c>
      <c r="AZ70" s="57">
        <v>8965</v>
      </c>
      <c r="BA70" s="135">
        <v>415</v>
      </c>
      <c r="BB70" s="57">
        <v>0</v>
      </c>
      <c r="BC70" s="57">
        <v>0</v>
      </c>
      <c r="BD70" s="57">
        <v>0</v>
      </c>
      <c r="BE70" s="134">
        <v>0</v>
      </c>
      <c r="BF70" s="57">
        <v>0</v>
      </c>
      <c r="BG70" s="57">
        <v>0</v>
      </c>
      <c r="BH70" s="57">
        <v>0</v>
      </c>
      <c r="BI70" s="57">
        <v>0</v>
      </c>
      <c r="BJ70" s="57">
        <v>0</v>
      </c>
      <c r="BK70" s="57">
        <v>0</v>
      </c>
      <c r="BL70" s="57">
        <v>0</v>
      </c>
      <c r="BM70" s="57">
        <v>0</v>
      </c>
      <c r="BN70" s="57">
        <v>0</v>
      </c>
      <c r="BO70" s="57">
        <v>0</v>
      </c>
      <c r="BP70" s="57"/>
      <c r="BQ70" s="57">
        <v>9380</v>
      </c>
      <c r="BR70" s="136"/>
      <c r="BS70" s="136"/>
    </row>
    <row r="71" spans="1:96" s="4" customFormat="1" ht="15.75" thickTop="1" x14ac:dyDescent="0.25">
      <c r="A71" s="4" t="s">
        <v>99</v>
      </c>
      <c r="C71" s="13">
        <v>8965</v>
      </c>
      <c r="D71" s="147"/>
      <c r="E71" s="136"/>
      <c r="F71" s="136"/>
      <c r="G71" s="147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54" t="s">
        <v>118</v>
      </c>
      <c r="AL71" s="154"/>
      <c r="AM71" s="148"/>
      <c r="AN71" s="149"/>
      <c r="AO71" s="150">
        <v>3800</v>
      </c>
      <c r="AP71" s="150">
        <v>2100</v>
      </c>
      <c r="AQ71" s="150">
        <v>2100</v>
      </c>
      <c r="AR71" s="150">
        <v>2100</v>
      </c>
      <c r="AS71" s="150">
        <v>1000</v>
      </c>
      <c r="AT71" s="150">
        <v>1500</v>
      </c>
      <c r="AU71" s="136"/>
      <c r="AV71" s="136"/>
      <c r="AW71" s="150">
        <v>1500</v>
      </c>
      <c r="AX71" s="150">
        <v>1500</v>
      </c>
      <c r="AY71" s="136"/>
      <c r="AZ71" s="136"/>
      <c r="BA71" s="136"/>
      <c r="BB71" s="136"/>
      <c r="BC71" s="136"/>
      <c r="BD71" s="137" t="s">
        <v>67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38"/>
      <c r="BK71" s="138"/>
      <c r="BL71" s="138"/>
      <c r="BM71" s="138"/>
      <c r="BN71" s="138"/>
      <c r="BO71" s="138"/>
      <c r="BP71" s="138"/>
      <c r="BQ71" s="147">
        <v>0</v>
      </c>
      <c r="BR71" s="136"/>
      <c r="BS71" s="136"/>
    </row>
    <row r="72" spans="1:96" s="4" customFormat="1" ht="15.75" customHeight="1" x14ac:dyDescent="0.25">
      <c r="A72" s="4" t="s">
        <v>100</v>
      </c>
      <c r="C72" s="13">
        <v>0</v>
      </c>
      <c r="D72" s="147"/>
      <c r="E72" s="147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 t="s">
        <v>134</v>
      </c>
      <c r="AF72" s="147">
        <v>17455</v>
      </c>
      <c r="AG72" s="136"/>
      <c r="AH72" s="136"/>
      <c r="AI72" s="136"/>
      <c r="AJ72" s="136"/>
      <c r="AK72" s="154" t="s">
        <v>119</v>
      </c>
      <c r="AL72" s="154" t="e">
        <v>#VALUE!</v>
      </c>
      <c r="AM72" s="147"/>
      <c r="AN72" s="149"/>
      <c r="AO72" s="150">
        <v>115</v>
      </c>
      <c r="AP72" s="150">
        <v>30</v>
      </c>
      <c r="AQ72" s="150">
        <v>980</v>
      </c>
      <c r="AR72" s="150">
        <v>10</v>
      </c>
      <c r="AS72" s="150">
        <v>1000</v>
      </c>
      <c r="AT72" s="150">
        <v>1500</v>
      </c>
      <c r="AU72" s="150">
        <v>0</v>
      </c>
      <c r="AV72" s="150">
        <v>0</v>
      </c>
      <c r="AW72" s="150">
        <v>1500</v>
      </c>
      <c r="AX72" s="150">
        <v>1500</v>
      </c>
      <c r="AY72" s="136"/>
      <c r="AZ72" s="136"/>
      <c r="BA72" s="136"/>
      <c r="BB72" s="136"/>
      <c r="BC72" s="136"/>
      <c r="BD72" s="138" t="s">
        <v>103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0</v>
      </c>
      <c r="BM72" s="151">
        <v>0</v>
      </c>
      <c r="BN72" s="151">
        <v>0</v>
      </c>
      <c r="BO72" s="151">
        <v>0</v>
      </c>
      <c r="BP72" s="151"/>
      <c r="BQ72" s="147">
        <v>0</v>
      </c>
      <c r="BR72" s="136"/>
      <c r="BS72" s="136"/>
    </row>
    <row r="73" spans="1:96" s="4" customFormat="1" ht="15.75" x14ac:dyDescent="0.25">
      <c r="A73" s="4" t="s">
        <v>101</v>
      </c>
      <c r="C73" s="13">
        <v>0</v>
      </c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75"/>
      <c r="AE73" s="176" t="s">
        <v>132</v>
      </c>
      <c r="AF73" s="150">
        <v>6750</v>
      </c>
      <c r="AG73" s="136"/>
      <c r="AH73" s="136"/>
      <c r="AI73" s="136"/>
      <c r="AJ73" s="136"/>
      <c r="AK73" s="154" t="s">
        <v>120</v>
      </c>
      <c r="AL73" s="154">
        <v>0</v>
      </c>
      <c r="AM73" s="148"/>
      <c r="AN73" s="149"/>
      <c r="AO73" s="150">
        <v>103.5</v>
      </c>
      <c r="AP73" s="150">
        <v>27</v>
      </c>
      <c r="AQ73" s="150">
        <v>882</v>
      </c>
      <c r="AR73" s="150">
        <v>9</v>
      </c>
      <c r="AS73" s="150">
        <v>900</v>
      </c>
      <c r="AT73" s="150">
        <v>1350</v>
      </c>
      <c r="AU73" s="150">
        <v>0</v>
      </c>
      <c r="AV73" s="150">
        <v>0</v>
      </c>
      <c r="AW73" s="150">
        <v>1350</v>
      </c>
      <c r="AX73" s="150">
        <v>1350</v>
      </c>
      <c r="AY73" s="136"/>
      <c r="AZ73" s="136"/>
      <c r="BA73" s="136"/>
      <c r="BB73" s="136"/>
      <c r="BC73" s="136"/>
      <c r="BD73" s="139"/>
      <c r="BE73" s="13"/>
      <c r="BF73" s="13"/>
      <c r="BG73" s="13"/>
      <c r="BH73" s="13"/>
      <c r="BQ73" s="136"/>
      <c r="BR73" s="136"/>
      <c r="BS73" s="136"/>
    </row>
    <row r="74" spans="1:96" s="4" customFormat="1" ht="16.5" customHeight="1" thickBot="1" x14ac:dyDescent="0.3">
      <c r="A74" s="4" t="s">
        <v>34</v>
      </c>
      <c r="C74" s="152">
        <v>415</v>
      </c>
      <c r="D74" s="147"/>
      <c r="E74" s="147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54" t="s">
        <v>121</v>
      </c>
      <c r="AL74" s="154" t="e">
        <v>#VALUE!</v>
      </c>
      <c r="AM74" s="148"/>
      <c r="AN74" s="149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40" t="s">
        <v>68</v>
      </c>
      <c r="BE74" s="153">
        <v>0</v>
      </c>
      <c r="BF74" s="153">
        <v>0</v>
      </c>
      <c r="BG74" s="153" t="e">
        <v>#VALUE!</v>
      </c>
      <c r="BH74" s="153">
        <v>0</v>
      </c>
      <c r="BI74" s="153">
        <v>0</v>
      </c>
      <c r="BJ74" s="153">
        <v>0</v>
      </c>
      <c r="BK74" s="153">
        <v>0</v>
      </c>
      <c r="BL74" s="153">
        <v>0</v>
      </c>
      <c r="BM74" s="153">
        <v>0</v>
      </c>
      <c r="BN74" s="153">
        <v>0</v>
      </c>
      <c r="BO74" s="153">
        <v>0</v>
      </c>
      <c r="BP74" s="153"/>
      <c r="BQ74" s="147" t="e">
        <v>#VALUE!</v>
      </c>
      <c r="BR74" s="136"/>
      <c r="BS74" s="136"/>
    </row>
    <row r="75" spans="1:96" s="4" customFormat="1" ht="15.75" thickTop="1" x14ac:dyDescent="0.25">
      <c r="A75" s="136"/>
      <c r="B75" s="136"/>
      <c r="C75" s="3">
        <v>599278.52</v>
      </c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48"/>
      <c r="AN75" s="149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41" t="s">
        <v>103</v>
      </c>
      <c r="BE75" s="153">
        <v>0</v>
      </c>
      <c r="BF75" s="153">
        <v>0</v>
      </c>
      <c r="BG75" s="153" t="e">
        <v>#VALUE!</v>
      </c>
      <c r="BH75" s="153">
        <v>0</v>
      </c>
      <c r="BI75" s="153">
        <v>0</v>
      </c>
      <c r="BJ75" s="153">
        <v>0</v>
      </c>
      <c r="BK75" s="153">
        <v>0</v>
      </c>
      <c r="BL75" s="153">
        <v>0</v>
      </c>
      <c r="BM75" s="153">
        <v>0</v>
      </c>
      <c r="BN75" s="153">
        <v>0</v>
      </c>
      <c r="BO75" s="153">
        <v>0</v>
      </c>
      <c r="BP75" s="153"/>
      <c r="BQ75" s="147" t="e">
        <v>#VALUE!</v>
      </c>
      <c r="BR75" s="136"/>
      <c r="BS75" s="136"/>
    </row>
    <row r="76" spans="1:96" s="4" customFormat="1" ht="15.75" customHeight="1" x14ac:dyDescent="0.25">
      <c r="A76" s="136"/>
      <c r="B76" s="136"/>
      <c r="C76" s="136"/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8"/>
      <c r="AN76" s="149"/>
      <c r="AO76" s="136"/>
      <c r="AP76" s="136"/>
      <c r="AQ76" s="136"/>
      <c r="AR76" s="136" t="s">
        <v>130</v>
      </c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2"/>
      <c r="BE76" s="147"/>
      <c r="BF76" s="147"/>
      <c r="BG76" s="147"/>
      <c r="BH76" s="147"/>
      <c r="BI76" s="136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</row>
    <row r="77" spans="1:96" s="4" customFormat="1" x14ac:dyDescent="0.25">
      <c r="A77" s="1" t="s">
        <v>115</v>
      </c>
      <c r="B77" s="136"/>
      <c r="C77" s="147"/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2"/>
      <c r="BE77" s="147"/>
      <c r="BF77" s="147"/>
      <c r="BG77" s="147"/>
      <c r="BH77" s="147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</row>
    <row r="78" spans="1:96" s="4" customFormat="1" ht="15.75" customHeight="1" x14ac:dyDescent="0.25">
      <c r="A78" s="136"/>
      <c r="B78" s="136"/>
      <c r="C78" s="136"/>
      <c r="D78" s="264" t="s">
        <v>107</v>
      </c>
      <c r="E78" s="264"/>
      <c r="F78" s="264"/>
      <c r="G78" s="136"/>
      <c r="H78" s="136"/>
      <c r="I78" s="136"/>
      <c r="J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AG78" s="136"/>
      <c r="AH78" s="136"/>
      <c r="AI78" s="136"/>
      <c r="AK78" s="136"/>
      <c r="AL78" s="136"/>
      <c r="AM78" s="147"/>
      <c r="AN78" s="147"/>
      <c r="BD78" s="139"/>
      <c r="BE78" s="53"/>
      <c r="BF78" s="53"/>
      <c r="BG78" s="53"/>
      <c r="BH78" s="53"/>
      <c r="BQ78" s="136"/>
      <c r="BR78" s="136"/>
      <c r="BS78" s="136"/>
    </row>
    <row r="79" spans="1:96" s="4" customFormat="1" x14ac:dyDescent="0.25">
      <c r="A79" s="136" t="s">
        <v>95</v>
      </c>
      <c r="B79" s="136"/>
      <c r="C79" s="150"/>
      <c r="D79" s="147" t="s">
        <v>108</v>
      </c>
      <c r="E79" s="136" t="s">
        <v>109</v>
      </c>
      <c r="F79" s="136" t="s">
        <v>2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47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42" t="s">
        <v>98</v>
      </c>
      <c r="BE79" s="150"/>
      <c r="BF79" s="150"/>
      <c r="BG79" s="150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</row>
    <row r="80" spans="1:96" ht="15.75" customHeight="1" x14ac:dyDescent="0.25">
      <c r="A80" s="136" t="s">
        <v>124</v>
      </c>
      <c r="C80" s="150"/>
      <c r="D80" s="147"/>
      <c r="E80" s="147"/>
      <c r="AM80" s="147"/>
      <c r="AN80" s="147"/>
      <c r="BE80" s="150"/>
      <c r="BF80" s="150"/>
      <c r="BG80" s="150"/>
    </row>
    <row r="81" spans="3:59" x14ac:dyDescent="0.25">
      <c r="D81" s="147"/>
      <c r="E81" s="147"/>
      <c r="AM81" s="147"/>
      <c r="AN81" s="147"/>
      <c r="BE81" s="150"/>
      <c r="BF81" s="150"/>
      <c r="BG81" s="150"/>
    </row>
    <row r="82" spans="3:59" ht="15.75" customHeight="1" x14ac:dyDescent="0.25">
      <c r="D82" s="147"/>
      <c r="E82" s="147"/>
      <c r="BD82" s="142"/>
      <c r="BE82" s="150"/>
      <c r="BF82" s="150"/>
      <c r="BG82" s="150"/>
    </row>
    <row r="83" spans="3:59" x14ac:dyDescent="0.25">
      <c r="D83" s="147"/>
      <c r="E83" s="147"/>
      <c r="BE83" s="150"/>
      <c r="BF83" s="150"/>
      <c r="BG83" s="150"/>
    </row>
    <row r="84" spans="3:59" ht="15.75" customHeight="1" x14ac:dyDescent="0.25">
      <c r="D84" s="147"/>
      <c r="E84" s="147"/>
      <c r="BE84" s="150"/>
      <c r="BF84" s="150"/>
      <c r="BG84" s="150"/>
    </row>
    <row r="85" spans="3:59" x14ac:dyDescent="0.25">
      <c r="D85" s="147"/>
      <c r="E85" s="147"/>
      <c r="BE85" s="150"/>
      <c r="BF85" s="150"/>
      <c r="BG85" s="150"/>
    </row>
    <row r="86" spans="3:59" ht="15.75" customHeight="1" x14ac:dyDescent="0.25">
      <c r="C86" s="147"/>
      <c r="D86" s="147"/>
      <c r="E86" s="147"/>
      <c r="F86" s="147"/>
      <c r="G86" s="147"/>
    </row>
    <row r="87" spans="3:59" x14ac:dyDescent="0.25">
      <c r="C87" s="147"/>
      <c r="D87" s="147"/>
      <c r="E87" s="147"/>
      <c r="F87" s="147"/>
      <c r="G87" s="147"/>
    </row>
    <row r="88" spans="3:59" ht="15.75" customHeight="1" x14ac:dyDescent="0.25">
      <c r="C88" s="147"/>
      <c r="D88" s="147"/>
      <c r="E88" s="147"/>
      <c r="F88" s="147"/>
      <c r="G88" s="147"/>
    </row>
    <row r="89" spans="3:59" x14ac:dyDescent="0.25">
      <c r="C89" s="147"/>
      <c r="D89" s="147"/>
      <c r="E89" s="147"/>
      <c r="F89" s="147"/>
      <c r="G89" s="147"/>
    </row>
    <row r="90" spans="3:59" ht="15.75" customHeight="1" x14ac:dyDescent="0.25">
      <c r="C90" s="147"/>
      <c r="D90" s="147"/>
      <c r="E90" s="147"/>
      <c r="F90" s="147"/>
      <c r="G90" s="147"/>
    </row>
    <row r="91" spans="3:59" x14ac:dyDescent="0.25">
      <c r="C91" s="147"/>
      <c r="D91" s="147"/>
      <c r="E91" s="147"/>
      <c r="F91" s="147"/>
      <c r="G91" s="147"/>
    </row>
    <row r="92" spans="3:59" ht="15.75" customHeight="1" x14ac:dyDescent="0.25">
      <c r="C92" s="147"/>
      <c r="D92" s="147"/>
      <c r="E92" s="147"/>
      <c r="F92" s="147"/>
      <c r="G92" s="147"/>
    </row>
    <row r="93" spans="3:59" x14ac:dyDescent="0.25">
      <c r="C93" s="147"/>
      <c r="D93" s="147"/>
      <c r="E93" s="147"/>
      <c r="F93" s="147"/>
      <c r="G93" s="147"/>
    </row>
    <row r="94" spans="3:59" ht="15.75" customHeight="1" x14ac:dyDescent="0.25">
      <c r="C94" s="147"/>
      <c r="D94" s="147"/>
      <c r="E94" s="147"/>
      <c r="F94" s="147"/>
      <c r="G94" s="147"/>
    </row>
    <row r="95" spans="3:59" x14ac:dyDescent="0.25">
      <c r="C95" s="147"/>
      <c r="D95" s="147"/>
      <c r="E95" s="147"/>
      <c r="F95" s="147"/>
      <c r="G95" s="147"/>
    </row>
    <row r="96" spans="3:59" ht="15.75" customHeight="1" x14ac:dyDescent="0.25">
      <c r="C96" s="147"/>
      <c r="D96" s="147"/>
      <c r="E96" s="147"/>
      <c r="F96" s="147"/>
      <c r="G96" s="147"/>
    </row>
    <row r="97" spans="3:7" x14ac:dyDescent="0.25">
      <c r="C97" s="147"/>
      <c r="D97" s="147"/>
      <c r="E97" s="147"/>
      <c r="F97" s="147"/>
      <c r="G97" s="147"/>
    </row>
    <row r="98" spans="3:7" ht="15.75" customHeight="1" x14ac:dyDescent="0.25">
      <c r="C98" s="147"/>
      <c r="D98" s="147"/>
      <c r="E98" s="147"/>
      <c r="F98" s="147"/>
      <c r="G98" s="147"/>
    </row>
    <row r="99" spans="3:7" x14ac:dyDescent="0.25">
      <c r="C99" s="147"/>
      <c r="D99" s="147"/>
      <c r="E99" s="147"/>
      <c r="F99" s="147"/>
      <c r="G99" s="147"/>
    </row>
    <row r="100" spans="3:7" ht="15.75" customHeight="1" x14ac:dyDescent="0.25">
      <c r="C100" s="147"/>
      <c r="D100" s="147"/>
      <c r="E100" s="147"/>
      <c r="F100" s="147"/>
      <c r="G100" s="147"/>
    </row>
    <row r="101" spans="3:7" x14ac:dyDescent="0.25">
      <c r="C101" s="147"/>
      <c r="D101" s="147"/>
      <c r="E101" s="147"/>
      <c r="F101" s="147"/>
      <c r="G101" s="147"/>
    </row>
    <row r="102" spans="3:7" ht="15.75" customHeight="1" x14ac:dyDescent="0.25">
      <c r="C102" s="147"/>
      <c r="D102" s="147"/>
      <c r="E102" s="147"/>
      <c r="F102" s="147"/>
      <c r="G102" s="147"/>
    </row>
    <row r="103" spans="3:7" x14ac:dyDescent="0.25">
      <c r="C103" s="147"/>
      <c r="D103" s="147"/>
      <c r="E103" s="147"/>
      <c r="F103" s="147"/>
      <c r="G103" s="147"/>
    </row>
    <row r="104" spans="3:7" ht="15.75" customHeight="1" x14ac:dyDescent="0.25">
      <c r="C104" s="147"/>
      <c r="D104" s="147"/>
      <c r="E104" s="147"/>
      <c r="F104" s="147"/>
      <c r="G104" s="147"/>
    </row>
    <row r="105" spans="3:7" x14ac:dyDescent="0.25">
      <c r="C105" s="147"/>
      <c r="D105" s="147"/>
      <c r="E105" s="147"/>
      <c r="F105" s="147"/>
      <c r="G105" s="147"/>
    </row>
    <row r="106" spans="3:7" ht="15.75" customHeight="1" x14ac:dyDescent="0.25">
      <c r="C106" s="147"/>
      <c r="D106" s="147"/>
      <c r="E106" s="147"/>
      <c r="F106" s="147"/>
      <c r="G106" s="147"/>
    </row>
    <row r="107" spans="3:7" x14ac:dyDescent="0.25">
      <c r="C107" s="147"/>
      <c r="D107" s="147"/>
      <c r="E107" s="147"/>
      <c r="F107" s="147"/>
      <c r="G107" s="147"/>
    </row>
    <row r="108" spans="3:7" ht="15.75" customHeight="1" x14ac:dyDescent="0.25">
      <c r="C108" s="147"/>
      <c r="D108" s="147"/>
      <c r="E108" s="147"/>
      <c r="F108" s="147"/>
      <c r="G108" s="147"/>
    </row>
    <row r="109" spans="3:7" x14ac:dyDescent="0.25">
      <c r="C109" s="147"/>
      <c r="D109" s="147"/>
      <c r="E109" s="147"/>
      <c r="F109" s="147"/>
      <c r="G109" s="147"/>
    </row>
    <row r="110" spans="3:7" ht="15.75" customHeight="1" x14ac:dyDescent="0.25">
      <c r="C110" s="147"/>
      <c r="D110" s="147"/>
      <c r="E110" s="147"/>
      <c r="F110" s="147"/>
      <c r="G110" s="147"/>
    </row>
    <row r="111" spans="3:7" x14ac:dyDescent="0.25">
      <c r="C111" s="147"/>
      <c r="D111" s="147"/>
      <c r="E111" s="147"/>
      <c r="F111" s="147"/>
      <c r="G111" s="147"/>
    </row>
    <row r="112" spans="3:7" ht="15.75" customHeight="1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ht="15.75" customHeight="1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ht="15.75" customHeight="1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ht="15.75" customHeight="1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ht="15.75" customHeight="1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ht="15.75" customHeight="1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ht="15.75" customHeight="1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ht="15.75" customHeight="1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ht="15.75" customHeight="1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ht="15.75" customHeight="1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ht="15.75" customHeight="1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ht="15.75" customHeight="1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ht="15.75" customHeight="1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ht="15.75" customHeight="1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ht="15.75" customHeight="1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ht="15.75" customHeight="1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ht="15.75" customHeight="1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ht="15.75" customHeight="1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ht="15.75" customHeight="1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ht="15.75" customHeight="1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ht="15.75" customHeight="1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ht="15.75" customHeight="1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</sheetData>
  <mergeCells count="59"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X6:X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AN6:AN7"/>
    <mergeCell ref="Z6:Z7"/>
    <mergeCell ref="AA6:AA7"/>
    <mergeCell ref="AB6:AB7"/>
    <mergeCell ref="AC6:AC7"/>
    <mergeCell ref="AD6:AE6"/>
    <mergeCell ref="AF6:AF7"/>
    <mergeCell ref="AG6:AH6"/>
    <mergeCell ref="AI6:AI7"/>
    <mergeCell ref="AK6:AK7"/>
    <mergeCell ref="AL6:AL7"/>
    <mergeCell ref="AM6:AM7"/>
    <mergeCell ref="BD6:BD7"/>
    <mergeCell ref="AP6:AP7"/>
    <mergeCell ref="AQ6:AQ7"/>
    <mergeCell ref="AR6:AR7"/>
    <mergeCell ref="AS6:AS7"/>
    <mergeCell ref="AT6:AT7"/>
    <mergeCell ref="AU6:AU7"/>
    <mergeCell ref="D78:F78"/>
    <mergeCell ref="BK6:BK7"/>
    <mergeCell ref="BL6:BL7"/>
    <mergeCell ref="BP6:BP7"/>
    <mergeCell ref="BQ6:BQ7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2021-04-10T02:55:39Z</dcterms:modified>
</cp:coreProperties>
</file>