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June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1-13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'1-13'!$A$1:$Y$76</definedName>
    <definedName name="_xlnm.Print_Area" localSheetId="3">'26-10 payslip'!$A$1:$Q$165</definedName>
    <definedName name="_xlnm.Print_Area" localSheetId="8">Sheet1!$A$67:$Q$132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N50" i="79" l="1"/>
  <c r="F50" i="79"/>
  <c r="P36" i="20"/>
  <c r="F122" i="79" l="1"/>
  <c r="N89" i="79"/>
  <c r="F89" i="79"/>
  <c r="N56" i="79"/>
  <c r="F55" i="79"/>
  <c r="N22" i="79"/>
  <c r="F22" i="79"/>
  <c r="F79" i="79"/>
  <c r="F49" i="79" l="1"/>
  <c r="G13" i="20" l="1"/>
  <c r="H13" i="20"/>
  <c r="D9" i="79"/>
  <c r="F56" i="79"/>
  <c r="K13" i="20" l="1"/>
  <c r="H27" i="20"/>
  <c r="H26" i="20"/>
  <c r="N26" i="79" l="1"/>
  <c r="N57" i="79"/>
  <c r="P142" i="79" l="1"/>
  <c r="H142" i="79"/>
  <c r="N49" i="79"/>
  <c r="N16" i="79"/>
  <c r="F16" i="79"/>
  <c r="F126" i="79" l="1"/>
  <c r="F125" i="79"/>
  <c r="F123" i="79"/>
  <c r="F121" i="79"/>
  <c r="F120" i="79"/>
  <c r="F119" i="79"/>
  <c r="F118" i="79"/>
  <c r="E110" i="79"/>
  <c r="H109" i="79" s="1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5" i="79"/>
  <c r="N53" i="79"/>
  <c r="M44" i="79"/>
  <c r="F60" i="79"/>
  <c r="F59" i="79"/>
  <c r="F57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G7" i="20" l="1"/>
  <c r="D108" i="79"/>
  <c r="L75" i="79"/>
  <c r="D75" i="79"/>
  <c r="D42" i="79"/>
  <c r="L9" i="79"/>
  <c r="E11" i="79"/>
  <c r="H10" i="20" l="1"/>
  <c r="O10" i="20"/>
  <c r="T10" i="20"/>
  <c r="V10" i="20"/>
  <c r="H25" i="20"/>
  <c r="H9" i="20"/>
  <c r="F47" i="79" s="1"/>
  <c r="H23" i="20"/>
  <c r="N25" i="79" s="1"/>
  <c r="V8" i="20"/>
  <c r="N17" i="79" s="1"/>
  <c r="L8" i="20"/>
  <c r="T8" i="20"/>
  <c r="F23" i="20"/>
  <c r="N13" i="20"/>
  <c r="O13" i="20"/>
  <c r="H109" i="21"/>
  <c r="F113" i="79"/>
  <c r="V13" i="20"/>
  <c r="F116" i="79" s="1"/>
  <c r="H28" i="20"/>
  <c r="F124" i="79" s="1"/>
  <c r="N12" i="20"/>
  <c r="P12" i="20" s="1"/>
  <c r="N79" i="79" s="1"/>
  <c r="O12" i="20"/>
  <c r="G12" i="20"/>
  <c r="P76" i="21" s="1"/>
  <c r="H12" i="20"/>
  <c r="N80" i="79" s="1"/>
  <c r="V12" i="20"/>
  <c r="N83" i="79" s="1"/>
  <c r="N91" i="79"/>
  <c r="H11" i="20"/>
  <c r="T11" i="20"/>
  <c r="G11" i="20"/>
  <c r="H76" i="21" s="1"/>
  <c r="V11" i="20"/>
  <c r="F83" i="79" s="1"/>
  <c r="F91" i="79"/>
  <c r="V7" i="20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P109" i="79"/>
  <c r="N112" i="79"/>
  <c r="N113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M110" i="79"/>
  <c r="L108" i="79"/>
  <c r="L107" i="79"/>
  <c r="L10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8" i="79"/>
  <c r="F48" i="79"/>
  <c r="H43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G34" i="5"/>
  <c r="G36" i="5" s="1"/>
  <c r="J25" i="63"/>
  <c r="J21" i="5" s="1"/>
  <c r="J22" i="63"/>
  <c r="J23" i="63"/>
  <c r="J19" i="5" s="1"/>
  <c r="M21" i="5"/>
  <c r="N21" i="5" s="1"/>
  <c r="M18" i="5"/>
  <c r="N18" i="5" s="1"/>
  <c r="M19" i="5"/>
  <c r="N19" i="5" s="1"/>
  <c r="O21" i="5"/>
  <c r="P21" i="5" s="1"/>
  <c r="O18" i="5"/>
  <c r="P18" i="5" s="1"/>
  <c r="O19" i="5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M25" i="5" s="1"/>
  <c r="N25" i="5" s="1"/>
  <c r="L30" i="63"/>
  <c r="M26" i="5" s="1"/>
  <c r="N26" i="5" s="1"/>
  <c r="L31" i="63"/>
  <c r="M27" i="5" s="1"/>
  <c r="N27" i="5" s="1"/>
  <c r="M20" i="5"/>
  <c r="N20" i="5" s="1"/>
  <c r="M22" i="5"/>
  <c r="N22" i="5" s="1"/>
  <c r="O20" i="5"/>
  <c r="P20" i="5" s="1"/>
  <c r="O22" i="5"/>
  <c r="P22" i="5" s="1"/>
  <c r="O23" i="5"/>
  <c r="P23" i="5" s="1"/>
  <c r="O24" i="5"/>
  <c r="P24" i="5" s="1"/>
  <c r="O25" i="5"/>
  <c r="P25" i="5" s="1"/>
  <c r="O26" i="5"/>
  <c r="P26" i="5" s="1"/>
  <c r="O27" i="5"/>
  <c r="P27" i="5" s="1"/>
  <c r="M34" i="5"/>
  <c r="M36" i="5" s="1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9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19" i="5"/>
  <c r="B7" i="63"/>
  <c r="A15" i="5"/>
  <c r="A14" i="5"/>
  <c r="D2" i="63"/>
  <c r="A11" i="5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M110" i="64"/>
  <c r="E110" i="64"/>
  <c r="L108" i="64"/>
  <c r="D108" i="64"/>
  <c r="D106" i="64"/>
  <c r="J101" i="64"/>
  <c r="B101" i="64"/>
  <c r="N86" i="64"/>
  <c r="N89" i="64"/>
  <c r="N90" i="64"/>
  <c r="N92" i="64"/>
  <c r="N93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9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M44" i="64"/>
  <c r="E44" i="64"/>
  <c r="L42" i="64"/>
  <c r="D42" i="64"/>
  <c r="J36" i="64"/>
  <c r="J35" i="64"/>
  <c r="B35" i="64"/>
  <c r="N20" i="64"/>
  <c r="N21" i="64"/>
  <c r="N22" i="64"/>
  <c r="N23" i="64"/>
  <c r="N24" i="64"/>
  <c r="N26" i="64"/>
  <c r="N27" i="64"/>
  <c r="F21" i="64"/>
  <c r="F23" i="64"/>
  <c r="F24" i="64"/>
  <c r="F26" i="64"/>
  <c r="F27" i="64"/>
  <c r="M11" i="64"/>
  <c r="E11" i="64"/>
  <c r="L9" i="64"/>
  <c r="D9" i="64"/>
  <c r="L7" i="64"/>
  <c r="J3" i="64"/>
  <c r="J2" i="64"/>
  <c r="B2" i="64"/>
  <c r="I67" i="63"/>
  <c r="G67" i="63"/>
  <c r="F67" i="63"/>
  <c r="E67" i="63"/>
  <c r="M60" i="63"/>
  <c r="K60" i="63"/>
  <c r="B60" i="63"/>
  <c r="M59" i="63"/>
  <c r="L59" i="63"/>
  <c r="H59" i="63"/>
  <c r="S21" i="5" s="1"/>
  <c r="C10" i="63"/>
  <c r="C25" i="63" s="1"/>
  <c r="C59" i="63" s="1"/>
  <c r="M58" i="63"/>
  <c r="H58" i="63"/>
  <c r="S20" i="5" s="1"/>
  <c r="C9" i="63"/>
  <c r="C24" i="63" s="1"/>
  <c r="C58" i="63" s="1"/>
  <c r="M57" i="63"/>
  <c r="K57" i="63"/>
  <c r="M56" i="63"/>
  <c r="K56" i="63"/>
  <c r="H56" i="63"/>
  <c r="S18" i="5" s="1"/>
  <c r="C7" i="63"/>
  <c r="C22" i="63" s="1"/>
  <c r="C56" i="63" s="1"/>
  <c r="M44" i="63"/>
  <c r="M42" i="63"/>
  <c r="M40" i="63"/>
  <c r="P39" i="63"/>
  <c r="L60" i="63" s="1"/>
  <c r="M39" i="63"/>
  <c r="P38" i="63"/>
  <c r="O38" i="63"/>
  <c r="K59" i="63" s="1"/>
  <c r="P37" i="63"/>
  <c r="L58" i="63" s="1"/>
  <c r="O37" i="63"/>
  <c r="K58" i="63" s="1"/>
  <c r="P36" i="63"/>
  <c r="L57" i="63" s="1"/>
  <c r="P35" i="63"/>
  <c r="L56" i="63" s="1"/>
  <c r="O35" i="63"/>
  <c r="N33" i="63"/>
  <c r="M33" i="63"/>
  <c r="I33" i="63"/>
  <c r="E33" i="63"/>
  <c r="C31" i="63"/>
  <c r="C65" i="63" s="1"/>
  <c r="B31" i="63"/>
  <c r="B65" i="63" s="1"/>
  <c r="C30" i="63"/>
  <c r="C64" i="63" s="1"/>
  <c r="B30" i="63"/>
  <c r="B64" i="63" s="1"/>
  <c r="C29" i="63"/>
  <c r="C63" i="63" s="1"/>
  <c r="B29" i="63"/>
  <c r="L106" i="64" s="1"/>
  <c r="C28" i="63"/>
  <c r="C62" i="63" s="1"/>
  <c r="B28" i="63"/>
  <c r="B62" i="63" s="1"/>
  <c r="C27" i="63"/>
  <c r="C61" i="63" s="1"/>
  <c r="B27" i="63"/>
  <c r="B61" i="63" s="1"/>
  <c r="C26" i="63"/>
  <c r="C60" i="63" s="1"/>
  <c r="B26" i="63"/>
  <c r="C23" i="63"/>
  <c r="C57" i="63" s="1"/>
  <c r="B23" i="63"/>
  <c r="K22" i="63"/>
  <c r="R18" i="5" s="1"/>
  <c r="R21" i="63"/>
  <c r="I18" i="63"/>
  <c r="X17" i="63"/>
  <c r="T16" i="63"/>
  <c r="P16" i="63"/>
  <c r="H16" i="63"/>
  <c r="G16" i="63"/>
  <c r="E16" i="63"/>
  <c r="H31" i="63" s="1"/>
  <c r="T15" i="63"/>
  <c r="F148" i="64" s="1"/>
  <c r="P15" i="63"/>
  <c r="F145" i="64" s="1"/>
  <c r="H15" i="63"/>
  <c r="F146" i="64" s="1"/>
  <c r="G15" i="63"/>
  <c r="H142" i="64" s="1"/>
  <c r="E15" i="63"/>
  <c r="T14" i="63"/>
  <c r="N115" i="64" s="1"/>
  <c r="P14" i="63"/>
  <c r="N112" i="64" s="1"/>
  <c r="H14" i="63"/>
  <c r="N113" i="64" s="1"/>
  <c r="G14" i="63"/>
  <c r="P109" i="64" s="1"/>
  <c r="E14" i="63"/>
  <c r="T13" i="63"/>
  <c r="F115" i="64" s="1"/>
  <c r="P13" i="63"/>
  <c r="F112" i="64" s="1"/>
  <c r="H13" i="63"/>
  <c r="F113" i="64" s="1"/>
  <c r="G13" i="63"/>
  <c r="H109" i="64" s="1"/>
  <c r="E13" i="63"/>
  <c r="H28" i="63" s="1"/>
  <c r="T12" i="63"/>
  <c r="N82" i="64" s="1"/>
  <c r="P12" i="63"/>
  <c r="N79" i="64" s="1"/>
  <c r="H12" i="63"/>
  <c r="N80" i="64" s="1"/>
  <c r="G12" i="63"/>
  <c r="P76" i="64" s="1"/>
  <c r="E12" i="63"/>
  <c r="H27" i="63" s="1"/>
  <c r="H11" i="63"/>
  <c r="F80" i="64" s="1"/>
  <c r="D11" i="63"/>
  <c r="E11" i="63" s="1"/>
  <c r="H10" i="63"/>
  <c r="N47" i="64" s="1"/>
  <c r="E10" i="63"/>
  <c r="D10" i="63"/>
  <c r="G10" i="63" s="1"/>
  <c r="I9" i="63"/>
  <c r="H9" i="63"/>
  <c r="F47" i="64" s="1"/>
  <c r="E9" i="63"/>
  <c r="D41" i="64" s="1"/>
  <c r="D9" i="63"/>
  <c r="G9" i="63" s="1"/>
  <c r="H8" i="63"/>
  <c r="N14" i="64" s="1"/>
  <c r="D8" i="63"/>
  <c r="E8" i="63" s="1"/>
  <c r="H7" i="63"/>
  <c r="F14" i="64" s="1"/>
  <c r="E7" i="63"/>
  <c r="H22" i="63" s="1"/>
  <c r="D7" i="63"/>
  <c r="G7" i="63" s="1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0" i="21"/>
  <c r="N85" i="21"/>
  <c r="N86" i="21"/>
  <c r="N87" i="21"/>
  <c r="N88" i="21"/>
  <c r="N89" i="21"/>
  <c r="N90" i="21"/>
  <c r="N92" i="21"/>
  <c r="N93" i="21"/>
  <c r="F82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N16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64" i="20"/>
  <c r="L60" i="20"/>
  <c r="K60" i="20"/>
  <c r="J60" i="20"/>
  <c r="L59" i="20"/>
  <c r="L58" i="20"/>
  <c r="L57" i="20"/>
  <c r="J57" i="20"/>
  <c r="C57" i="20"/>
  <c r="L56" i="20"/>
  <c r="K59" i="20"/>
  <c r="O38" i="20"/>
  <c r="J59" i="20" s="1"/>
  <c r="P34" i="5"/>
  <c r="P36" i="5" s="1"/>
  <c r="O35" i="20"/>
  <c r="J56" i="20" s="1"/>
  <c r="O33" i="20"/>
  <c r="N33" i="20"/>
  <c r="M33" i="20"/>
  <c r="L33" i="20"/>
  <c r="K33" i="20"/>
  <c r="J33" i="20"/>
  <c r="I33" i="20"/>
  <c r="E33" i="20"/>
  <c r="C31" i="20"/>
  <c r="C65" i="20" s="1"/>
  <c r="B31" i="20"/>
  <c r="B65" i="20" s="1"/>
  <c r="H30" i="20"/>
  <c r="C30" i="20"/>
  <c r="B30" i="20"/>
  <c r="B64" i="20" s="1"/>
  <c r="C29" i="20"/>
  <c r="C63" i="20" s="1"/>
  <c r="B29" i="20"/>
  <c r="L106" i="21" s="1"/>
  <c r="F28" i="20"/>
  <c r="C28" i="20"/>
  <c r="C62" i="20" s="1"/>
  <c r="B28" i="20"/>
  <c r="B62" i="20" s="1"/>
  <c r="F27" i="20"/>
  <c r="N91" i="21" s="1"/>
  <c r="C27" i="20"/>
  <c r="C61" i="20" s="1"/>
  <c r="B27" i="20"/>
  <c r="B61" i="20" s="1"/>
  <c r="F26" i="20"/>
  <c r="C26" i="20"/>
  <c r="C60" i="20" s="1"/>
  <c r="B26" i="20"/>
  <c r="B60" i="20" s="1"/>
  <c r="F25" i="20"/>
  <c r="C25" i="20"/>
  <c r="C59" i="20" s="1"/>
  <c r="B25" i="20"/>
  <c r="M38" i="20" s="1"/>
  <c r="C24" i="20"/>
  <c r="C58" i="20" s="1"/>
  <c r="B24" i="20"/>
  <c r="D40" i="21" s="1"/>
  <c r="C23" i="20"/>
  <c r="B23" i="20"/>
  <c r="B57" i="20" s="1"/>
  <c r="H22" i="20"/>
  <c r="F25" i="79" s="1"/>
  <c r="C22" i="20"/>
  <c r="C56" i="20" s="1"/>
  <c r="B22" i="20"/>
  <c r="B56" i="20" s="1"/>
  <c r="R21" i="20"/>
  <c r="I18" i="20"/>
  <c r="X17" i="20"/>
  <c r="H16" i="20"/>
  <c r="G16" i="20"/>
  <c r="E16" i="20"/>
  <c r="H31" i="20" s="1"/>
  <c r="P15" i="20"/>
  <c r="F145" i="21" s="1"/>
  <c r="H15" i="20"/>
  <c r="F146" i="21" s="1"/>
  <c r="G15" i="20"/>
  <c r="H142" i="21" s="1"/>
  <c r="E15" i="20"/>
  <c r="D140" i="21" s="1"/>
  <c r="H14" i="20"/>
  <c r="N113" i="21" s="1"/>
  <c r="G14" i="20"/>
  <c r="P109" i="21" s="1"/>
  <c r="E14" i="20"/>
  <c r="V14" i="20" s="1"/>
  <c r="N116" i="21" s="1"/>
  <c r="T13" i="20"/>
  <c r="F115" i="21" s="1"/>
  <c r="R13" i="20"/>
  <c r="F114" i="79" s="1"/>
  <c r="L13" i="20"/>
  <c r="T12" i="20"/>
  <c r="R12" i="20"/>
  <c r="N81" i="79" s="1"/>
  <c r="L12" i="20"/>
  <c r="R11" i="20"/>
  <c r="F81" i="79" s="1"/>
  <c r="R10" i="20"/>
  <c r="G10" i="20"/>
  <c r="D9" i="20"/>
  <c r="H43" i="21" s="1"/>
  <c r="R8" i="20"/>
  <c r="N15" i="21" s="1"/>
  <c r="G8" i="20"/>
  <c r="P10" i="21" s="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33" i="77"/>
  <c r="M32" i="77"/>
  <c r="M48" i="77" s="1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L28" i="77"/>
  <c r="K28" i="77"/>
  <c r="J28" i="77"/>
  <c r="I28" i="77"/>
  <c r="K11" i="20" s="1"/>
  <c r="H28" i="77"/>
  <c r="M13" i="77"/>
  <c r="M28" i="77" s="1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O8" i="20" s="1"/>
  <c r="P229" i="76"/>
  <c r="O229" i="76"/>
  <c r="N229" i="76"/>
  <c r="M229" i="76"/>
  <c r="L229" i="76"/>
  <c r="K229" i="76"/>
  <c r="J229" i="76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M119" i="76" s="1"/>
  <c r="X98" i="76"/>
  <c r="W98" i="76"/>
  <c r="V98" i="76"/>
  <c r="U98" i="76"/>
  <c r="T98" i="76"/>
  <c r="S98" i="76"/>
  <c r="R98" i="76"/>
  <c r="Q98" i="76"/>
  <c r="P98" i="76"/>
  <c r="O98" i="76"/>
  <c r="N98" i="76"/>
  <c r="L98" i="76"/>
  <c r="K98" i="76"/>
  <c r="J98" i="76"/>
  <c r="I98" i="76"/>
  <c r="H98" i="76"/>
  <c r="M90" i="76"/>
  <c r="M98" i="76" s="1"/>
  <c r="X71" i="76"/>
  <c r="W71" i="76"/>
  <c r="S9" i="20" s="1"/>
  <c r="V71" i="76"/>
  <c r="U71" i="76"/>
  <c r="T71" i="76"/>
  <c r="S71" i="76"/>
  <c r="R71" i="76"/>
  <c r="Q71" i="76"/>
  <c r="O9" i="20" s="1"/>
  <c r="P71" i="76"/>
  <c r="N9" i="20" s="1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S7" i="20" s="1"/>
  <c r="T7" i="20" s="1"/>
  <c r="V25" i="76"/>
  <c r="U25" i="76"/>
  <c r="T25" i="76"/>
  <c r="S25" i="76"/>
  <c r="R25" i="76"/>
  <c r="Q25" i="76"/>
  <c r="O7" i="20" s="1"/>
  <c r="P25" i="76"/>
  <c r="N7" i="20" s="1"/>
  <c r="O25" i="76"/>
  <c r="M7" i="20" s="1"/>
  <c r="N25" i="76"/>
  <c r="M25" i="76"/>
  <c r="L25" i="76"/>
  <c r="K25" i="76"/>
  <c r="J25" i="76"/>
  <c r="I25" i="76"/>
  <c r="K7" i="20" s="1"/>
  <c r="H7" i="20" s="1"/>
  <c r="F14" i="79" s="1"/>
  <c r="H25" i="76"/>
  <c r="B37" i="5" l="1"/>
  <c r="H10" i="64"/>
  <c r="D74" i="64"/>
  <c r="H26" i="63"/>
  <c r="F26" i="63"/>
  <c r="V11" i="63"/>
  <c r="F83" i="64" s="1"/>
  <c r="R11" i="63"/>
  <c r="F81" i="64" s="1"/>
  <c r="T11" i="63"/>
  <c r="F82" i="64" s="1"/>
  <c r="P11" i="63"/>
  <c r="F79" i="64" s="1"/>
  <c r="L8" i="64"/>
  <c r="F23" i="63"/>
  <c r="V8" i="63"/>
  <c r="N17" i="64" s="1"/>
  <c r="R8" i="63"/>
  <c r="N15" i="64" s="1"/>
  <c r="H23" i="63"/>
  <c r="H33" i="63" s="1"/>
  <c r="T8" i="63"/>
  <c r="N16" i="64" s="1"/>
  <c r="P8" i="63"/>
  <c r="N13" i="64" s="1"/>
  <c r="H43" i="64"/>
  <c r="P43" i="64"/>
  <c r="F14" i="21"/>
  <c r="R7" i="63"/>
  <c r="V7" i="63"/>
  <c r="G8" i="63"/>
  <c r="P9" i="63"/>
  <c r="F46" i="64" s="1"/>
  <c r="T9" i="63"/>
  <c r="F49" i="64" s="1"/>
  <c r="L41" i="64"/>
  <c r="H25" i="63"/>
  <c r="R10" i="63"/>
  <c r="N48" i="64" s="1"/>
  <c r="V10" i="63"/>
  <c r="N50" i="64" s="1"/>
  <c r="G11" i="63"/>
  <c r="D18" i="63"/>
  <c r="F22" i="63"/>
  <c r="B57" i="63"/>
  <c r="M36" i="63"/>
  <c r="H24" i="63"/>
  <c r="K33" i="63"/>
  <c r="H67" i="63"/>
  <c r="D8" i="64"/>
  <c r="F20" i="64"/>
  <c r="N56" i="64"/>
  <c r="A18" i="5"/>
  <c r="B22" i="63"/>
  <c r="B56" i="63" s="1"/>
  <c r="A20" i="5"/>
  <c r="B24" i="63"/>
  <c r="H37" i="5"/>
  <c r="J18" i="5"/>
  <c r="F19" i="64"/>
  <c r="B39" i="5"/>
  <c r="F47" i="21"/>
  <c r="P7" i="63"/>
  <c r="T7" i="63"/>
  <c r="R9" i="63"/>
  <c r="F48" i="64" s="1"/>
  <c r="V9" i="63"/>
  <c r="F50" i="64" s="1"/>
  <c r="P10" i="63"/>
  <c r="N46" i="64" s="1"/>
  <c r="T10" i="63"/>
  <c r="N49" i="64" s="1"/>
  <c r="R12" i="63"/>
  <c r="N81" i="64" s="1"/>
  <c r="V12" i="63"/>
  <c r="N83" i="64" s="1"/>
  <c r="R13" i="63"/>
  <c r="F114" i="64" s="1"/>
  <c r="V13" i="63"/>
  <c r="F116" i="64" s="1"/>
  <c r="L107" i="64"/>
  <c r="H29" i="63"/>
  <c r="R14" i="63"/>
  <c r="N114" i="64" s="1"/>
  <c r="V14" i="63"/>
  <c r="N116" i="64" s="1"/>
  <c r="D140" i="64"/>
  <c r="H30" i="63"/>
  <c r="R15" i="63"/>
  <c r="F147" i="64" s="1"/>
  <c r="V15" i="63"/>
  <c r="F149" i="64" s="1"/>
  <c r="R16" i="63"/>
  <c r="R31" i="63" s="1"/>
  <c r="H27" i="5" s="1"/>
  <c r="V16" i="63"/>
  <c r="E18" i="63"/>
  <c r="H18" i="63"/>
  <c r="F24" i="63"/>
  <c r="F58" i="64" s="1"/>
  <c r="F25" i="63"/>
  <c r="N58" i="64" s="1"/>
  <c r="F27" i="63"/>
  <c r="N91" i="64" s="1"/>
  <c r="F28" i="63"/>
  <c r="F124" i="64" s="1"/>
  <c r="F29" i="63"/>
  <c r="N124" i="64" s="1"/>
  <c r="F30" i="63"/>
  <c r="F157" i="64" s="1"/>
  <c r="F31" i="63"/>
  <c r="L74" i="64"/>
  <c r="D107" i="64"/>
  <c r="K38" i="5"/>
  <c r="M41" i="63"/>
  <c r="M43" i="63"/>
  <c r="B63" i="63"/>
  <c r="P10" i="20"/>
  <c r="I39" i="5" s="1"/>
  <c r="O33" i="63"/>
  <c r="N88" i="64"/>
  <c r="X11" i="20"/>
  <c r="T15" i="20"/>
  <c r="F148" i="21" s="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P9" i="20" s="1"/>
  <c r="P14" i="20"/>
  <c r="N112" i="21" s="1"/>
  <c r="T14" i="20"/>
  <c r="N115" i="21" s="1"/>
  <c r="R15" i="20"/>
  <c r="F147" i="21" s="1"/>
  <c r="V15" i="20"/>
  <c r="F149" i="21" s="1"/>
  <c r="P16" i="20"/>
  <c r="T16" i="20"/>
  <c r="X16" i="20" s="1"/>
  <c r="D31" i="20" s="1"/>
  <c r="D18" i="20"/>
  <c r="F29" i="20"/>
  <c r="F30" i="20"/>
  <c r="F157" i="21" s="1"/>
  <c r="H159" i="21" s="1"/>
  <c r="A37" i="20"/>
  <c r="M37" i="20"/>
  <c r="M40" i="20"/>
  <c r="M42" i="20"/>
  <c r="M44" i="20"/>
  <c r="B58" i="20"/>
  <c r="B63" i="20"/>
  <c r="L107" i="21"/>
  <c r="B34" i="5"/>
  <c r="B36" i="5" s="1"/>
  <c r="T9" i="20"/>
  <c r="R14" i="20"/>
  <c r="N114" i="21" s="1"/>
  <c r="B58" i="63"/>
  <c r="D7" i="64"/>
  <c r="N124" i="21"/>
  <c r="F88" i="64"/>
  <c r="N85" i="64"/>
  <c r="F121" i="64"/>
  <c r="F154" i="64"/>
  <c r="N58" i="79"/>
  <c r="P60" i="79" s="1"/>
  <c r="F83" i="21"/>
  <c r="X12" i="20"/>
  <c r="D27" i="20" s="1"/>
  <c r="P13" i="20"/>
  <c r="F112" i="79" s="1"/>
  <c r="H116" i="79" s="1"/>
  <c r="P8" i="20"/>
  <c r="N13" i="79" s="1"/>
  <c r="F113" i="21"/>
  <c r="F124" i="21"/>
  <c r="H126" i="21" s="1"/>
  <c r="K34" i="5"/>
  <c r="K36" i="5" s="1"/>
  <c r="F49" i="21"/>
  <c r="O29" i="5"/>
  <c r="H8" i="20"/>
  <c r="N14" i="79" s="1"/>
  <c r="N83" i="21"/>
  <c r="N25" i="21"/>
  <c r="P27" i="21" s="1"/>
  <c r="P39" i="5"/>
  <c r="N47" i="79"/>
  <c r="X10" i="20"/>
  <c r="D25" i="20" s="1"/>
  <c r="P25" i="20" s="1"/>
  <c r="O41" i="5"/>
  <c r="O44" i="5" s="1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L39" i="5"/>
  <c r="R30" i="20"/>
  <c r="G26" i="5" s="1"/>
  <c r="X15" i="20"/>
  <c r="D30" i="20" s="1"/>
  <c r="P29" i="5"/>
  <c r="O31" i="5" s="1"/>
  <c r="R29" i="5"/>
  <c r="N52" i="64"/>
  <c r="P60" i="64" s="1"/>
  <c r="F120" i="64"/>
  <c r="L37" i="5"/>
  <c r="F17" i="79"/>
  <c r="H17" i="79" s="1"/>
  <c r="N79" i="21"/>
  <c r="F80" i="21"/>
  <c r="F80" i="79"/>
  <c r="H39" i="5"/>
  <c r="N47" i="21"/>
  <c r="H149" i="21"/>
  <c r="H50" i="64"/>
  <c r="H83" i="64"/>
  <c r="H116" i="64"/>
  <c r="T29" i="5"/>
  <c r="R26" i="20"/>
  <c r="G22" i="5" s="1"/>
  <c r="P17" i="64"/>
  <c r="P50" i="64"/>
  <c r="P83" i="64"/>
  <c r="P116" i="64"/>
  <c r="F44" i="5"/>
  <c r="P7" i="20"/>
  <c r="F13" i="21" s="1"/>
  <c r="P149" i="79"/>
  <c r="P93" i="21"/>
  <c r="R29" i="20"/>
  <c r="G25" i="5" s="1"/>
  <c r="P126" i="21"/>
  <c r="P159" i="21"/>
  <c r="H149" i="64"/>
  <c r="P159" i="64"/>
  <c r="U29" i="5"/>
  <c r="G41" i="5"/>
  <c r="D44" i="5"/>
  <c r="P149" i="21"/>
  <c r="P149" i="64"/>
  <c r="S29" i="5"/>
  <c r="T18" i="20"/>
  <c r="F16" i="21"/>
  <c r="M37" i="63"/>
  <c r="B25" i="63"/>
  <c r="L40" i="64"/>
  <c r="M41" i="5"/>
  <c r="M44" i="5" s="1"/>
  <c r="N38" i="5"/>
  <c r="N19" i="64"/>
  <c r="F52" i="64"/>
  <c r="H60" i="64" s="1"/>
  <c r="F85" i="64"/>
  <c r="N87" i="64"/>
  <c r="P93" i="64" s="1"/>
  <c r="N121" i="64"/>
  <c r="N118" i="64"/>
  <c r="P43" i="21"/>
  <c r="G18" i="20"/>
  <c r="B38" i="5"/>
  <c r="B41" i="5" s="1"/>
  <c r="N37" i="5"/>
  <c r="N82" i="21"/>
  <c r="F91" i="21"/>
  <c r="H93" i="21" s="1"/>
  <c r="N48" i="21"/>
  <c r="N58" i="21"/>
  <c r="P60" i="21" s="1"/>
  <c r="J39" i="5"/>
  <c r="R25" i="20"/>
  <c r="G21" i="5" s="1"/>
  <c r="J38" i="5"/>
  <c r="F25" i="21"/>
  <c r="H27" i="21" s="1"/>
  <c r="J37" i="5"/>
  <c r="R22" i="20"/>
  <c r="G18" i="5" s="1"/>
  <c r="F114" i="21"/>
  <c r="R28" i="20"/>
  <c r="G24" i="5" s="1"/>
  <c r="N81" i="21"/>
  <c r="R27" i="20"/>
  <c r="G23" i="5" s="1"/>
  <c r="F81" i="21"/>
  <c r="H34" i="5"/>
  <c r="H36" i="5" s="1"/>
  <c r="L38" i="5"/>
  <c r="L29" i="5"/>
  <c r="P159" i="79"/>
  <c r="P93" i="79"/>
  <c r="K29" i="5"/>
  <c r="H27" i="79"/>
  <c r="H126" i="79"/>
  <c r="P116" i="79"/>
  <c r="H149" i="79"/>
  <c r="P27" i="79"/>
  <c r="H93" i="79"/>
  <c r="P126" i="79"/>
  <c r="P127" i="79" s="1"/>
  <c r="V127" i="79" s="1"/>
  <c r="H159" i="79"/>
  <c r="K39" i="5"/>
  <c r="J29" i="5"/>
  <c r="M29" i="5"/>
  <c r="N23" i="5"/>
  <c r="N29" i="5" s="1"/>
  <c r="Q29" i="5"/>
  <c r="F153" i="64"/>
  <c r="F13" i="64" l="1"/>
  <c r="P18" i="63"/>
  <c r="D40" i="64"/>
  <c r="D37" i="63"/>
  <c r="R29" i="63"/>
  <c r="H25" i="5" s="1"/>
  <c r="R27" i="63"/>
  <c r="H23" i="5" s="1"/>
  <c r="I23" i="5" s="1"/>
  <c r="F33" i="63"/>
  <c r="X16" i="63"/>
  <c r="D31" i="63" s="1"/>
  <c r="X14" i="63"/>
  <c r="D29" i="63" s="1"/>
  <c r="X12" i="63"/>
  <c r="D27" i="63" s="1"/>
  <c r="P10" i="64"/>
  <c r="R23" i="63"/>
  <c r="H19" i="5" s="1"/>
  <c r="X8" i="63"/>
  <c r="D23" i="63" s="1"/>
  <c r="F15" i="64"/>
  <c r="R18" i="63"/>
  <c r="N39" i="5"/>
  <c r="R25" i="63"/>
  <c r="H21" i="5" s="1"/>
  <c r="I21" i="5" s="1"/>
  <c r="R24" i="63"/>
  <c r="H20" i="5" s="1"/>
  <c r="F25" i="64"/>
  <c r="G18" i="63"/>
  <c r="R22" i="63"/>
  <c r="H18" i="5" s="1"/>
  <c r="I25" i="5"/>
  <c r="H27" i="64"/>
  <c r="R31" i="20"/>
  <c r="G27" i="5" s="1"/>
  <c r="I27" i="5" s="1"/>
  <c r="F16" i="64"/>
  <c r="T18" i="63"/>
  <c r="R30" i="63"/>
  <c r="H26" i="5" s="1"/>
  <c r="I26" i="5" s="1"/>
  <c r="R28" i="63"/>
  <c r="H24" i="5" s="1"/>
  <c r="I24" i="5" s="1"/>
  <c r="X15" i="63"/>
  <c r="D30" i="63" s="1"/>
  <c r="X13" i="63"/>
  <c r="D28" i="63" s="1"/>
  <c r="H76" i="64"/>
  <c r="R26" i="63"/>
  <c r="H22" i="5" s="1"/>
  <c r="I22" i="5" s="1"/>
  <c r="X11" i="63"/>
  <c r="D26" i="63" s="1"/>
  <c r="F17" i="64"/>
  <c r="V18" i="63"/>
  <c r="X10" i="63"/>
  <c r="D25" i="63" s="1"/>
  <c r="X9" i="63"/>
  <c r="D24" i="63" s="1"/>
  <c r="N25" i="64"/>
  <c r="P27" i="64" s="1"/>
  <c r="P28" i="64" s="1"/>
  <c r="F91" i="64"/>
  <c r="H93" i="64" s="1"/>
  <c r="H94" i="64" s="1"/>
  <c r="X7" i="63"/>
  <c r="K37" i="5"/>
  <c r="K41" i="5" s="1"/>
  <c r="K44" i="5" s="1"/>
  <c r="P116" i="21"/>
  <c r="P160" i="21"/>
  <c r="N46" i="21"/>
  <c r="N46" i="79"/>
  <c r="F112" i="21"/>
  <c r="X13" i="20"/>
  <c r="D28" i="20" s="1"/>
  <c r="P28" i="20" s="1"/>
  <c r="S41" i="20" s="1"/>
  <c r="X14" i="20"/>
  <c r="D29" i="20" s="1"/>
  <c r="P29" i="20" s="1"/>
  <c r="B44" i="5"/>
  <c r="N13" i="21"/>
  <c r="I38" i="5"/>
  <c r="H24" i="20"/>
  <c r="F58" i="79" s="1"/>
  <c r="D41" i="21"/>
  <c r="R9" i="20"/>
  <c r="V9" i="20"/>
  <c r="F24" i="20"/>
  <c r="E18" i="20"/>
  <c r="I65" i="20"/>
  <c r="P31" i="20"/>
  <c r="S44" i="20" s="1"/>
  <c r="F46" i="21"/>
  <c r="F46" i="79"/>
  <c r="H61" i="64"/>
  <c r="H127" i="79"/>
  <c r="T127" i="79" s="1"/>
  <c r="H160" i="21"/>
  <c r="P83" i="79"/>
  <c r="P94" i="79" s="1"/>
  <c r="V94" i="79" s="1"/>
  <c r="I34" i="5"/>
  <c r="I36" i="5" s="1"/>
  <c r="H18" i="20"/>
  <c r="H126" i="64"/>
  <c r="H127" i="64" s="1"/>
  <c r="R23" i="20"/>
  <c r="G19" i="5" s="1"/>
  <c r="I19" i="5" s="1"/>
  <c r="N14" i="21"/>
  <c r="H38" i="5"/>
  <c r="H41" i="5" s="1"/>
  <c r="H44" i="5" s="1"/>
  <c r="F17" i="21"/>
  <c r="H17" i="21" s="1"/>
  <c r="H28" i="21" s="1"/>
  <c r="P37" i="5"/>
  <c r="X8" i="20"/>
  <c r="D23" i="20" s="1"/>
  <c r="P23" i="20" s="1"/>
  <c r="P160" i="64"/>
  <c r="P61" i="64"/>
  <c r="P50" i="21"/>
  <c r="P61" i="21" s="1"/>
  <c r="P50" i="79"/>
  <c r="P61" i="79" s="1"/>
  <c r="V61" i="79" s="1"/>
  <c r="I61" i="20"/>
  <c r="N61" i="20" s="1"/>
  <c r="P27" i="20"/>
  <c r="S40" i="20" s="1"/>
  <c r="I37" i="5"/>
  <c r="I41" i="5" s="1"/>
  <c r="X7" i="20"/>
  <c r="D22" i="20" s="1"/>
  <c r="P94" i="64"/>
  <c r="H116" i="21"/>
  <c r="H127" i="21" s="1"/>
  <c r="P18" i="20"/>
  <c r="D26" i="20"/>
  <c r="L41" i="5"/>
  <c r="P126" i="64"/>
  <c r="P127" i="64" s="1"/>
  <c r="H159" i="64"/>
  <c r="H160" i="64" s="1"/>
  <c r="P17" i="79"/>
  <c r="P28" i="79" s="1"/>
  <c r="V28" i="79" s="1"/>
  <c r="P30" i="20"/>
  <c r="S43" i="20" s="1"/>
  <c r="I64" i="20"/>
  <c r="F79" i="21"/>
  <c r="H83" i="21" s="1"/>
  <c r="H94" i="21" s="1"/>
  <c r="H83" i="79"/>
  <c r="H94" i="79" s="1"/>
  <c r="T94" i="79" s="1"/>
  <c r="H160" i="79"/>
  <c r="T160" i="79" s="1"/>
  <c r="P83" i="21"/>
  <c r="P94" i="21" s="1"/>
  <c r="H50" i="79"/>
  <c r="H28" i="79"/>
  <c r="T28" i="79" s="1"/>
  <c r="P127" i="21"/>
  <c r="I59" i="20"/>
  <c r="N59" i="20" s="1"/>
  <c r="P160" i="79"/>
  <c r="V160" i="79" s="1"/>
  <c r="S42" i="20"/>
  <c r="I63" i="20"/>
  <c r="S38" i="20"/>
  <c r="K57" i="20"/>
  <c r="P38" i="5"/>
  <c r="N17" i="21"/>
  <c r="A37" i="63"/>
  <c r="B59" i="63"/>
  <c r="M38" i="63"/>
  <c r="N41" i="5"/>
  <c r="J41" i="5"/>
  <c r="K31" i="5"/>
  <c r="Q31" i="5"/>
  <c r="L54" i="5"/>
  <c r="L56" i="5" s="1"/>
  <c r="M31" i="5"/>
  <c r="J58" i="63" l="1"/>
  <c r="O58" i="63" s="1"/>
  <c r="P24" i="63"/>
  <c r="J60" i="63"/>
  <c r="O60" i="63" s="1"/>
  <c r="P26" i="63"/>
  <c r="J64" i="63"/>
  <c r="P30" i="63"/>
  <c r="H29" i="5"/>
  <c r="J57" i="63"/>
  <c r="O57" i="63" s="1"/>
  <c r="P23" i="63"/>
  <c r="P29" i="63"/>
  <c r="J63" i="63"/>
  <c r="H17" i="64"/>
  <c r="H28" i="64" s="1"/>
  <c r="I18" i="5"/>
  <c r="D22" i="63"/>
  <c r="X18" i="63"/>
  <c r="J59" i="63"/>
  <c r="O59" i="63" s="1"/>
  <c r="P25" i="63"/>
  <c r="P28" i="63"/>
  <c r="J62" i="63"/>
  <c r="J61" i="63"/>
  <c r="O61" i="63" s="1"/>
  <c r="P27" i="63"/>
  <c r="J65" i="63"/>
  <c r="P31" i="63"/>
  <c r="V160" i="21"/>
  <c r="I62" i="20"/>
  <c r="N62" i="20" s="1"/>
  <c r="H33" i="20"/>
  <c r="H60" i="79"/>
  <c r="H61" i="79" s="1"/>
  <c r="T61" i="79" s="1"/>
  <c r="R24" i="20"/>
  <c r="G20" i="5" s="1"/>
  <c r="I20" i="5" s="1"/>
  <c r="I29" i="5" s="1"/>
  <c r="X9" i="20"/>
  <c r="D24" i="20" s="1"/>
  <c r="D33" i="20" s="1"/>
  <c r="F58" i="21"/>
  <c r="H60" i="21" s="1"/>
  <c r="F33" i="20"/>
  <c r="N34" i="5"/>
  <c r="N36" i="5" s="1"/>
  <c r="N44" i="5" s="1"/>
  <c r="J34" i="5"/>
  <c r="F48" i="21"/>
  <c r="R18" i="20"/>
  <c r="P41" i="5"/>
  <c r="P44" i="5" s="1"/>
  <c r="V18" i="20"/>
  <c r="L34" i="5"/>
  <c r="L36" i="5" s="1"/>
  <c r="L44" i="5" s="1"/>
  <c r="F50" i="21"/>
  <c r="I44" i="5"/>
  <c r="P17" i="21"/>
  <c r="P28" i="21" s="1"/>
  <c r="T160" i="21"/>
  <c r="I57" i="20"/>
  <c r="N57" i="20" s="1"/>
  <c r="V127" i="21"/>
  <c r="T127" i="21"/>
  <c r="I56" i="20"/>
  <c r="N56" i="20" s="1"/>
  <c r="P22" i="20"/>
  <c r="S35" i="20" s="1"/>
  <c r="T28" i="21" s="1"/>
  <c r="P26" i="20"/>
  <c r="I60" i="20"/>
  <c r="N60" i="20" s="1"/>
  <c r="V94" i="21"/>
  <c r="L51" i="5"/>
  <c r="M51" i="5" s="1"/>
  <c r="N51" i="5" s="1"/>
  <c r="S36" i="20"/>
  <c r="V61" i="21"/>
  <c r="L50" i="5"/>
  <c r="L49" i="5" s="1"/>
  <c r="D62" i="63" l="1"/>
  <c r="S41" i="63"/>
  <c r="T127" i="64" s="1"/>
  <c r="D33" i="63"/>
  <c r="J56" i="63"/>
  <c r="P22" i="63"/>
  <c r="S42" i="63"/>
  <c r="V127" i="64" s="1"/>
  <c r="D63" i="63"/>
  <c r="D64" i="63"/>
  <c r="S43" i="63"/>
  <c r="T160" i="64" s="1"/>
  <c r="S39" i="63"/>
  <c r="T94" i="64" s="1"/>
  <c r="D60" i="63"/>
  <c r="D58" i="63"/>
  <c r="S37" i="63"/>
  <c r="T61" i="64" s="1"/>
  <c r="S44" i="63"/>
  <c r="V160" i="64" s="1"/>
  <c r="D65" i="63"/>
  <c r="S40" i="63"/>
  <c r="V94" i="64" s="1"/>
  <c r="D61" i="63"/>
  <c r="S38" i="63"/>
  <c r="V61" i="64" s="1"/>
  <c r="D59" i="63"/>
  <c r="S36" i="63"/>
  <c r="V28" i="64" s="1"/>
  <c r="D57" i="63"/>
  <c r="M48" i="5"/>
  <c r="S39" i="20"/>
  <c r="T94" i="21" s="1"/>
  <c r="G29" i="5"/>
  <c r="X18" i="20"/>
  <c r="P24" i="20"/>
  <c r="S37" i="20" s="1"/>
  <c r="I58" i="20"/>
  <c r="N58" i="20" s="1"/>
  <c r="N67" i="20" s="1"/>
  <c r="H50" i="21"/>
  <c r="H61" i="21" s="1"/>
  <c r="J36" i="5"/>
  <c r="J44" i="5" s="1"/>
  <c r="Q44" i="5" s="1"/>
  <c r="L52" i="5"/>
  <c r="L48" i="5" s="1"/>
  <c r="N48" i="5" s="1"/>
  <c r="V28" i="21"/>
  <c r="M50" i="5"/>
  <c r="N50" i="5" s="1"/>
  <c r="M49" i="5"/>
  <c r="N49" i="5" s="1"/>
  <c r="O56" i="63" l="1"/>
  <c r="O67" i="63" s="1"/>
  <c r="J67" i="63"/>
  <c r="D56" i="63"/>
  <c r="D67" i="63" s="1"/>
  <c r="S35" i="63"/>
  <c r="T28" i="64" s="1"/>
  <c r="P33" i="63"/>
  <c r="P46" i="63" s="1"/>
  <c r="P33" i="20"/>
  <c r="P46" i="20" s="1"/>
  <c r="T61" i="21"/>
  <c r="I67" i="20"/>
  <c r="M52" i="5"/>
  <c r="N52" i="5" s="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22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Half day (June 3,2020)</t>
        </r>
      </text>
    </comment>
  </commentList>
</comments>
</file>

<file path=xl/sharedStrings.xml><?xml version="1.0" encoding="utf-8"?>
<sst xmlns="http://schemas.openxmlformats.org/spreadsheetml/2006/main" count="2091" uniqueCount="304">
  <si>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</si>
  <si>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</si>
  <si>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</si>
  <si>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</si>
  <si>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</si>
  <si>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</si>
  <si>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</si>
  <si>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</si>
  <si>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</si>
  <si>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</si>
  <si>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</si>
  <si>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</si>
  <si>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</si>
  <si>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</si>
  <si>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</si>
  <si>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</si>
  <si>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</si>
  <si>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</si>
  <si>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</si>
  <si>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</si>
  <si>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</si>
  <si>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</si>
  <si>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</si>
  <si>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</si>
  <si>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</si>
  <si>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</si>
  <si>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</si>
  <si>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</si>
  <si>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</si>
  <si>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</si>
  <si>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</si>
  <si>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</si>
  <si>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</si>
  <si>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</si>
  <si>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</si>
  <si>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</si>
  <si>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</si>
  <si>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</si>
  <si>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</si>
  <si>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</si>
  <si>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</si>
  <si>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</si>
  <si>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</si>
  <si>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</si>
  <si>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</si>
  <si>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</si>
  <si>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</si>
  <si>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</si>
  <si>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</si>
  <si>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</si>
  <si>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</si>
  <si>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</si>
  <si>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</si>
  <si>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</si>
  <si>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</si>
  <si>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</si>
  <si>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</si>
  <si>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</si>
  <si>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</si>
  <si>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</si>
  <si>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</si>
  <si>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</si>
  <si>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</si>
  <si>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</si>
  <si>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</si>
  <si>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</si>
  <si>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</si>
  <si>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</si>
  <si>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</si>
  <si>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</si>
  <si>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</si>
  <si>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</si>
  <si>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</si>
  <si>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</si>
  <si>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</si>
  <si>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</si>
  <si>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</si>
  <si>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</si>
  <si>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</si>
  <si>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</si>
  <si>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</si>
  <si>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</si>
  <si>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</si>
  <si>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</si>
  <si>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</si>
  <si>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</si>
  <si>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</si>
  <si>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</si>
  <si>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</si>
  <si>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</si>
  <si>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</si>
  <si>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</si>
  <si>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</si>
  <si>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</si>
  <si>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</si>
  <si>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</si>
  <si>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</si>
  <si>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</si>
  <si>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</si>
  <si>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</si>
  <si>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</si>
  <si>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</si>
  <si>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</si>
  <si>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</si>
  <si>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</si>
  <si>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</si>
  <si>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</si>
  <si>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</si>
  <si>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</si>
  <si>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</si>
  <si>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</si>
  <si>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</si>
  <si>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</si>
  <si>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</si>
  <si>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</si>
  <si>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</si>
  <si>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</si>
  <si>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</si>
  <si>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</si>
  <si>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</si>
  <si>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</si>
  <si>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</si>
  <si>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</si>
  <si>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</si>
  <si>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</si>
  <si>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</si>
  <si>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</si>
  <si>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</si>
  <si>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</si>
  <si>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</si>
  <si>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</si>
  <si>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</si>
  <si>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</si>
  <si>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</si>
  <si>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</si>
  <si>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</si>
  <si>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</si>
  <si>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</si>
  <si>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</si>
  <si>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</si>
  <si>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</si>
  <si>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</si>
  <si>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</si>
  <si>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</si>
  <si>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</si>
  <si>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</si>
  <si>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</si>
  <si>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</si>
  <si>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</si>
  <si>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</si>
  <si>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</si>
  <si>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</si>
  <si>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</si>
  <si>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</si>
  <si>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</si>
  <si>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</si>
  <si>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</si>
  <si>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</si>
  <si>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</si>
  <si>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</si>
  <si>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</si>
  <si>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</si>
  <si>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</si>
  <si>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</si>
  <si>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</si>
  <si>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</si>
  <si>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</si>
  <si>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</si>
  <si>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</si>
  <si>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</si>
  <si>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</si>
  <si>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</si>
  <si>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</si>
  <si>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</si>
  <si>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</si>
  <si>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</si>
  <si>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</si>
  <si>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</si>
  <si>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</si>
  <si>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</si>
  <si>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</si>
  <si>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</si>
  <si>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</si>
  <si>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</si>
  <si>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</si>
  <si>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</si>
  <si>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</si>
  <si>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</si>
  <si>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</si>
  <si>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</si>
  <si>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</si>
  <si>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</si>
  <si>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</si>
  <si>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</si>
  <si>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</si>
  <si>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</si>
  <si>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</si>
  <si>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</si>
  <si>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</si>
  <si>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</si>
  <si>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</si>
  <si>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</si>
  <si>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</si>
  <si>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</si>
  <si>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</si>
  <si>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</si>
  <si>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</si>
  <si>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</si>
  <si>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</si>
  <si>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</si>
  <si>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</si>
  <si>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</si>
  <si>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</si>
  <si>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</si>
  <si>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</si>
  <si>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</si>
  <si>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</si>
  <si>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</si>
  <si>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</si>
  <si>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</si>
  <si>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</si>
  <si>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</si>
  <si>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</si>
  <si>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</si>
  <si>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</si>
  <si>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</si>
  <si>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</si>
  <si>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</si>
  <si>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</si>
  <si>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</si>
  <si>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</si>
  <si>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</si>
  <si>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</si>
  <si>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</si>
  <si>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</si>
  <si>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</si>
  <si>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</si>
  <si>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</si>
  <si>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</si>
  <si>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</si>
  <si>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</si>
  <si>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</si>
  <si>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</si>
  <si>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</si>
  <si>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</si>
  <si>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</si>
  <si>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</si>
  <si>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</si>
  <si>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</si>
  <si>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</si>
  <si>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</si>
  <si>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</si>
  <si>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</si>
  <si>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</si>
  <si>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</si>
  <si>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</si>
  <si>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</si>
  <si>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</si>
  <si>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</si>
  <si>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</si>
  <si>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</si>
  <si>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</si>
  <si>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</si>
  <si>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</si>
  <si>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</si>
  <si>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</si>
  <si>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</si>
  <si>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</si>
  <si>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</si>
  <si>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</si>
  <si>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</si>
  <si>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</si>
  <si>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</si>
  <si>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</si>
  <si>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</si>
  <si>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</si>
  <si>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</si>
  <si>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</si>
  <si>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</si>
  <si>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</si>
  <si>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</si>
  <si>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</si>
  <si>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</si>
  <si>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</si>
  <si>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</si>
  <si>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</si>
  <si>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</si>
  <si>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</si>
  <si>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</si>
  <si>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</si>
  <si>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</si>
  <si>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</si>
  <si>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</si>
  <si>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</si>
  <si>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</si>
  <si>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</si>
  <si>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</si>
  <si>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</si>
  <si>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</si>
  <si>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</si>
  <si>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</si>
  <si>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</si>
  <si>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June 1-13,2020</t>
  </si>
  <si>
    <t>Ruel Hayagan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</si>
</sst>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8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67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0" fontId="2" fillId="8" borderId="26" xfId="59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Protection="1">
      <protection locked="0"/>
    </xf>
    <xf numFmtId="43" fontId="2" fillId="8" borderId="2" xfId="1" applyFont="1" applyFill="1" applyBorder="1" applyAlignment="1" applyProtection="1">
      <alignment horizontal="left"/>
      <protection locked="0"/>
    </xf>
    <xf numFmtId="164" fontId="2" fillId="8" borderId="23" xfId="1" applyNumberFormat="1" applyFont="1" applyFill="1" applyBorder="1" applyAlignment="1" applyProtection="1">
      <alignment horizontal="center"/>
    </xf>
    <xf numFmtId="43" fontId="2" fillId="8" borderId="2" xfId="1" applyFont="1" applyFill="1" applyBorder="1" applyAlignment="1" applyProtection="1">
      <alignment horizontal="center"/>
    </xf>
    <xf numFmtId="43" fontId="2" fillId="8" borderId="2" xfId="8" applyFont="1" applyFill="1" applyBorder="1" applyAlignment="1" applyProtection="1"/>
    <xf numFmtId="43" fontId="2" fillId="8" borderId="25" xfId="1" applyFont="1" applyFill="1" applyBorder="1" applyAlignment="1" applyProtection="1"/>
    <xf numFmtId="0" fontId="2" fillId="8" borderId="0" xfId="59" applyFont="1" applyFill="1" applyAlignment="1" applyProtection="1">
      <protection locked="0"/>
    </xf>
    <xf numFmtId="0" fontId="2" fillId="8" borderId="0" xfId="59" applyFont="1" applyFill="1" applyProtection="1">
      <protection locked="0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G9">
            <v>10273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/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4">
          <cell r="B24" t="str">
            <v>Dino, Joyce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75" t="s">
        <v>152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</row>
    <row r="2" spans="1:27" s="277" customFormat="1" ht="26.25" x14ac:dyDescent="0.2">
      <c r="A2" s="375" t="s">
        <v>214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</row>
    <row r="3" spans="1:27" s="277" customFormat="1" ht="26.25" x14ac:dyDescent="0.2">
      <c r="A3" s="375" t="s">
        <v>215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76" t="s">
        <v>153</v>
      </c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  <c r="U4" s="376"/>
      <c r="V4" s="376"/>
      <c r="W4" s="376"/>
      <c r="X4" s="376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7" t="s">
        <v>91</v>
      </c>
      <c r="I5" s="378"/>
      <c r="J5" s="378"/>
      <c r="K5" s="379"/>
      <c r="L5" s="380" t="s">
        <v>90</v>
      </c>
      <c r="M5" s="382" t="s">
        <v>157</v>
      </c>
      <c r="N5" s="382" t="s">
        <v>158</v>
      </c>
      <c r="O5" s="384" t="s">
        <v>159</v>
      </c>
      <c r="P5" s="385"/>
      <c r="Q5" s="386"/>
      <c r="R5" s="382" t="s">
        <v>160</v>
      </c>
      <c r="S5" s="384" t="s">
        <v>19</v>
      </c>
      <c r="T5" s="385"/>
      <c r="U5" s="386"/>
      <c r="V5" s="382" t="s">
        <v>124</v>
      </c>
      <c r="W5" s="382" t="s">
        <v>125</v>
      </c>
      <c r="X5" s="371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81"/>
      <c r="M6" s="383"/>
      <c r="N6" s="383"/>
      <c r="O6" s="285" t="s">
        <v>167</v>
      </c>
      <c r="P6" s="285" t="s">
        <v>168</v>
      </c>
      <c r="Q6" s="316" t="s">
        <v>125</v>
      </c>
      <c r="R6" s="383"/>
      <c r="S6" s="285" t="s">
        <v>167</v>
      </c>
      <c r="T6" s="285" t="s">
        <v>168</v>
      </c>
      <c r="U6" s="316" t="s">
        <v>125</v>
      </c>
      <c r="V6" s="383"/>
      <c r="W6" s="383"/>
      <c r="X6" s="372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73" t="s">
        <v>174</v>
      </c>
      <c r="G11" s="373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74" t="s">
        <v>221</v>
      </c>
      <c r="G12" s="374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74" t="s">
        <v>224</v>
      </c>
      <c r="G14" s="374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73" t="s">
        <v>224</v>
      </c>
      <c r="G15" s="373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73" t="s">
        <v>173</v>
      </c>
      <c r="G19" s="373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74" t="s">
        <v>235</v>
      </c>
      <c r="G22" s="374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73" t="s">
        <v>235</v>
      </c>
      <c r="G23" s="373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74" t="s">
        <v>235</v>
      </c>
      <c r="G24" s="374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7" t="s">
        <v>91</v>
      </c>
      <c r="I27" s="378"/>
      <c r="J27" s="378"/>
      <c r="K27" s="379"/>
      <c r="L27" s="380" t="s">
        <v>90</v>
      </c>
      <c r="M27" s="382" t="s">
        <v>157</v>
      </c>
      <c r="N27" s="382" t="s">
        <v>158</v>
      </c>
      <c r="O27" s="384" t="s">
        <v>159</v>
      </c>
      <c r="P27" s="385"/>
      <c r="Q27" s="386"/>
      <c r="R27" s="382" t="s">
        <v>160</v>
      </c>
      <c r="S27" s="384" t="s">
        <v>19</v>
      </c>
      <c r="T27" s="385"/>
      <c r="U27" s="386"/>
      <c r="V27" s="382" t="s">
        <v>124</v>
      </c>
      <c r="W27" s="382" t="s">
        <v>125</v>
      </c>
      <c r="X27" s="371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81"/>
      <c r="M28" s="383"/>
      <c r="N28" s="383"/>
      <c r="O28" s="285" t="s">
        <v>167</v>
      </c>
      <c r="P28" s="285" t="s">
        <v>168</v>
      </c>
      <c r="Q28" s="316" t="s">
        <v>125</v>
      </c>
      <c r="R28" s="383"/>
      <c r="S28" s="285" t="s">
        <v>167</v>
      </c>
      <c r="T28" s="285" t="s">
        <v>168</v>
      </c>
      <c r="U28" s="316" t="s">
        <v>125</v>
      </c>
      <c r="V28" s="383"/>
      <c r="W28" s="383"/>
      <c r="X28" s="372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73" t="s">
        <v>173</v>
      </c>
      <c r="G33" s="373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74" t="s">
        <v>173</v>
      </c>
      <c r="G34" s="374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73" t="s">
        <v>224</v>
      </c>
      <c r="G37" s="373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74" t="s">
        <v>224</v>
      </c>
      <c r="G38" s="374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73" t="s">
        <v>173</v>
      </c>
      <c r="G43" s="373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74" t="s">
        <v>173</v>
      </c>
      <c r="G44" s="374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87" t="s">
        <v>238</v>
      </c>
      <c r="G47" s="387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74" t="s">
        <v>239</v>
      </c>
      <c r="G48" s="374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73" t="s">
        <v>239</v>
      </c>
      <c r="G49" s="373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74" t="s">
        <v>239</v>
      </c>
      <c r="G50" s="374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7" t="s">
        <v>91</v>
      </c>
      <c r="I53" s="378"/>
      <c r="J53" s="378"/>
      <c r="K53" s="379"/>
      <c r="L53" s="380" t="s">
        <v>90</v>
      </c>
      <c r="M53" s="382" t="s">
        <v>157</v>
      </c>
      <c r="N53" s="382" t="s">
        <v>158</v>
      </c>
      <c r="O53" s="384" t="s">
        <v>159</v>
      </c>
      <c r="P53" s="385"/>
      <c r="Q53" s="386"/>
      <c r="R53" s="382" t="s">
        <v>160</v>
      </c>
      <c r="S53" s="384" t="s">
        <v>19</v>
      </c>
      <c r="T53" s="385"/>
      <c r="U53" s="386"/>
      <c r="V53" s="382" t="s">
        <v>124</v>
      </c>
      <c r="W53" s="382" t="s">
        <v>125</v>
      </c>
      <c r="X53" s="371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81"/>
      <c r="M54" s="383"/>
      <c r="N54" s="383"/>
      <c r="O54" s="285" t="s">
        <v>167</v>
      </c>
      <c r="P54" s="285" t="s">
        <v>168</v>
      </c>
      <c r="Q54" s="316" t="s">
        <v>125</v>
      </c>
      <c r="R54" s="383"/>
      <c r="S54" s="285" t="s">
        <v>167</v>
      </c>
      <c r="T54" s="285" t="s">
        <v>168</v>
      </c>
      <c r="U54" s="316" t="s">
        <v>125</v>
      </c>
      <c r="V54" s="383"/>
      <c r="W54" s="383"/>
      <c r="X54" s="372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88" t="s">
        <v>177</v>
      </c>
      <c r="G56" s="374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73" t="s">
        <v>173</v>
      </c>
      <c r="G57" s="373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74" t="s">
        <v>224</v>
      </c>
      <c r="G60" s="374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73" t="s">
        <v>224</v>
      </c>
      <c r="G61" s="373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74" t="s">
        <v>174</v>
      </c>
      <c r="G64" s="374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73" t="s">
        <v>173</v>
      </c>
      <c r="G65" s="373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73" t="s">
        <v>165</v>
      </c>
      <c r="G67" s="373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74" t="s">
        <v>244</v>
      </c>
      <c r="G68" s="374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73" t="s">
        <v>244</v>
      </c>
      <c r="G69" s="373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74" t="s">
        <v>244</v>
      </c>
      <c r="G70" s="374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7" t="s">
        <v>91</v>
      </c>
      <c r="I73" s="378"/>
      <c r="J73" s="378"/>
      <c r="K73" s="379"/>
      <c r="L73" s="380" t="s">
        <v>90</v>
      </c>
      <c r="M73" s="382" t="s">
        <v>157</v>
      </c>
      <c r="N73" s="382" t="s">
        <v>158</v>
      </c>
      <c r="O73" s="384" t="s">
        <v>159</v>
      </c>
      <c r="P73" s="385"/>
      <c r="Q73" s="386"/>
      <c r="R73" s="382" t="s">
        <v>160</v>
      </c>
      <c r="S73" s="384" t="s">
        <v>19</v>
      </c>
      <c r="T73" s="385"/>
      <c r="U73" s="386"/>
      <c r="V73" s="382" t="s">
        <v>124</v>
      </c>
      <c r="W73" s="382" t="s">
        <v>125</v>
      </c>
      <c r="X73" s="371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81"/>
      <c r="M74" s="383"/>
      <c r="N74" s="383"/>
      <c r="O74" s="285" t="s">
        <v>167</v>
      </c>
      <c r="P74" s="285" t="s">
        <v>168</v>
      </c>
      <c r="Q74" s="316" t="s">
        <v>125</v>
      </c>
      <c r="R74" s="383"/>
      <c r="S74" s="285" t="s">
        <v>167</v>
      </c>
      <c r="T74" s="285" t="s">
        <v>168</v>
      </c>
      <c r="U74" s="316" t="s">
        <v>125</v>
      </c>
      <c r="V74" s="383"/>
      <c r="W74" s="383"/>
      <c r="X74" s="372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73" t="s">
        <v>173</v>
      </c>
      <c r="G79" s="373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74" t="s">
        <v>173</v>
      </c>
      <c r="G80" s="374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73" t="s">
        <v>224</v>
      </c>
      <c r="G83" s="373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74" t="s">
        <v>224</v>
      </c>
      <c r="G84" s="374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73"/>
      <c r="G91" s="373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73" t="s">
        <v>239</v>
      </c>
      <c r="G95" s="373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73" t="s">
        <v>239</v>
      </c>
      <c r="G96" s="373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73" t="s">
        <v>239</v>
      </c>
      <c r="G97" s="373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7" t="s">
        <v>91</v>
      </c>
      <c r="I100" s="378"/>
      <c r="J100" s="378"/>
      <c r="K100" s="379"/>
      <c r="L100" s="380" t="s">
        <v>90</v>
      </c>
      <c r="M100" s="382" t="s">
        <v>157</v>
      </c>
      <c r="N100" s="382" t="s">
        <v>158</v>
      </c>
      <c r="O100" s="384" t="s">
        <v>159</v>
      </c>
      <c r="P100" s="385"/>
      <c r="Q100" s="386"/>
      <c r="R100" s="382" t="s">
        <v>160</v>
      </c>
      <c r="S100" s="384" t="s">
        <v>19</v>
      </c>
      <c r="T100" s="385"/>
      <c r="U100" s="386"/>
      <c r="V100" s="382" t="s">
        <v>124</v>
      </c>
      <c r="W100" s="382" t="s">
        <v>125</v>
      </c>
      <c r="X100" s="371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81"/>
      <c r="M101" s="383"/>
      <c r="N101" s="383"/>
      <c r="O101" s="285" t="s">
        <v>167</v>
      </c>
      <c r="P101" s="285" t="s">
        <v>168</v>
      </c>
      <c r="Q101" s="316" t="s">
        <v>125</v>
      </c>
      <c r="R101" s="383"/>
      <c r="S101" s="285" t="s">
        <v>167</v>
      </c>
      <c r="T101" s="285" t="s">
        <v>168</v>
      </c>
      <c r="U101" s="316" t="s">
        <v>125</v>
      </c>
      <c r="V101" s="383"/>
      <c r="W101" s="383"/>
      <c r="X101" s="372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74" t="s">
        <v>173</v>
      </c>
      <c r="G105" s="374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73" t="s">
        <v>173</v>
      </c>
      <c r="G106" s="373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73" t="s">
        <v>224</v>
      </c>
      <c r="G108" s="373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74" t="s">
        <v>224</v>
      </c>
      <c r="G109" s="374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73" t="s">
        <v>173</v>
      </c>
      <c r="G112" s="373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74" t="s">
        <v>173</v>
      </c>
      <c r="G113" s="374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89" t="s">
        <v>235</v>
      </c>
      <c r="G115" s="389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73" t="s">
        <v>248</v>
      </c>
      <c r="G116" s="373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89" t="s">
        <v>235</v>
      </c>
      <c r="G117" s="389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73" t="s">
        <v>248</v>
      </c>
      <c r="G118" s="373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7" t="s">
        <v>91</v>
      </c>
      <c r="I121" s="378"/>
      <c r="J121" s="378"/>
      <c r="K121" s="379"/>
      <c r="L121" s="380" t="s">
        <v>90</v>
      </c>
      <c r="M121" s="382" t="s">
        <v>157</v>
      </c>
      <c r="N121" s="382" t="s">
        <v>158</v>
      </c>
      <c r="O121" s="384" t="s">
        <v>159</v>
      </c>
      <c r="P121" s="385"/>
      <c r="Q121" s="386"/>
      <c r="R121" s="382" t="s">
        <v>160</v>
      </c>
      <c r="S121" s="384" t="s">
        <v>19</v>
      </c>
      <c r="T121" s="385"/>
      <c r="U121" s="386"/>
      <c r="V121" s="382" t="s">
        <v>124</v>
      </c>
      <c r="W121" s="382" t="s">
        <v>125</v>
      </c>
      <c r="X121" s="371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81"/>
      <c r="M122" s="383"/>
      <c r="N122" s="383"/>
      <c r="O122" s="285" t="s">
        <v>167</v>
      </c>
      <c r="P122" s="285" t="s">
        <v>168</v>
      </c>
      <c r="Q122" s="316" t="s">
        <v>125</v>
      </c>
      <c r="R122" s="383"/>
      <c r="S122" s="285" t="s">
        <v>167</v>
      </c>
      <c r="T122" s="285" t="s">
        <v>168</v>
      </c>
      <c r="U122" s="316" t="s">
        <v>125</v>
      </c>
      <c r="V122" s="383"/>
      <c r="W122" s="383"/>
      <c r="X122" s="372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73" t="s">
        <v>173</v>
      </c>
      <c r="G129" s="373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73" t="s">
        <v>224</v>
      </c>
      <c r="G132" s="373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74" t="s">
        <v>224</v>
      </c>
      <c r="G133" s="374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74" t="s">
        <v>173</v>
      </c>
      <c r="G138" s="374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73" t="s">
        <v>173</v>
      </c>
      <c r="G139" s="373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74" t="s">
        <v>239</v>
      </c>
      <c r="G142" s="374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73" t="s">
        <v>249</v>
      </c>
      <c r="G143" s="373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74" t="s">
        <v>239</v>
      </c>
      <c r="G144" s="374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73" t="s">
        <v>249</v>
      </c>
      <c r="G145" s="373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7" t="s">
        <v>91</v>
      </c>
      <c r="I148" s="378"/>
      <c r="J148" s="378"/>
      <c r="K148" s="379"/>
      <c r="L148" s="380" t="s">
        <v>90</v>
      </c>
      <c r="M148" s="382" t="s">
        <v>157</v>
      </c>
      <c r="N148" s="382" t="s">
        <v>158</v>
      </c>
      <c r="O148" s="384" t="s">
        <v>159</v>
      </c>
      <c r="P148" s="385"/>
      <c r="Q148" s="386"/>
      <c r="R148" s="382" t="s">
        <v>160</v>
      </c>
      <c r="S148" s="384" t="s">
        <v>19</v>
      </c>
      <c r="T148" s="385"/>
      <c r="U148" s="386"/>
      <c r="V148" s="382" t="s">
        <v>124</v>
      </c>
      <c r="W148" s="382" t="s">
        <v>125</v>
      </c>
      <c r="X148" s="371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81"/>
      <c r="M149" s="383"/>
      <c r="N149" s="383"/>
      <c r="O149" s="285" t="s">
        <v>167</v>
      </c>
      <c r="P149" s="285" t="s">
        <v>168</v>
      </c>
      <c r="Q149" s="316" t="s">
        <v>125</v>
      </c>
      <c r="R149" s="383"/>
      <c r="S149" s="285" t="s">
        <v>167</v>
      </c>
      <c r="T149" s="285" t="s">
        <v>168</v>
      </c>
      <c r="U149" s="316" t="s">
        <v>125</v>
      </c>
      <c r="V149" s="383"/>
      <c r="W149" s="383"/>
      <c r="X149" s="372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74" t="s">
        <v>173</v>
      </c>
      <c r="G157" s="374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73" t="s">
        <v>224</v>
      </c>
      <c r="G160" s="373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74" t="s">
        <v>224</v>
      </c>
      <c r="G161" s="374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73" t="s">
        <v>22</v>
      </c>
      <c r="G164" s="373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74" t="s">
        <v>173</v>
      </c>
      <c r="G165" s="374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73" t="s">
        <v>173</v>
      </c>
      <c r="G166" s="373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89" t="s">
        <v>239</v>
      </c>
      <c r="G169" s="389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73" t="s">
        <v>239</v>
      </c>
      <c r="G170" s="373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89" t="s">
        <v>239</v>
      </c>
      <c r="G171" s="389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73" t="s">
        <v>239</v>
      </c>
      <c r="G172" s="373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7" t="s">
        <v>91</v>
      </c>
      <c r="I175" s="378"/>
      <c r="J175" s="378"/>
      <c r="K175" s="379"/>
      <c r="L175" s="380" t="s">
        <v>90</v>
      </c>
      <c r="M175" s="382" t="s">
        <v>157</v>
      </c>
      <c r="N175" s="382" t="s">
        <v>158</v>
      </c>
      <c r="O175" s="384" t="s">
        <v>159</v>
      </c>
      <c r="P175" s="385"/>
      <c r="Q175" s="386"/>
      <c r="R175" s="382" t="s">
        <v>160</v>
      </c>
      <c r="S175" s="384" t="s">
        <v>19</v>
      </c>
      <c r="T175" s="385"/>
      <c r="U175" s="386"/>
      <c r="V175" s="382" t="s">
        <v>124</v>
      </c>
      <c r="W175" s="382" t="s">
        <v>125</v>
      </c>
      <c r="X175" s="371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81"/>
      <c r="M176" s="383"/>
      <c r="N176" s="383"/>
      <c r="O176" s="285" t="s">
        <v>167</v>
      </c>
      <c r="P176" s="285" t="s">
        <v>168</v>
      </c>
      <c r="Q176" s="316" t="s">
        <v>125</v>
      </c>
      <c r="R176" s="383"/>
      <c r="S176" s="285" t="s">
        <v>167</v>
      </c>
      <c r="T176" s="285" t="s">
        <v>168</v>
      </c>
      <c r="U176" s="316" t="s">
        <v>125</v>
      </c>
      <c r="V176" s="383"/>
      <c r="W176" s="383"/>
      <c r="X176" s="372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74" t="s">
        <v>173</v>
      </c>
      <c r="G182" s="374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73" t="s">
        <v>224</v>
      </c>
      <c r="G185" s="373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74" t="s">
        <v>224</v>
      </c>
      <c r="G186" s="374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73" t="s">
        <v>173</v>
      </c>
      <c r="G193" s="373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87"/>
      <c r="G196" s="387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90" t="s">
        <v>251</v>
      </c>
      <c r="G197" s="389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88" t="s">
        <v>251</v>
      </c>
      <c r="G198" s="374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91" t="s">
        <v>251</v>
      </c>
      <c r="G199" s="373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88" t="s">
        <v>251</v>
      </c>
      <c r="G200" s="374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7" t="s">
        <v>91</v>
      </c>
      <c r="I203" s="378"/>
      <c r="J203" s="378"/>
      <c r="K203" s="379"/>
      <c r="L203" s="380" t="s">
        <v>90</v>
      </c>
      <c r="M203" s="382" t="s">
        <v>157</v>
      </c>
      <c r="N203" s="382" t="s">
        <v>158</v>
      </c>
      <c r="O203" s="384" t="s">
        <v>159</v>
      </c>
      <c r="P203" s="385"/>
      <c r="Q203" s="386"/>
      <c r="R203" s="382" t="s">
        <v>160</v>
      </c>
      <c r="S203" s="384" t="s">
        <v>19</v>
      </c>
      <c r="T203" s="385"/>
      <c r="U203" s="386"/>
      <c r="V203" s="382" t="s">
        <v>124</v>
      </c>
      <c r="W203" s="382" t="s">
        <v>125</v>
      </c>
      <c r="X203" s="371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81"/>
      <c r="M204" s="383"/>
      <c r="N204" s="383"/>
      <c r="O204" s="285" t="s">
        <v>167</v>
      </c>
      <c r="P204" s="285" t="s">
        <v>168</v>
      </c>
      <c r="Q204" s="316" t="s">
        <v>125</v>
      </c>
      <c r="R204" s="383"/>
      <c r="S204" s="285" t="s">
        <v>167</v>
      </c>
      <c r="T204" s="285" t="s">
        <v>168</v>
      </c>
      <c r="U204" s="316" t="s">
        <v>125</v>
      </c>
      <c r="V204" s="383"/>
      <c r="W204" s="383"/>
      <c r="X204" s="372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74" t="s">
        <v>173</v>
      </c>
      <c r="G210" s="374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73" t="s">
        <v>224</v>
      </c>
      <c r="G213" s="373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74" t="s">
        <v>224</v>
      </c>
      <c r="G214" s="374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73" t="s">
        <v>173</v>
      </c>
      <c r="G221" s="373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87"/>
      <c r="G224" s="387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90" t="s">
        <v>177</v>
      </c>
      <c r="G225" s="389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88" t="s">
        <v>177</v>
      </c>
      <c r="G226" s="374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91" t="s">
        <v>177</v>
      </c>
      <c r="G227" s="373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88" t="s">
        <v>177</v>
      </c>
      <c r="G228" s="374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7" t="s">
        <v>91</v>
      </c>
      <c r="I231" s="378"/>
      <c r="J231" s="378"/>
      <c r="K231" s="379"/>
      <c r="L231" s="380" t="s">
        <v>90</v>
      </c>
      <c r="M231" s="382" t="s">
        <v>157</v>
      </c>
      <c r="N231" s="382" t="s">
        <v>158</v>
      </c>
      <c r="O231" s="384" t="s">
        <v>159</v>
      </c>
      <c r="P231" s="385"/>
      <c r="Q231" s="386"/>
      <c r="R231" s="382" t="s">
        <v>160</v>
      </c>
      <c r="S231" s="384" t="s">
        <v>19</v>
      </c>
      <c r="T231" s="385"/>
      <c r="U231" s="386"/>
      <c r="V231" s="382" t="s">
        <v>124</v>
      </c>
      <c r="W231" s="382" t="s">
        <v>125</v>
      </c>
      <c r="X231" s="371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81"/>
      <c r="M232" s="383"/>
      <c r="N232" s="383"/>
      <c r="O232" s="285" t="s">
        <v>167</v>
      </c>
      <c r="P232" s="285" t="s">
        <v>168</v>
      </c>
      <c r="Q232" s="316" t="s">
        <v>125</v>
      </c>
      <c r="R232" s="383"/>
      <c r="S232" s="285" t="s">
        <v>167</v>
      </c>
      <c r="T232" s="285" t="s">
        <v>168</v>
      </c>
      <c r="U232" s="316" t="s">
        <v>125</v>
      </c>
      <c r="V232" s="383"/>
      <c r="W232" s="383"/>
      <c r="X232" s="372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73" t="s">
        <v>173</v>
      </c>
      <c r="G237" s="373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73" t="s">
        <v>224</v>
      </c>
      <c r="G239" s="373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74" t="s">
        <v>224</v>
      </c>
      <c r="G240" s="374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73" t="s">
        <v>165</v>
      </c>
      <c r="G241" s="373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73" t="s">
        <v>174</v>
      </c>
      <c r="G243" s="373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74" t="s">
        <v>173</v>
      </c>
      <c r="G244" s="374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87" t="s">
        <v>255</v>
      </c>
      <c r="G245" s="387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89" t="s">
        <v>255</v>
      </c>
      <c r="G246" s="389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87" t="s">
        <v>255</v>
      </c>
      <c r="G247" s="387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89" t="s">
        <v>255</v>
      </c>
      <c r="G248" s="389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87" t="s">
        <v>255</v>
      </c>
      <c r="G249" s="387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7" t="s">
        <v>91</v>
      </c>
      <c r="I252" s="378"/>
      <c r="J252" s="378"/>
      <c r="K252" s="379"/>
      <c r="L252" s="380" t="s">
        <v>90</v>
      </c>
      <c r="M252" s="382" t="s">
        <v>157</v>
      </c>
      <c r="N252" s="382" t="s">
        <v>158</v>
      </c>
      <c r="O252" s="384" t="s">
        <v>159</v>
      </c>
      <c r="P252" s="385"/>
      <c r="Q252" s="386"/>
      <c r="R252" s="382" t="s">
        <v>160</v>
      </c>
      <c r="S252" s="384" t="s">
        <v>19</v>
      </c>
      <c r="T252" s="385"/>
      <c r="U252" s="386"/>
      <c r="V252" s="382" t="s">
        <v>124</v>
      </c>
      <c r="W252" s="382" t="s">
        <v>125</v>
      </c>
      <c r="X252" s="371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81"/>
      <c r="M253" s="383"/>
      <c r="N253" s="383"/>
      <c r="O253" s="285" t="s">
        <v>167</v>
      </c>
      <c r="P253" s="285" t="s">
        <v>168</v>
      </c>
      <c r="Q253" s="316" t="s">
        <v>125</v>
      </c>
      <c r="R253" s="383"/>
      <c r="S253" s="285" t="s">
        <v>167</v>
      </c>
      <c r="T253" s="285" t="s">
        <v>168</v>
      </c>
      <c r="U253" s="316" t="s">
        <v>125</v>
      </c>
      <c r="V253" s="383"/>
      <c r="W253" s="383"/>
      <c r="X253" s="372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73" t="s">
        <v>173</v>
      </c>
      <c r="G258" s="373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74" t="s">
        <v>173</v>
      </c>
      <c r="G259" s="374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73" t="s">
        <v>224</v>
      </c>
      <c r="G262" s="373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74" t="s">
        <v>224</v>
      </c>
      <c r="G263" s="374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73" t="s">
        <v>173</v>
      </c>
      <c r="G268" s="373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74" t="s">
        <v>173</v>
      </c>
      <c r="G269" s="374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89"/>
      <c r="G272" s="389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92" t="s">
        <v>177</v>
      </c>
      <c r="G273" s="387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91" t="s">
        <v>177</v>
      </c>
      <c r="G274" s="373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88" t="s">
        <v>177</v>
      </c>
      <c r="G275" s="374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91" t="s">
        <v>177</v>
      </c>
      <c r="G276" s="373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7" t="s">
        <v>91</v>
      </c>
      <c r="I279" s="378"/>
      <c r="J279" s="378"/>
      <c r="K279" s="379"/>
      <c r="L279" s="380" t="s">
        <v>90</v>
      </c>
      <c r="M279" s="382" t="s">
        <v>157</v>
      </c>
      <c r="N279" s="382" t="s">
        <v>158</v>
      </c>
      <c r="O279" s="384" t="s">
        <v>159</v>
      </c>
      <c r="P279" s="385"/>
      <c r="Q279" s="386"/>
      <c r="R279" s="382" t="s">
        <v>160</v>
      </c>
      <c r="S279" s="384" t="s">
        <v>19</v>
      </c>
      <c r="T279" s="385"/>
      <c r="U279" s="386"/>
      <c r="V279" s="382" t="s">
        <v>124</v>
      </c>
      <c r="W279" s="382" t="s">
        <v>125</v>
      </c>
      <c r="X279" s="371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81"/>
      <c r="M280" s="383"/>
      <c r="N280" s="383"/>
      <c r="O280" s="285" t="s">
        <v>167</v>
      </c>
      <c r="P280" s="285" t="s">
        <v>168</v>
      </c>
      <c r="Q280" s="316" t="s">
        <v>125</v>
      </c>
      <c r="R280" s="383"/>
      <c r="S280" s="285" t="s">
        <v>167</v>
      </c>
      <c r="T280" s="285" t="s">
        <v>168</v>
      </c>
      <c r="U280" s="316" t="s">
        <v>125</v>
      </c>
      <c r="V280" s="383"/>
      <c r="W280" s="383"/>
      <c r="X280" s="372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74" t="s">
        <v>173</v>
      </c>
      <c r="G284" s="374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73" t="s">
        <v>173</v>
      </c>
      <c r="G285" s="373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87"/>
      <c r="G288" s="387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73" t="s">
        <v>224</v>
      </c>
      <c r="G289" s="373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74" t="s">
        <v>224</v>
      </c>
      <c r="G290" s="374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73" t="s">
        <v>173</v>
      </c>
      <c r="G297" s="373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87"/>
      <c r="G298" s="387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90" t="s">
        <v>257</v>
      </c>
      <c r="G299" s="389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90" t="s">
        <v>257</v>
      </c>
      <c r="G300" s="389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91" t="s">
        <v>257</v>
      </c>
      <c r="G301" s="373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90" t="s">
        <v>257</v>
      </c>
      <c r="G302" s="389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91" t="s">
        <v>257</v>
      </c>
      <c r="G303" s="373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75" t="s">
        <v>258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</row>
    <row r="2" spans="1:27" s="277" customFormat="1" ht="26.25" x14ac:dyDescent="0.2">
      <c r="A2" s="375" t="s">
        <v>214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</row>
    <row r="3" spans="1:27" s="277" customFormat="1" ht="26.25" x14ac:dyDescent="0.2">
      <c r="A3" s="375" t="s">
        <v>215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76" t="s">
        <v>153</v>
      </c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  <c r="U4" s="376"/>
      <c r="V4" s="376"/>
      <c r="W4" s="376"/>
      <c r="X4" s="376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7" t="s">
        <v>91</v>
      </c>
      <c r="I5" s="378"/>
      <c r="J5" s="378"/>
      <c r="K5" s="379"/>
      <c r="L5" s="380" t="s">
        <v>90</v>
      </c>
      <c r="M5" s="382" t="s">
        <v>157</v>
      </c>
      <c r="N5" s="382" t="s">
        <v>158</v>
      </c>
      <c r="O5" s="384" t="s">
        <v>159</v>
      </c>
      <c r="P5" s="385"/>
      <c r="Q5" s="386"/>
      <c r="R5" s="382" t="s">
        <v>160</v>
      </c>
      <c r="S5" s="384" t="s">
        <v>19</v>
      </c>
      <c r="T5" s="385"/>
      <c r="U5" s="386"/>
      <c r="V5" s="382" t="s">
        <v>124</v>
      </c>
      <c r="W5" s="382" t="s">
        <v>125</v>
      </c>
      <c r="X5" s="371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81"/>
      <c r="M6" s="383"/>
      <c r="N6" s="383"/>
      <c r="O6" s="285" t="s">
        <v>167</v>
      </c>
      <c r="P6" s="285" t="s">
        <v>168</v>
      </c>
      <c r="Q6" s="316" t="s">
        <v>125</v>
      </c>
      <c r="R6" s="383"/>
      <c r="S6" s="285" t="s">
        <v>167</v>
      </c>
      <c r="T6" s="285" t="s">
        <v>168</v>
      </c>
      <c r="U6" s="316" t="s">
        <v>125</v>
      </c>
      <c r="V6" s="383"/>
      <c r="W6" s="383"/>
      <c r="X6" s="372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74"/>
      <c r="G14" s="374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74" t="s">
        <v>224</v>
      </c>
      <c r="G16" s="374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73" t="s">
        <v>224</v>
      </c>
      <c r="G17" s="373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74" t="s">
        <v>173</v>
      </c>
      <c r="G22" s="374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73" t="s">
        <v>235</v>
      </c>
      <c r="G25" s="373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74" t="s">
        <v>235</v>
      </c>
      <c r="G26" s="374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73" t="s">
        <v>235</v>
      </c>
      <c r="G27" s="373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77" t="s">
        <v>91</v>
      </c>
      <c r="I30" s="378"/>
      <c r="J30" s="378"/>
      <c r="K30" s="379"/>
      <c r="L30" s="380" t="s">
        <v>90</v>
      </c>
      <c r="M30" s="382" t="s">
        <v>157</v>
      </c>
      <c r="N30" s="382" t="s">
        <v>158</v>
      </c>
      <c r="O30" s="384" t="s">
        <v>159</v>
      </c>
      <c r="P30" s="385"/>
      <c r="Q30" s="386"/>
      <c r="R30" s="382" t="s">
        <v>160</v>
      </c>
      <c r="S30" s="384" t="s">
        <v>19</v>
      </c>
      <c r="T30" s="385"/>
      <c r="U30" s="386"/>
      <c r="V30" s="382" t="s">
        <v>124</v>
      </c>
      <c r="W30" s="382" t="s">
        <v>125</v>
      </c>
      <c r="X30" s="371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81"/>
      <c r="M31" s="383"/>
      <c r="N31" s="383"/>
      <c r="O31" s="285" t="s">
        <v>167</v>
      </c>
      <c r="P31" s="285" t="s">
        <v>168</v>
      </c>
      <c r="Q31" s="316" t="s">
        <v>125</v>
      </c>
      <c r="R31" s="383"/>
      <c r="S31" s="285" t="s">
        <v>167</v>
      </c>
      <c r="T31" s="285" t="s">
        <v>168</v>
      </c>
      <c r="U31" s="316" t="s">
        <v>125</v>
      </c>
      <c r="V31" s="383"/>
      <c r="W31" s="383"/>
      <c r="X31" s="372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73" t="s">
        <v>263</v>
      </c>
      <c r="G32" s="373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8" t="s">
        <v>207</v>
      </c>
      <c r="G33" s="388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73" t="s">
        <v>173</v>
      </c>
      <c r="G34" s="373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74" t="s">
        <v>173</v>
      </c>
      <c r="G35" s="374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91" t="s">
        <v>201</v>
      </c>
      <c r="G36" s="373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74" t="s">
        <v>224</v>
      </c>
      <c r="G37" s="374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74" t="s">
        <v>224</v>
      </c>
      <c r="G38" s="374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8" t="s">
        <v>201</v>
      </c>
      <c r="G39" s="374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91" t="s">
        <v>201</v>
      </c>
      <c r="G40" s="373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74" t="s">
        <v>173</v>
      </c>
      <c r="G41" s="374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73" t="s">
        <v>173</v>
      </c>
      <c r="G42" s="373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8" t="s">
        <v>201</v>
      </c>
      <c r="G43" s="374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91" t="s">
        <v>201</v>
      </c>
      <c r="G44" s="373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88" t="s">
        <v>201</v>
      </c>
      <c r="G45" s="374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91" t="s">
        <v>201</v>
      </c>
      <c r="G46" s="373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88" t="s">
        <v>201</v>
      </c>
      <c r="G47" s="374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77" t="s">
        <v>91</v>
      </c>
      <c r="I50" s="378"/>
      <c r="J50" s="378"/>
      <c r="K50" s="379"/>
      <c r="L50" s="380" t="s">
        <v>90</v>
      </c>
      <c r="M50" s="382" t="s">
        <v>157</v>
      </c>
      <c r="N50" s="382" t="s">
        <v>158</v>
      </c>
      <c r="O50" s="384" t="s">
        <v>159</v>
      </c>
      <c r="P50" s="385"/>
      <c r="Q50" s="386"/>
      <c r="R50" s="382" t="s">
        <v>160</v>
      </c>
      <c r="S50" s="384" t="s">
        <v>19</v>
      </c>
      <c r="T50" s="385"/>
      <c r="U50" s="386"/>
      <c r="V50" s="382" t="s">
        <v>124</v>
      </c>
      <c r="W50" s="382" t="s">
        <v>125</v>
      </c>
      <c r="X50" s="371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81"/>
      <c r="M51" s="383"/>
      <c r="N51" s="383"/>
      <c r="O51" s="285" t="s">
        <v>167</v>
      </c>
      <c r="P51" s="285" t="s">
        <v>168</v>
      </c>
      <c r="Q51" s="316" t="s">
        <v>125</v>
      </c>
      <c r="R51" s="383"/>
      <c r="S51" s="285" t="s">
        <v>167</v>
      </c>
      <c r="T51" s="285" t="s">
        <v>168</v>
      </c>
      <c r="U51" s="316" t="s">
        <v>125</v>
      </c>
      <c r="V51" s="383"/>
      <c r="W51" s="383"/>
      <c r="X51" s="372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91" t="s">
        <v>201</v>
      </c>
      <c r="G52" s="373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8" t="s">
        <v>201</v>
      </c>
      <c r="G53" s="388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73" t="s">
        <v>173</v>
      </c>
      <c r="G54" s="373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74" t="s">
        <v>173</v>
      </c>
      <c r="G55" s="374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91" t="s">
        <v>201</v>
      </c>
      <c r="G56" s="373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74" t="s">
        <v>224</v>
      </c>
      <c r="G57" s="374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73" t="s">
        <v>224</v>
      </c>
      <c r="G58" s="373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8" t="s">
        <v>201</v>
      </c>
      <c r="G59" s="374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91" t="s">
        <v>201</v>
      </c>
      <c r="G60" s="373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74" t="s">
        <v>173</v>
      </c>
      <c r="G61" s="374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73" t="s">
        <v>173</v>
      </c>
      <c r="G62" s="373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8" t="s">
        <v>201</v>
      </c>
      <c r="G63" s="374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91" t="s">
        <v>201</v>
      </c>
      <c r="G64" s="373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88" t="s">
        <v>201</v>
      </c>
      <c r="G65" s="374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91" t="s">
        <v>201</v>
      </c>
      <c r="G66" s="373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88" t="s">
        <v>201</v>
      </c>
      <c r="G67" s="374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workbookViewId="0">
      <pane xSplit="2" topLeftCell="C1" activePane="topRight" state="frozen"/>
      <selection pane="topRight" activeCell="F38" sqref="F38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302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41"/>
      <c r="B5" s="443" t="s">
        <v>0</v>
      </c>
      <c r="C5" s="414" t="s">
        <v>1</v>
      </c>
      <c r="D5" s="393" t="s">
        <v>13</v>
      </c>
      <c r="E5" s="414" t="s">
        <v>14</v>
      </c>
      <c r="F5" s="393"/>
      <c r="G5" s="414" t="s">
        <v>16</v>
      </c>
      <c r="H5" s="393" t="s">
        <v>44</v>
      </c>
      <c r="I5" s="410" t="s">
        <v>118</v>
      </c>
      <c r="J5" s="418" t="s">
        <v>91</v>
      </c>
      <c r="K5" s="419"/>
      <c r="L5" s="420"/>
      <c r="M5" s="430" t="s">
        <v>108</v>
      </c>
      <c r="N5" s="431"/>
      <c r="O5" s="431"/>
      <c r="P5" s="414" t="s">
        <v>2</v>
      </c>
      <c r="Q5" s="393" t="s">
        <v>17</v>
      </c>
      <c r="R5" s="414" t="s">
        <v>2</v>
      </c>
      <c r="S5" s="393" t="s">
        <v>18</v>
      </c>
      <c r="T5" s="414" t="s">
        <v>2</v>
      </c>
      <c r="U5" s="393" t="s">
        <v>19</v>
      </c>
      <c r="V5" s="414" t="s">
        <v>2</v>
      </c>
      <c r="W5" s="393" t="s">
        <v>298</v>
      </c>
      <c r="X5" s="395" t="s">
        <v>3</v>
      </c>
    </row>
    <row r="6" spans="1:26" s="138" customFormat="1" ht="27" customHeight="1" thickBot="1" x14ac:dyDescent="0.25">
      <c r="A6" s="442"/>
      <c r="B6" s="415"/>
      <c r="C6" s="415"/>
      <c r="D6" s="429"/>
      <c r="E6" s="434"/>
      <c r="F6" s="429"/>
      <c r="G6" s="434"/>
      <c r="H6" s="394"/>
      <c r="I6" s="41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5"/>
      <c r="Q6" s="429"/>
      <c r="R6" s="415"/>
      <c r="S6" s="429"/>
      <c r="T6" s="415"/>
      <c r="U6" s="429"/>
      <c r="V6" s="415"/>
      <c r="W6" s="394"/>
      <c r="X6" s="396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11.5</v>
      </c>
      <c r="G7" s="132">
        <f>+D7</f>
        <v>6851</v>
      </c>
      <c r="H7" s="20">
        <f>(F7+J7+K7+L7+Q7)*10</f>
        <v>115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/>
      <c r="V7" s="21">
        <f>(E7/8/10)*U7</f>
        <v>0</v>
      </c>
      <c r="W7" s="133"/>
      <c r="X7" s="137">
        <f t="shared" ref="X7:X13" si="0">+G7+H7+P7+R7+T7+V7+W7+I7</f>
        <v>6966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3">
        <v>12</v>
      </c>
      <c r="G8" s="141">
        <f>+D8</f>
        <v>6851</v>
      </c>
      <c r="H8" s="20">
        <f>(F8+J8+K8+L8+Q8)*10</f>
        <v>120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3"/>
      <c r="V8" s="21">
        <f>(E8/8/10)*U8</f>
        <v>0</v>
      </c>
      <c r="W8" s="73"/>
      <c r="X8" s="137">
        <f>+G8+H8+P8+R8+T8+V8+W8+I8</f>
        <v>6971</v>
      </c>
      <c r="Y8" s="142"/>
      <c r="Z8" s="142"/>
    </row>
    <row r="9" spans="1:26" s="370" customFormat="1" ht="12" customHeight="1" thickBot="1" x14ac:dyDescent="0.25">
      <c r="A9" s="362">
        <v>3</v>
      </c>
      <c r="B9" s="363" t="s">
        <v>121</v>
      </c>
      <c r="C9" s="364" t="s">
        <v>122</v>
      </c>
      <c r="D9" s="353">
        <f>(20000/2)+(21*13)</f>
        <v>10273</v>
      </c>
      <c r="E9" s="365">
        <f>+D9/13</f>
        <v>790.23076923076928</v>
      </c>
      <c r="F9" s="353">
        <v>0</v>
      </c>
      <c r="G9" s="366">
        <v>0</v>
      </c>
      <c r="H9" s="355">
        <f t="shared" ref="H9:H14" si="1">(F9+J9+K9+L9+Q9)*10</f>
        <v>0</v>
      </c>
      <c r="I9" s="356"/>
      <c r="J9" s="353">
        <v>0</v>
      </c>
      <c r="K9" s="353">
        <v>0</v>
      </c>
      <c r="L9" s="353">
        <v>0</v>
      </c>
      <c r="M9" s="353">
        <v>0</v>
      </c>
      <c r="N9" s="353">
        <f>+'10.26-11.10'!P71</f>
        <v>0</v>
      </c>
      <c r="O9" s="353">
        <f>+'10.26-11.10'!Q71</f>
        <v>0</v>
      </c>
      <c r="P9" s="367">
        <f t="shared" ref="P9:P16" si="2">(((E9/8)*1.25)*M9)+((((E9/8)*N9)*200%)*130%)+((((E9/8)*130%)*130%)*O9)</f>
        <v>0</v>
      </c>
      <c r="Q9" s="353"/>
      <c r="R9" s="356">
        <f t="shared" ref="R9:R16" si="3">+Q9*E9</f>
        <v>0</v>
      </c>
      <c r="S9" s="353">
        <f>+'10.26-11.10'!W71</f>
        <v>0</v>
      </c>
      <c r="T9" s="356">
        <f t="shared" ref="T9:T16" si="4">(+S9*E9)*0.3</f>
        <v>0</v>
      </c>
      <c r="U9" s="353"/>
      <c r="V9" s="356">
        <f t="shared" ref="V9:V16" si="5">(E9/8/10)*U9</f>
        <v>0</v>
      </c>
      <c r="W9" s="353"/>
      <c r="X9" s="368">
        <f t="shared" si="0"/>
        <v>0</v>
      </c>
      <c r="Y9" s="369"/>
      <c r="Z9" s="369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3">
        <v>12</v>
      </c>
      <c r="G10" s="141">
        <f t="shared" ref="G10:G16" si="6">+D10</f>
        <v>6851</v>
      </c>
      <c r="H10" s="20">
        <f t="shared" si="1"/>
        <v>120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2"/>
        <v>0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353"/>
      <c r="V10" s="21">
        <f t="shared" si="5"/>
        <v>0</v>
      </c>
      <c r="W10" s="73"/>
      <c r="X10" s="137">
        <f t="shared" si="0"/>
        <v>6971</v>
      </c>
      <c r="Y10" s="142"/>
      <c r="Z10" s="142"/>
    </row>
    <row r="11" spans="1:26" s="370" customFormat="1" ht="12" thickBot="1" x14ac:dyDescent="0.25">
      <c r="A11" s="362">
        <v>5</v>
      </c>
      <c r="B11" s="363" t="s">
        <v>270</v>
      </c>
      <c r="C11" s="364" t="s">
        <v>204</v>
      </c>
      <c r="D11" s="353">
        <v>6851</v>
      </c>
      <c r="E11" s="365">
        <v>527</v>
      </c>
      <c r="F11" s="353">
        <v>0</v>
      </c>
      <c r="G11" s="366">
        <f>E11*F11</f>
        <v>0</v>
      </c>
      <c r="H11" s="355">
        <f>(F11+Q11)*10</f>
        <v>0</v>
      </c>
      <c r="I11" s="356"/>
      <c r="J11" s="353">
        <v>0</v>
      </c>
      <c r="K11" s="353">
        <f>+'10.26-11.10(SI)'!I28</f>
        <v>0</v>
      </c>
      <c r="L11" s="353">
        <v>0</v>
      </c>
      <c r="M11" s="353">
        <v>0</v>
      </c>
      <c r="N11" s="353">
        <f>+'10.26-11.10(SI)'!P28</f>
        <v>0</v>
      </c>
      <c r="O11" s="353">
        <f>+'10.26-11.10(SI)'!Q28</f>
        <v>0</v>
      </c>
      <c r="P11" s="367">
        <v>0</v>
      </c>
      <c r="Q11" s="353"/>
      <c r="R11" s="356">
        <f t="shared" si="3"/>
        <v>0</v>
      </c>
      <c r="S11" s="353">
        <v>0</v>
      </c>
      <c r="T11" s="356">
        <f t="shared" si="4"/>
        <v>0</v>
      </c>
      <c r="U11" s="353"/>
      <c r="V11" s="356">
        <f t="shared" si="5"/>
        <v>0</v>
      </c>
      <c r="W11" s="353"/>
      <c r="X11" s="368">
        <f>+G11+H11+P11+R11+T11+V11+W11+I11</f>
        <v>0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6</v>
      </c>
      <c r="G12" s="141">
        <f t="shared" ref="G12" si="7">E12*F12</f>
        <v>3162</v>
      </c>
      <c r="H12" s="20">
        <f t="shared" ref="H12" si="8">(F12+Q12)*10</f>
        <v>60</v>
      </c>
      <c r="I12" s="21"/>
      <c r="J12" s="73">
        <v>0</v>
      </c>
      <c r="K12" s="73"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 t="shared" si="2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3"/>
      <c r="V12" s="21">
        <f>(E12/8/10)*U12</f>
        <v>0</v>
      </c>
      <c r="W12" s="73"/>
      <c r="X12" s="137">
        <f>+G12+H12+P12+R12+T12+V12+W12+I12</f>
        <v>3222</v>
      </c>
    </row>
    <row r="13" spans="1:26" s="138" customFormat="1" ht="12" customHeight="1" thickBot="1" x14ac:dyDescent="0.25">
      <c r="A13" s="139">
        <v>7</v>
      </c>
      <c r="B13" s="22" t="s">
        <v>303</v>
      </c>
      <c r="C13" s="72" t="s">
        <v>268</v>
      </c>
      <c r="D13" s="73">
        <v>6851</v>
      </c>
      <c r="E13" s="130">
        <v>527</v>
      </c>
      <c r="F13" s="353">
        <v>5</v>
      </c>
      <c r="G13" s="141">
        <f>E13*F13</f>
        <v>2635</v>
      </c>
      <c r="H13" s="20">
        <f>(F13+Q13)*10</f>
        <v>50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2"/>
        <v>0</v>
      </c>
      <c r="Q13" s="73"/>
      <c r="R13" s="21">
        <f t="shared" si="3"/>
        <v>0</v>
      </c>
      <c r="S13" s="73">
        <v>0</v>
      </c>
      <c r="T13" s="21">
        <f t="shared" si="4"/>
        <v>0</v>
      </c>
      <c r="U13" s="353"/>
      <c r="V13" s="21">
        <f t="shared" si="5"/>
        <v>0</v>
      </c>
      <c r="W13" s="73"/>
      <c r="X13" s="137">
        <f t="shared" si="0"/>
        <v>2685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ref="E14:E16" si="9">+D14/13</f>
        <v>0</v>
      </c>
      <c r="F14" s="140"/>
      <c r="G14" s="141">
        <f t="shared" si="6"/>
        <v>0</v>
      </c>
      <c r="H14" s="20">
        <f t="shared" si="1"/>
        <v>0</v>
      </c>
      <c r="I14" s="1"/>
      <c r="J14" s="73"/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>
        <f t="shared" si="5"/>
        <v>0</v>
      </c>
      <c r="W14" s="15"/>
      <c r="X14" s="137">
        <f t="shared" ref="X14:X16" si="10">+G14+H14+P14+R14+T14+V14+W14+I14</f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9"/>
        <v>0</v>
      </c>
      <c r="F15" s="140"/>
      <c r="G15" s="141">
        <f t="shared" si="6"/>
        <v>0</v>
      </c>
      <c r="H15" s="21">
        <f t="shared" ref="H15:H16" si="11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 t="shared" si="5"/>
        <v>0</v>
      </c>
      <c r="W15" s="15"/>
      <c r="X15" s="137">
        <f t="shared" si="10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si="6"/>
        <v>0</v>
      </c>
      <c r="H16" s="21">
        <f t="shared" si="11"/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 t="shared" si="5"/>
        <v>0</v>
      </c>
      <c r="W16" s="15"/>
      <c r="X16" s="137">
        <f t="shared" si="10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26350</v>
      </c>
      <c r="H18" s="3">
        <f>SUM(H7:H16)</f>
        <v>465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26815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7"/>
      <c r="B20" s="399" t="s">
        <v>0</v>
      </c>
      <c r="C20" s="401" t="s">
        <v>1</v>
      </c>
      <c r="D20" s="403" t="s">
        <v>3</v>
      </c>
      <c r="E20" s="405" t="s">
        <v>22</v>
      </c>
      <c r="F20" s="412" t="s">
        <v>2</v>
      </c>
      <c r="G20" s="416" t="s">
        <v>21</v>
      </c>
      <c r="H20" s="403" t="s">
        <v>2</v>
      </c>
      <c r="I20" s="408" t="s">
        <v>126</v>
      </c>
      <c r="J20" s="425" t="s">
        <v>4</v>
      </c>
      <c r="K20" s="427" t="s">
        <v>23</v>
      </c>
      <c r="L20" s="403" t="s">
        <v>5</v>
      </c>
      <c r="M20" s="403" t="s">
        <v>6</v>
      </c>
      <c r="N20" s="403" t="s">
        <v>24</v>
      </c>
      <c r="O20" s="403" t="s">
        <v>7</v>
      </c>
      <c r="P20" s="423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8"/>
      <c r="B21" s="400"/>
      <c r="C21" s="402"/>
      <c r="D21" s="404"/>
      <c r="E21" s="406"/>
      <c r="F21" s="413"/>
      <c r="G21" s="417"/>
      <c r="H21" s="407"/>
      <c r="I21" s="409"/>
      <c r="J21" s="426"/>
      <c r="K21" s="428"/>
      <c r="L21" s="407"/>
      <c r="M21" s="407"/>
      <c r="N21" s="404"/>
      <c r="O21" s="407"/>
      <c r="P21" s="424"/>
      <c r="R21" s="250" t="str">
        <f>D3</f>
        <v>June 1-13,2020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2">+X7</f>
        <v>6966</v>
      </c>
      <c r="E22" s="354">
        <v>0.5</v>
      </c>
      <c r="F22" s="355">
        <f>+E22*E7</f>
        <v>263.5</v>
      </c>
      <c r="G22" s="354"/>
      <c r="H22" s="355">
        <f>(+E7/8)*G22</f>
        <v>0</v>
      </c>
      <c r="I22" s="354"/>
      <c r="J22" s="155"/>
      <c r="K22" s="358"/>
      <c r="L22" s="15"/>
      <c r="M22" s="156"/>
      <c r="N22" s="358"/>
      <c r="O22" s="156"/>
      <c r="P22" s="158">
        <f t="shared" ref="P22:P27" si="13">+D22-F22-H22-J22-K22-L22-M22-N22-O22-I22</f>
        <v>6702.5</v>
      </c>
      <c r="R22" s="71">
        <f t="shared" ref="R22:R31" si="14">G7+H7+P7+R7+T7+V7+W7-F22-H22</f>
        <v>6702.5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6971</v>
      </c>
      <c r="E23" s="353">
        <v>0</v>
      </c>
      <c r="F23" s="356">
        <f t="shared" ref="F23:F31" si="15">+E23*E8</f>
        <v>0</v>
      </c>
      <c r="G23" s="353"/>
      <c r="H23" s="356">
        <f t="shared" ref="H23:H31" si="16">(+E8/8)*G23</f>
        <v>0</v>
      </c>
      <c r="I23" s="353"/>
      <c r="J23" s="15"/>
      <c r="K23" s="15"/>
      <c r="L23" s="15"/>
      <c r="M23" s="18"/>
      <c r="N23" s="15"/>
      <c r="O23" s="18"/>
      <c r="P23" s="158">
        <f t="shared" si="13"/>
        <v>6971</v>
      </c>
      <c r="R23" s="71">
        <f>G8+H8+P8+R8+T8+V8+W8-F23-H23</f>
        <v>6971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2"/>
        <v>0</v>
      </c>
      <c r="E24" s="353">
        <v>0</v>
      </c>
      <c r="F24" s="356">
        <f t="shared" si="15"/>
        <v>0</v>
      </c>
      <c r="G24" s="353"/>
      <c r="H24" s="356">
        <f>(+E9/8)*G24</f>
        <v>0</v>
      </c>
      <c r="I24" s="353"/>
      <c r="J24" s="15"/>
      <c r="K24" s="360"/>
      <c r="L24" s="15"/>
      <c r="M24" s="18"/>
      <c r="N24" s="360"/>
      <c r="O24" s="18"/>
      <c r="P24" s="158">
        <f t="shared" si="13"/>
        <v>0</v>
      </c>
      <c r="R24" s="71">
        <f t="shared" si="14"/>
        <v>0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2"/>
        <v>6971</v>
      </c>
      <c r="E25" s="353">
        <v>0</v>
      </c>
      <c r="F25" s="356">
        <f t="shared" si="15"/>
        <v>0</v>
      </c>
      <c r="G25" s="353"/>
      <c r="H25" s="356">
        <f t="shared" ref="H25:H27" si="17">(+E10/8)*G25</f>
        <v>0</v>
      </c>
      <c r="I25" s="353"/>
      <c r="J25" s="15"/>
      <c r="K25" s="360"/>
      <c r="L25" s="15"/>
      <c r="M25" s="18"/>
      <c r="N25" s="15"/>
      <c r="O25" s="18"/>
      <c r="P25" s="158">
        <f t="shared" si="13"/>
        <v>6971</v>
      </c>
      <c r="R25" s="71">
        <f t="shared" si="14"/>
        <v>6971</v>
      </c>
    </row>
    <row r="26" spans="1:24" s="138" customFormat="1" ht="12" customHeight="1" x14ac:dyDescent="0.2">
      <c r="A26" s="139">
        <v>5</v>
      </c>
      <c r="B26" s="22" t="str">
        <f t="shared" ref="B26:B31" si="18">+B11</f>
        <v>Briones, Christian Joy</v>
      </c>
      <c r="C26" s="248" t="str">
        <f t="shared" ref="C26:C31" si="19">C11</f>
        <v>Asst. Cook</v>
      </c>
      <c r="D26" s="141">
        <f t="shared" si="12"/>
        <v>0</v>
      </c>
      <c r="E26" s="353">
        <v>0</v>
      </c>
      <c r="F26" s="356">
        <f t="shared" si="15"/>
        <v>0</v>
      </c>
      <c r="G26" s="353"/>
      <c r="H26" s="356">
        <f t="shared" si="17"/>
        <v>0</v>
      </c>
      <c r="I26" s="353"/>
      <c r="J26" s="15"/>
      <c r="K26" s="15"/>
      <c r="L26" s="15"/>
      <c r="M26" s="18"/>
      <c r="N26" s="15"/>
      <c r="O26" s="18"/>
      <c r="P26" s="158">
        <f t="shared" si="13"/>
        <v>0</v>
      </c>
      <c r="R26" s="71">
        <f t="shared" si="14"/>
        <v>0</v>
      </c>
    </row>
    <row r="27" spans="1:24" s="138" customFormat="1" ht="12" customHeight="1" x14ac:dyDescent="0.2">
      <c r="A27" s="139">
        <v>6</v>
      </c>
      <c r="B27" s="22" t="str">
        <f t="shared" si="18"/>
        <v>Cahilig,Benzen</v>
      </c>
      <c r="C27" s="248" t="str">
        <f t="shared" si="19"/>
        <v>Cook</v>
      </c>
      <c r="D27" s="141">
        <f>+X12</f>
        <v>3222</v>
      </c>
      <c r="E27" s="353">
        <v>0</v>
      </c>
      <c r="F27" s="356">
        <f t="shared" si="15"/>
        <v>0</v>
      </c>
      <c r="G27" s="353"/>
      <c r="H27" s="356">
        <f t="shared" si="17"/>
        <v>0</v>
      </c>
      <c r="I27" s="353"/>
      <c r="J27" s="15"/>
      <c r="K27" s="15"/>
      <c r="L27" s="15"/>
      <c r="M27" s="18"/>
      <c r="N27" s="15"/>
      <c r="O27" s="18"/>
      <c r="P27" s="158">
        <f t="shared" si="13"/>
        <v>3222</v>
      </c>
      <c r="R27" s="71">
        <f>G12+H12+P12+R12+T12+V12+W12-F27-H27</f>
        <v>3222</v>
      </c>
    </row>
    <row r="28" spans="1:24" s="138" customFormat="1" ht="12" customHeight="1" x14ac:dyDescent="0.2">
      <c r="A28" s="139">
        <v>7</v>
      </c>
      <c r="B28" s="22" t="str">
        <f t="shared" si="18"/>
        <v>Ruel Hayagan</v>
      </c>
      <c r="C28" s="248" t="str">
        <f t="shared" si="19"/>
        <v>Cook</v>
      </c>
      <c r="D28" s="141">
        <f t="shared" si="12"/>
        <v>2685</v>
      </c>
      <c r="E28" s="353">
        <v>0</v>
      </c>
      <c r="F28" s="356">
        <f t="shared" si="15"/>
        <v>0</v>
      </c>
      <c r="G28" s="353"/>
      <c r="H28" s="356">
        <f>(+E13/8)*G28</f>
        <v>0</v>
      </c>
      <c r="I28" s="353"/>
      <c r="J28" s="15"/>
      <c r="K28" s="15"/>
      <c r="L28" s="15"/>
      <c r="M28" s="18"/>
      <c r="N28" s="15"/>
      <c r="O28" s="18"/>
      <c r="P28" s="158">
        <f>+D28-F28-H28-J28-K28-L28-M28-N28-O28-I28</f>
        <v>2685</v>
      </c>
      <c r="R28" s="71">
        <f t="shared" si="14"/>
        <v>2685</v>
      </c>
    </row>
    <row r="29" spans="1:24" s="138" customFormat="1" ht="12" customHeight="1" x14ac:dyDescent="0.2">
      <c r="A29" s="139">
        <v>8</v>
      </c>
      <c r="B29" s="22">
        <f t="shared" si="18"/>
        <v>0</v>
      </c>
      <c r="C29" s="248">
        <f t="shared" si="19"/>
        <v>0</v>
      </c>
      <c r="D29" s="141">
        <f t="shared" si="12"/>
        <v>0</v>
      </c>
      <c r="E29" s="353"/>
      <c r="F29" s="356">
        <f t="shared" si="15"/>
        <v>0</v>
      </c>
      <c r="G29" s="353"/>
      <c r="H29" s="356">
        <f t="shared" si="16"/>
        <v>0</v>
      </c>
      <c r="I29" s="353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4"/>
        <v>0</v>
      </c>
    </row>
    <row r="30" spans="1:24" s="138" customFormat="1" ht="12" customHeight="1" x14ac:dyDescent="0.2">
      <c r="A30" s="139">
        <v>9</v>
      </c>
      <c r="B30" s="22">
        <f t="shared" si="18"/>
        <v>0</v>
      </c>
      <c r="C30" s="248">
        <f t="shared" si="19"/>
        <v>0</v>
      </c>
      <c r="D30" s="141">
        <f t="shared" si="12"/>
        <v>0</v>
      </c>
      <c r="E30" s="353"/>
      <c r="F30" s="356">
        <f t="shared" si="15"/>
        <v>0</v>
      </c>
      <c r="G30" s="353"/>
      <c r="H30" s="356">
        <f t="shared" si="16"/>
        <v>0</v>
      </c>
      <c r="I30" s="353"/>
      <c r="J30" s="15"/>
      <c r="K30" s="15"/>
      <c r="L30" s="15"/>
      <c r="M30" s="18"/>
      <c r="N30" s="15"/>
      <c r="O30" s="18"/>
      <c r="P30" s="158">
        <f t="shared" ref="P30:P31" si="20">+D30-F30-H30-J30-K30-L30-M30-N30-O30-I30</f>
        <v>0</v>
      </c>
      <c r="R30" s="71">
        <f t="shared" si="14"/>
        <v>0</v>
      </c>
    </row>
    <row r="31" spans="1:24" s="138" customFormat="1" ht="12" customHeight="1" x14ac:dyDescent="0.2">
      <c r="A31" s="139">
        <v>10</v>
      </c>
      <c r="B31" s="22">
        <f t="shared" si="18"/>
        <v>0</v>
      </c>
      <c r="C31" s="248">
        <f t="shared" si="19"/>
        <v>0</v>
      </c>
      <c r="D31" s="141">
        <f t="shared" si="12"/>
        <v>0</v>
      </c>
      <c r="E31" s="15"/>
      <c r="F31" s="21">
        <f t="shared" si="15"/>
        <v>0</v>
      </c>
      <c r="G31" s="159"/>
      <c r="H31" s="21">
        <f t="shared" si="16"/>
        <v>0</v>
      </c>
      <c r="I31" s="122"/>
      <c r="J31" s="15"/>
      <c r="K31" s="15"/>
      <c r="L31" s="15"/>
      <c r="M31" s="18"/>
      <c r="N31" s="15"/>
      <c r="O31" s="18"/>
      <c r="P31" s="158">
        <f t="shared" si="20"/>
        <v>0</v>
      </c>
      <c r="R31" s="71">
        <f t="shared" si="14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26815</v>
      </c>
      <c r="E33" s="4">
        <f>+SUM(E22:E32)</f>
        <v>0.5</v>
      </c>
      <c r="F33" s="3">
        <f>SUM(F22:F32)</f>
        <v>263.5</v>
      </c>
      <c r="G33" s="4"/>
      <c r="H33" s="3">
        <f>SUM(H22:H32)</f>
        <v>0</v>
      </c>
      <c r="I33" s="3">
        <f>+SUM(I22:I32)</f>
        <v>0</v>
      </c>
      <c r="J33" s="3">
        <f t="shared" ref="J33:O33" si="21">+SUM(J22:J32)</f>
        <v>0</v>
      </c>
      <c r="K33" s="3">
        <f t="shared" si="21"/>
        <v>0</v>
      </c>
      <c r="L33" s="3">
        <f t="shared" si="21"/>
        <v>0</v>
      </c>
      <c r="M33" s="3">
        <f t="shared" si="21"/>
        <v>0</v>
      </c>
      <c r="N33" s="3">
        <f t="shared" si="21"/>
        <v>0</v>
      </c>
      <c r="O33" s="3">
        <f t="shared" si="21"/>
        <v>0</v>
      </c>
      <c r="P33" s="5">
        <f>+SUM(P22:P32)</f>
        <v>26551.5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2">B22</f>
        <v>Biarcal, Ronald Glenn</v>
      </c>
      <c r="N35" s="165"/>
      <c r="O35" s="16">
        <f>300/2</f>
        <v>150</v>
      </c>
      <c r="P35" s="16">
        <v>884</v>
      </c>
      <c r="Q35" s="16">
        <v>0</v>
      </c>
      <c r="S35" s="166">
        <f t="shared" ref="S35:S41" si="23">+P22+(SUM(O35:Q35))</f>
        <v>7736.5</v>
      </c>
    </row>
    <row r="36" spans="1:25" x14ac:dyDescent="0.2">
      <c r="M36" s="16" t="str">
        <f t="shared" si="22"/>
        <v>Sanchez, Angelo</v>
      </c>
      <c r="N36" s="165"/>
      <c r="O36" s="16">
        <v>0</v>
      </c>
      <c r="P36" s="16">
        <f>((1000/2)/13)*(13-E23)+500</f>
        <v>1000</v>
      </c>
      <c r="Q36" s="273">
        <v>0</v>
      </c>
      <c r="S36" s="166">
        <f t="shared" si="23"/>
        <v>7971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297</v>
      </c>
      <c r="M37" s="16" t="str">
        <f t="shared" si="22"/>
        <v>Dino, Joyce</v>
      </c>
      <c r="N37" s="165"/>
      <c r="O37" s="16">
        <v>0</v>
      </c>
      <c r="P37" s="16">
        <v>0</v>
      </c>
      <c r="Q37" s="16">
        <v>0</v>
      </c>
      <c r="S37" s="166">
        <f t="shared" si="23"/>
        <v>0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2"/>
        <v xml:space="preserve">Sosa, Anna Marie </v>
      </c>
      <c r="N38" s="165"/>
      <c r="O38" s="16">
        <f>300/2</f>
        <v>150</v>
      </c>
      <c r="P38" s="16">
        <v>884</v>
      </c>
      <c r="Q38" s="16">
        <v>0</v>
      </c>
      <c r="S38" s="166">
        <f t="shared" si="23"/>
        <v>8005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22"/>
        <v>Briones, Christian Joy</v>
      </c>
      <c r="O39" s="16">
        <v>0</v>
      </c>
      <c r="P39" s="16">
        <v>0</v>
      </c>
      <c r="Q39" s="16">
        <v>0</v>
      </c>
      <c r="S39" s="166">
        <f>+P26+(SUM(O39:Q39))</f>
        <v>0</v>
      </c>
      <c r="T39" s="361"/>
      <c r="U39" s="334"/>
      <c r="V39" s="334"/>
      <c r="W39" s="334"/>
      <c r="X39" s="334"/>
      <c r="Y39" s="334"/>
    </row>
    <row r="40" spans="1:25" x14ac:dyDescent="0.2">
      <c r="M40" s="16" t="str">
        <f t="shared" si="22"/>
        <v>Cahilig,Benzen</v>
      </c>
      <c r="O40" s="16">
        <v>0</v>
      </c>
      <c r="P40" s="16">
        <v>0</v>
      </c>
      <c r="Q40" s="16">
        <v>0</v>
      </c>
      <c r="S40" s="166">
        <f t="shared" si="23"/>
        <v>3222</v>
      </c>
    </row>
    <row r="41" spans="1:25" x14ac:dyDescent="0.2">
      <c r="M41" s="16" t="str">
        <f t="shared" si="22"/>
        <v>Ruel Hayagan</v>
      </c>
      <c r="O41" s="16">
        <v>0</v>
      </c>
      <c r="P41" s="16">
        <v>0</v>
      </c>
      <c r="Q41" s="16">
        <v>0</v>
      </c>
      <c r="S41" s="166">
        <f t="shared" si="23"/>
        <v>2685</v>
      </c>
    </row>
    <row r="42" spans="1:25" x14ac:dyDescent="0.2">
      <c r="M42" s="16">
        <f t="shared" si="22"/>
        <v>0</v>
      </c>
      <c r="O42" s="16">
        <v>0</v>
      </c>
      <c r="P42" s="16">
        <v>0</v>
      </c>
      <c r="Q42" s="16">
        <v>0</v>
      </c>
      <c r="S42" s="166">
        <f t="shared" ref="S42:S44" si="24">+P29+(SUM(O42:Q42))</f>
        <v>0</v>
      </c>
    </row>
    <row r="43" spans="1:25" x14ac:dyDescent="0.2">
      <c r="M43" s="16">
        <f t="shared" si="22"/>
        <v>0</v>
      </c>
      <c r="O43" s="16">
        <v>0</v>
      </c>
      <c r="P43" s="16">
        <v>0</v>
      </c>
      <c r="Q43" s="16">
        <v>0</v>
      </c>
      <c r="S43" s="166">
        <f t="shared" si="24"/>
        <v>0</v>
      </c>
    </row>
    <row r="44" spans="1:25" x14ac:dyDescent="0.2">
      <c r="M44" s="16">
        <f t="shared" si="22"/>
        <v>0</v>
      </c>
      <c r="O44" s="16">
        <v>0</v>
      </c>
      <c r="P44" s="16">
        <v>0</v>
      </c>
      <c r="Q44" s="16">
        <v>0</v>
      </c>
      <c r="S44" s="166">
        <f t="shared" si="24"/>
        <v>0</v>
      </c>
    </row>
    <row r="46" spans="1:25" x14ac:dyDescent="0.2">
      <c r="P46" s="169">
        <f>+P33+(SUM(O35:Q44))</f>
        <v>29619.5</v>
      </c>
    </row>
    <row r="53" spans="1:16" ht="13.5" thickBot="1" x14ac:dyDescent="0.25"/>
    <row r="54" spans="1:16" ht="13.5" thickBot="1" x14ac:dyDescent="0.25">
      <c r="A54" s="397"/>
      <c r="B54" s="399" t="s">
        <v>0</v>
      </c>
      <c r="C54" s="401" t="s">
        <v>1</v>
      </c>
      <c r="D54" s="403" t="s">
        <v>45</v>
      </c>
      <c r="E54" s="438" t="s">
        <v>151</v>
      </c>
      <c r="F54" s="435" t="s">
        <v>151</v>
      </c>
      <c r="G54" s="436"/>
      <c r="H54" s="421"/>
      <c r="I54" s="423" t="s">
        <v>3</v>
      </c>
      <c r="J54" s="437" t="s">
        <v>114</v>
      </c>
      <c r="K54" s="433" t="s">
        <v>115</v>
      </c>
      <c r="L54" s="433" t="s">
        <v>116</v>
      </c>
      <c r="N54" s="432" t="s">
        <v>102</v>
      </c>
    </row>
    <row r="55" spans="1:16" ht="13.5" thickBot="1" x14ac:dyDescent="0.25">
      <c r="A55" s="398"/>
      <c r="B55" s="400"/>
      <c r="C55" s="402"/>
      <c r="D55" s="440"/>
      <c r="E55" s="439"/>
      <c r="F55" s="245" t="s">
        <v>117</v>
      </c>
      <c r="G55" s="246" t="s">
        <v>301</v>
      </c>
      <c r="H55" s="422"/>
      <c r="I55" s="424"/>
      <c r="J55" s="437"/>
      <c r="K55" s="433"/>
      <c r="L55" s="433"/>
      <c r="N55" s="432"/>
    </row>
    <row r="56" spans="1:16" ht="13.5" thickBot="1" x14ac:dyDescent="0.25">
      <c r="A56" s="153">
        <v>1</v>
      </c>
      <c r="B56" s="49" t="str">
        <f t="shared" ref="B56:C65" si="25">+B22</f>
        <v>Biarcal, Ronald Glenn</v>
      </c>
      <c r="C56" s="49" t="str">
        <f t="shared" si="25"/>
        <v>M.T.Purchaser</v>
      </c>
      <c r="D56" s="133"/>
      <c r="E56" s="157"/>
      <c r="F56" s="236"/>
      <c r="G56" s="236"/>
      <c r="H56" s="157">
        <v>0</v>
      </c>
      <c r="I56" s="158">
        <f t="shared" ref="I56:I58" si="26">+D22-F22-H22-D56-J22-K22-L22-M22-N22-O22-E56-H56-F56-G56-I22</f>
        <v>6702.5</v>
      </c>
      <c r="J56" s="274">
        <f>+O35</f>
        <v>150</v>
      </c>
      <c r="K56" s="274">
        <v>884</v>
      </c>
      <c r="L56" s="274">
        <f t="shared" ref="K56:L60" si="27">+Q35</f>
        <v>0</v>
      </c>
      <c r="N56" s="165">
        <f t="shared" ref="N56:N57" si="28">+I56+J56+K56</f>
        <v>7736.5</v>
      </c>
    </row>
    <row r="57" spans="1:16" ht="13.5" thickBot="1" x14ac:dyDescent="0.25">
      <c r="A57" s="139">
        <v>2</v>
      </c>
      <c r="B57" s="22" t="str">
        <f t="shared" si="25"/>
        <v>Sanchez, Angelo</v>
      </c>
      <c r="C57" s="248" t="str">
        <f t="shared" si="25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6971</v>
      </c>
      <c r="J57" s="274">
        <f>+O36</f>
        <v>0</v>
      </c>
      <c r="K57" s="274">
        <f t="shared" si="27"/>
        <v>1000</v>
      </c>
      <c r="L57" s="274">
        <f t="shared" si="27"/>
        <v>0</v>
      </c>
      <c r="N57" s="165">
        <f t="shared" si="28"/>
        <v>7971</v>
      </c>
    </row>
    <row r="58" spans="1:16" ht="13.5" thickBot="1" x14ac:dyDescent="0.25">
      <c r="A58" s="139">
        <v>3</v>
      </c>
      <c r="B58" s="22" t="str">
        <f t="shared" si="25"/>
        <v>Dino, Joyce</v>
      </c>
      <c r="C58" s="248" t="str">
        <f t="shared" si="25"/>
        <v>Store Manager</v>
      </c>
      <c r="D58" s="73"/>
      <c r="E58" s="122"/>
      <c r="F58" s="18"/>
      <c r="G58" s="236"/>
      <c r="H58" s="157">
        <v>0</v>
      </c>
      <c r="I58" s="158">
        <f t="shared" si="26"/>
        <v>0</v>
      </c>
      <c r="J58" s="274">
        <v>0</v>
      </c>
      <c r="K58" s="274">
        <v>0</v>
      </c>
      <c r="L58" s="274">
        <f t="shared" si="27"/>
        <v>0</v>
      </c>
      <c r="N58" s="165">
        <f>+I58+J58+K58</f>
        <v>0</v>
      </c>
      <c r="P58" s="165"/>
    </row>
    <row r="59" spans="1:16" ht="13.5" thickBot="1" x14ac:dyDescent="0.25">
      <c r="A59" s="139">
        <v>4</v>
      </c>
      <c r="B59" s="22" t="str">
        <f t="shared" si="25"/>
        <v xml:space="preserve">Sosa, Anna Marie </v>
      </c>
      <c r="C59" s="248" t="str">
        <f t="shared" si="25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6971</v>
      </c>
      <c r="J59" s="274">
        <f>+O38</f>
        <v>150</v>
      </c>
      <c r="K59" s="274">
        <f t="shared" si="27"/>
        <v>884</v>
      </c>
      <c r="L59" s="274">
        <f t="shared" si="27"/>
        <v>0</v>
      </c>
      <c r="N59" s="165">
        <f>+I59+J59+K59</f>
        <v>8005</v>
      </c>
    </row>
    <row r="60" spans="1:16" ht="13.5" thickBot="1" x14ac:dyDescent="0.25">
      <c r="A60" s="139">
        <v>5</v>
      </c>
      <c r="B60" s="22" t="str">
        <f t="shared" si="25"/>
        <v>Briones, Christian Joy</v>
      </c>
      <c r="C60" s="248" t="str">
        <f t="shared" si="25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0</v>
      </c>
      <c r="J60" s="274">
        <f>+O39</f>
        <v>0</v>
      </c>
      <c r="K60" s="274">
        <f t="shared" si="27"/>
        <v>0</v>
      </c>
      <c r="L60" s="274">
        <f t="shared" si="27"/>
        <v>0</v>
      </c>
      <c r="N60" s="165">
        <f>+I60+J60+K60</f>
        <v>0</v>
      </c>
    </row>
    <row r="61" spans="1:16" ht="13.5" thickBot="1" x14ac:dyDescent="0.25">
      <c r="A61" s="139">
        <v>6</v>
      </c>
      <c r="B61" s="22" t="str">
        <f t="shared" si="25"/>
        <v>Cahilig,Benzen</v>
      </c>
      <c r="C61" s="248" t="str">
        <f t="shared" si="25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3222</v>
      </c>
      <c r="N61" s="165">
        <f>+I61+J61+K61</f>
        <v>3222</v>
      </c>
    </row>
    <row r="62" spans="1:16" x14ac:dyDescent="0.2">
      <c r="A62" s="139">
        <v>7</v>
      </c>
      <c r="B62" s="22" t="str">
        <f t="shared" si="25"/>
        <v>Ruel Hayagan</v>
      </c>
      <c r="C62" s="248" t="str">
        <f t="shared" si="25"/>
        <v>Cook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2685</v>
      </c>
      <c r="N62" s="165">
        <f>+I62+J62+K62</f>
        <v>2685</v>
      </c>
    </row>
    <row r="63" spans="1:16" x14ac:dyDescent="0.2">
      <c r="A63" s="139">
        <v>8</v>
      </c>
      <c r="B63" s="22">
        <f t="shared" si="25"/>
        <v>0</v>
      </c>
      <c r="C63" s="248">
        <f t="shared" si="25"/>
        <v>0</v>
      </c>
      <c r="D63" s="73"/>
      <c r="E63" s="122"/>
      <c r="F63" s="122"/>
      <c r="G63" s="122"/>
      <c r="H63" s="15">
        <v>0</v>
      </c>
      <c r="I63" s="158">
        <f t="shared" ref="I63:I65" si="29">+D29-F29-H29-D63-J29-K29-L29-M29-N29-O29-E63-H63-F63-G63-I29</f>
        <v>0</v>
      </c>
    </row>
    <row r="64" spans="1:16" x14ac:dyDescent="0.2">
      <c r="A64" s="139">
        <v>9</v>
      </c>
      <c r="B64" s="22">
        <f t="shared" si="25"/>
        <v>0</v>
      </c>
      <c r="C64" s="248">
        <f t="shared" si="25"/>
        <v>0</v>
      </c>
      <c r="D64" s="73"/>
      <c r="E64" s="122"/>
      <c r="F64" s="122"/>
      <c r="G64" s="122"/>
      <c r="H64" s="15">
        <v>0</v>
      </c>
      <c r="I64" s="158">
        <f t="shared" si="29"/>
        <v>0</v>
      </c>
    </row>
    <row r="65" spans="1:14" x14ac:dyDescent="0.2">
      <c r="A65" s="139">
        <v>10</v>
      </c>
      <c r="B65" s="22">
        <f t="shared" si="25"/>
        <v>0</v>
      </c>
      <c r="C65" s="248">
        <f t="shared" si="25"/>
        <v>0</v>
      </c>
      <c r="D65" s="22"/>
      <c r="E65" s="122"/>
      <c r="F65" s="122"/>
      <c r="G65" s="122"/>
      <c r="H65" s="15">
        <v>0</v>
      </c>
      <c r="I65" s="158">
        <f t="shared" si="29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26551.5</v>
      </c>
      <c r="N67" s="275">
        <f>SUM(N56:N66)</f>
        <v>29619.5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4:W15" name="g. adjustmetn_1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8" t="str">
        <f>'1-13'!A1</f>
        <v>THE OLD SPAGHETTI HOUSE</v>
      </c>
      <c r="C2" s="449"/>
      <c r="D2" s="449"/>
      <c r="E2" s="449"/>
      <c r="F2" s="449"/>
      <c r="G2" s="449"/>
      <c r="H2" s="450"/>
      <c r="I2" s="178"/>
      <c r="J2" s="448" t="str">
        <f>'1-13'!A1</f>
        <v>THE OLD SPAGHETTI HOUSE</v>
      </c>
      <c r="K2" s="449"/>
      <c r="L2" s="449"/>
      <c r="M2" s="449"/>
      <c r="N2" s="449"/>
      <c r="O2" s="449"/>
      <c r="P2" s="450"/>
    </row>
    <row r="3" spans="1:22" s="179" customFormat="1" x14ac:dyDescent="0.2">
      <c r="A3" s="170"/>
      <c r="B3" s="451" t="str">
        <f>'1-13'!D2</f>
        <v>VALERO</v>
      </c>
      <c r="C3" s="452"/>
      <c r="D3" s="452"/>
      <c r="E3" s="452"/>
      <c r="F3" s="452"/>
      <c r="G3" s="452"/>
      <c r="H3" s="453"/>
      <c r="I3" s="178"/>
      <c r="J3" s="451" t="str">
        <f>'1-13'!D2</f>
        <v>VALERO</v>
      </c>
      <c r="K3" s="452"/>
      <c r="L3" s="452"/>
      <c r="M3" s="452"/>
      <c r="N3" s="452"/>
      <c r="O3" s="452"/>
      <c r="P3" s="453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54" t="s">
        <v>25</v>
      </c>
      <c r="C5" s="455"/>
      <c r="D5" s="455"/>
      <c r="E5" s="455"/>
      <c r="F5" s="455"/>
      <c r="G5" s="455"/>
      <c r="H5" s="456"/>
      <c r="I5" s="178"/>
      <c r="J5" s="454" t="s">
        <v>25</v>
      </c>
      <c r="K5" s="455"/>
      <c r="L5" s="455"/>
      <c r="M5" s="455"/>
      <c r="N5" s="455"/>
      <c r="O5" s="455"/>
      <c r="P5" s="456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'1-13'!B7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'1-13'!B8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f>'1-13'!E7</f>
        <v>527</v>
      </c>
      <c r="E8" s="446"/>
      <c r="F8" s="446"/>
      <c r="G8" s="55"/>
      <c r="H8" s="196"/>
      <c r="I8" s="195"/>
      <c r="J8" s="192" t="s">
        <v>28</v>
      </c>
      <c r="K8" s="193" t="s">
        <v>27</v>
      </c>
      <c r="L8" s="446">
        <f>'1-13'!E8</f>
        <v>527</v>
      </c>
      <c r="M8" s="446"/>
      <c r="N8" s="446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7" t="str">
        <f>'1-13'!D3</f>
        <v>June 1-13,2020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'1-13'!D3</f>
        <v>June 1-13,2020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'1-13'!G7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'1-13'!G8</f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'1-13'!F7</f>
        <v>11.5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'1-13'!F8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'1-13'!P7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'1-13'!P8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'1-13'!H7</f>
        <v>115</v>
      </c>
      <c r="G14" s="55"/>
      <c r="H14" s="58"/>
      <c r="I14" s="195"/>
      <c r="J14" s="192"/>
      <c r="K14" s="193"/>
      <c r="L14" s="204" t="s">
        <v>95</v>
      </c>
      <c r="M14" s="205"/>
      <c r="N14" s="9">
        <f>'1-13'!H8</f>
        <v>120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'1-13'!R7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'1-13'!R8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'1-13'!T7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'1-13'!T8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'1-13'!V7+'1-13'!W7+'1-13'!O35+'1-13'!P35+'1-13'!Q35</f>
        <v>1034</v>
      </c>
      <c r="G17" s="55"/>
      <c r="H17" s="56">
        <f>SUM(F13:F17)</f>
        <v>1149</v>
      </c>
      <c r="I17" s="195"/>
      <c r="J17" s="192"/>
      <c r="K17" s="193"/>
      <c r="L17" s="204" t="s">
        <v>99</v>
      </c>
      <c r="M17" s="205"/>
      <c r="N17" s="11">
        <f>'1-13'!V8+'1-13'!W8+'1-13'!O36+'1-13'!P36+'1-13'!Q36</f>
        <v>1000</v>
      </c>
      <c r="O17" s="9"/>
      <c r="P17" s="10">
        <f>SUM(N13:N17)</f>
        <v>1120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'1-13'!J22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'1-13'!J23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'1-13'!K22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'1-13'!K23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'1-13'!L22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'1-13'!L23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'1-13'!O22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'1-13'!O23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+'1-13'!E56+'1-13'!F56+'1-13'!G56+'1-13'!H56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+'1-13'!E57+'1-13'!F57+'1-13'!G57+'1-13'!H57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'1-13'!D56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'1-13'!D57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'1-13'!H22+'1-13'!F22+'1-13'!I22</f>
        <v>263.5</v>
      </c>
      <c r="G25" s="55"/>
      <c r="H25" s="209"/>
      <c r="I25" s="195"/>
      <c r="J25" s="192"/>
      <c r="K25" s="198"/>
      <c r="L25" s="206" t="s">
        <v>39</v>
      </c>
      <c r="M25" s="205"/>
      <c r="N25" s="9">
        <f>'1-13'!F23+'1-13'!H23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'1-13'!N22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'1-13'!N23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'1-13'!M22</f>
        <v>0</v>
      </c>
      <c r="G27" s="55"/>
      <c r="H27" s="211">
        <f>-SUM(F19:F27)</f>
        <v>-263.5</v>
      </c>
      <c r="I27" s="195"/>
      <c r="J27" s="192"/>
      <c r="K27" s="198"/>
      <c r="L27" s="198" t="s">
        <v>6</v>
      </c>
      <c r="M27" s="205"/>
      <c r="N27" s="9">
        <f>'1-13'!M23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7736.5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7971</v>
      </c>
      <c r="R28" s="215"/>
      <c r="T28" s="216">
        <f>+H28-'1-13'!S35</f>
        <v>0</v>
      </c>
      <c r="U28" s="217"/>
      <c r="V28" s="218">
        <f>+P28-'1-13'!S36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8" t="str">
        <f>'1-13'!A1</f>
        <v>THE OLD SPAGHETTI HOUSE</v>
      </c>
      <c r="C35" s="449"/>
      <c r="D35" s="449"/>
      <c r="E35" s="449"/>
      <c r="F35" s="449"/>
      <c r="G35" s="449"/>
      <c r="H35" s="450"/>
      <c r="I35" s="178"/>
      <c r="J35" s="448" t="str">
        <f>'1-13'!A1</f>
        <v>THE OLD SPAGHETTI HOUSE</v>
      </c>
      <c r="K35" s="449"/>
      <c r="L35" s="449"/>
      <c r="M35" s="449"/>
      <c r="N35" s="449"/>
      <c r="O35" s="449"/>
      <c r="P35" s="450"/>
    </row>
    <row r="36" spans="2:17" x14ac:dyDescent="0.2">
      <c r="B36" s="451" t="str">
        <f>'1-13'!D2</f>
        <v>VALERO</v>
      </c>
      <c r="C36" s="452"/>
      <c r="D36" s="452"/>
      <c r="E36" s="452"/>
      <c r="F36" s="452"/>
      <c r="G36" s="452"/>
      <c r="H36" s="453"/>
      <c r="I36" s="178"/>
      <c r="J36" s="451" t="str">
        <f>'1-13'!D2</f>
        <v>VALERO</v>
      </c>
      <c r="K36" s="452"/>
      <c r="L36" s="452"/>
      <c r="M36" s="452"/>
      <c r="N36" s="452"/>
      <c r="O36" s="452"/>
      <c r="P36" s="453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54" t="s">
        <v>25</v>
      </c>
      <c r="C38" s="455"/>
      <c r="D38" s="455"/>
      <c r="E38" s="455"/>
      <c r="F38" s="455"/>
      <c r="G38" s="455"/>
      <c r="H38" s="456"/>
      <c r="I38" s="178"/>
      <c r="J38" s="454" t="s">
        <v>25</v>
      </c>
      <c r="K38" s="455"/>
      <c r="L38" s="455"/>
      <c r="M38" s="455"/>
      <c r="N38" s="455"/>
      <c r="O38" s="455"/>
      <c r="P38" s="456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'1-13'!B24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4" t="str">
        <f>'1-13'!B10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'1-13'!E9</f>
        <v>790.23076923076928</v>
      </c>
      <c r="E41" s="446"/>
      <c r="F41" s="446"/>
      <c r="G41" s="55"/>
      <c r="H41" s="196"/>
      <c r="I41" s="195"/>
      <c r="J41" s="192" t="s">
        <v>28</v>
      </c>
      <c r="K41" s="193" t="s">
        <v>27</v>
      </c>
      <c r="L41" s="446">
        <f>'1-13'!E10</f>
        <v>527</v>
      </c>
      <c r="M41" s="446"/>
      <c r="N41" s="446"/>
      <c r="O41" s="9"/>
      <c r="P41" s="196"/>
    </row>
    <row r="42" spans="2:17" x14ac:dyDescent="0.2">
      <c r="B42" s="192" t="s">
        <v>29</v>
      </c>
      <c r="C42" s="193" t="s">
        <v>27</v>
      </c>
      <c r="D42" s="447" t="str">
        <f>'1-13'!D3</f>
        <v>June 1-13,2020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tr">
        <f>'1-13'!D3</f>
        <v>June 1-13,2020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'1-13'!G9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f>'1-13'!G10</f>
        <v>6851</v>
      </c>
      <c r="Q43" s="174"/>
    </row>
    <row r="44" spans="2:17" x14ac:dyDescent="0.2">
      <c r="B44" s="192"/>
      <c r="C44" s="198"/>
      <c r="D44" s="200" t="s">
        <v>31</v>
      </c>
      <c r="E44" s="202">
        <f>'1-13'!F9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'1-13'!F10</f>
        <v>12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'1-13'!P9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'1-13'!P10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'1-13'!H9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'1-13'!H10</f>
        <v>120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'1-13'!R9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'1-13'!R10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'1-13'!T9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'1-13'!T10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'1-13'!V9+'1-13'!W9+'1-13'!O37+'1-13'!P37+'1-13'!Q37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'1-13'!W10+'1-13'!V10+'1-13'!O38+'1-13'!P38+'1-13'!Q38</f>
        <v>1034</v>
      </c>
      <c r="O50" s="9"/>
      <c r="P50" s="10">
        <f>SUM(N46:N50)</f>
        <v>1154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'1-13'!J24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'1-13'!J25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'1-13'!K24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'1-13'!K25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'1-13'!L24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'1-13'!L25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'1-13'!O24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'1-13'!O25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+'1-13'!E58+'1-13'!F58+'1-13'!G58+'1-13'!H58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+'1-13'!E59+'1-13'!F59+'1-13'!G59+'1-13'!H59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'1-13'!D58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'1-13'!D59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'1-13'!F24+'1-13'!H24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'1-13'!F25+'1-13'!H25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'1-13'!N24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'1-13'!N25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'1-13'!M24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'1-13'!M25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8005</v>
      </c>
      <c r="Q61" s="174"/>
      <c r="T61" s="216">
        <f>+H61-'1-13'!S37</f>
        <v>0</v>
      </c>
      <c r="V61" s="237">
        <f>+P61-'1-13'!S38</f>
        <v>0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8" t="str">
        <f>'1-13'!A1</f>
        <v>THE OLD SPAGHETTI HOUSE</v>
      </c>
      <c r="C68" s="449"/>
      <c r="D68" s="449"/>
      <c r="E68" s="449"/>
      <c r="F68" s="449"/>
      <c r="G68" s="449"/>
      <c r="H68" s="450"/>
      <c r="I68" s="178"/>
      <c r="J68" s="448" t="str">
        <f>'1-13'!A1</f>
        <v>THE OLD SPAGHETTI HOUSE</v>
      </c>
      <c r="K68" s="449"/>
      <c r="L68" s="449"/>
      <c r="M68" s="449"/>
      <c r="N68" s="449"/>
      <c r="O68" s="449"/>
      <c r="P68" s="450"/>
    </row>
    <row r="69" spans="2:17" x14ac:dyDescent="0.2">
      <c r="B69" s="451" t="str">
        <f>'1-13'!D2</f>
        <v>VALERO</v>
      </c>
      <c r="C69" s="452"/>
      <c r="D69" s="452"/>
      <c r="E69" s="452"/>
      <c r="F69" s="452"/>
      <c r="G69" s="452"/>
      <c r="H69" s="453"/>
      <c r="I69" s="178"/>
      <c r="J69" s="451" t="str">
        <f>'1-13'!D2</f>
        <v>VALERO</v>
      </c>
      <c r="K69" s="452"/>
      <c r="L69" s="452"/>
      <c r="M69" s="452"/>
      <c r="N69" s="452"/>
      <c r="O69" s="452"/>
      <c r="P69" s="453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54" t="s">
        <v>25</v>
      </c>
      <c r="C71" s="455"/>
      <c r="D71" s="455"/>
      <c r="E71" s="455"/>
      <c r="F71" s="455"/>
      <c r="G71" s="455"/>
      <c r="H71" s="456"/>
      <c r="I71" s="178"/>
      <c r="J71" s="454" t="s">
        <v>25</v>
      </c>
      <c r="K71" s="455"/>
      <c r="L71" s="455"/>
      <c r="M71" s="455"/>
      <c r="N71" s="455"/>
      <c r="O71" s="455"/>
      <c r="P71" s="456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4" t="str">
        <f>'1-13'!B11</f>
        <v>Briones, Christian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4" t="str">
        <f>'1-13'!B12</f>
        <v>Cahilig,Benzen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f>'1-13'!E11</f>
        <v>527</v>
      </c>
      <c r="E74" s="446"/>
      <c r="F74" s="446"/>
      <c r="G74" s="55"/>
      <c r="H74" s="196"/>
      <c r="I74" s="195"/>
      <c r="J74" s="192" t="s">
        <v>28</v>
      </c>
      <c r="K74" s="193" t="s">
        <v>27</v>
      </c>
      <c r="L74" s="446">
        <f>'1-13'!E12</f>
        <v>527</v>
      </c>
      <c r="M74" s="446"/>
      <c r="N74" s="446"/>
      <c r="O74" s="9"/>
      <c r="P74" s="196"/>
    </row>
    <row r="75" spans="2:17" x14ac:dyDescent="0.2">
      <c r="B75" s="192" t="s">
        <v>29</v>
      </c>
      <c r="C75" s="193" t="s">
        <v>27</v>
      </c>
      <c r="D75" s="447" t="str">
        <f>'1-13'!D3</f>
        <v>June 1-13,2020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 t="str">
        <f>'1-13'!D3</f>
        <v>June 1-13,2020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'1-13'!G11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'1-13'!G12</f>
        <v>3162</v>
      </c>
      <c r="Q76" s="174"/>
    </row>
    <row r="77" spans="2:17" x14ac:dyDescent="0.2">
      <c r="B77" s="192"/>
      <c r="C77" s="198"/>
      <c r="D77" s="200" t="s">
        <v>31</v>
      </c>
      <c r="E77" s="202">
        <f>'1-13'!F11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'1-13'!F12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'1-13'!P11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'1-13'!P12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'1-13'!H11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'1-13'!H12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'1-13'!R11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'1-13'!R12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'1-13'!T11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'1-13'!T12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'1-13'!V11+'1-13'!W11+'1-13'!O39+'1-13'!P39+'1-13'!Q39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'1-13'!V12+'1-13'!W12+'1-13'!O40+'1-13'!P40+'1-13'!Q40</f>
        <v>0</v>
      </c>
      <c r="O83" s="9"/>
      <c r="P83" s="10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'1-13'!J26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'1-13'!J27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'1-13'!K26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'1-13'!K27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'1-13'!L26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'1-13'!L27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'1-13'!O26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'1-13'!O27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+'1-13'!E60+'1-13'!F60+'1-13'!G60+'1-13'!H60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+'1-13'!E61+'1-13'!F61+'1-13'!G61+'1-13'!H61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'1-13'!D60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'1-13'!D61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'1-13'!F26+'1-13'!H26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'1-13'!F27+'1-13'!H27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'1-13'!N26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'1-13'!N27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'1-13'!M26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'1-13'!M27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+H94-'1-13'!S39</f>
        <v>0</v>
      </c>
      <c r="V94" s="237">
        <f>+P94-'1-13'!S40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8" t="str">
        <f>'1-13'!A1</f>
        <v>THE OLD SPAGHETTI HOUSE</v>
      </c>
      <c r="C101" s="449"/>
      <c r="D101" s="449"/>
      <c r="E101" s="449"/>
      <c r="F101" s="449"/>
      <c r="G101" s="449"/>
      <c r="H101" s="450"/>
      <c r="I101" s="178"/>
      <c r="J101" s="448" t="str">
        <f>'1-13'!A1</f>
        <v>THE OLD SPAGHETTI HOUSE</v>
      </c>
      <c r="K101" s="449"/>
      <c r="L101" s="449"/>
      <c r="M101" s="449"/>
      <c r="N101" s="449"/>
      <c r="O101" s="449"/>
      <c r="P101" s="450"/>
    </row>
    <row r="102" spans="2:17" x14ac:dyDescent="0.2">
      <c r="B102" s="451" t="str">
        <f>'1-13'!D2</f>
        <v>VALERO</v>
      </c>
      <c r="C102" s="452"/>
      <c r="D102" s="452"/>
      <c r="E102" s="452"/>
      <c r="F102" s="452"/>
      <c r="G102" s="452"/>
      <c r="H102" s="453"/>
      <c r="I102" s="178"/>
      <c r="J102" s="451" t="str">
        <f>'1-13'!D2</f>
        <v>VALERO</v>
      </c>
      <c r="K102" s="452"/>
      <c r="L102" s="452"/>
      <c r="M102" s="452"/>
      <c r="N102" s="452"/>
      <c r="O102" s="452"/>
      <c r="P102" s="453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54" t="s">
        <v>25</v>
      </c>
      <c r="C104" s="455"/>
      <c r="D104" s="455"/>
      <c r="E104" s="455"/>
      <c r="F104" s="455"/>
      <c r="G104" s="455"/>
      <c r="H104" s="456"/>
      <c r="I104" s="178"/>
      <c r="J104" s="454" t="s">
        <v>25</v>
      </c>
      <c r="K104" s="455"/>
      <c r="L104" s="455"/>
      <c r="M104" s="455"/>
      <c r="N104" s="455"/>
      <c r="O104" s="455"/>
      <c r="P104" s="456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4" t="str">
        <f>'1-13'!B13</f>
        <v>Ruel Hayagan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4">
        <f>'1-13'!B29</f>
        <v>0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f>'1-13'!E13</f>
        <v>527</v>
      </c>
      <c r="E107" s="446"/>
      <c r="F107" s="446"/>
      <c r="G107" s="55"/>
      <c r="H107" s="196"/>
      <c r="I107" s="195"/>
      <c r="J107" s="192" t="s">
        <v>28</v>
      </c>
      <c r="K107" s="193" t="s">
        <v>27</v>
      </c>
      <c r="L107" s="446">
        <f>'1-13'!E14</f>
        <v>0</v>
      </c>
      <c r="M107" s="446"/>
      <c r="N107" s="446"/>
      <c r="O107" s="9"/>
      <c r="P107" s="196"/>
    </row>
    <row r="108" spans="2:17" x14ac:dyDescent="0.2">
      <c r="B108" s="192" t="s">
        <v>29</v>
      </c>
      <c r="C108" s="193" t="s">
        <v>27</v>
      </c>
      <c r="D108" s="447" t="str">
        <f>'1-13'!D3</f>
        <v>June 1-13,2020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 t="str">
        <f>'1-13'!D3</f>
        <v>June 1-13,2020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'1-13'!G13</f>
        <v>2635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'1-13'!G14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'1-13'!F77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'1-13'!F78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'1-13'!P13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'1-13'!P14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'1-13'!H13</f>
        <v>50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'1-13'!H14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'1-13'!R13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'1-13'!R14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'1-13'!T13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'1-13'!T14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'1-13'!V13+'1-13'!W13+'1-13'!O41+'1-13'!P41+'1-13'!Q41</f>
        <v>0</v>
      </c>
      <c r="G116" s="55"/>
      <c r="H116" s="56">
        <f>SUM(F112:F116)</f>
        <v>50</v>
      </c>
      <c r="I116" s="195"/>
      <c r="J116" s="192"/>
      <c r="K116" s="193"/>
      <c r="L116" s="204" t="s">
        <v>99</v>
      </c>
      <c r="M116" s="205"/>
      <c r="N116" s="11">
        <f>'1-13'!V14+'1-13'!W14+'1-13'!O42+'1-13'!P42+'1-13'!Q42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'1-13'!J28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'1-13'!J29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'1-13'!K28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'1-13'!K29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'1-13'!L28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'1-13'!L29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'1-13'!O28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'1-13'!O29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+'1-13'!E62+'1-13'!F62+'1-13'!G62+'1-13'!H62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+'1-13'!E63+'1-13'!F63+'1-13'!G63+'1-13'!H63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'1-13'!D62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'1-13'!D63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'1-13'!F28+'1-13'!H28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'1-13'!F29+'1-13'!H29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'1-13'!N28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'1-13'!N29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'1-13'!M28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'1-13'!M29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2685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+H127-'1-13'!S41</f>
        <v>0</v>
      </c>
      <c r="V127" s="237">
        <f>+P127-'1-13'!S42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8" t="str">
        <f>'1-13'!A1</f>
        <v>THE OLD SPAGHETTI HOUSE</v>
      </c>
      <c r="C134" s="449"/>
      <c r="D134" s="449"/>
      <c r="E134" s="449"/>
      <c r="F134" s="449"/>
      <c r="G134" s="449"/>
      <c r="H134" s="450"/>
      <c r="I134" s="178"/>
      <c r="J134" s="448" t="str">
        <f>'1-13'!A1</f>
        <v>THE OLD SPAGHETTI HOUSE</v>
      </c>
      <c r="K134" s="449"/>
      <c r="L134" s="449"/>
      <c r="M134" s="449"/>
      <c r="N134" s="449"/>
      <c r="O134" s="449"/>
      <c r="P134" s="450"/>
    </row>
    <row r="135" spans="2:17" x14ac:dyDescent="0.2">
      <c r="B135" s="451" t="str">
        <f>'1-13'!D2</f>
        <v>VALERO</v>
      </c>
      <c r="C135" s="452"/>
      <c r="D135" s="452"/>
      <c r="E135" s="452"/>
      <c r="F135" s="452"/>
      <c r="G135" s="452"/>
      <c r="H135" s="453"/>
      <c r="I135" s="178"/>
      <c r="J135" s="451" t="str">
        <f>'1-13'!D2</f>
        <v>VALERO</v>
      </c>
      <c r="K135" s="452"/>
      <c r="L135" s="452"/>
      <c r="M135" s="452"/>
      <c r="N135" s="452"/>
      <c r="O135" s="452"/>
      <c r="P135" s="453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54" t="s">
        <v>25</v>
      </c>
      <c r="C137" s="455"/>
      <c r="D137" s="455"/>
      <c r="E137" s="455"/>
      <c r="F137" s="455"/>
      <c r="G137" s="455"/>
      <c r="H137" s="456"/>
      <c r="I137" s="178"/>
      <c r="J137" s="454" t="s">
        <v>25</v>
      </c>
      <c r="K137" s="455"/>
      <c r="L137" s="455"/>
      <c r="M137" s="455"/>
      <c r="N137" s="455"/>
      <c r="O137" s="455"/>
      <c r="P137" s="456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4">
        <f>'1-13'!B15</f>
        <v>0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>
        <f>'1-13'!C112</f>
        <v>0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f>'1-13'!E15</f>
        <v>0</v>
      </c>
      <c r="E140" s="446"/>
      <c r="F140" s="446"/>
      <c r="G140" s="55"/>
      <c r="H140" s="196"/>
      <c r="I140" s="195"/>
      <c r="J140" s="192" t="s">
        <v>28</v>
      </c>
      <c r="K140" s="193" t="s">
        <v>27</v>
      </c>
      <c r="L140" s="446">
        <f>'1-13'!E112</f>
        <v>0</v>
      </c>
      <c r="M140" s="446"/>
      <c r="N140" s="446"/>
      <c r="O140" s="9"/>
      <c r="P140" s="196"/>
    </row>
    <row r="141" spans="2:17" x14ac:dyDescent="0.2">
      <c r="B141" s="192" t="s">
        <v>29</v>
      </c>
      <c r="C141" s="193" t="s">
        <v>27</v>
      </c>
      <c r="D141" s="447" t="str">
        <f>'1-13'!D3</f>
        <v>June 1-13,2020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>
        <f>'1-13'!D105</f>
        <v>0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'1-13'!G15</f>
        <v>0</v>
      </c>
      <c r="I142" s="195"/>
      <c r="J142" s="197" t="s">
        <v>16</v>
      </c>
      <c r="K142" s="198"/>
      <c r="L142" s="199">
        <f>'1-13'!D139</f>
        <v>0</v>
      </c>
      <c r="M142" s="200"/>
      <c r="N142" s="9"/>
      <c r="O142" s="9"/>
      <c r="P142" s="10">
        <f>'1-13'!G112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'1-13'!F111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'1-13'!F112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'1-13'!P15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'1-13'!P112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'1-13'!H15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'1-13'!H112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'1-13'!R15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'1-13'!R112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'1-13'!T15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'1-13'!T112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'1-13'!V15+'1-13'!W15+'1-13'!O43+'1-13'!P43+'1-13'!Q43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'1-13'!W112+'1-13'!O44+'1-13'!P44+'1-13'!Q44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'1-13'!J30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'1-13'!K127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'1-13'!K30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'1-13'!L127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'1-13'!L30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'1-13'!M127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'1-13'!O30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'1-13'!R127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+'1-13'!E64+'1-13'!F64+'1-13'!G64+'1-13'!H64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+'1-13'!E65+'1-13'!F65+'1-13'!G65+'1-13'!H65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'1-13'!D64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'1-13'!J127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'1-13'!F30+'1-13'!H30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'1-13'!F127+'1-13'!H127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'1-13'!N30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'1-13'!Q127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'1-13'!M30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'1-13'!P127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+H160-'1-13'!S43</f>
        <v>0</v>
      </c>
      <c r="V160" s="237">
        <f>+P160-'1-13'!S44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+'1-13'!D2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269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41"/>
      <c r="B5" s="443" t="s">
        <v>0</v>
      </c>
      <c r="C5" s="414" t="s">
        <v>1</v>
      </c>
      <c r="D5" s="393" t="s">
        <v>13</v>
      </c>
      <c r="E5" s="414" t="s">
        <v>14</v>
      </c>
      <c r="F5" s="393" t="s">
        <v>15</v>
      </c>
      <c r="G5" s="414" t="s">
        <v>16</v>
      </c>
      <c r="H5" s="393" t="s">
        <v>44</v>
      </c>
      <c r="I5" s="410" t="s">
        <v>118</v>
      </c>
      <c r="J5" s="418" t="s">
        <v>91</v>
      </c>
      <c r="K5" s="419"/>
      <c r="L5" s="420"/>
      <c r="M5" s="430" t="s">
        <v>108</v>
      </c>
      <c r="N5" s="431"/>
      <c r="O5" s="431"/>
      <c r="P5" s="414" t="s">
        <v>2</v>
      </c>
      <c r="Q5" s="393" t="s">
        <v>17</v>
      </c>
      <c r="R5" s="414" t="s">
        <v>2</v>
      </c>
      <c r="S5" s="393" t="s">
        <v>18</v>
      </c>
      <c r="T5" s="414" t="s">
        <v>2</v>
      </c>
      <c r="U5" s="393" t="s">
        <v>19</v>
      </c>
      <c r="V5" s="414" t="s">
        <v>2</v>
      </c>
      <c r="W5" s="393" t="s">
        <v>20</v>
      </c>
      <c r="X5" s="395" t="s">
        <v>3</v>
      </c>
    </row>
    <row r="6" spans="1:26" s="138" customFormat="1" ht="27" customHeight="1" thickBot="1" x14ac:dyDescent="0.25">
      <c r="A6" s="442"/>
      <c r="B6" s="415"/>
      <c r="C6" s="415"/>
      <c r="D6" s="429"/>
      <c r="E6" s="434"/>
      <c r="F6" s="429"/>
      <c r="G6" s="434"/>
      <c r="H6" s="394"/>
      <c r="I6" s="41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5"/>
      <c r="Q6" s="429"/>
      <c r="R6" s="415"/>
      <c r="S6" s="429"/>
      <c r="T6" s="415"/>
      <c r="U6" s="429"/>
      <c r="V6" s="415"/>
      <c r="W6" s="394"/>
      <c r="X6" s="396"/>
    </row>
    <row r="7" spans="1:26" s="138" customFormat="1" ht="12" customHeight="1" x14ac:dyDescent="0.2">
      <c r="A7" s="129">
        <v>1</v>
      </c>
      <c r="B7" s="22" t="str">
        <f>+'1-13'!B7</f>
        <v>Biarcal, Ronald Glenn</v>
      </c>
      <c r="C7" s="123" t="str">
        <f>+'1-13'!C7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+'1-13'!B9</f>
        <v>Dino, Joyce</v>
      </c>
      <c r="C9" s="72" t="str">
        <f>+'1-13'!C9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+'1-13'!B10</f>
        <v xml:space="preserve">Sosa, Anna Marie </v>
      </c>
      <c r="C10" s="72" t="str">
        <f>+'1-13'!C10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7"/>
      <c r="B20" s="399" t="s">
        <v>0</v>
      </c>
      <c r="C20" s="401" t="s">
        <v>1</v>
      </c>
      <c r="D20" s="403" t="s">
        <v>3</v>
      </c>
      <c r="E20" s="405" t="s">
        <v>22</v>
      </c>
      <c r="F20" s="412" t="s">
        <v>2</v>
      </c>
      <c r="G20" s="401" t="s">
        <v>21</v>
      </c>
      <c r="H20" s="403" t="s">
        <v>2</v>
      </c>
      <c r="I20" s="408" t="s">
        <v>126</v>
      </c>
      <c r="J20" s="425" t="s">
        <v>4</v>
      </c>
      <c r="K20" s="427" t="s">
        <v>23</v>
      </c>
      <c r="L20" s="403" t="s">
        <v>5</v>
      </c>
      <c r="M20" s="403" t="s">
        <v>6</v>
      </c>
      <c r="N20" s="403" t="s">
        <v>24</v>
      </c>
      <c r="O20" s="403" t="s">
        <v>7</v>
      </c>
      <c r="P20" s="423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8"/>
      <c r="B21" s="400"/>
      <c r="C21" s="402"/>
      <c r="D21" s="404"/>
      <c r="E21" s="406"/>
      <c r="F21" s="413"/>
      <c r="G21" s="457"/>
      <c r="H21" s="407"/>
      <c r="I21" s="409"/>
      <c r="J21" s="426"/>
      <c r="K21" s="428"/>
      <c r="L21" s="407"/>
      <c r="M21" s="407"/>
      <c r="N21" s="404"/>
      <c r="O21" s="407"/>
      <c r="P21" s="424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7"/>
      <c r="B54" s="399" t="s">
        <v>0</v>
      </c>
      <c r="C54" s="401" t="s">
        <v>1</v>
      </c>
      <c r="D54" s="403" t="s">
        <v>3</v>
      </c>
      <c r="E54" s="403" t="s">
        <v>45</v>
      </c>
      <c r="F54" s="438" t="s">
        <v>151</v>
      </c>
      <c r="G54" s="435" t="s">
        <v>112</v>
      </c>
      <c r="H54" s="436"/>
      <c r="I54" s="421"/>
      <c r="J54" s="423" t="s">
        <v>3</v>
      </c>
      <c r="K54" s="437" t="s">
        <v>114</v>
      </c>
      <c r="L54" s="433" t="s">
        <v>115</v>
      </c>
      <c r="M54" s="433" t="s">
        <v>116</v>
      </c>
      <c r="O54" s="432" t="s">
        <v>102</v>
      </c>
    </row>
    <row r="55" spans="1:15" ht="13.5" thickBot="1" x14ac:dyDescent="0.25">
      <c r="A55" s="398"/>
      <c r="B55" s="400"/>
      <c r="C55" s="402"/>
      <c r="D55" s="404"/>
      <c r="E55" s="440"/>
      <c r="F55" s="439"/>
      <c r="G55" s="245" t="s">
        <v>113</v>
      </c>
      <c r="H55" s="246" t="s">
        <v>148</v>
      </c>
      <c r="I55" s="422"/>
      <c r="J55" s="424"/>
      <c r="K55" s="437"/>
      <c r="L55" s="433"/>
      <c r="M55" s="433"/>
      <c r="O55" s="432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8" t="str">
        <f>'11-25 payroll'!A1</f>
        <v>THE OLD SPAGHETTI HOUSE</v>
      </c>
      <c r="C2" s="449"/>
      <c r="D2" s="449"/>
      <c r="E2" s="449"/>
      <c r="F2" s="449"/>
      <c r="G2" s="449"/>
      <c r="H2" s="450"/>
      <c r="I2" s="178"/>
      <c r="J2" s="448" t="str">
        <f>'11-25 payroll'!A1</f>
        <v>THE OLD SPAGHETTI HOUSE</v>
      </c>
      <c r="K2" s="449"/>
      <c r="L2" s="449"/>
      <c r="M2" s="449"/>
      <c r="N2" s="449"/>
      <c r="O2" s="449"/>
      <c r="P2" s="450"/>
    </row>
    <row r="3" spans="1:22" s="179" customFormat="1" x14ac:dyDescent="0.2">
      <c r="A3" s="170"/>
      <c r="B3" s="451" t="str">
        <f>'11-25 payroll'!D2</f>
        <v>VALERO</v>
      </c>
      <c r="C3" s="452"/>
      <c r="D3" s="452"/>
      <c r="E3" s="452"/>
      <c r="F3" s="452"/>
      <c r="G3" s="452"/>
      <c r="H3" s="453"/>
      <c r="I3" s="178"/>
      <c r="J3" s="451" t="str">
        <f>'11-25 payroll'!D2</f>
        <v>VALERO</v>
      </c>
      <c r="K3" s="452"/>
      <c r="L3" s="452"/>
      <c r="M3" s="452"/>
      <c r="N3" s="452"/>
      <c r="O3" s="452"/>
      <c r="P3" s="453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54" t="s">
        <v>25</v>
      </c>
      <c r="C5" s="455"/>
      <c r="D5" s="455"/>
      <c r="E5" s="455"/>
      <c r="F5" s="455"/>
      <c r="G5" s="455"/>
      <c r="H5" s="456"/>
      <c r="I5" s="178"/>
      <c r="J5" s="454" t="s">
        <v>25</v>
      </c>
      <c r="K5" s="455"/>
      <c r="L5" s="455"/>
      <c r="M5" s="455"/>
      <c r="N5" s="455"/>
      <c r="O5" s="455"/>
      <c r="P5" s="456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'11-25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'11-25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f>'11-25 payroll'!E7</f>
        <v>502</v>
      </c>
      <c r="E8" s="446"/>
      <c r="F8" s="446"/>
      <c r="G8" s="55"/>
      <c r="H8" s="235"/>
      <c r="I8" s="195"/>
      <c r="J8" s="192" t="s">
        <v>28</v>
      </c>
      <c r="K8" s="193" t="s">
        <v>27</v>
      </c>
      <c r="L8" s="446">
        <f>'11-25 payroll'!E8</f>
        <v>502</v>
      </c>
      <c r="M8" s="446"/>
      <c r="N8" s="446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7" t="str">
        <f>'11-25 payroll'!D3</f>
        <v>August 11-25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'11-25 payroll'!D3</f>
        <v>August 11-25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8" t="str">
        <f>'11-25 payroll'!A1</f>
        <v>THE OLD SPAGHETTI HOUSE</v>
      </c>
      <c r="C35" s="449"/>
      <c r="D35" s="449"/>
      <c r="E35" s="449"/>
      <c r="F35" s="449"/>
      <c r="G35" s="449"/>
      <c r="H35" s="450"/>
      <c r="I35" s="178"/>
      <c r="J35" s="448" t="str">
        <f>'11-25 payroll'!A1</f>
        <v>THE OLD SPAGHETTI HOUSE</v>
      </c>
      <c r="K35" s="449"/>
      <c r="L35" s="449"/>
      <c r="M35" s="449"/>
      <c r="N35" s="449"/>
      <c r="O35" s="449"/>
      <c r="P35" s="450"/>
    </row>
    <row r="36" spans="2:17" x14ac:dyDescent="0.2">
      <c r="B36" s="451" t="str">
        <f>'11-25 payroll'!D2</f>
        <v>VALERO</v>
      </c>
      <c r="C36" s="452"/>
      <c r="D36" s="452"/>
      <c r="E36" s="452"/>
      <c r="F36" s="452"/>
      <c r="G36" s="452"/>
      <c r="H36" s="453"/>
      <c r="I36" s="178"/>
      <c r="J36" s="451" t="str">
        <f>'11-25 payroll'!D2</f>
        <v>VALERO</v>
      </c>
      <c r="K36" s="452"/>
      <c r="L36" s="452"/>
      <c r="M36" s="452"/>
      <c r="N36" s="452"/>
      <c r="O36" s="452"/>
      <c r="P36" s="453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54" t="s">
        <v>25</v>
      </c>
      <c r="C38" s="455"/>
      <c r="D38" s="455"/>
      <c r="E38" s="455"/>
      <c r="F38" s="455"/>
      <c r="G38" s="455"/>
      <c r="H38" s="456"/>
      <c r="I38" s="178"/>
      <c r="J38" s="454" t="s">
        <v>25</v>
      </c>
      <c r="K38" s="455"/>
      <c r="L38" s="455"/>
      <c r="M38" s="455"/>
      <c r="N38" s="455"/>
      <c r="O38" s="455"/>
      <c r="P38" s="456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'11-25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4" t="str">
        <f>'11-25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'11-25 payroll'!E9</f>
        <v>790.23076923076928</v>
      </c>
      <c r="E41" s="446"/>
      <c r="F41" s="446"/>
      <c r="G41" s="55"/>
      <c r="H41" s="235"/>
      <c r="I41" s="195"/>
      <c r="J41" s="192" t="s">
        <v>28</v>
      </c>
      <c r="K41" s="193" t="s">
        <v>27</v>
      </c>
      <c r="L41" s="446">
        <f>'11-25 payroll'!E10</f>
        <v>502</v>
      </c>
      <c r="M41" s="446"/>
      <c r="N41" s="446"/>
      <c r="O41" s="9"/>
      <c r="P41" s="235"/>
    </row>
    <row r="42" spans="2:17" x14ac:dyDescent="0.2">
      <c r="B42" s="192" t="s">
        <v>29</v>
      </c>
      <c r="C42" s="193" t="s">
        <v>27</v>
      </c>
      <c r="D42" s="447" t="str">
        <f>'11-25 payroll'!D3</f>
        <v>August 11-25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tr">
        <f>'11-25 payroll'!D3</f>
        <v>August 11-25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8" t="str">
        <f>'11-25 payroll'!A1</f>
        <v>THE OLD SPAGHETTI HOUSE</v>
      </c>
      <c r="C68" s="449"/>
      <c r="D68" s="449"/>
      <c r="E68" s="449"/>
      <c r="F68" s="449"/>
      <c r="G68" s="449"/>
      <c r="H68" s="450"/>
      <c r="I68" s="178"/>
      <c r="J68" s="448" t="str">
        <f>'11-25 payroll'!A1</f>
        <v>THE OLD SPAGHETTI HOUSE</v>
      </c>
      <c r="K68" s="449"/>
      <c r="L68" s="449"/>
      <c r="M68" s="449"/>
      <c r="N68" s="449"/>
      <c r="O68" s="449"/>
      <c r="P68" s="450"/>
    </row>
    <row r="69" spans="2:17" x14ac:dyDescent="0.2">
      <c r="B69" s="451" t="str">
        <f>'11-25 payroll'!D2</f>
        <v>VALERO</v>
      </c>
      <c r="C69" s="452"/>
      <c r="D69" s="452"/>
      <c r="E69" s="452"/>
      <c r="F69" s="452"/>
      <c r="G69" s="452"/>
      <c r="H69" s="453"/>
      <c r="I69" s="178"/>
      <c r="J69" s="451" t="str">
        <f>'11-25 payroll'!D2</f>
        <v>VALERO</v>
      </c>
      <c r="K69" s="452"/>
      <c r="L69" s="452"/>
      <c r="M69" s="452"/>
      <c r="N69" s="452"/>
      <c r="O69" s="452"/>
      <c r="P69" s="453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54" t="s">
        <v>25</v>
      </c>
      <c r="C71" s="455"/>
      <c r="D71" s="455"/>
      <c r="E71" s="455"/>
      <c r="F71" s="455"/>
      <c r="G71" s="455"/>
      <c r="H71" s="456"/>
      <c r="I71" s="178"/>
      <c r="J71" s="454" t="s">
        <v>25</v>
      </c>
      <c r="K71" s="455"/>
      <c r="L71" s="455"/>
      <c r="M71" s="455"/>
      <c r="N71" s="455"/>
      <c r="O71" s="455"/>
      <c r="P71" s="456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4" t="str">
        <f>'11-25 payroll'!B11</f>
        <v>Briones, Christain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4">
        <f>'11-25 payroll'!B12</f>
        <v>0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f>'11-25 payroll'!E11</f>
        <v>502</v>
      </c>
      <c r="E74" s="446"/>
      <c r="F74" s="446"/>
      <c r="G74" s="55"/>
      <c r="H74" s="235"/>
      <c r="I74" s="195"/>
      <c r="J74" s="192" t="s">
        <v>28</v>
      </c>
      <c r="K74" s="193" t="s">
        <v>27</v>
      </c>
      <c r="L74" s="446">
        <f>'11-25 payroll'!E12</f>
        <v>0</v>
      </c>
      <c r="M74" s="446"/>
      <c r="N74" s="446"/>
      <c r="O74" s="9"/>
      <c r="P74" s="235"/>
    </row>
    <row r="75" spans="2:17" x14ac:dyDescent="0.2">
      <c r="B75" s="192" t="s">
        <v>29</v>
      </c>
      <c r="C75" s="193" t="s">
        <v>27</v>
      </c>
      <c r="D75" s="447" t="str">
        <f>'11-25 payroll'!D3</f>
        <v>August 11-25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 t="str">
        <f>'11-25 payroll'!D3</f>
        <v>August 11-25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8" t="str">
        <f>'11-25 payroll'!A1</f>
        <v>THE OLD SPAGHETTI HOUSE</v>
      </c>
      <c r="C101" s="449"/>
      <c r="D101" s="449"/>
      <c r="E101" s="449"/>
      <c r="F101" s="449"/>
      <c r="G101" s="449"/>
      <c r="H101" s="450"/>
      <c r="I101" s="178"/>
      <c r="J101" s="448" t="str">
        <f>'11-25 payroll'!A1</f>
        <v>THE OLD SPAGHETTI HOUSE</v>
      </c>
      <c r="K101" s="449"/>
      <c r="L101" s="449"/>
      <c r="M101" s="449"/>
      <c r="N101" s="449"/>
      <c r="O101" s="449"/>
      <c r="P101" s="450"/>
    </row>
    <row r="102" spans="2:17" x14ac:dyDescent="0.2">
      <c r="B102" s="451" t="str">
        <f>'11-25 payroll'!D2</f>
        <v>VALERO</v>
      </c>
      <c r="C102" s="452"/>
      <c r="D102" s="452"/>
      <c r="E102" s="452"/>
      <c r="F102" s="452"/>
      <c r="G102" s="452"/>
      <c r="H102" s="453"/>
      <c r="I102" s="178"/>
      <c r="J102" s="451" t="str">
        <f>'11-25 payroll'!D2</f>
        <v>VALERO</v>
      </c>
      <c r="K102" s="452"/>
      <c r="L102" s="452"/>
      <c r="M102" s="452"/>
      <c r="N102" s="452"/>
      <c r="O102" s="452"/>
      <c r="P102" s="453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54" t="s">
        <v>25</v>
      </c>
      <c r="C104" s="455"/>
      <c r="D104" s="455"/>
      <c r="E104" s="455"/>
      <c r="F104" s="455"/>
      <c r="G104" s="455"/>
      <c r="H104" s="456"/>
      <c r="I104" s="178"/>
      <c r="J104" s="454" t="s">
        <v>25</v>
      </c>
      <c r="K104" s="455"/>
      <c r="L104" s="455"/>
      <c r="M104" s="455"/>
      <c r="N104" s="455"/>
      <c r="O104" s="455"/>
      <c r="P104" s="456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4">
        <f>'11-25 payroll'!B13</f>
        <v>0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4">
        <f>'11-25 payroll'!B29</f>
        <v>0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f>'11-25 payroll'!E13</f>
        <v>0</v>
      </c>
      <c r="E107" s="446"/>
      <c r="F107" s="446"/>
      <c r="G107" s="55"/>
      <c r="H107" s="235"/>
      <c r="I107" s="195"/>
      <c r="J107" s="192" t="s">
        <v>28</v>
      </c>
      <c r="K107" s="193" t="s">
        <v>27</v>
      </c>
      <c r="L107" s="446">
        <f>'11-25 payroll'!E14</f>
        <v>0</v>
      </c>
      <c r="M107" s="446"/>
      <c r="N107" s="446"/>
      <c r="O107" s="9"/>
      <c r="P107" s="235"/>
    </row>
    <row r="108" spans="2:17" x14ac:dyDescent="0.2">
      <c r="B108" s="192" t="s">
        <v>29</v>
      </c>
      <c r="C108" s="193" t="s">
        <v>27</v>
      </c>
      <c r="D108" s="447" t="str">
        <f>'11-25 payroll'!D3</f>
        <v>August 11-25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 t="str">
        <f>'11-25 payroll'!D3</f>
        <v>August 11-25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8" t="str">
        <f>'11-25 payroll'!A1</f>
        <v>THE OLD SPAGHETTI HOUSE</v>
      </c>
      <c r="C134" s="449"/>
      <c r="D134" s="449"/>
      <c r="E134" s="449"/>
      <c r="F134" s="449"/>
      <c r="G134" s="449"/>
      <c r="H134" s="450"/>
      <c r="I134" s="178"/>
      <c r="J134" s="448" t="str">
        <f>'11-25 payroll'!A1</f>
        <v>THE OLD SPAGHETTI HOUSE</v>
      </c>
      <c r="K134" s="449"/>
      <c r="L134" s="449"/>
      <c r="M134" s="449"/>
      <c r="N134" s="449"/>
      <c r="O134" s="449"/>
      <c r="P134" s="450"/>
    </row>
    <row r="135" spans="2:17" x14ac:dyDescent="0.2">
      <c r="B135" s="451" t="str">
        <f>'11-25 payroll'!D2</f>
        <v>VALERO</v>
      </c>
      <c r="C135" s="452"/>
      <c r="D135" s="452"/>
      <c r="E135" s="452"/>
      <c r="F135" s="452"/>
      <c r="G135" s="452"/>
      <c r="H135" s="453"/>
      <c r="I135" s="178"/>
      <c r="J135" s="451" t="str">
        <f>'11-25 payroll'!D2</f>
        <v>VALERO</v>
      </c>
      <c r="K135" s="452"/>
      <c r="L135" s="452"/>
      <c r="M135" s="452"/>
      <c r="N135" s="452"/>
      <c r="O135" s="452"/>
      <c r="P135" s="453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54" t="s">
        <v>25</v>
      </c>
      <c r="C137" s="455"/>
      <c r="D137" s="455"/>
      <c r="E137" s="455"/>
      <c r="F137" s="455"/>
      <c r="G137" s="455"/>
      <c r="H137" s="456"/>
      <c r="I137" s="178"/>
      <c r="J137" s="454" t="s">
        <v>25</v>
      </c>
      <c r="K137" s="455"/>
      <c r="L137" s="455"/>
      <c r="M137" s="455"/>
      <c r="N137" s="455"/>
      <c r="O137" s="455"/>
      <c r="P137" s="456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4">
        <f>'11-25 payroll'!B15</f>
        <v>0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>
        <f>'11-25 payroll'!C112</f>
        <v>0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f>'11-25 payroll'!E15</f>
        <v>0</v>
      </c>
      <c r="E140" s="446"/>
      <c r="F140" s="446"/>
      <c r="G140" s="55"/>
      <c r="H140" s="235"/>
      <c r="I140" s="195"/>
      <c r="J140" s="192" t="s">
        <v>28</v>
      </c>
      <c r="K140" s="193" t="s">
        <v>27</v>
      </c>
      <c r="L140" s="446">
        <f>'11-25 payroll'!E112</f>
        <v>0</v>
      </c>
      <c r="M140" s="446"/>
      <c r="N140" s="446"/>
      <c r="O140" s="9"/>
      <c r="P140" s="235"/>
    </row>
    <row r="141" spans="2:17" x14ac:dyDescent="0.2">
      <c r="B141" s="192" t="s">
        <v>29</v>
      </c>
      <c r="C141" s="193" t="s">
        <v>27</v>
      </c>
      <c r="D141" s="447" t="str">
        <f>'11-25 payroll'!D3</f>
        <v>August 11-25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>
        <f>'11-25 payroll'!D105</f>
        <v>0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'1-13'!D3</f>
        <v>June 1-13,2020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62" t="s">
        <v>65</v>
      </c>
      <c r="H15" s="462"/>
      <c r="J15" s="463" t="s">
        <v>66</v>
      </c>
      <c r="K15" s="463"/>
      <c r="L15" s="463"/>
      <c r="M15" s="463" t="s">
        <v>67</v>
      </c>
      <c r="N15" s="463"/>
      <c r="O15" s="462" t="s">
        <v>68</v>
      </c>
      <c r="P15" s="462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60" t="s">
        <v>70</v>
      </c>
      <c r="H16" s="460"/>
      <c r="I16" s="70" t="s">
        <v>71</v>
      </c>
      <c r="J16" s="464" t="s">
        <v>72</v>
      </c>
      <c r="K16" s="464"/>
      <c r="L16" s="464"/>
      <c r="M16" s="464" t="s">
        <v>73</v>
      </c>
      <c r="N16" s="464"/>
      <c r="O16" s="460" t="s">
        <v>74</v>
      </c>
      <c r="P16" s="460"/>
      <c r="Q16" s="251" t="s">
        <v>75</v>
      </c>
      <c r="R16" s="459" t="s">
        <v>117</v>
      </c>
      <c r="S16" s="460"/>
      <c r="T16" s="460"/>
      <c r="U16" s="461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'1-13'!R22</f>
        <v>6702.5</v>
      </c>
      <c r="H18" s="80">
        <f>'11-25 payroll'!R22</f>
        <v>6526</v>
      </c>
      <c r="I18" s="81">
        <f>G18+H18</f>
        <v>13228.5</v>
      </c>
      <c r="J18" s="82">
        <f>+'1-13'!J22+'11-25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+'1-13'!L22+'11-25 payroll'!L22</f>
        <v>150</v>
      </c>
      <c r="N18" s="83">
        <f>M18</f>
        <v>150</v>
      </c>
      <c r="O18" s="83">
        <f>+'1-13'!M22+'11-25 payroll'!M22</f>
        <v>0</v>
      </c>
      <c r="P18" s="83">
        <f>O18</f>
        <v>0</v>
      </c>
      <c r="Q18" s="253">
        <f>'1-13'!O22+'11-25 payroll'!O22</f>
        <v>0</v>
      </c>
      <c r="R18" s="255">
        <f>'1-13'!K22+'11-25 payroll'!K22</f>
        <v>699.77</v>
      </c>
      <c r="S18" s="234">
        <f>'1-13'!G56+'11-25 payroll'!H56</f>
        <v>1387.5</v>
      </c>
      <c r="T18" s="234">
        <f>+'1-13'!F56+'11-25 payroll'!G56</f>
        <v>0</v>
      </c>
      <c r="U18" s="256">
        <f>'1-13'!N22+'11-25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'1-13'!R23</f>
        <v>6971</v>
      </c>
      <c r="H19" s="80">
        <f>'11-25 payroll'!R23</f>
        <v>6526</v>
      </c>
      <c r="I19" s="81">
        <f t="shared" ref="I19:I27" si="0">G19+H19</f>
        <v>13497</v>
      </c>
      <c r="J19" s="82">
        <f>+'1-13'!J23+'11-25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+'1-13'!L23+'11-25 payroll'!L23</f>
        <v>150</v>
      </c>
      <c r="N19" s="83">
        <f t="shared" ref="N19:N27" si="1">M19</f>
        <v>150</v>
      </c>
      <c r="O19" s="83">
        <f>+'1-13'!M23+'11-25 payroll'!M23</f>
        <v>0</v>
      </c>
      <c r="P19" s="83">
        <f t="shared" ref="P19:P27" si="2">O19</f>
        <v>0</v>
      </c>
      <c r="Q19" s="253">
        <f>'1-13'!O23+'11-25 payroll'!O23</f>
        <v>0</v>
      </c>
      <c r="R19" s="255">
        <f>'1-13'!K23+'11-25 payroll'!K23</f>
        <v>0</v>
      </c>
      <c r="S19" s="234">
        <f>'1-13'!G57+'11-25 payroll'!H57</f>
        <v>0</v>
      </c>
      <c r="T19" s="234">
        <f>+'1-13'!F57+'11-25 payroll'!G57</f>
        <v>0</v>
      </c>
      <c r="U19" s="256">
        <f>'1-13'!N23+'11-25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'1-13'!R24</f>
        <v>0</v>
      </c>
      <c r="H20" s="80">
        <f>'11-25 payroll'!R24</f>
        <v>10273</v>
      </c>
      <c r="I20" s="81">
        <f t="shared" si="0"/>
        <v>10273</v>
      </c>
      <c r="J20" s="82">
        <f>+'1-13'!J24+'11-25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+'1-13'!L24+'11-25 payroll'!L24</f>
        <v>200</v>
      </c>
      <c r="N20" s="83">
        <f t="shared" si="1"/>
        <v>200</v>
      </c>
      <c r="O20" s="83">
        <f>+'1-13'!M24+'11-25 payroll'!M24</f>
        <v>0</v>
      </c>
      <c r="P20" s="83">
        <f t="shared" si="2"/>
        <v>0</v>
      </c>
      <c r="Q20" s="253">
        <f>'1-13'!O24+'11-25 payroll'!O24</f>
        <v>0</v>
      </c>
      <c r="R20" s="255">
        <f>'1-13'!K24+'11-25 payroll'!K24</f>
        <v>1476.64</v>
      </c>
      <c r="S20" s="234">
        <f>'1-13'!G58+'11-25 payroll'!H58</f>
        <v>1601.39</v>
      </c>
      <c r="T20" s="234">
        <f>+'1-13'!F58+'11-25 payroll'!G58</f>
        <v>0</v>
      </c>
      <c r="U20" s="256">
        <f>'1-13'!N24+'11-25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'1-13'!R25</f>
        <v>6971</v>
      </c>
      <c r="H21" s="80">
        <f>'11-25 payroll'!R25</f>
        <v>6526</v>
      </c>
      <c r="I21" s="81">
        <f t="shared" si="0"/>
        <v>13497</v>
      </c>
      <c r="J21" s="82">
        <f>+'1-13'!J25+'11-25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+'1-13'!L25+'11-25 payroll'!L25</f>
        <v>150</v>
      </c>
      <c r="N21" s="83">
        <f>M21</f>
        <v>150</v>
      </c>
      <c r="O21" s="83">
        <f>+'1-13'!M25+'11-25 payroll'!M25</f>
        <v>0</v>
      </c>
      <c r="P21" s="83">
        <f>O21</f>
        <v>0</v>
      </c>
      <c r="Q21" s="253">
        <f>'1-13'!O25+'11-25 payroll'!O25</f>
        <v>0</v>
      </c>
      <c r="R21" s="255">
        <f>'1-13'!K25+'11-25 payroll'!K25</f>
        <v>0</v>
      </c>
      <c r="S21" s="234">
        <f>'1-13'!G59+'11-25 payroll'!H59</f>
        <v>1537.335</v>
      </c>
      <c r="T21" s="234">
        <f>+'1-13'!F59+'11-25 payroll'!G59</f>
        <v>0</v>
      </c>
      <c r="U21" s="256">
        <f>'1-13'!N25+'11-25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'1-13'!R26</f>
        <v>0</v>
      </c>
      <c r="H22" s="80">
        <f>'11-25 payroll'!R26</f>
        <v>6526</v>
      </c>
      <c r="I22" s="81">
        <f t="shared" si="0"/>
        <v>6526</v>
      </c>
      <c r="J22" s="82">
        <f>+'1-13'!J26+'11-25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+'1-13'!L26+'11-25 payroll'!L26</f>
        <v>150</v>
      </c>
      <c r="N22" s="83">
        <f>M22</f>
        <v>150</v>
      </c>
      <c r="O22" s="83">
        <f>+'1-13'!M26+'11-25 payroll'!M26</f>
        <v>0</v>
      </c>
      <c r="P22" s="83">
        <f>O22</f>
        <v>0</v>
      </c>
      <c r="Q22" s="253">
        <f>'1-13'!O26+'11-25 payroll'!O26</f>
        <v>0</v>
      </c>
      <c r="R22" s="255">
        <f>'1-13'!K26+'11-25 payroll'!K26</f>
        <v>969.04</v>
      </c>
      <c r="S22" s="234">
        <f>'1-13'!G60+'11-25 payroll'!H60</f>
        <v>0</v>
      </c>
      <c r="T22" s="234">
        <f>+'1-13'!F60+'11-25 payroll'!G60</f>
        <v>0</v>
      </c>
      <c r="U22" s="256">
        <f>'1-13'!N26+'11-25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'1-13'!R27</f>
        <v>3222</v>
      </c>
      <c r="H23" s="80">
        <f>'11-25 payroll'!R27</f>
        <v>0</v>
      </c>
      <c r="I23" s="93">
        <f t="shared" si="0"/>
        <v>3222</v>
      </c>
      <c r="J23" s="82">
        <f>+'1-13'!J27+'11-25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+'1-13'!L27+'11-25 payroll'!L27</f>
        <v>0</v>
      </c>
      <c r="N23" s="83">
        <f>M23</f>
        <v>0</v>
      </c>
      <c r="O23" s="83">
        <f>+'1-13'!M27+'11-25 payroll'!M27</f>
        <v>0</v>
      </c>
      <c r="P23" s="83">
        <f>O23</f>
        <v>0</v>
      </c>
      <c r="Q23" s="253">
        <f>'1-13'!O27+'11-25 payroll'!O27</f>
        <v>0</v>
      </c>
      <c r="R23" s="255">
        <f>'1-13'!K27+'11-25 payroll'!K27</f>
        <v>0</v>
      </c>
      <c r="S23" s="234">
        <f>'1-13'!G61+'11-25 payroll'!H61</f>
        <v>0</v>
      </c>
      <c r="T23" s="234">
        <f>+'1-13'!F61+'11-25 payroll'!G61</f>
        <v>0</v>
      </c>
      <c r="U23" s="256">
        <f>'1-13'!N27+'11-25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'1-13'!R28</f>
        <v>2685</v>
      </c>
      <c r="H24" s="80">
        <f>'11-25 payroll'!R28</f>
        <v>0</v>
      </c>
      <c r="I24" s="81">
        <f t="shared" si="0"/>
        <v>2685</v>
      </c>
      <c r="J24" s="82">
        <f>+'1-13'!J28+'11-25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+'1-13'!L28+'11-25 payroll'!L28</f>
        <v>0</v>
      </c>
      <c r="N24" s="83">
        <f t="shared" si="1"/>
        <v>0</v>
      </c>
      <c r="O24" s="83">
        <f>+'1-13'!M28+'11-25 payroll'!M28</f>
        <v>0</v>
      </c>
      <c r="P24" s="83">
        <f t="shared" si="2"/>
        <v>0</v>
      </c>
      <c r="Q24" s="253">
        <f>'1-13'!O28+'11-25 payroll'!O28</f>
        <v>0</v>
      </c>
      <c r="R24" s="255">
        <f>'1-13'!K28+'11-25 payroll'!K28</f>
        <v>0</v>
      </c>
      <c r="S24" s="234">
        <f>'1-13'!G62+'11-25 payroll'!H62</f>
        <v>0</v>
      </c>
      <c r="T24" s="234">
        <f>+'1-13'!F62+'11-25 payroll'!G62</f>
        <v>0</v>
      </c>
      <c r="U24" s="256">
        <f>'1-13'!N28+'11-25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'1-13'!R29</f>
        <v>0</v>
      </c>
      <c r="H25" s="80">
        <f>'11-25 payroll'!R29</f>
        <v>0</v>
      </c>
      <c r="I25" s="81">
        <f t="shared" si="0"/>
        <v>0</v>
      </c>
      <c r="J25" s="82">
        <f>+'1-13'!J29+'11-25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+'1-13'!L29+'11-25 payroll'!L29</f>
        <v>0</v>
      </c>
      <c r="N25" s="83">
        <f t="shared" si="1"/>
        <v>0</v>
      </c>
      <c r="O25" s="83">
        <f>+'1-13'!M29+'11-25 payroll'!M29</f>
        <v>0</v>
      </c>
      <c r="P25" s="83">
        <f t="shared" si="2"/>
        <v>0</v>
      </c>
      <c r="Q25" s="253">
        <f>'1-13'!O29+'11-25 payroll'!O29</f>
        <v>0</v>
      </c>
      <c r="R25" s="255">
        <f>'1-13'!K29+'11-25 payroll'!K29</f>
        <v>0</v>
      </c>
      <c r="S25" s="234">
        <f>'1-13'!G63+'11-25 payroll'!H63</f>
        <v>0</v>
      </c>
      <c r="T25" s="234">
        <f>+'1-13'!F63+'11-25 payroll'!G63</f>
        <v>0</v>
      </c>
      <c r="U25" s="256">
        <f>'1-13'!N29+'11-25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'1-13'!R30</f>
        <v>0</v>
      </c>
      <c r="H26" s="80">
        <f>'11-25 payroll'!R30</f>
        <v>0</v>
      </c>
      <c r="I26" s="93">
        <f t="shared" si="0"/>
        <v>0</v>
      </c>
      <c r="J26" s="82">
        <f>+'1-13'!J30+'11-25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+'1-13'!L30+'11-25 payroll'!L30</f>
        <v>0</v>
      </c>
      <c r="N26" s="83">
        <f t="shared" si="1"/>
        <v>0</v>
      </c>
      <c r="O26" s="83">
        <f>+'1-13'!M30+'11-25 payroll'!M30</f>
        <v>0</v>
      </c>
      <c r="P26" s="83">
        <f t="shared" si="2"/>
        <v>0</v>
      </c>
      <c r="Q26" s="253">
        <f>'1-13'!O30+'11-25 payroll'!O30</f>
        <v>0</v>
      </c>
      <c r="R26" s="255">
        <f>'1-13'!K30+'11-25 payroll'!K30</f>
        <v>0</v>
      </c>
      <c r="S26" s="234">
        <f>'1-13'!G64+'11-25 payroll'!H64</f>
        <v>0</v>
      </c>
      <c r="T26" s="234">
        <f>+'1-13'!F64+'11-25 payroll'!G64</f>
        <v>0</v>
      </c>
      <c r="U26" s="256">
        <f>'1-13'!N30+'11-25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'1-13'!R31</f>
        <v>0</v>
      </c>
      <c r="H27" s="80">
        <f>'11-25 payroll'!R31</f>
        <v>0</v>
      </c>
      <c r="I27" s="93">
        <f t="shared" si="0"/>
        <v>0</v>
      </c>
      <c r="J27" s="82">
        <f>+'1-13'!J31+'11-25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+'1-13'!L31+'11-25 payroll'!L31</f>
        <v>0</v>
      </c>
      <c r="N27" s="83">
        <f t="shared" si="1"/>
        <v>0</v>
      </c>
      <c r="O27" s="83">
        <f>+'1-13'!M31+'11-25 payroll'!M31</f>
        <v>0</v>
      </c>
      <c r="P27" s="83">
        <f t="shared" si="2"/>
        <v>0</v>
      </c>
      <c r="Q27" s="253">
        <f>'1-13'!O31+'11-25 payroll'!O31</f>
        <v>0</v>
      </c>
      <c r="R27" s="255">
        <f>'1-13'!K31+'11-25 payroll'!K31</f>
        <v>0</v>
      </c>
      <c r="S27" s="234">
        <f>'1-13'!G65+'11-25 payroll'!H65</f>
        <v>0</v>
      </c>
      <c r="T27" s="234">
        <f>+'1-13'!F65+'11-25 payroll'!G65</f>
        <v>0</v>
      </c>
      <c r="U27" s="256">
        <f>'1-13'!N31+'11-25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26551.5</v>
      </c>
      <c r="H29" s="103">
        <f t="shared" ref="H29:O29" si="3">SUM(H18:H27)</f>
        <v>36377</v>
      </c>
      <c r="I29" s="103">
        <f t="shared" si="3"/>
        <v>62928.5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+'1-13'!B9</f>
        <v>Dino, Joyce</v>
      </c>
      <c r="B34" s="263">
        <f>+'1-13'!G9+'11-25 payroll'!G9</f>
        <v>10273</v>
      </c>
      <c r="C34" s="106"/>
      <c r="E34" s="106"/>
      <c r="G34" s="263">
        <f>+'1-13'!I9+'11-25 payroll'!I9</f>
        <v>50</v>
      </c>
      <c r="H34" s="263">
        <f>+'1-13'!H9+'11-25 payroll'!H9</f>
        <v>0</v>
      </c>
      <c r="I34" s="263">
        <f>+'1-13'!P9+'11-25 payroll'!P9</f>
        <v>0</v>
      </c>
      <c r="J34" s="109">
        <f>+'1-13'!R9+'11-25 payroll'!R9</f>
        <v>0</v>
      </c>
      <c r="K34" s="109">
        <f>+'1-13'!T9+'11-25 payroll'!T9</f>
        <v>0</v>
      </c>
      <c r="L34" s="109">
        <f>+'1-13'!V9+'11-25 payroll'!V9</f>
        <v>0</v>
      </c>
      <c r="M34" s="109">
        <f>+'1-13'!W9+'11-25 payroll'!W9</f>
        <v>0</v>
      </c>
      <c r="N34" s="109">
        <f>+'1-13'!F24+'1-13'!H24+'11-25 payroll'!F24+'11-25 payroll'!H24</f>
        <v>0</v>
      </c>
      <c r="O34" s="109">
        <f>+'1-13'!I24+'11-25 payroll'!I24</f>
        <v>0</v>
      </c>
      <c r="P34" s="109">
        <f>SUM('1-13'!O37:Q37,'11-25 payroll'!O37:Q37)</f>
        <v>1250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10273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1250</v>
      </c>
      <c r="R36" s="110"/>
      <c r="V36" s="109"/>
    </row>
    <row r="37" spans="1:22" s="265" customFormat="1" x14ac:dyDescent="0.2">
      <c r="A37" s="263" t="str">
        <f>+'1-13'!B7</f>
        <v>Biarcal, Ronald Glenn</v>
      </c>
      <c r="B37" s="263">
        <f>+'1-13'!G7+'11-25 payroll'!G7</f>
        <v>13377</v>
      </c>
      <c r="C37" s="106"/>
      <c r="D37" s="105"/>
      <c r="E37" s="106"/>
      <c r="F37" s="105"/>
      <c r="G37" s="263">
        <f>+'1-13'!I7+'11-25 payroll'!I7</f>
        <v>0</v>
      </c>
      <c r="H37" s="263">
        <f>+'1-13'!H7+'11-25 payroll'!H7</f>
        <v>115</v>
      </c>
      <c r="I37" s="263">
        <f>+'1-13'!P7+'11-25 payroll'!P7</f>
        <v>0</v>
      </c>
      <c r="J37" s="109">
        <f>+'1-13'!R7+'11-25 payroll'!R7</f>
        <v>0</v>
      </c>
      <c r="K37" s="109">
        <f>+'1-13'!T7+'11-25 payroll'!T7</f>
        <v>0</v>
      </c>
      <c r="L37" s="109">
        <f>+'1-13'!V7+'11-25 payroll'!V7</f>
        <v>0</v>
      </c>
      <c r="M37" s="109">
        <f>+'1-13'!W7+'11-25 payroll'!W7</f>
        <v>0</v>
      </c>
      <c r="N37" s="109">
        <f>+'1-13'!F22+'1-13'!H22+'11-25 payroll'!F22+'11-25 payroll'!H22</f>
        <v>263.5</v>
      </c>
      <c r="O37" s="109">
        <f>+'1-13'!I22+'11-25 payroll'!I22</f>
        <v>0</v>
      </c>
      <c r="P37" s="109">
        <f>SUM('1-13'!O35:Q35,'11-25 payroll'!O35:Q35)</f>
        <v>2068</v>
      </c>
      <c r="R37" s="266"/>
      <c r="V37" s="267"/>
    </row>
    <row r="38" spans="1:22" s="265" customFormat="1" x14ac:dyDescent="0.2">
      <c r="A38" s="263" t="str">
        <f>+'1-13'!B8</f>
        <v>Sanchez, Angelo</v>
      </c>
      <c r="B38" s="263">
        <f>+'1-13'!G8+'11-25 payroll'!G8</f>
        <v>13377</v>
      </c>
      <c r="C38" s="106"/>
      <c r="D38" s="105"/>
      <c r="E38" s="106"/>
      <c r="F38" s="105"/>
      <c r="G38" s="263">
        <f>+'1-13'!I8+'11-25 payroll'!I8</f>
        <v>0</v>
      </c>
      <c r="H38" s="263">
        <f>+'1-13'!H8+'11-25 payroll'!H8</f>
        <v>120</v>
      </c>
      <c r="I38" s="263">
        <f>+'1-13'!P8+'11-25 payroll'!P8</f>
        <v>0</v>
      </c>
      <c r="J38" s="109">
        <f>+'1-13'!R8+'11-25 payroll'!R8</f>
        <v>0</v>
      </c>
      <c r="K38" s="109">
        <f>+'1-13'!T8+'11-25 payroll'!T8</f>
        <v>0</v>
      </c>
      <c r="L38" s="109">
        <f>+'1-13'!V8+'11-25 payroll'!V8</f>
        <v>0</v>
      </c>
      <c r="M38" s="109">
        <f>+'1-13'!W8+'11-25 payroll'!W8</f>
        <v>0</v>
      </c>
      <c r="N38" s="109">
        <f>+'1-13'!F23+'1-13'!H23+'11-25 payroll'!F23+'11-25 payroll'!H23</f>
        <v>0</v>
      </c>
      <c r="O38" s="109">
        <f>+'1-13'!I23+'11-25 payroll'!I23</f>
        <v>0</v>
      </c>
      <c r="P38" s="109">
        <f>SUM('1-13'!O36:Q36,'11-25 payroll'!O36:Q36)</f>
        <v>1500</v>
      </c>
      <c r="R38" s="266"/>
      <c r="V38" s="267"/>
    </row>
    <row r="39" spans="1:22" s="105" customFormat="1" x14ac:dyDescent="0.2">
      <c r="A39" s="263" t="str">
        <f>+'1-13'!B10</f>
        <v xml:space="preserve">Sosa, Anna Marie </v>
      </c>
      <c r="B39" s="263">
        <f>+'1-13'!G10+'11-25 payroll'!G10</f>
        <v>13377</v>
      </c>
      <c r="C39" s="106"/>
      <c r="E39" s="106"/>
      <c r="G39" s="263">
        <f>+'1-13'!I10+'11-25 payroll'!I10</f>
        <v>0</v>
      </c>
      <c r="H39" s="263">
        <f>+'1-13'!H10+'11-25 payroll'!H10</f>
        <v>120</v>
      </c>
      <c r="I39" s="263">
        <f>+'1-13'!P10+'11-25 payroll'!P10</f>
        <v>0</v>
      </c>
      <c r="J39" s="109">
        <f>+'1-13'!R10+'11-25 payroll'!R10</f>
        <v>0</v>
      </c>
      <c r="K39" s="109">
        <f>+'1-13'!T10+'11-25 payroll'!T10</f>
        <v>0</v>
      </c>
      <c r="L39" s="109">
        <f>+'1-13'!V10+'11-25 payroll'!V10</f>
        <v>0</v>
      </c>
      <c r="M39" s="109">
        <f>+'1-13'!W10+'11-25 payroll'!W10</f>
        <v>0</v>
      </c>
      <c r="N39" s="109">
        <f>+'1-13'!F25+'1-13'!H25+'11-25 payroll'!F25+'11-25 payroll'!H25</f>
        <v>0</v>
      </c>
      <c r="O39" s="109">
        <f>+'1-13'!I25+'11-25 payroll'!I25</f>
        <v>0</v>
      </c>
      <c r="P39" s="109">
        <f>SUM('1-13'!O38:Q38,'11-25 payroll'!O38:Q38)</f>
        <v>2068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355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263.5</v>
      </c>
      <c r="O41" s="268">
        <f t="shared" si="6"/>
        <v>0</v>
      </c>
      <c r="P41" s="268">
        <f t="shared" si="6"/>
        <v>5636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50404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355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263.5</v>
      </c>
      <c r="O44" s="263">
        <f t="shared" si="7"/>
        <v>0</v>
      </c>
      <c r="P44" s="263">
        <f t="shared" si="7"/>
        <v>6886</v>
      </c>
      <c r="Q44" s="263">
        <f>SUM(B44:P44)</f>
        <v>57908.5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8" t="s">
        <v>133</v>
      </c>
      <c r="B46" s="458"/>
      <c r="C46" s="458"/>
      <c r="D46" s="458"/>
      <c r="E46" s="458"/>
      <c r="F46" s="458"/>
      <c r="G46" s="458"/>
      <c r="H46" s="458"/>
      <c r="I46" s="458"/>
      <c r="J46" s="458"/>
      <c r="K46" s="458"/>
      <c r="L46" s="458"/>
      <c r="M46" s="458"/>
      <c r="N46" s="458"/>
      <c r="O46" s="458"/>
      <c r="Q46" s="110"/>
      <c r="U46" s="109"/>
    </row>
    <row r="47" spans="1:22" s="105" customFormat="1" x14ac:dyDescent="0.2">
      <c r="A47" s="458"/>
      <c r="B47" s="458"/>
      <c r="C47" s="458"/>
      <c r="D47" s="458"/>
      <c r="E47" s="458"/>
      <c r="F47" s="458"/>
      <c r="G47" s="458"/>
      <c r="H47" s="458"/>
      <c r="I47" s="458"/>
      <c r="J47" s="458"/>
      <c r="K47" s="458"/>
      <c r="L47" s="458"/>
      <c r="M47" s="458"/>
      <c r="N47" s="458"/>
      <c r="O47" s="458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58053.8</v>
      </c>
      <c r="M48" s="263">
        <f>+I29+P36+P41-(O36+O41)+G36</f>
        <v>69864.5</v>
      </c>
      <c r="N48" s="109">
        <f>+L48-M48</f>
        <v>-11810.699999999997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37982.400000000001</v>
      </c>
      <c r="M49" s="263">
        <f>+L49</f>
        <v>37982.400000000001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10529.7</v>
      </c>
      <c r="M51" s="263">
        <f>+L51</f>
        <v>10529.7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9541.7000000000007</v>
      </c>
      <c r="M52" s="263">
        <f>+M48-M49-M50-M51</f>
        <v>21352.399999999998</v>
      </c>
      <c r="N52" s="109">
        <f>+L52-M52</f>
        <v>-11810.699999999997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C30" sqref="C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287</v>
      </c>
    </row>
    <row r="3" spans="1:13" x14ac:dyDescent="0.2">
      <c r="B3" t="s">
        <v>271</v>
      </c>
    </row>
    <row r="5" spans="1:13" x14ac:dyDescent="0.2">
      <c r="A5" s="335" t="s">
        <v>278</v>
      </c>
      <c r="B5" s="338" t="s">
        <v>272</v>
      </c>
      <c r="C5" s="339"/>
      <c r="D5" s="339"/>
      <c r="E5" s="340"/>
      <c r="G5" s="338" t="s">
        <v>273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274</v>
      </c>
      <c r="C7" s="342">
        <v>502</v>
      </c>
      <c r="D7" s="342"/>
      <c r="E7" s="343"/>
      <c r="G7" s="344" t="s">
        <v>274</v>
      </c>
      <c r="H7" s="342">
        <v>502</v>
      </c>
      <c r="I7" s="343"/>
      <c r="J7" s="344" t="s">
        <v>284</v>
      </c>
      <c r="K7" s="342"/>
      <c r="L7" s="342"/>
      <c r="M7" s="343"/>
    </row>
    <row r="8" spans="1:13" x14ac:dyDescent="0.2">
      <c r="B8" s="344" t="s">
        <v>275</v>
      </c>
      <c r="C8" s="342">
        <v>2.15</v>
      </c>
      <c r="D8" s="342"/>
      <c r="E8" s="343"/>
      <c r="G8" s="344" t="s">
        <v>275</v>
      </c>
      <c r="H8" s="342">
        <f>2+15/60</f>
        <v>2.25</v>
      </c>
      <c r="I8" s="343"/>
      <c r="J8" s="344" t="s">
        <v>285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286</v>
      </c>
      <c r="K9" s="342"/>
      <c r="L9" s="342"/>
      <c r="M9" s="343"/>
    </row>
    <row r="10" spans="1:13" x14ac:dyDescent="0.2">
      <c r="B10" s="345" t="s">
        <v>276</v>
      </c>
      <c r="C10" s="346">
        <f>C7/8*C8</f>
        <v>134.91249999999999</v>
      </c>
      <c r="D10" s="347"/>
      <c r="E10" s="348"/>
      <c r="G10" s="345" t="s">
        <v>276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277</v>
      </c>
    </row>
    <row r="15" spans="1:13" x14ac:dyDescent="0.2">
      <c r="A15" s="335" t="s">
        <v>283</v>
      </c>
      <c r="B15" s="338" t="s">
        <v>279</v>
      </c>
      <c r="C15" s="339"/>
      <c r="D15" s="339"/>
      <c r="E15" s="340"/>
      <c r="G15" s="338" t="s">
        <v>280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274</v>
      </c>
      <c r="C17" s="342">
        <v>502</v>
      </c>
      <c r="D17" s="342"/>
      <c r="E17" s="343"/>
      <c r="G17" s="344" t="s">
        <v>274</v>
      </c>
      <c r="H17" s="342">
        <v>502</v>
      </c>
      <c r="I17" s="343"/>
    </row>
    <row r="18" spans="1:9" x14ac:dyDescent="0.2">
      <c r="B18" s="344" t="s">
        <v>275</v>
      </c>
      <c r="C18" s="342">
        <v>2.59</v>
      </c>
      <c r="D18" s="465" t="s">
        <v>281</v>
      </c>
      <c r="E18" s="466"/>
      <c r="G18" s="344" t="s">
        <v>275</v>
      </c>
      <c r="H18" s="351">
        <f>2+59/60</f>
        <v>2.9833333333333334</v>
      </c>
      <c r="I18" s="343"/>
    </row>
    <row r="19" spans="1:9" x14ac:dyDescent="0.2">
      <c r="B19" s="341"/>
      <c r="C19" s="342"/>
      <c r="D19" s="465"/>
      <c r="E19" s="466"/>
      <c r="G19" s="341"/>
      <c r="H19" s="342"/>
      <c r="I19" s="343"/>
    </row>
    <row r="20" spans="1:9" x14ac:dyDescent="0.2">
      <c r="B20" s="345" t="s">
        <v>276</v>
      </c>
      <c r="C20" s="346">
        <f>C17/8*C18</f>
        <v>162.52249999999998</v>
      </c>
      <c r="D20" s="347"/>
      <c r="E20" s="348"/>
      <c r="G20" s="345" t="s">
        <v>276</v>
      </c>
      <c r="H20" s="346">
        <f>H17/8*H18</f>
        <v>187.20416666666668</v>
      </c>
      <c r="I20" s="348"/>
    </row>
    <row r="22" spans="1:9" x14ac:dyDescent="0.2">
      <c r="B22" s="337" t="s">
        <v>282</v>
      </c>
    </row>
    <row r="25" spans="1:9" x14ac:dyDescent="0.2">
      <c r="A25" s="336" t="s">
        <v>288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opLeftCell="A53" workbookViewId="0">
      <selection activeCell="A67" sqref="A67:Q132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8" t="str">
        <f>'[2]11-25 payroll'!A1</f>
        <v>THE OLD SPAGHETTI HOUSE</v>
      </c>
      <c r="C2" s="449"/>
      <c r="D2" s="449"/>
      <c r="E2" s="449"/>
      <c r="F2" s="449"/>
      <c r="G2" s="449"/>
      <c r="H2" s="450"/>
      <c r="I2" s="178"/>
      <c r="J2" s="448" t="str">
        <f>'[2]11-25 payroll'!A1</f>
        <v>THE OLD SPAGHETTI HOUSE</v>
      </c>
      <c r="K2" s="449"/>
      <c r="L2" s="449"/>
      <c r="M2" s="449"/>
      <c r="N2" s="449"/>
      <c r="O2" s="449"/>
      <c r="P2" s="450"/>
    </row>
    <row r="3" spans="1:22" s="179" customFormat="1" x14ac:dyDescent="0.2">
      <c r="A3" s="170"/>
      <c r="B3" s="451" t="str">
        <f>'[2]11-25 payroll'!D2</f>
        <v>VALERO</v>
      </c>
      <c r="C3" s="452"/>
      <c r="D3" s="452"/>
      <c r="E3" s="452"/>
      <c r="F3" s="452"/>
      <c r="G3" s="452"/>
      <c r="H3" s="453"/>
      <c r="I3" s="178"/>
      <c r="J3" s="451" t="str">
        <f>'[2]11-25 payroll'!D2</f>
        <v>VALERO</v>
      </c>
      <c r="K3" s="452"/>
      <c r="L3" s="452"/>
      <c r="M3" s="452"/>
      <c r="N3" s="452"/>
      <c r="O3" s="452"/>
      <c r="P3" s="453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54" t="s">
        <v>25</v>
      </c>
      <c r="C5" s="455"/>
      <c r="D5" s="455"/>
      <c r="E5" s="455"/>
      <c r="F5" s="455"/>
      <c r="G5" s="455"/>
      <c r="H5" s="456"/>
      <c r="I5" s="178"/>
      <c r="J5" s="454" t="s">
        <v>25</v>
      </c>
      <c r="K5" s="455"/>
      <c r="L5" s="455"/>
      <c r="M5" s="455"/>
      <c r="N5" s="455"/>
      <c r="O5" s="455"/>
      <c r="P5" s="456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'[2]11-25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'[2]11-25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v>527</v>
      </c>
      <c r="E8" s="446"/>
      <c r="F8" s="446"/>
      <c r="G8" s="55"/>
      <c r="H8" s="357"/>
      <c r="I8" s="195"/>
      <c r="J8" s="192" t="s">
        <v>28</v>
      </c>
      <c r="K8" s="193" t="s">
        <v>27</v>
      </c>
      <c r="L8" s="446">
        <v>527</v>
      </c>
      <c r="M8" s="446"/>
      <c r="N8" s="446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47" t="str">
        <f>'1-13'!D3</f>
        <v>June 1-13,2020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'1-13'!D3</f>
        <v>June 1-13,2020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'1-13'!F7</f>
        <v>11.5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'1-13'!F8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'1-13'!P8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'1-13'!H7</f>
        <v>115</v>
      </c>
      <c r="G14" s="55"/>
      <c r="H14" s="58"/>
      <c r="I14" s="195"/>
      <c r="J14" s="192"/>
      <c r="K14" s="193"/>
      <c r="L14" s="204" t="s">
        <v>95</v>
      </c>
      <c r="M14" s="205"/>
      <c r="N14" s="9">
        <f>'1-13'!H8</f>
        <v>120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290</v>
      </c>
      <c r="E16" s="205"/>
      <c r="F16" s="55">
        <f>'1-13'!W7</f>
        <v>0</v>
      </c>
      <c r="G16" s="55"/>
      <c r="H16" s="58"/>
      <c r="I16" s="195"/>
      <c r="J16" s="192"/>
      <c r="K16" s="193"/>
      <c r="L16" s="204" t="s">
        <v>290</v>
      </c>
      <c r="M16" s="205"/>
      <c r="N16" s="9">
        <f>'1-13'!W8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'1-13'!O35+'1-13'!P35+'1-13'!V7</f>
        <v>1034</v>
      </c>
      <c r="G17" s="55"/>
      <c r="H17" s="56">
        <f>SUM(F13:F17)</f>
        <v>1149</v>
      </c>
      <c r="I17" s="195"/>
      <c r="J17" s="192"/>
      <c r="K17" s="193"/>
      <c r="L17" s="204" t="s">
        <v>99</v>
      </c>
      <c r="M17" s="205"/>
      <c r="N17" s="11">
        <f>'1-13'!V8+500+500</f>
        <v>1000</v>
      </c>
      <c r="O17" s="9"/>
      <c r="P17" s="10">
        <f>SUM(N13:N17)</f>
        <v>1120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'1-13'!K22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'1-13'!K23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301</v>
      </c>
      <c r="E22" s="205"/>
      <c r="F22" s="55">
        <f>'1-13'!G56</f>
        <v>0</v>
      </c>
      <c r="G22" s="55"/>
      <c r="H22" s="207"/>
      <c r="I22" s="195"/>
      <c r="J22" s="192"/>
      <c r="K22" s="198"/>
      <c r="L22" s="206" t="s">
        <v>301</v>
      </c>
      <c r="M22" s="205"/>
      <c r="N22" s="208">
        <f>'1-13'!G57</f>
        <v>0</v>
      </c>
      <c r="O22" s="9"/>
      <c r="P22" s="207"/>
    </row>
    <row r="23" spans="1:22" x14ac:dyDescent="0.2">
      <c r="B23" s="192"/>
      <c r="C23" s="198"/>
      <c r="D23" s="206" t="s">
        <v>295</v>
      </c>
      <c r="E23" s="205"/>
      <c r="F23" s="55">
        <f>'1-13'!H56</f>
        <v>0</v>
      </c>
      <c r="G23" s="55"/>
      <c r="H23" s="207"/>
      <c r="I23" s="195"/>
      <c r="J23" s="192"/>
      <c r="K23" s="198"/>
      <c r="L23" s="206" t="s">
        <v>295</v>
      </c>
      <c r="M23" s="205"/>
      <c r="N23" s="9">
        <f>'1-13'!H57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'1-13'!D56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'1-13'!D57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'1-13'!H22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'1-13'!H23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'1-13'!N22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'1-13'!N23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'1-13'!M22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'1-13'!M23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8000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7971</v>
      </c>
      <c r="R28" s="215"/>
      <c r="T28" s="216">
        <f>+H28-'[2]11-25 payroll'!S35</f>
        <v>2232.394859375001</v>
      </c>
      <c r="U28" s="217"/>
      <c r="V28" s="218">
        <f>+P28-'[2]11-25 payroll'!S36</f>
        <v>1457.5020468749999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8" t="str">
        <f>'[2]11-25 payroll'!A1</f>
        <v>THE OLD SPAGHETTI HOUSE</v>
      </c>
      <c r="C35" s="449"/>
      <c r="D35" s="449"/>
      <c r="E35" s="449"/>
      <c r="F35" s="449"/>
      <c r="G35" s="449"/>
      <c r="H35" s="450"/>
      <c r="I35" s="178"/>
      <c r="J35" s="448" t="str">
        <f>'[2]11-25 payroll'!A1</f>
        <v>THE OLD SPAGHETTI HOUSE</v>
      </c>
      <c r="K35" s="449"/>
      <c r="L35" s="449"/>
      <c r="M35" s="449"/>
      <c r="N35" s="449"/>
      <c r="O35" s="449"/>
      <c r="P35" s="450"/>
    </row>
    <row r="36" spans="2:17" x14ac:dyDescent="0.2">
      <c r="B36" s="451" t="str">
        <f>'[2]11-25 payroll'!D2</f>
        <v>VALERO</v>
      </c>
      <c r="C36" s="452"/>
      <c r="D36" s="452"/>
      <c r="E36" s="452"/>
      <c r="F36" s="452"/>
      <c r="G36" s="452"/>
      <c r="H36" s="453"/>
      <c r="I36" s="178"/>
      <c r="J36" s="451" t="str">
        <f>'[2]11-25 payroll'!D2</f>
        <v>VALERO</v>
      </c>
      <c r="K36" s="452"/>
      <c r="L36" s="452"/>
      <c r="M36" s="452"/>
      <c r="N36" s="452"/>
      <c r="O36" s="452"/>
      <c r="P36" s="453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54" t="s">
        <v>25</v>
      </c>
      <c r="C38" s="455"/>
      <c r="D38" s="455"/>
      <c r="E38" s="455"/>
      <c r="F38" s="455"/>
      <c r="G38" s="455"/>
      <c r="H38" s="456"/>
      <c r="I38" s="178"/>
      <c r="J38" s="454" t="s">
        <v>25</v>
      </c>
      <c r="K38" s="455"/>
      <c r="L38" s="455"/>
      <c r="M38" s="455"/>
      <c r="N38" s="455"/>
      <c r="O38" s="455"/>
      <c r="P38" s="456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'[2]11-25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4" t="str">
        <f>'[2]11-25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'[2]11-25 payroll'!E9</f>
        <v>790.23076923076928</v>
      </c>
      <c r="E41" s="446"/>
      <c r="F41" s="446"/>
      <c r="G41" s="55"/>
      <c r="H41" s="357"/>
      <c r="I41" s="195"/>
      <c r="J41" s="192" t="s">
        <v>28</v>
      </c>
      <c r="K41" s="193" t="s">
        <v>27</v>
      </c>
      <c r="L41" s="446">
        <v>527</v>
      </c>
      <c r="M41" s="446"/>
      <c r="N41" s="446"/>
      <c r="O41" s="9"/>
      <c r="P41" s="357"/>
    </row>
    <row r="42" spans="2:17" x14ac:dyDescent="0.2">
      <c r="B42" s="192" t="s">
        <v>29</v>
      </c>
      <c r="C42" s="193" t="s">
        <v>27</v>
      </c>
      <c r="D42" s="447" t="str">
        <f>'1-13'!D3</f>
        <v>June 1-13,2020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">
        <v>300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'1-13'!F9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'1-13'!F10</f>
        <v>12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'1-13'!P9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'1-13'!P10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'1-13'!H9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'1-13'!H10</f>
        <v>120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290</v>
      </c>
      <c r="E49" s="205"/>
      <c r="F49" s="55">
        <f>'1-13'!W9</f>
        <v>0</v>
      </c>
      <c r="G49" s="55"/>
      <c r="H49" s="58"/>
      <c r="I49" s="195"/>
      <c r="J49" s="192"/>
      <c r="K49" s="193"/>
      <c r="L49" s="204" t="s">
        <v>290</v>
      </c>
      <c r="M49" s="205"/>
      <c r="N49" s="9">
        <f>'1-13'!W10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300+1000+93.84</f>
        <v>1393.84</v>
      </c>
      <c r="G50" s="55"/>
      <c r="H50" s="56">
        <f>SUM(F46:F50)</f>
        <v>1393.84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f>SUM(N46:N50)</f>
        <v>1173.75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'1-13'!J24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'1-13'!K24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'1-13'!K25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301</v>
      </c>
      <c r="E55" s="205"/>
      <c r="F55" s="55">
        <f>'1-13'!G58</f>
        <v>0</v>
      </c>
      <c r="G55" s="55"/>
      <c r="H55" s="207"/>
      <c r="I55" s="195"/>
      <c r="J55" s="192"/>
      <c r="K55" s="198"/>
      <c r="L55" s="206" t="s">
        <v>295</v>
      </c>
      <c r="M55" s="205"/>
      <c r="N55" s="9">
        <f>'1-13'!H59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'1-13'!F58</f>
        <v>0</v>
      </c>
      <c r="G56" s="55"/>
      <c r="H56" s="207"/>
      <c r="I56" s="195"/>
      <c r="J56" s="192"/>
      <c r="K56" s="198"/>
      <c r="L56" s="206" t="s">
        <v>301</v>
      </c>
      <c r="M56" s="205"/>
      <c r="N56" s="9">
        <f>'1-13'!G59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'1-13'!D58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'1-13'!D59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'1-13'!E58+'1-13'!H24+27.88</f>
        <v>27.88</v>
      </c>
      <c r="G58" s="55"/>
      <c r="H58" s="209"/>
      <c r="I58" s="195"/>
      <c r="J58" s="192"/>
      <c r="K58" s="198"/>
      <c r="L58" s="206" t="s">
        <v>39</v>
      </c>
      <c r="M58" s="205"/>
      <c r="N58" s="9">
        <f>'1-13'!H25+'1-13'!F25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'1-13'!N24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'1-13'!N25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'1-13'!M24</f>
        <v>0</v>
      </c>
      <c r="G60" s="55"/>
      <c r="H60" s="211">
        <f>-SUM(F52:F60)</f>
        <v>-27.88</v>
      </c>
      <c r="I60" s="195"/>
      <c r="J60" s="192"/>
      <c r="K60" s="198"/>
      <c r="L60" s="198" t="s">
        <v>6</v>
      </c>
      <c r="M60" s="205"/>
      <c r="N60" s="9">
        <f>'1-13'!M25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11638.960000000001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8024.75</v>
      </c>
      <c r="Q61" s="174"/>
      <c r="T61" s="216">
        <f>+H61-'[2]11-25 payroll'!S37</f>
        <v>2831.5693062500013</v>
      </c>
      <c r="V61" s="237">
        <f>+P61-'[2]11-25 payroll'!S38</f>
        <v>2172.1664989583332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8" t="str">
        <f>'[2]11-25 payroll'!A1</f>
        <v>THE OLD SPAGHETTI HOUSE</v>
      </c>
      <c r="C68" s="449"/>
      <c r="D68" s="449"/>
      <c r="E68" s="449"/>
      <c r="F68" s="449"/>
      <c r="G68" s="449"/>
      <c r="H68" s="450"/>
      <c r="I68" s="178"/>
      <c r="J68" s="448" t="str">
        <f>'[2]11-25 payroll'!A1</f>
        <v>THE OLD SPAGHETTI HOUSE</v>
      </c>
      <c r="K68" s="449"/>
      <c r="L68" s="449"/>
      <c r="M68" s="449"/>
      <c r="N68" s="449"/>
      <c r="O68" s="449"/>
      <c r="P68" s="450"/>
    </row>
    <row r="69" spans="2:17" x14ac:dyDescent="0.2">
      <c r="B69" s="451" t="str">
        <f>'[2]11-25 payroll'!D2</f>
        <v>VALERO</v>
      </c>
      <c r="C69" s="452"/>
      <c r="D69" s="452"/>
      <c r="E69" s="452"/>
      <c r="F69" s="452"/>
      <c r="G69" s="452"/>
      <c r="H69" s="453"/>
      <c r="I69" s="178"/>
      <c r="J69" s="451" t="str">
        <f>'[2]11-25 payroll'!D2</f>
        <v>VALERO</v>
      </c>
      <c r="K69" s="452"/>
      <c r="L69" s="452"/>
      <c r="M69" s="452"/>
      <c r="N69" s="452"/>
      <c r="O69" s="452"/>
      <c r="P69" s="453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54" t="s">
        <v>25</v>
      </c>
      <c r="C71" s="455"/>
      <c r="D71" s="455"/>
      <c r="E71" s="455"/>
      <c r="F71" s="455"/>
      <c r="G71" s="455"/>
      <c r="H71" s="456"/>
      <c r="I71" s="178"/>
      <c r="J71" s="454" t="s">
        <v>25</v>
      </c>
      <c r="K71" s="455"/>
      <c r="L71" s="455"/>
      <c r="M71" s="455"/>
      <c r="N71" s="455"/>
      <c r="O71" s="455"/>
      <c r="P71" s="456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4" t="str">
        <f>'[2]11-25 payroll'!B11</f>
        <v>Briones, Christain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4" t="str">
        <f>'[2]11-25 payroll'!B12</f>
        <v>Cahilig,Benzen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v>527</v>
      </c>
      <c r="E74" s="446"/>
      <c r="F74" s="446"/>
      <c r="G74" s="55"/>
      <c r="H74" s="357"/>
      <c r="I74" s="195"/>
      <c r="J74" s="192" t="s">
        <v>28</v>
      </c>
      <c r="K74" s="193" t="s">
        <v>27</v>
      </c>
      <c r="L74" s="446">
        <v>527</v>
      </c>
      <c r="M74" s="446"/>
      <c r="N74" s="446"/>
      <c r="O74" s="9"/>
      <c r="P74" s="357"/>
    </row>
    <row r="75" spans="2:17" x14ac:dyDescent="0.2">
      <c r="B75" s="192" t="s">
        <v>29</v>
      </c>
      <c r="C75" s="193" t="s">
        <v>27</v>
      </c>
      <c r="D75" s="447" t="str">
        <f>'1-13'!D3</f>
        <v>June 1-13,2020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 t="str">
        <f>'1-13'!D3</f>
        <v>June 1-13,2020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3162</v>
      </c>
      <c r="Q76" s="174"/>
    </row>
    <row r="77" spans="2:17" x14ac:dyDescent="0.2">
      <c r="B77" s="192"/>
      <c r="C77" s="198"/>
      <c r="D77" s="200" t="s">
        <v>31</v>
      </c>
      <c r="E77" s="202">
        <f>'1-13'!F11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'1-13'!F12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299</v>
      </c>
      <c r="E79" s="205"/>
      <c r="F79" s="55">
        <f>'1-13'!W11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'1-13'!P12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'1-13'!H11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'1-13'!H12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'1-13'!R11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'1-13'!R12</f>
        <v>0</v>
      </c>
      <c r="O81" s="9"/>
      <c r="P81" s="10"/>
    </row>
    <row r="82" spans="1:22" x14ac:dyDescent="0.2">
      <c r="B82" s="192"/>
      <c r="C82" s="193"/>
      <c r="D82" s="204" t="s">
        <v>291</v>
      </c>
      <c r="E82" s="205"/>
      <c r="F82" s="55">
        <v>0</v>
      </c>
      <c r="G82" s="55"/>
      <c r="H82" s="58"/>
      <c r="I82" s="195"/>
      <c r="J82" s="192"/>
      <c r="K82" s="193"/>
      <c r="L82" s="204" t="s">
        <v>291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'1-13'!V11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'1-13'!V12</f>
        <v>0</v>
      </c>
      <c r="O83" s="9"/>
      <c r="P83" s="56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'1-13'!J26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'1-13'!J27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'1-13'!K26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'1-13'!K27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'1-13'!L27</f>
        <v>0</v>
      </c>
      <c r="O87" s="9"/>
      <c r="P87" s="207"/>
    </row>
    <row r="88" spans="1:22" x14ac:dyDescent="0.2">
      <c r="B88" s="192"/>
      <c r="C88" s="198"/>
      <c r="D88" s="206" t="s">
        <v>295</v>
      </c>
      <c r="E88" s="205"/>
      <c r="F88" s="55">
        <f>'1-13'!H60</f>
        <v>0</v>
      </c>
      <c r="G88" s="55"/>
      <c r="H88" s="207"/>
      <c r="I88" s="195"/>
      <c r="J88" s="192"/>
      <c r="K88" s="198"/>
      <c r="L88" s="206" t="s">
        <v>295</v>
      </c>
      <c r="M88" s="205"/>
      <c r="N88" s="359">
        <f>'1-13'!H61</f>
        <v>0</v>
      </c>
      <c r="O88" s="9"/>
      <c r="P88" s="207"/>
    </row>
    <row r="89" spans="1:22" x14ac:dyDescent="0.2">
      <c r="B89" s="192"/>
      <c r="C89" s="198"/>
      <c r="D89" s="206" t="s">
        <v>301</v>
      </c>
      <c r="E89" s="205"/>
      <c r="F89" s="55">
        <f>'1-13'!G60</f>
        <v>0</v>
      </c>
      <c r="G89" s="55"/>
      <c r="H89" s="207"/>
      <c r="I89" s="195"/>
      <c r="J89" s="192"/>
      <c r="K89" s="198"/>
      <c r="L89" s="206" t="s">
        <v>301</v>
      </c>
      <c r="M89" s="205"/>
      <c r="N89" s="9">
        <f>'1-13'!G61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'1-13'!D60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'1-13'!D61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'1-13'!H26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'1-13'!H27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'1-13'!N26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'1-13'!N27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'1-13'!M26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'1-13'!M27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+H94-'[2]11-25 payroll'!S39</f>
        <v>-4509.8982442708329</v>
      </c>
      <c r="V94" s="237">
        <f>+P94-'[2]11-25 payroll'!S40</f>
        <v>-1604.2099999999991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8" t="str">
        <f>'[2]11-25 payroll'!A1</f>
        <v>THE OLD SPAGHETTI HOUSE</v>
      </c>
      <c r="C101" s="449"/>
      <c r="D101" s="449"/>
      <c r="E101" s="449"/>
      <c r="F101" s="449"/>
      <c r="G101" s="449"/>
      <c r="H101" s="450"/>
      <c r="I101" s="178"/>
      <c r="J101" s="448" t="str">
        <f>'[2]11-25 payroll'!A1</f>
        <v>THE OLD SPAGHETTI HOUSE</v>
      </c>
      <c r="K101" s="449"/>
      <c r="L101" s="449"/>
      <c r="M101" s="449"/>
      <c r="N101" s="449"/>
      <c r="O101" s="449"/>
      <c r="P101" s="450"/>
    </row>
    <row r="102" spans="2:17" x14ac:dyDescent="0.2">
      <c r="B102" s="451" t="str">
        <f>'[2]11-25 payroll'!D2</f>
        <v>VALERO</v>
      </c>
      <c r="C102" s="452"/>
      <c r="D102" s="452"/>
      <c r="E102" s="452"/>
      <c r="F102" s="452"/>
      <c r="G102" s="452"/>
      <c r="H102" s="453"/>
      <c r="I102" s="178"/>
      <c r="J102" s="451" t="str">
        <f>'[2]11-25 payroll'!D2</f>
        <v>VALERO</v>
      </c>
      <c r="K102" s="452"/>
      <c r="L102" s="452"/>
      <c r="M102" s="452"/>
      <c r="N102" s="452"/>
      <c r="O102" s="452"/>
      <c r="P102" s="453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54" t="s">
        <v>25</v>
      </c>
      <c r="C104" s="455"/>
      <c r="D104" s="455"/>
      <c r="E104" s="455"/>
      <c r="F104" s="455"/>
      <c r="G104" s="455"/>
      <c r="H104" s="456"/>
      <c r="I104" s="178"/>
      <c r="J104" s="454" t="s">
        <v>25</v>
      </c>
      <c r="K104" s="455"/>
      <c r="L104" s="455"/>
      <c r="M104" s="455"/>
      <c r="N104" s="455"/>
      <c r="O104" s="455"/>
      <c r="P104" s="456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4" t="str">
        <f>'[2]11-25 payroll'!B13</f>
        <v>Pantoja,Nancy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4">
        <f>'[2]11-25 payroll'!B29</f>
        <v>0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v>527</v>
      </c>
      <c r="E107" s="446"/>
      <c r="F107" s="446"/>
      <c r="G107" s="55"/>
      <c r="H107" s="357"/>
      <c r="I107" s="195"/>
      <c r="J107" s="192" t="s">
        <v>28</v>
      </c>
      <c r="K107" s="193" t="s">
        <v>27</v>
      </c>
      <c r="L107" s="446">
        <f>'[2]11-25 payroll'!E14</f>
        <v>0</v>
      </c>
      <c r="M107" s="446"/>
      <c r="N107" s="446"/>
      <c r="O107" s="9"/>
      <c r="P107" s="357"/>
    </row>
    <row r="108" spans="2:17" x14ac:dyDescent="0.2">
      <c r="B108" s="192" t="s">
        <v>29</v>
      </c>
      <c r="C108" s="193" t="s">
        <v>27</v>
      </c>
      <c r="D108" s="447" t="str">
        <f>'1-13'!D3</f>
        <v>June 1-13,2020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 t="str">
        <f>'[2]11-25 payroll'!D3</f>
        <v>JULY  11 - 25, 2018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2635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'1-13'!F13</f>
        <v>5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'1-13'!P13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'1-13'!H13</f>
        <v>50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'1-13'!R13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296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'1-13'!V13</f>
        <v>0</v>
      </c>
      <c r="G116" s="55"/>
      <c r="H116" s="56">
        <f>SUM(F112:F116)</f>
        <v>50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'1-13'!J28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'1-13'!K28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'1-13'!L28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295</v>
      </c>
      <c r="E121" s="205"/>
      <c r="F121" s="55">
        <f>'1-13'!H62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301</v>
      </c>
      <c r="E122" s="205"/>
      <c r="F122" s="55">
        <f>'1-13'!G62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'1-13'!D62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'1-13'!H28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'1-13'!N28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'1-13'!M28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2685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-2387.4799999999996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8" t="s">
        <v>294</v>
      </c>
      <c r="C134" s="449"/>
      <c r="D134" s="449"/>
      <c r="E134" s="449"/>
      <c r="F134" s="449"/>
      <c r="G134" s="449"/>
      <c r="H134" s="450"/>
      <c r="I134" s="178"/>
      <c r="J134" s="448" t="s">
        <v>294</v>
      </c>
      <c r="K134" s="449"/>
      <c r="L134" s="449"/>
      <c r="M134" s="449"/>
      <c r="N134" s="449"/>
      <c r="O134" s="449"/>
      <c r="P134" s="450"/>
    </row>
    <row r="135" spans="2:17" x14ac:dyDescent="0.2">
      <c r="B135" s="451" t="str">
        <f>'[2]11-25 payroll'!D2</f>
        <v>VALERO</v>
      </c>
      <c r="C135" s="452"/>
      <c r="D135" s="452"/>
      <c r="E135" s="452"/>
      <c r="F135" s="452"/>
      <c r="G135" s="452"/>
      <c r="H135" s="453"/>
      <c r="I135" s="178"/>
      <c r="J135" s="451" t="str">
        <f>'[2]11-25 payroll'!D2</f>
        <v>VALERO</v>
      </c>
      <c r="K135" s="452"/>
      <c r="L135" s="452"/>
      <c r="M135" s="452"/>
      <c r="N135" s="452"/>
      <c r="O135" s="452"/>
      <c r="P135" s="453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54" t="s">
        <v>25</v>
      </c>
      <c r="C137" s="455"/>
      <c r="D137" s="455"/>
      <c r="E137" s="455"/>
      <c r="F137" s="455"/>
      <c r="G137" s="455"/>
      <c r="H137" s="456"/>
      <c r="I137" s="178"/>
      <c r="J137" s="454" t="s">
        <v>25</v>
      </c>
      <c r="K137" s="455"/>
      <c r="L137" s="455"/>
      <c r="M137" s="455"/>
      <c r="N137" s="455"/>
      <c r="O137" s="455"/>
      <c r="P137" s="456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4" t="s">
        <v>292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 t="s">
        <v>292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v>527</v>
      </c>
      <c r="E140" s="446"/>
      <c r="F140" s="446"/>
      <c r="G140" s="55"/>
      <c r="H140" s="357"/>
      <c r="I140" s="195"/>
      <c r="J140" s="192" t="s">
        <v>28</v>
      </c>
      <c r="K140" s="193" t="s">
        <v>27</v>
      </c>
      <c r="L140" s="446">
        <v>527</v>
      </c>
      <c r="M140" s="446"/>
      <c r="N140" s="446"/>
      <c r="O140" s="9"/>
      <c r="P140" s="357"/>
    </row>
    <row r="141" spans="2:17" x14ac:dyDescent="0.2">
      <c r="B141" s="192" t="s">
        <v>29</v>
      </c>
      <c r="C141" s="193" t="s">
        <v>27</v>
      </c>
      <c r="D141" s="447" t="s">
        <v>289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 t="s">
        <v>293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0.7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1-13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'1-13'!Print_Area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2020-03-12T09:46:07Z</cp:lastPrinted>
  <dcterms:created xsi:type="dcterms:W3CDTF">2010-01-04T12:18:59Z</dcterms:created>
  <dcterms:modified xsi:type="dcterms:W3CDTF">2020-11-23T04:29:23Z</dcterms:modified>
</cp:coreProperties>
</file>