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n\Documents\venv\jarvis\instance\uploads\"/>
    </mc:Choice>
  </mc:AlternateContent>
  <xr:revisionPtr revIDLastSave="0" documentId="8_{F546027D-CDC0-4DAF-841F-14F11F116028}" xr6:coauthVersionLast="47" xr6:coauthVersionMax="47" xr10:uidLastSave="{00000000-0000-0000-0000-000000000000}"/>
  <bookViews>
    <workbookView xWindow="-108" yWindow="-108" windowWidth="23256" windowHeight="12576" tabRatio="762" firstSheet="7" activeTab="16" xr2:uid="{00000000-000D-0000-FFFF-FFFF00000000}"/>
  </bookViews>
  <sheets>
    <sheet name="2018-01" sheetId="1" r:id="rId1"/>
    <sheet name="2018-02" sheetId="2" r:id="rId2"/>
    <sheet name="2018-02 Palengke" sheetId="3" r:id="rId3"/>
    <sheet name="2018-02 Sizzle It Pull Out Expe" sheetId="4" r:id="rId4"/>
    <sheet name="2018-02 ACU Repair" sheetId="5" r:id="rId5"/>
    <sheet name="2018-03" sheetId="6" r:id="rId6"/>
    <sheet name="2018-04" sheetId="7" r:id="rId7"/>
    <sheet name="2018.05 Summary" sheetId="8" r:id="rId8"/>
    <sheet name="2018-05 Palengke" sheetId="9" r:id="rId9"/>
    <sheet name="2018-06 Summary" sheetId="10" r:id="rId10"/>
    <sheet name="2018-06 Palengke" sheetId="11" r:id="rId11"/>
    <sheet name="2018-07" sheetId="12" r:id="rId12"/>
    <sheet name="2018-08" sheetId="13" r:id="rId13"/>
    <sheet name="2018-09" sheetId="14" r:id="rId14"/>
    <sheet name="2018-10" sheetId="15" r:id="rId15"/>
    <sheet name="2018-11" sheetId="16" r:id="rId16"/>
    <sheet name="2018-12" sheetId="17" r:id="rId1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F119" i="17" l="1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L119" i="17"/>
  <c r="J119" i="17"/>
  <c r="I119" i="17"/>
  <c r="H119" i="17"/>
  <c r="O118" i="17"/>
  <c r="N118" i="17"/>
  <c r="AG118" i="17" s="1"/>
  <c r="AH118" i="17" s="1"/>
  <c r="M118" i="17"/>
  <c r="O117" i="17"/>
  <c r="AG117" i="17" s="1"/>
  <c r="AH117" i="17" s="1"/>
  <c r="N117" i="17"/>
  <c r="M117" i="17"/>
  <c r="O116" i="17"/>
  <c r="N116" i="17"/>
  <c r="M116" i="17"/>
  <c r="O115" i="17"/>
  <c r="N115" i="17"/>
  <c r="M115" i="17"/>
  <c r="O114" i="17"/>
  <c r="N114" i="17"/>
  <c r="AG114" i="17" s="1"/>
  <c r="AH114" i="17" s="1"/>
  <c r="M114" i="17"/>
  <c r="O113" i="17"/>
  <c r="N113" i="17"/>
  <c r="AG113" i="17" s="1"/>
  <c r="AH113" i="17" s="1"/>
  <c r="M113" i="17"/>
  <c r="O112" i="17"/>
  <c r="N112" i="17"/>
  <c r="M112" i="17"/>
  <c r="O111" i="17"/>
  <c r="N111" i="17"/>
  <c r="AG111" i="17" s="1"/>
  <c r="AH111" i="17" s="1"/>
  <c r="M111" i="17"/>
  <c r="AG110" i="17"/>
  <c r="AH110" i="17" s="1"/>
  <c r="O110" i="17"/>
  <c r="N110" i="17"/>
  <c r="M110" i="17"/>
  <c r="M109" i="17"/>
  <c r="K109" i="17"/>
  <c r="O108" i="17"/>
  <c r="N108" i="17"/>
  <c r="M108" i="17"/>
  <c r="O107" i="17"/>
  <c r="AG107" i="17" s="1"/>
  <c r="AH107" i="17" s="1"/>
  <c r="N107" i="17"/>
  <c r="M107" i="17"/>
  <c r="O106" i="17"/>
  <c r="N106" i="17"/>
  <c r="AG106" i="17" s="1"/>
  <c r="AH106" i="17" s="1"/>
  <c r="M106" i="17"/>
  <c r="AH105" i="17"/>
  <c r="AG105" i="17"/>
  <c r="O105" i="17"/>
  <c r="N105" i="17"/>
  <c r="M105" i="17"/>
  <c r="O104" i="17"/>
  <c r="N104" i="17"/>
  <c r="M104" i="17"/>
  <c r="O103" i="17"/>
  <c r="AG103" i="17" s="1"/>
  <c r="AH103" i="17" s="1"/>
  <c r="N103" i="17"/>
  <c r="M103" i="17"/>
  <c r="O102" i="17"/>
  <c r="N102" i="17"/>
  <c r="AG102" i="17" s="1"/>
  <c r="AH102" i="17" s="1"/>
  <c r="M102" i="17"/>
  <c r="O101" i="17"/>
  <c r="N101" i="17"/>
  <c r="M101" i="17"/>
  <c r="O100" i="17"/>
  <c r="N100" i="17"/>
  <c r="AG100" i="17" s="1"/>
  <c r="AH100" i="17" s="1"/>
  <c r="M100" i="17"/>
  <c r="O99" i="17"/>
  <c r="N99" i="17"/>
  <c r="AG99" i="17" s="1"/>
  <c r="AH99" i="17" s="1"/>
  <c r="M99" i="17"/>
  <c r="O98" i="17"/>
  <c r="N98" i="17"/>
  <c r="AG98" i="17" s="1"/>
  <c r="AH98" i="17" s="1"/>
  <c r="M98" i="17"/>
  <c r="O97" i="17"/>
  <c r="N97" i="17"/>
  <c r="AG97" i="17" s="1"/>
  <c r="AH97" i="17" s="1"/>
  <c r="M97" i="17"/>
  <c r="O96" i="17"/>
  <c r="N96" i="17"/>
  <c r="M96" i="17"/>
  <c r="O95" i="17"/>
  <c r="N95" i="17"/>
  <c r="M95" i="17"/>
  <c r="O94" i="17"/>
  <c r="N94" i="17"/>
  <c r="AG94" i="17" s="1"/>
  <c r="AH94" i="17" s="1"/>
  <c r="M94" i="17"/>
  <c r="O93" i="17"/>
  <c r="N93" i="17"/>
  <c r="M93" i="17"/>
  <c r="O92" i="17"/>
  <c r="N92" i="17"/>
  <c r="M92" i="17"/>
  <c r="O91" i="17"/>
  <c r="AG91" i="17" s="1"/>
  <c r="AH91" i="17" s="1"/>
  <c r="N91" i="17"/>
  <c r="M91" i="17"/>
  <c r="K90" i="17"/>
  <c r="O89" i="17"/>
  <c r="N89" i="17"/>
  <c r="M89" i="17"/>
  <c r="O88" i="17"/>
  <c r="AG88" i="17" s="1"/>
  <c r="AH88" i="17" s="1"/>
  <c r="N88" i="17"/>
  <c r="M88" i="17"/>
  <c r="O87" i="17"/>
  <c r="AG87" i="17" s="1"/>
  <c r="AH87" i="17" s="1"/>
  <c r="N87" i="17"/>
  <c r="M87" i="17"/>
  <c r="O86" i="17"/>
  <c r="N86" i="17"/>
  <c r="AG86" i="17" s="1"/>
  <c r="AH86" i="17" s="1"/>
  <c r="M86" i="17"/>
  <c r="O85" i="17"/>
  <c r="N85" i="17"/>
  <c r="M85" i="17"/>
  <c r="O84" i="17"/>
  <c r="N84" i="17"/>
  <c r="M84" i="17"/>
  <c r="O83" i="17"/>
  <c r="N83" i="17"/>
  <c r="AG83" i="17" s="1"/>
  <c r="AH83" i="17" s="1"/>
  <c r="M83" i="17"/>
  <c r="O82" i="17"/>
  <c r="N82" i="17"/>
  <c r="M82" i="17"/>
  <c r="O81" i="17"/>
  <c r="N81" i="17"/>
  <c r="M81" i="17"/>
  <c r="O80" i="17"/>
  <c r="N80" i="17"/>
  <c r="M80" i="17"/>
  <c r="O79" i="17"/>
  <c r="N79" i="17"/>
  <c r="M79" i="17"/>
  <c r="O78" i="17"/>
  <c r="N78" i="17"/>
  <c r="AG78" i="17" s="1"/>
  <c r="AH78" i="17" s="1"/>
  <c r="M78" i="17"/>
  <c r="O77" i="17"/>
  <c r="N77" i="17"/>
  <c r="M77" i="17"/>
  <c r="O76" i="17"/>
  <c r="N76" i="17"/>
  <c r="AG76" i="17" s="1"/>
  <c r="AH76" i="17" s="1"/>
  <c r="M76" i="17"/>
  <c r="AG75" i="17"/>
  <c r="AH75" i="17" s="1"/>
  <c r="O75" i="17"/>
  <c r="N75" i="17"/>
  <c r="M75" i="17"/>
  <c r="O74" i="17"/>
  <c r="N74" i="17"/>
  <c r="M74" i="17"/>
  <c r="O73" i="17"/>
  <c r="N73" i="17"/>
  <c r="AG73" i="17" s="1"/>
  <c r="AH73" i="17" s="1"/>
  <c r="M73" i="17"/>
  <c r="O72" i="17"/>
  <c r="N72" i="17"/>
  <c r="AG72" i="17" s="1"/>
  <c r="AH72" i="17" s="1"/>
  <c r="M72" i="17"/>
  <c r="O71" i="17"/>
  <c r="AG71" i="17" s="1"/>
  <c r="AH71" i="17" s="1"/>
  <c r="N71" i="17"/>
  <c r="M71" i="17"/>
  <c r="K70" i="17"/>
  <c r="O70" i="17" s="1"/>
  <c r="O69" i="17"/>
  <c r="N69" i="17"/>
  <c r="M69" i="17"/>
  <c r="O68" i="17"/>
  <c r="N68" i="17"/>
  <c r="M68" i="17"/>
  <c r="O67" i="17"/>
  <c r="N67" i="17"/>
  <c r="AG67" i="17" s="1"/>
  <c r="AH67" i="17" s="1"/>
  <c r="M67" i="17"/>
  <c r="O66" i="17"/>
  <c r="N66" i="17"/>
  <c r="AG66" i="17" s="1"/>
  <c r="AH66" i="17" s="1"/>
  <c r="M66" i="17"/>
  <c r="O65" i="17"/>
  <c r="N65" i="17"/>
  <c r="M65" i="17"/>
  <c r="AG64" i="17"/>
  <c r="AH64" i="17" s="1"/>
  <c r="O64" i="17"/>
  <c r="K64" i="17"/>
  <c r="N64" i="17" s="1"/>
  <c r="O63" i="17"/>
  <c r="N63" i="17"/>
  <c r="M63" i="17"/>
  <c r="O62" i="17"/>
  <c r="N62" i="17"/>
  <c r="M62" i="17"/>
  <c r="O61" i="17"/>
  <c r="N61" i="17"/>
  <c r="AG61" i="17" s="1"/>
  <c r="AH61" i="17" s="1"/>
  <c r="M61" i="17"/>
  <c r="O60" i="17"/>
  <c r="N60" i="17"/>
  <c r="M60" i="17"/>
  <c r="O59" i="17"/>
  <c r="N59" i="17"/>
  <c r="M59" i="17"/>
  <c r="O58" i="17"/>
  <c r="N58" i="17"/>
  <c r="AG58" i="17" s="1"/>
  <c r="AH58" i="17" s="1"/>
  <c r="M58" i="17"/>
  <c r="O57" i="17"/>
  <c r="N57" i="17"/>
  <c r="M57" i="17"/>
  <c r="O56" i="17"/>
  <c r="N56" i="17"/>
  <c r="AG56" i="17" s="1"/>
  <c r="AH56" i="17" s="1"/>
  <c r="M56" i="17"/>
  <c r="N55" i="17"/>
  <c r="M55" i="17"/>
  <c r="K55" i="17"/>
  <c r="O55" i="17" s="1"/>
  <c r="O54" i="17"/>
  <c r="AG54" i="17" s="1"/>
  <c r="AH54" i="17" s="1"/>
  <c r="N54" i="17"/>
  <c r="M54" i="17"/>
  <c r="O53" i="17"/>
  <c r="N53" i="17"/>
  <c r="AG53" i="17" s="1"/>
  <c r="AH53" i="17" s="1"/>
  <c r="M53" i="17"/>
  <c r="O52" i="17"/>
  <c r="N52" i="17"/>
  <c r="M52" i="17"/>
  <c r="O51" i="17"/>
  <c r="N51" i="17"/>
  <c r="M51" i="17"/>
  <c r="O50" i="17"/>
  <c r="AG50" i="17" s="1"/>
  <c r="AH50" i="17" s="1"/>
  <c r="N50" i="17"/>
  <c r="M50" i="17"/>
  <c r="O49" i="17"/>
  <c r="N49" i="17"/>
  <c r="M49" i="17"/>
  <c r="O48" i="17"/>
  <c r="N48" i="17"/>
  <c r="M48" i="17"/>
  <c r="O47" i="17"/>
  <c r="N47" i="17"/>
  <c r="M47" i="17"/>
  <c r="O46" i="17"/>
  <c r="N46" i="17"/>
  <c r="M46" i="17"/>
  <c r="AG45" i="17"/>
  <c r="AH45" i="17" s="1"/>
  <c r="O45" i="17"/>
  <c r="N45" i="17"/>
  <c r="M45" i="17"/>
  <c r="N44" i="17"/>
  <c r="M44" i="17"/>
  <c r="K44" i="17"/>
  <c r="O44" i="17" s="1"/>
  <c r="O43" i="17"/>
  <c r="AG43" i="17" s="1"/>
  <c r="AH43" i="17" s="1"/>
  <c r="N43" i="17"/>
  <c r="M43" i="17"/>
  <c r="O42" i="17"/>
  <c r="N42" i="17"/>
  <c r="AG42" i="17" s="1"/>
  <c r="AH42" i="17" s="1"/>
  <c r="M42" i="17"/>
  <c r="O41" i="17"/>
  <c r="N41" i="17"/>
  <c r="M41" i="17"/>
  <c r="O40" i="17"/>
  <c r="N40" i="17"/>
  <c r="M40" i="17"/>
  <c r="O39" i="17"/>
  <c r="AG39" i="17" s="1"/>
  <c r="AH39" i="17" s="1"/>
  <c r="N39" i="17"/>
  <c r="M39" i="17"/>
  <c r="O38" i="17"/>
  <c r="N38" i="17"/>
  <c r="M38" i="17"/>
  <c r="O37" i="17"/>
  <c r="N37" i="17"/>
  <c r="M37" i="17"/>
  <c r="O36" i="17"/>
  <c r="N36" i="17"/>
  <c r="AG36" i="17" s="1"/>
  <c r="AH36" i="17" s="1"/>
  <c r="M36" i="17"/>
  <c r="O35" i="17"/>
  <c r="AG35" i="17" s="1"/>
  <c r="AH35" i="17" s="1"/>
  <c r="N35" i="17"/>
  <c r="M35" i="17"/>
  <c r="O34" i="17"/>
  <c r="N34" i="17"/>
  <c r="AG34" i="17" s="1"/>
  <c r="AH34" i="17" s="1"/>
  <c r="M34" i="17"/>
  <c r="O33" i="17"/>
  <c r="N33" i="17"/>
  <c r="M33" i="17"/>
  <c r="O32" i="17"/>
  <c r="N32" i="17"/>
  <c r="M32" i="17"/>
  <c r="K31" i="17"/>
  <c r="N31" i="17" s="1"/>
  <c r="O30" i="17"/>
  <c r="N30" i="17"/>
  <c r="M30" i="17"/>
  <c r="O29" i="17"/>
  <c r="N29" i="17"/>
  <c r="AG29" i="17" s="1"/>
  <c r="AH29" i="17" s="1"/>
  <c r="M29" i="17"/>
  <c r="O28" i="17"/>
  <c r="N28" i="17"/>
  <c r="AG28" i="17" s="1"/>
  <c r="AH28" i="17" s="1"/>
  <c r="M28" i="17"/>
  <c r="O27" i="17"/>
  <c r="N27" i="17"/>
  <c r="M27" i="17"/>
  <c r="O26" i="17"/>
  <c r="N26" i="17"/>
  <c r="AG26" i="17" s="1"/>
  <c r="AH26" i="17" s="1"/>
  <c r="M26" i="17"/>
  <c r="O25" i="17"/>
  <c r="AG25" i="17" s="1"/>
  <c r="AH25" i="17" s="1"/>
  <c r="N25" i="17"/>
  <c r="M25" i="17"/>
  <c r="O24" i="17"/>
  <c r="N24" i="17"/>
  <c r="M24" i="17"/>
  <c r="K23" i="17"/>
  <c r="O23" i="17" s="1"/>
  <c r="AG22" i="17"/>
  <c r="AH22" i="17" s="1"/>
  <c r="O22" i="17"/>
  <c r="N22" i="17"/>
  <c r="M22" i="17"/>
  <c r="O21" i="17"/>
  <c r="N21" i="17"/>
  <c r="M21" i="17"/>
  <c r="AG20" i="17"/>
  <c r="AH20" i="17" s="1"/>
  <c r="O20" i="17"/>
  <c r="N20" i="17"/>
  <c r="M20" i="17"/>
  <c r="O19" i="17"/>
  <c r="N19" i="17"/>
  <c r="AG19" i="17" s="1"/>
  <c r="AH19" i="17" s="1"/>
  <c r="M19" i="17"/>
  <c r="O18" i="17"/>
  <c r="N18" i="17"/>
  <c r="AG18" i="17" s="1"/>
  <c r="AH18" i="17" s="1"/>
  <c r="M18" i="17"/>
  <c r="AG17" i="17"/>
  <c r="AH17" i="17" s="1"/>
  <c r="O17" i="17"/>
  <c r="N17" i="17"/>
  <c r="M17" i="17"/>
  <c r="O16" i="17"/>
  <c r="N16" i="17"/>
  <c r="AG16" i="17" s="1"/>
  <c r="AH16" i="17" s="1"/>
  <c r="M16" i="17"/>
  <c r="O15" i="17"/>
  <c r="N15" i="17"/>
  <c r="AG15" i="17" s="1"/>
  <c r="AH15" i="17" s="1"/>
  <c r="M15" i="17"/>
  <c r="AG14" i="17"/>
  <c r="AH14" i="17" s="1"/>
  <c r="O14" i="17"/>
  <c r="N14" i="17"/>
  <c r="M14" i="17"/>
  <c r="K13" i="17"/>
  <c r="O12" i="17"/>
  <c r="N12" i="17"/>
  <c r="AG12" i="17" s="1"/>
  <c r="AH12" i="17" s="1"/>
  <c r="M12" i="17"/>
  <c r="AG11" i="17"/>
  <c r="AH11" i="17" s="1"/>
  <c r="O11" i="17"/>
  <c r="N11" i="17"/>
  <c r="M11" i="17"/>
  <c r="O10" i="17"/>
  <c r="AG10" i="17" s="1"/>
  <c r="AH10" i="17" s="1"/>
  <c r="N10" i="17"/>
  <c r="M10" i="17"/>
  <c r="AG9" i="17"/>
  <c r="AH9" i="17" s="1"/>
  <c r="O9" i="17"/>
  <c r="N9" i="17"/>
  <c r="M9" i="17"/>
  <c r="O8" i="17"/>
  <c r="N8" i="17"/>
  <c r="M8" i="17"/>
  <c r="O7" i="17"/>
  <c r="N7" i="17"/>
  <c r="AG7" i="17" s="1"/>
  <c r="AH7" i="17" s="1"/>
  <c r="M7" i="17"/>
  <c r="AG6" i="17"/>
  <c r="AH6" i="17" s="1"/>
  <c r="O6" i="17"/>
  <c r="N6" i="17"/>
  <c r="M6" i="17"/>
  <c r="O5" i="17"/>
  <c r="N5" i="17"/>
  <c r="AG5" i="17" s="1"/>
  <c r="M5" i="17"/>
  <c r="AF130" i="16"/>
  <c r="AE130" i="16"/>
  <c r="AD130" i="16"/>
  <c r="AC130" i="16"/>
  <c r="AB130" i="16"/>
  <c r="AA130" i="16"/>
  <c r="Z130" i="16"/>
  <c r="Y130" i="16"/>
  <c r="X130" i="16"/>
  <c r="W130" i="16"/>
  <c r="V130" i="16"/>
  <c r="U130" i="16"/>
  <c r="T130" i="16"/>
  <c r="S130" i="16"/>
  <c r="R130" i="16"/>
  <c r="Q130" i="16"/>
  <c r="P130" i="16"/>
  <c r="L130" i="16"/>
  <c r="I130" i="16"/>
  <c r="H130" i="16"/>
  <c r="O129" i="16"/>
  <c r="N129" i="16"/>
  <c r="AG129" i="16" s="1"/>
  <c r="AH129" i="16" s="1"/>
  <c r="M129" i="16"/>
  <c r="O128" i="16"/>
  <c r="AG128" i="16" s="1"/>
  <c r="AH128" i="16" s="1"/>
  <c r="N128" i="16"/>
  <c r="M128" i="16"/>
  <c r="N127" i="16"/>
  <c r="J127" i="16"/>
  <c r="O127" i="16" s="1"/>
  <c r="AG127" i="16" s="1"/>
  <c r="AG126" i="16"/>
  <c r="AH126" i="16" s="1"/>
  <c r="O126" i="16"/>
  <c r="N126" i="16"/>
  <c r="M126" i="16"/>
  <c r="O125" i="16"/>
  <c r="AG125" i="16" s="1"/>
  <c r="AH125" i="16" s="1"/>
  <c r="N125" i="16"/>
  <c r="M125" i="16"/>
  <c r="AG124" i="16"/>
  <c r="AH124" i="16" s="1"/>
  <c r="O124" i="16"/>
  <c r="N124" i="16"/>
  <c r="M124" i="16"/>
  <c r="K123" i="16"/>
  <c r="O123" i="16" s="1"/>
  <c r="O122" i="16"/>
  <c r="AG122" i="16" s="1"/>
  <c r="AH122" i="16" s="1"/>
  <c r="N122" i="16"/>
  <c r="M122" i="16"/>
  <c r="AG121" i="16"/>
  <c r="AH121" i="16" s="1"/>
  <c r="O121" i="16"/>
  <c r="N121" i="16"/>
  <c r="M121" i="16"/>
  <c r="O120" i="16"/>
  <c r="N120" i="16"/>
  <c r="M120" i="16"/>
  <c r="O119" i="16"/>
  <c r="N119" i="16"/>
  <c r="AG119" i="16" s="1"/>
  <c r="AH119" i="16" s="1"/>
  <c r="M119" i="16"/>
  <c r="K118" i="16"/>
  <c r="N118" i="16" s="1"/>
  <c r="O117" i="16"/>
  <c r="N117" i="16"/>
  <c r="M117" i="16"/>
  <c r="O116" i="16"/>
  <c r="N116" i="16"/>
  <c r="AG116" i="16" s="1"/>
  <c r="AH116" i="16" s="1"/>
  <c r="M116" i="16"/>
  <c r="O115" i="16"/>
  <c r="AG115" i="16" s="1"/>
  <c r="AH115" i="16" s="1"/>
  <c r="N115" i="16"/>
  <c r="M115" i="16"/>
  <c r="O114" i="16"/>
  <c r="N114" i="16"/>
  <c r="AG114" i="16" s="1"/>
  <c r="AH114" i="16" s="1"/>
  <c r="M114" i="16"/>
  <c r="O113" i="16"/>
  <c r="N113" i="16"/>
  <c r="AG113" i="16" s="1"/>
  <c r="AH113" i="16" s="1"/>
  <c r="M113" i="16"/>
  <c r="O112" i="16"/>
  <c r="N112" i="16"/>
  <c r="M112" i="16"/>
  <c r="O111" i="16"/>
  <c r="AG111" i="16" s="1"/>
  <c r="AH111" i="16" s="1"/>
  <c r="N111" i="16"/>
  <c r="M111" i="16"/>
  <c r="AG110" i="16"/>
  <c r="AH110" i="16" s="1"/>
  <c r="O110" i="16"/>
  <c r="N110" i="16"/>
  <c r="M110" i="16"/>
  <c r="O109" i="16"/>
  <c r="N109" i="16"/>
  <c r="M109" i="16"/>
  <c r="O108" i="16"/>
  <c r="N108" i="16"/>
  <c r="AG108" i="16" s="1"/>
  <c r="AH108" i="16" s="1"/>
  <c r="M108" i="16"/>
  <c r="O107" i="16"/>
  <c r="AG107" i="16" s="1"/>
  <c r="AH107" i="16" s="1"/>
  <c r="N107" i="16"/>
  <c r="M107" i="16"/>
  <c r="O106" i="16"/>
  <c r="N106" i="16"/>
  <c r="AG106" i="16" s="1"/>
  <c r="AH106" i="16" s="1"/>
  <c r="M106" i="16"/>
  <c r="O105" i="16"/>
  <c r="N105" i="16"/>
  <c r="M105" i="16"/>
  <c r="O104" i="16"/>
  <c r="N104" i="16"/>
  <c r="AG104" i="16" s="1"/>
  <c r="AH104" i="16" s="1"/>
  <c r="M104" i="16"/>
  <c r="K103" i="16"/>
  <c r="O102" i="16"/>
  <c r="N102" i="16"/>
  <c r="M102" i="16"/>
  <c r="O101" i="16"/>
  <c r="AG101" i="16" s="1"/>
  <c r="AH101" i="16" s="1"/>
  <c r="N101" i="16"/>
  <c r="M101" i="16"/>
  <c r="O100" i="16"/>
  <c r="AG100" i="16" s="1"/>
  <c r="AH100" i="16" s="1"/>
  <c r="N100" i="16"/>
  <c r="M100" i="16"/>
  <c r="K99" i="16"/>
  <c r="O99" i="16" s="1"/>
  <c r="AG98" i="16"/>
  <c r="AH98" i="16" s="1"/>
  <c r="O98" i="16"/>
  <c r="N98" i="16"/>
  <c r="M98" i="16"/>
  <c r="O97" i="16"/>
  <c r="AG97" i="16" s="1"/>
  <c r="AH97" i="16" s="1"/>
  <c r="N97" i="16"/>
  <c r="M97" i="16"/>
  <c r="K96" i="16"/>
  <c r="O96" i="16" s="1"/>
  <c r="O95" i="16"/>
  <c r="AG95" i="16" s="1"/>
  <c r="AH95" i="16" s="1"/>
  <c r="N95" i="16"/>
  <c r="K95" i="16"/>
  <c r="M95" i="16" s="1"/>
  <c r="O94" i="16"/>
  <c r="N94" i="16"/>
  <c r="AG94" i="16" s="1"/>
  <c r="AH94" i="16" s="1"/>
  <c r="M94" i="16"/>
  <c r="O93" i="16"/>
  <c r="N93" i="16"/>
  <c r="AG93" i="16" s="1"/>
  <c r="AH93" i="16" s="1"/>
  <c r="M93" i="16"/>
  <c r="K93" i="16"/>
  <c r="O92" i="16"/>
  <c r="AG92" i="16" s="1"/>
  <c r="AH92" i="16" s="1"/>
  <c r="N92" i="16"/>
  <c r="M92" i="16"/>
  <c r="O91" i="16"/>
  <c r="N91" i="16"/>
  <c r="AG91" i="16" s="1"/>
  <c r="AH91" i="16" s="1"/>
  <c r="M91" i="16"/>
  <c r="O90" i="16"/>
  <c r="N90" i="16"/>
  <c r="AG90" i="16" s="1"/>
  <c r="AH90" i="16" s="1"/>
  <c r="M90" i="16"/>
  <c r="O89" i="16"/>
  <c r="N89" i="16"/>
  <c r="M89" i="16"/>
  <c r="O88" i="16"/>
  <c r="AG88" i="16" s="1"/>
  <c r="AH88" i="16" s="1"/>
  <c r="N88" i="16"/>
  <c r="M88" i="16"/>
  <c r="AG87" i="16"/>
  <c r="AH87" i="16" s="1"/>
  <c r="O87" i="16"/>
  <c r="N87" i="16"/>
  <c r="M87" i="16"/>
  <c r="O86" i="16"/>
  <c r="N86" i="16"/>
  <c r="M86" i="16"/>
  <c r="O85" i="16"/>
  <c r="N85" i="16"/>
  <c r="AG85" i="16" s="1"/>
  <c r="AH85" i="16" s="1"/>
  <c r="M85" i="16"/>
  <c r="O84" i="16"/>
  <c r="N84" i="16"/>
  <c r="M84" i="16"/>
  <c r="O83" i="16"/>
  <c r="N83" i="16"/>
  <c r="AG83" i="16" s="1"/>
  <c r="AH83" i="16" s="1"/>
  <c r="M83" i="16"/>
  <c r="O82" i="16"/>
  <c r="N82" i="16"/>
  <c r="M82" i="16"/>
  <c r="O81" i="16"/>
  <c r="N81" i="16"/>
  <c r="AG81" i="16" s="1"/>
  <c r="AH81" i="16" s="1"/>
  <c r="M81" i="16"/>
  <c r="O80" i="16"/>
  <c r="N80" i="16"/>
  <c r="M80" i="16"/>
  <c r="O79" i="16"/>
  <c r="N79" i="16"/>
  <c r="AG79" i="16" s="1"/>
  <c r="AH79" i="16" s="1"/>
  <c r="M79" i="16"/>
  <c r="O78" i="16"/>
  <c r="N78" i="16"/>
  <c r="AG78" i="16" s="1"/>
  <c r="AH78" i="16" s="1"/>
  <c r="M78" i="16"/>
  <c r="K77" i="16"/>
  <c r="O76" i="16"/>
  <c r="N76" i="16"/>
  <c r="AG76" i="16" s="1"/>
  <c r="AH76" i="16" s="1"/>
  <c r="M76" i="16"/>
  <c r="O75" i="16"/>
  <c r="N75" i="16"/>
  <c r="AG75" i="16" s="1"/>
  <c r="AH75" i="16" s="1"/>
  <c r="M75" i="16"/>
  <c r="O74" i="16"/>
  <c r="N74" i="16"/>
  <c r="AG74" i="16" s="1"/>
  <c r="AH74" i="16" s="1"/>
  <c r="M74" i="16"/>
  <c r="O73" i="16"/>
  <c r="N73" i="16"/>
  <c r="M73" i="16"/>
  <c r="O72" i="16"/>
  <c r="N72" i="16"/>
  <c r="M72" i="16"/>
  <c r="O71" i="16"/>
  <c r="N71" i="16"/>
  <c r="M71" i="16"/>
  <c r="O70" i="16"/>
  <c r="N70" i="16"/>
  <c r="AG70" i="16" s="1"/>
  <c r="AH70" i="16" s="1"/>
  <c r="M70" i="16"/>
  <c r="O69" i="16"/>
  <c r="N69" i="16"/>
  <c r="M69" i="16"/>
  <c r="O68" i="16"/>
  <c r="N68" i="16"/>
  <c r="AG68" i="16" s="1"/>
  <c r="AH68" i="16" s="1"/>
  <c r="M68" i="16"/>
  <c r="O67" i="16"/>
  <c r="N67" i="16"/>
  <c r="M67" i="16"/>
  <c r="O66" i="16"/>
  <c r="N66" i="16"/>
  <c r="AG66" i="16" s="1"/>
  <c r="AH66" i="16" s="1"/>
  <c r="M66" i="16"/>
  <c r="O65" i="16"/>
  <c r="AG65" i="16" s="1"/>
  <c r="AH65" i="16" s="1"/>
  <c r="N65" i="16"/>
  <c r="M65" i="16"/>
  <c r="N64" i="16"/>
  <c r="AG64" i="16" s="1"/>
  <c r="AH64" i="16" s="1"/>
  <c r="M64" i="16"/>
  <c r="K64" i="16"/>
  <c r="O64" i="16" s="1"/>
  <c r="O63" i="16"/>
  <c r="N63" i="16"/>
  <c r="AG63" i="16" s="1"/>
  <c r="AH63" i="16" s="1"/>
  <c r="M63" i="16"/>
  <c r="O62" i="16"/>
  <c r="N62" i="16"/>
  <c r="M62" i="16"/>
  <c r="O61" i="16"/>
  <c r="N61" i="16"/>
  <c r="M61" i="16"/>
  <c r="O60" i="16"/>
  <c r="N60" i="16"/>
  <c r="AG60" i="16" s="1"/>
  <c r="AH60" i="16" s="1"/>
  <c r="M60" i="16"/>
  <c r="O59" i="16"/>
  <c r="N59" i="16"/>
  <c r="AG59" i="16" s="1"/>
  <c r="AH59" i="16" s="1"/>
  <c r="M59" i="16"/>
  <c r="O58" i="16"/>
  <c r="N58" i="16"/>
  <c r="M58" i="16"/>
  <c r="O57" i="16"/>
  <c r="N57" i="16"/>
  <c r="AG57" i="16" s="1"/>
  <c r="AH57" i="16" s="1"/>
  <c r="M57" i="16"/>
  <c r="O56" i="16"/>
  <c r="N56" i="16"/>
  <c r="AG56" i="16" s="1"/>
  <c r="AH56" i="16" s="1"/>
  <c r="M56" i="16"/>
  <c r="O55" i="16"/>
  <c r="N55" i="16"/>
  <c r="M55" i="16"/>
  <c r="O54" i="16"/>
  <c r="AG54" i="16" s="1"/>
  <c r="AH54" i="16" s="1"/>
  <c r="N54" i="16"/>
  <c r="M54" i="16"/>
  <c r="O53" i="16"/>
  <c r="N53" i="16"/>
  <c r="AG53" i="16" s="1"/>
  <c r="AH53" i="16" s="1"/>
  <c r="M53" i="16"/>
  <c r="O52" i="16"/>
  <c r="N52" i="16"/>
  <c r="AG52" i="16" s="1"/>
  <c r="AH52" i="16" s="1"/>
  <c r="M52" i="16"/>
  <c r="O51" i="16"/>
  <c r="N51" i="16"/>
  <c r="AG51" i="16" s="1"/>
  <c r="AH51" i="16" s="1"/>
  <c r="M51" i="16"/>
  <c r="O50" i="16"/>
  <c r="N50" i="16"/>
  <c r="M50" i="16"/>
  <c r="AG49" i="16"/>
  <c r="AH49" i="16" s="1"/>
  <c r="O49" i="16"/>
  <c r="N49" i="16"/>
  <c r="M49" i="16"/>
  <c r="O48" i="16"/>
  <c r="N48" i="16"/>
  <c r="M48" i="16"/>
  <c r="O47" i="16"/>
  <c r="N47" i="16"/>
  <c r="AG47" i="16" s="1"/>
  <c r="AH47" i="16" s="1"/>
  <c r="M47" i="16"/>
  <c r="O46" i="16"/>
  <c r="N46" i="16"/>
  <c r="AG46" i="16" s="1"/>
  <c r="AH46" i="16" s="1"/>
  <c r="M46" i="16"/>
  <c r="O45" i="16"/>
  <c r="N45" i="16"/>
  <c r="AG45" i="16" s="1"/>
  <c r="AH45" i="16" s="1"/>
  <c r="M45" i="16"/>
  <c r="O44" i="16"/>
  <c r="N44" i="16"/>
  <c r="AG44" i="16" s="1"/>
  <c r="AH44" i="16" s="1"/>
  <c r="M44" i="16"/>
  <c r="O43" i="16"/>
  <c r="N43" i="16"/>
  <c r="M43" i="16"/>
  <c r="O42" i="16"/>
  <c r="N42" i="16"/>
  <c r="M42" i="16"/>
  <c r="O41" i="16"/>
  <c r="AG41" i="16" s="1"/>
  <c r="AH41" i="16" s="1"/>
  <c r="N41" i="16"/>
  <c r="M41" i="16"/>
  <c r="O40" i="16"/>
  <c r="N40" i="16"/>
  <c r="AG40" i="16" s="1"/>
  <c r="AH40" i="16" s="1"/>
  <c r="M40" i="16"/>
  <c r="K39" i="16"/>
  <c r="O38" i="16"/>
  <c r="AG38" i="16" s="1"/>
  <c r="AH38" i="16" s="1"/>
  <c r="N38" i="16"/>
  <c r="M38" i="16"/>
  <c r="O37" i="16"/>
  <c r="N37" i="16"/>
  <c r="M37" i="16"/>
  <c r="O36" i="16"/>
  <c r="N36" i="16"/>
  <c r="M36" i="16"/>
  <c r="O35" i="16"/>
  <c r="N35" i="16"/>
  <c r="M35" i="16"/>
  <c r="O34" i="16"/>
  <c r="N34" i="16"/>
  <c r="M34" i="16"/>
  <c r="O33" i="16"/>
  <c r="N33" i="16"/>
  <c r="AG33" i="16" s="1"/>
  <c r="AH33" i="16" s="1"/>
  <c r="M33" i="16"/>
  <c r="O32" i="16"/>
  <c r="N32" i="16"/>
  <c r="AG32" i="16" s="1"/>
  <c r="AH32" i="16" s="1"/>
  <c r="M32" i="16"/>
  <c r="O31" i="16"/>
  <c r="AG31" i="16" s="1"/>
  <c r="AH31" i="16" s="1"/>
  <c r="N31" i="16"/>
  <c r="M31" i="16"/>
  <c r="O30" i="16"/>
  <c r="N30" i="16"/>
  <c r="AG30" i="16" s="1"/>
  <c r="AH30" i="16" s="1"/>
  <c r="M30" i="16"/>
  <c r="O29" i="16"/>
  <c r="N29" i="16"/>
  <c r="M29" i="16"/>
  <c r="O28" i="16"/>
  <c r="N28" i="16"/>
  <c r="M28" i="16"/>
  <c r="O27" i="16"/>
  <c r="AG27" i="16" s="1"/>
  <c r="AH27" i="16" s="1"/>
  <c r="N27" i="16"/>
  <c r="M27" i="16"/>
  <c r="O26" i="16"/>
  <c r="N26" i="16"/>
  <c r="AG26" i="16" s="1"/>
  <c r="AH26" i="16" s="1"/>
  <c r="M26" i="16"/>
  <c r="O25" i="16"/>
  <c r="N25" i="16"/>
  <c r="AG25" i="16" s="1"/>
  <c r="AH25" i="16" s="1"/>
  <c r="M25" i="16"/>
  <c r="O24" i="16"/>
  <c r="N24" i="16"/>
  <c r="M24" i="16"/>
  <c r="O23" i="16"/>
  <c r="N23" i="16"/>
  <c r="M23" i="16"/>
  <c r="K22" i="16"/>
  <c r="O21" i="16"/>
  <c r="N21" i="16"/>
  <c r="AG21" i="16" s="1"/>
  <c r="AH21" i="16" s="1"/>
  <c r="M21" i="16"/>
  <c r="O20" i="16"/>
  <c r="N20" i="16"/>
  <c r="M20" i="16"/>
  <c r="AG19" i="16"/>
  <c r="AH19" i="16" s="1"/>
  <c r="O19" i="16"/>
  <c r="N19" i="16"/>
  <c r="M19" i="16"/>
  <c r="O18" i="16"/>
  <c r="N18" i="16"/>
  <c r="M18" i="16"/>
  <c r="O17" i="16"/>
  <c r="N17" i="16"/>
  <c r="AG17" i="16" s="1"/>
  <c r="AH17" i="16" s="1"/>
  <c r="M17" i="16"/>
  <c r="O16" i="16"/>
  <c r="AG16" i="16" s="1"/>
  <c r="AH16" i="16" s="1"/>
  <c r="N16" i="16"/>
  <c r="M16" i="16"/>
  <c r="O15" i="16"/>
  <c r="AG15" i="16" s="1"/>
  <c r="AH15" i="16" s="1"/>
  <c r="N15" i="16"/>
  <c r="M15" i="16"/>
  <c r="O14" i="16"/>
  <c r="N14" i="16"/>
  <c r="AG14" i="16" s="1"/>
  <c r="AH14" i="16" s="1"/>
  <c r="M14" i="16"/>
  <c r="O13" i="16"/>
  <c r="N13" i="16"/>
  <c r="AG13" i="16" s="1"/>
  <c r="AH13" i="16" s="1"/>
  <c r="K13" i="16"/>
  <c r="O12" i="16"/>
  <c r="N12" i="16"/>
  <c r="M12" i="16"/>
  <c r="O11" i="16"/>
  <c r="N11" i="16"/>
  <c r="AG11" i="16" s="1"/>
  <c r="AH11" i="16" s="1"/>
  <c r="M11" i="16"/>
  <c r="O10" i="16"/>
  <c r="N10" i="16"/>
  <c r="AG10" i="16" s="1"/>
  <c r="AH10" i="16" s="1"/>
  <c r="M10" i="16"/>
  <c r="O9" i="16"/>
  <c r="AG9" i="16" s="1"/>
  <c r="AH9" i="16" s="1"/>
  <c r="N9" i="16"/>
  <c r="M9" i="16"/>
  <c r="AG8" i="16"/>
  <c r="AH8" i="16" s="1"/>
  <c r="O8" i="16"/>
  <c r="N8" i="16"/>
  <c r="M8" i="16"/>
  <c r="AH7" i="16"/>
  <c r="O7" i="16"/>
  <c r="N7" i="16"/>
  <c r="AG7" i="16" s="1"/>
  <c r="M7" i="16"/>
  <c r="O6" i="16"/>
  <c r="N6" i="16"/>
  <c r="M6" i="16"/>
  <c r="O5" i="16"/>
  <c r="AG5" i="16" s="1"/>
  <c r="N5" i="16"/>
  <c r="M5" i="16"/>
  <c r="AF127" i="15"/>
  <c r="AE127" i="15"/>
  <c r="AD127" i="15"/>
  <c r="AC127" i="15"/>
  <c r="AB127" i="15"/>
  <c r="AA127" i="15"/>
  <c r="Z127" i="15"/>
  <c r="Y127" i="15"/>
  <c r="X127" i="15"/>
  <c r="W127" i="15"/>
  <c r="V127" i="15"/>
  <c r="U127" i="15"/>
  <c r="T127" i="15"/>
  <c r="S127" i="15"/>
  <c r="R127" i="15"/>
  <c r="Q127" i="15"/>
  <c r="P127" i="15"/>
  <c r="L127" i="15"/>
  <c r="I127" i="15"/>
  <c r="H127" i="15"/>
  <c r="O126" i="15"/>
  <c r="N126" i="15"/>
  <c r="AG126" i="15" s="1"/>
  <c r="AH126" i="15" s="1"/>
  <c r="M126" i="15"/>
  <c r="O125" i="15"/>
  <c r="AG125" i="15" s="1"/>
  <c r="AH125" i="15" s="1"/>
  <c r="N125" i="15"/>
  <c r="M125" i="15"/>
  <c r="O124" i="15"/>
  <c r="N124" i="15"/>
  <c r="AG124" i="15" s="1"/>
  <c r="AH124" i="15" s="1"/>
  <c r="M124" i="15"/>
  <c r="AG123" i="15"/>
  <c r="AH123" i="15" s="1"/>
  <c r="O123" i="15"/>
  <c r="N123" i="15"/>
  <c r="M123" i="15"/>
  <c r="O122" i="15"/>
  <c r="N122" i="15"/>
  <c r="M122" i="15"/>
  <c r="O121" i="15"/>
  <c r="N121" i="15"/>
  <c r="AG121" i="15" s="1"/>
  <c r="AH121" i="15" s="1"/>
  <c r="M121" i="15"/>
  <c r="O120" i="15"/>
  <c r="AG120" i="15" s="1"/>
  <c r="AH120" i="15" s="1"/>
  <c r="N120" i="15"/>
  <c r="M120" i="15"/>
  <c r="AG119" i="15"/>
  <c r="AH119" i="15" s="1"/>
  <c r="O119" i="15"/>
  <c r="N119" i="15"/>
  <c r="M119" i="15"/>
  <c r="O118" i="15"/>
  <c r="N118" i="15"/>
  <c r="AG118" i="15" s="1"/>
  <c r="AH118" i="15" s="1"/>
  <c r="M118" i="15"/>
  <c r="O117" i="15"/>
  <c r="N117" i="15"/>
  <c r="M117" i="15"/>
  <c r="O116" i="15"/>
  <c r="AG116" i="15" s="1"/>
  <c r="AH116" i="15" s="1"/>
  <c r="N116" i="15"/>
  <c r="M116" i="15"/>
  <c r="O115" i="15"/>
  <c r="N115" i="15"/>
  <c r="AG115" i="15" s="1"/>
  <c r="AH115" i="15" s="1"/>
  <c r="M115" i="15"/>
  <c r="O114" i="15"/>
  <c r="N114" i="15"/>
  <c r="M114" i="15"/>
  <c r="O113" i="15"/>
  <c r="N113" i="15"/>
  <c r="M113" i="15"/>
  <c r="O112" i="15"/>
  <c r="AG112" i="15" s="1"/>
  <c r="AH112" i="15" s="1"/>
  <c r="N112" i="15"/>
  <c r="M112" i="15"/>
  <c r="O111" i="15"/>
  <c r="N111" i="15"/>
  <c r="M111" i="15"/>
  <c r="O110" i="15"/>
  <c r="N110" i="15"/>
  <c r="AG110" i="15" s="1"/>
  <c r="AH110" i="15" s="1"/>
  <c r="M110" i="15"/>
  <c r="O109" i="15"/>
  <c r="N109" i="15"/>
  <c r="AG109" i="15" s="1"/>
  <c r="AH109" i="15" s="1"/>
  <c r="K109" i="15"/>
  <c r="M109" i="15" s="1"/>
  <c r="O108" i="15"/>
  <c r="N108" i="15"/>
  <c r="M108" i="15"/>
  <c r="O107" i="15"/>
  <c r="N107" i="15"/>
  <c r="M107" i="15"/>
  <c r="O106" i="15"/>
  <c r="N106" i="15"/>
  <c r="M106" i="15"/>
  <c r="O105" i="15"/>
  <c r="AG105" i="15" s="1"/>
  <c r="AH105" i="15" s="1"/>
  <c r="N105" i="15"/>
  <c r="M105" i="15"/>
  <c r="O104" i="15"/>
  <c r="N104" i="15"/>
  <c r="AG104" i="15" s="1"/>
  <c r="AH104" i="15" s="1"/>
  <c r="M104" i="15"/>
  <c r="O103" i="15"/>
  <c r="N103" i="15"/>
  <c r="M103" i="15"/>
  <c r="O102" i="15"/>
  <c r="N102" i="15"/>
  <c r="M102" i="15"/>
  <c r="N101" i="15"/>
  <c r="J101" i="15"/>
  <c r="O101" i="15" s="1"/>
  <c r="O100" i="15"/>
  <c r="N100" i="15"/>
  <c r="M100" i="15"/>
  <c r="O99" i="15"/>
  <c r="N99" i="15"/>
  <c r="M99" i="15"/>
  <c r="O98" i="15"/>
  <c r="AG98" i="15" s="1"/>
  <c r="AH98" i="15" s="1"/>
  <c r="N98" i="15"/>
  <c r="M98" i="15"/>
  <c r="O97" i="15"/>
  <c r="N97" i="15"/>
  <c r="M97" i="15"/>
  <c r="O96" i="15"/>
  <c r="N96" i="15"/>
  <c r="M96" i="15"/>
  <c r="O95" i="15"/>
  <c r="N95" i="15"/>
  <c r="M95" i="15"/>
  <c r="AG94" i="15"/>
  <c r="AH94" i="15" s="1"/>
  <c r="O94" i="15"/>
  <c r="N94" i="15"/>
  <c r="M94" i="15"/>
  <c r="O93" i="15"/>
  <c r="N93" i="15"/>
  <c r="AG93" i="15" s="1"/>
  <c r="AH93" i="15" s="1"/>
  <c r="M93" i="15"/>
  <c r="O92" i="15"/>
  <c r="N92" i="15"/>
  <c r="M92" i="15"/>
  <c r="O91" i="15"/>
  <c r="N91" i="15"/>
  <c r="AG91" i="15" s="1"/>
  <c r="AH91" i="15" s="1"/>
  <c r="M91" i="15"/>
  <c r="AG90" i="15"/>
  <c r="AH90" i="15" s="1"/>
  <c r="O90" i="15"/>
  <c r="N90" i="15"/>
  <c r="M90" i="15"/>
  <c r="O89" i="15"/>
  <c r="N89" i="15"/>
  <c r="AG89" i="15" s="1"/>
  <c r="AH89" i="15" s="1"/>
  <c r="M89" i="15"/>
  <c r="O88" i="15"/>
  <c r="K88" i="15"/>
  <c r="N88" i="15" s="1"/>
  <c r="O87" i="15"/>
  <c r="N87" i="15"/>
  <c r="AG87" i="15" s="1"/>
  <c r="AH87" i="15" s="1"/>
  <c r="M87" i="15"/>
  <c r="O86" i="15"/>
  <c r="N86" i="15"/>
  <c r="M86" i="15"/>
  <c r="O85" i="15"/>
  <c r="N85" i="15"/>
  <c r="M85" i="15"/>
  <c r="K84" i="15"/>
  <c r="O83" i="15"/>
  <c r="N83" i="15"/>
  <c r="M83" i="15"/>
  <c r="O82" i="15"/>
  <c r="N82" i="15"/>
  <c r="AG82" i="15" s="1"/>
  <c r="AH82" i="15" s="1"/>
  <c r="M82" i="15"/>
  <c r="O81" i="15"/>
  <c r="N81" i="15"/>
  <c r="AG81" i="15" s="1"/>
  <c r="AH81" i="15" s="1"/>
  <c r="M81" i="15"/>
  <c r="O80" i="15"/>
  <c r="N80" i="15"/>
  <c r="M80" i="15"/>
  <c r="O79" i="15"/>
  <c r="N79" i="15"/>
  <c r="M79" i="15"/>
  <c r="O78" i="15"/>
  <c r="N78" i="15"/>
  <c r="AG78" i="15" s="1"/>
  <c r="AH78" i="15" s="1"/>
  <c r="M78" i="15"/>
  <c r="AG77" i="15"/>
  <c r="AH77" i="15" s="1"/>
  <c r="O77" i="15"/>
  <c r="N77" i="15"/>
  <c r="M77" i="15"/>
  <c r="K76" i="15"/>
  <c r="N76" i="15" s="1"/>
  <c r="O75" i="15"/>
  <c r="N75" i="15"/>
  <c r="AG75" i="15" s="1"/>
  <c r="AH75" i="15" s="1"/>
  <c r="M75" i="15"/>
  <c r="AG74" i="15"/>
  <c r="AH74" i="15" s="1"/>
  <c r="O74" i="15"/>
  <c r="N74" i="15"/>
  <c r="M74" i="15"/>
  <c r="O73" i="15"/>
  <c r="N73" i="15"/>
  <c r="AG73" i="15" s="1"/>
  <c r="AH73" i="15" s="1"/>
  <c r="M73" i="15"/>
  <c r="O72" i="15"/>
  <c r="N72" i="15"/>
  <c r="M72" i="15"/>
  <c r="O71" i="15"/>
  <c r="N71" i="15"/>
  <c r="M71" i="15"/>
  <c r="O70" i="15"/>
  <c r="N70" i="15"/>
  <c r="M70" i="15"/>
  <c r="K69" i="15"/>
  <c r="N69" i="15" s="1"/>
  <c r="O68" i="15"/>
  <c r="N68" i="15"/>
  <c r="AG68" i="15" s="1"/>
  <c r="AH68" i="15" s="1"/>
  <c r="M68" i="15"/>
  <c r="O67" i="15"/>
  <c r="N67" i="15"/>
  <c r="AG67" i="15" s="1"/>
  <c r="AH67" i="15" s="1"/>
  <c r="M67" i="15"/>
  <c r="O66" i="15"/>
  <c r="N66" i="15"/>
  <c r="AG66" i="15" s="1"/>
  <c r="AH66" i="15" s="1"/>
  <c r="K66" i="15"/>
  <c r="M66" i="15" s="1"/>
  <c r="O65" i="15"/>
  <c r="N65" i="15"/>
  <c r="M65" i="15"/>
  <c r="O64" i="15"/>
  <c r="N64" i="15"/>
  <c r="AG64" i="15" s="1"/>
  <c r="AH64" i="15" s="1"/>
  <c r="M64" i="15"/>
  <c r="O63" i="15"/>
  <c r="N63" i="15"/>
  <c r="M63" i="15"/>
  <c r="O62" i="15"/>
  <c r="N62" i="15"/>
  <c r="M62" i="15"/>
  <c r="AG61" i="15"/>
  <c r="AH61" i="15" s="1"/>
  <c r="O61" i="15"/>
  <c r="N61" i="15"/>
  <c r="M61" i="15"/>
  <c r="O60" i="15"/>
  <c r="AG60" i="15" s="1"/>
  <c r="AH60" i="15" s="1"/>
  <c r="N60" i="15"/>
  <c r="M60" i="15"/>
  <c r="O59" i="15"/>
  <c r="N59" i="15"/>
  <c r="M59" i="15"/>
  <c r="O58" i="15"/>
  <c r="AG58" i="15" s="1"/>
  <c r="AH58" i="15" s="1"/>
  <c r="N58" i="15"/>
  <c r="M58" i="15"/>
  <c r="O57" i="15"/>
  <c r="N57" i="15"/>
  <c r="M57" i="15"/>
  <c r="O56" i="15"/>
  <c r="N56" i="15"/>
  <c r="AG56" i="15" s="1"/>
  <c r="AH56" i="15" s="1"/>
  <c r="M56" i="15"/>
  <c r="O55" i="15"/>
  <c r="N55" i="15"/>
  <c r="M55" i="15"/>
  <c r="N54" i="15"/>
  <c r="K54" i="15"/>
  <c r="M54" i="15" s="1"/>
  <c r="O53" i="15"/>
  <c r="N53" i="15"/>
  <c r="M53" i="15"/>
  <c r="AH52" i="15"/>
  <c r="O52" i="15"/>
  <c r="N52" i="15"/>
  <c r="AG52" i="15" s="1"/>
  <c r="M52" i="15"/>
  <c r="O51" i="15"/>
  <c r="N51" i="15"/>
  <c r="AG51" i="15" s="1"/>
  <c r="AH51" i="15" s="1"/>
  <c r="M51" i="15"/>
  <c r="O50" i="15"/>
  <c r="AG50" i="15" s="1"/>
  <c r="AH50" i="15" s="1"/>
  <c r="N50" i="15"/>
  <c r="M50" i="15"/>
  <c r="AG49" i="15"/>
  <c r="AH49" i="15" s="1"/>
  <c r="O49" i="15"/>
  <c r="N49" i="15"/>
  <c r="M49" i="15"/>
  <c r="O48" i="15"/>
  <c r="N48" i="15"/>
  <c r="AG48" i="15" s="1"/>
  <c r="AH48" i="15" s="1"/>
  <c r="M48" i="15"/>
  <c r="O47" i="15"/>
  <c r="N47" i="15"/>
  <c r="M47" i="15"/>
  <c r="O46" i="15"/>
  <c r="K46" i="15"/>
  <c r="N46" i="15" s="1"/>
  <c r="O45" i="15"/>
  <c r="N45" i="15"/>
  <c r="M45" i="15"/>
  <c r="O44" i="15"/>
  <c r="N44" i="15"/>
  <c r="M44" i="15"/>
  <c r="O43" i="15"/>
  <c r="N43" i="15"/>
  <c r="M43" i="15"/>
  <c r="O42" i="15"/>
  <c r="N42" i="15"/>
  <c r="M42" i="15"/>
  <c r="AH41" i="15"/>
  <c r="O41" i="15"/>
  <c r="N41" i="15"/>
  <c r="AG41" i="15" s="1"/>
  <c r="M41" i="15"/>
  <c r="O40" i="15"/>
  <c r="N40" i="15"/>
  <c r="AG40" i="15" s="1"/>
  <c r="AH40" i="15" s="1"/>
  <c r="M40" i="15"/>
  <c r="O39" i="15"/>
  <c r="AG39" i="15" s="1"/>
  <c r="AH39" i="15" s="1"/>
  <c r="N39" i="15"/>
  <c r="M39" i="15"/>
  <c r="O38" i="15"/>
  <c r="N38" i="15"/>
  <c r="AG38" i="15" s="1"/>
  <c r="AH38" i="15" s="1"/>
  <c r="M38" i="15"/>
  <c r="O37" i="15"/>
  <c r="N37" i="15"/>
  <c r="M37" i="15"/>
  <c r="O36" i="15"/>
  <c r="AG36" i="15" s="1"/>
  <c r="AH36" i="15" s="1"/>
  <c r="N36" i="15"/>
  <c r="M36" i="15"/>
  <c r="O35" i="15"/>
  <c r="N35" i="15"/>
  <c r="M35" i="15"/>
  <c r="O34" i="15"/>
  <c r="N34" i="15"/>
  <c r="M34" i="15"/>
  <c r="O33" i="15"/>
  <c r="N33" i="15"/>
  <c r="M33" i="15"/>
  <c r="O32" i="15"/>
  <c r="N32" i="15"/>
  <c r="AG32" i="15" s="1"/>
  <c r="AH32" i="15" s="1"/>
  <c r="M32" i="15"/>
  <c r="O31" i="15"/>
  <c r="N31" i="15"/>
  <c r="AG31" i="15" s="1"/>
  <c r="AH31" i="15" s="1"/>
  <c r="M31" i="15"/>
  <c r="AG30" i="15"/>
  <c r="AH30" i="15" s="1"/>
  <c r="O30" i="15"/>
  <c r="N30" i="15"/>
  <c r="M30" i="15"/>
  <c r="M29" i="15"/>
  <c r="K29" i="15"/>
  <c r="N29" i="15" s="1"/>
  <c r="O28" i="15"/>
  <c r="AG28" i="15" s="1"/>
  <c r="AH28" i="15" s="1"/>
  <c r="N28" i="15"/>
  <c r="M28" i="15"/>
  <c r="AG27" i="15"/>
  <c r="AH27" i="15" s="1"/>
  <c r="O27" i="15"/>
  <c r="N27" i="15"/>
  <c r="M27" i="15"/>
  <c r="O26" i="15"/>
  <c r="N26" i="15"/>
  <c r="M26" i="15"/>
  <c r="O25" i="15"/>
  <c r="N25" i="15"/>
  <c r="M25" i="15"/>
  <c r="O24" i="15"/>
  <c r="N24" i="15"/>
  <c r="M24" i="15"/>
  <c r="O23" i="15"/>
  <c r="N23" i="15"/>
  <c r="M23" i="15"/>
  <c r="AH22" i="15"/>
  <c r="O22" i="15"/>
  <c r="N22" i="15"/>
  <c r="AG22" i="15" s="1"/>
  <c r="M22" i="15"/>
  <c r="O21" i="15"/>
  <c r="N21" i="15"/>
  <c r="AG21" i="15" s="1"/>
  <c r="AH21" i="15" s="1"/>
  <c r="M21" i="15"/>
  <c r="O20" i="15"/>
  <c r="AG20" i="15" s="1"/>
  <c r="AH20" i="15" s="1"/>
  <c r="N20" i="15"/>
  <c r="M20" i="15"/>
  <c r="O19" i="15"/>
  <c r="N19" i="15"/>
  <c r="AG19" i="15" s="1"/>
  <c r="AH19" i="15" s="1"/>
  <c r="M19" i="15"/>
  <c r="O18" i="15"/>
  <c r="N18" i="15"/>
  <c r="M18" i="15"/>
  <c r="O17" i="15"/>
  <c r="AG17" i="15" s="1"/>
  <c r="AH17" i="15" s="1"/>
  <c r="N17" i="15"/>
  <c r="M17" i="15"/>
  <c r="O16" i="15"/>
  <c r="N16" i="15"/>
  <c r="M16" i="15"/>
  <c r="O15" i="15"/>
  <c r="N15" i="15"/>
  <c r="M15" i="15"/>
  <c r="O14" i="15"/>
  <c r="N14" i="15"/>
  <c r="AG14" i="15" s="1"/>
  <c r="AH14" i="15" s="1"/>
  <c r="M14" i="15"/>
  <c r="K13" i="15"/>
  <c r="K127" i="15" s="1"/>
  <c r="O12" i="15"/>
  <c r="N12" i="15"/>
  <c r="AG12" i="15" s="1"/>
  <c r="AH12" i="15" s="1"/>
  <c r="M12" i="15"/>
  <c r="O11" i="15"/>
  <c r="N11" i="15"/>
  <c r="M11" i="15"/>
  <c r="O10" i="15"/>
  <c r="N10" i="15"/>
  <c r="M10" i="15"/>
  <c r="O9" i="15"/>
  <c r="N9" i="15"/>
  <c r="AG9" i="15" s="1"/>
  <c r="AH9" i="15" s="1"/>
  <c r="M9" i="15"/>
  <c r="O8" i="15"/>
  <c r="AG8" i="15" s="1"/>
  <c r="AH8" i="15" s="1"/>
  <c r="N8" i="15"/>
  <c r="M8" i="15"/>
  <c r="O7" i="15"/>
  <c r="AG7" i="15" s="1"/>
  <c r="AH7" i="15" s="1"/>
  <c r="N7" i="15"/>
  <c r="M7" i="15"/>
  <c r="O6" i="15"/>
  <c r="N6" i="15"/>
  <c r="M6" i="15"/>
  <c r="O5" i="15"/>
  <c r="N5" i="15"/>
  <c r="AG5" i="15" s="1"/>
  <c r="M5" i="15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Q166" i="14"/>
  <c r="P166" i="14"/>
  <c r="L166" i="14"/>
  <c r="J166" i="14"/>
  <c r="I166" i="14"/>
  <c r="H166" i="14"/>
  <c r="O165" i="14"/>
  <c r="N165" i="14"/>
  <c r="M165" i="14"/>
  <c r="O162" i="14"/>
  <c r="N162" i="14"/>
  <c r="M162" i="14"/>
  <c r="O161" i="14"/>
  <c r="N161" i="14"/>
  <c r="AG161" i="14" s="1"/>
  <c r="AH161" i="14" s="1"/>
  <c r="M161" i="14"/>
  <c r="O160" i="14"/>
  <c r="AG160" i="14" s="1"/>
  <c r="AH160" i="14" s="1"/>
  <c r="N160" i="14"/>
  <c r="M160" i="14"/>
  <c r="O159" i="14"/>
  <c r="N159" i="14"/>
  <c r="AG159" i="14" s="1"/>
  <c r="AH159" i="14" s="1"/>
  <c r="M159" i="14"/>
  <c r="O158" i="14"/>
  <c r="AG158" i="14" s="1"/>
  <c r="AH158" i="14" s="1"/>
  <c r="N158" i="14"/>
  <c r="M158" i="14"/>
  <c r="O157" i="14"/>
  <c r="N157" i="14"/>
  <c r="M157" i="14"/>
  <c r="O156" i="14"/>
  <c r="N156" i="14"/>
  <c r="AG156" i="14" s="1"/>
  <c r="AH156" i="14" s="1"/>
  <c r="M156" i="14"/>
  <c r="O155" i="14"/>
  <c r="N155" i="14"/>
  <c r="AG155" i="14" s="1"/>
  <c r="AH155" i="14" s="1"/>
  <c r="M155" i="14"/>
  <c r="O154" i="14"/>
  <c r="N154" i="14"/>
  <c r="M154" i="14"/>
  <c r="AG153" i="14"/>
  <c r="AH153" i="14" s="1"/>
  <c r="O153" i="14"/>
  <c r="N153" i="14"/>
  <c r="M153" i="14"/>
  <c r="O152" i="14"/>
  <c r="N152" i="14"/>
  <c r="AG152" i="14" s="1"/>
  <c r="AH152" i="14" s="1"/>
  <c r="M152" i="14"/>
  <c r="O151" i="14"/>
  <c r="N151" i="14"/>
  <c r="M151" i="14"/>
  <c r="O150" i="14"/>
  <c r="AG150" i="14" s="1"/>
  <c r="AH150" i="14" s="1"/>
  <c r="N150" i="14"/>
  <c r="M150" i="14"/>
  <c r="K149" i="14"/>
  <c r="O149" i="14" s="1"/>
  <c r="O148" i="14"/>
  <c r="N148" i="14"/>
  <c r="M148" i="14"/>
  <c r="O147" i="14"/>
  <c r="AG147" i="14" s="1"/>
  <c r="AH147" i="14" s="1"/>
  <c r="N147" i="14"/>
  <c r="M147" i="14"/>
  <c r="O146" i="14"/>
  <c r="N146" i="14"/>
  <c r="M146" i="14"/>
  <c r="O145" i="14"/>
  <c r="N145" i="14"/>
  <c r="M145" i="14"/>
  <c r="O144" i="14"/>
  <c r="N144" i="14"/>
  <c r="AG144" i="14" s="1"/>
  <c r="AH144" i="14" s="1"/>
  <c r="M144" i="14"/>
  <c r="K143" i="14"/>
  <c r="M143" i="14" s="1"/>
  <c r="O142" i="14"/>
  <c r="N142" i="14"/>
  <c r="AG142" i="14" s="1"/>
  <c r="AH142" i="14" s="1"/>
  <c r="M142" i="14"/>
  <c r="AH141" i="14"/>
  <c r="O141" i="14"/>
  <c r="N141" i="14"/>
  <c r="AG141" i="14" s="1"/>
  <c r="M141" i="14"/>
  <c r="O140" i="14"/>
  <c r="N140" i="14"/>
  <c r="M140" i="14"/>
  <c r="O139" i="14"/>
  <c r="N139" i="14"/>
  <c r="AG139" i="14" s="1"/>
  <c r="AH139" i="14" s="1"/>
  <c r="M139" i="14"/>
  <c r="AG138" i="14"/>
  <c r="AH138" i="14" s="1"/>
  <c r="O138" i="14"/>
  <c r="N138" i="14"/>
  <c r="M138" i="14"/>
  <c r="N137" i="14"/>
  <c r="K137" i="14"/>
  <c r="O137" i="14" s="1"/>
  <c r="AG136" i="14"/>
  <c r="AH136" i="14" s="1"/>
  <c r="O136" i="14"/>
  <c r="N136" i="14"/>
  <c r="M136" i="14"/>
  <c r="O135" i="14"/>
  <c r="N135" i="14"/>
  <c r="AG135" i="14" s="1"/>
  <c r="AH135" i="14" s="1"/>
  <c r="M135" i="14"/>
  <c r="O134" i="14"/>
  <c r="N134" i="14"/>
  <c r="M134" i="14"/>
  <c r="O133" i="14"/>
  <c r="AG133" i="14" s="1"/>
  <c r="AH133" i="14" s="1"/>
  <c r="N133" i="14"/>
  <c r="M133" i="14"/>
  <c r="O132" i="14"/>
  <c r="AG132" i="14" s="1"/>
  <c r="AH132" i="14" s="1"/>
  <c r="N132" i="14"/>
  <c r="M132" i="14"/>
  <c r="O131" i="14"/>
  <c r="N131" i="14"/>
  <c r="AG131" i="14" s="1"/>
  <c r="AH131" i="14" s="1"/>
  <c r="M131" i="14"/>
  <c r="O130" i="14"/>
  <c r="N130" i="14"/>
  <c r="M130" i="14"/>
  <c r="O129" i="14"/>
  <c r="N129" i="14"/>
  <c r="M129" i="14"/>
  <c r="O128" i="14"/>
  <c r="N128" i="14"/>
  <c r="AG128" i="14" s="1"/>
  <c r="AH128" i="14" s="1"/>
  <c r="M128" i="14"/>
  <c r="AG127" i="14"/>
  <c r="AH127" i="14" s="1"/>
  <c r="O127" i="14"/>
  <c r="N127" i="14"/>
  <c r="M127" i="14"/>
  <c r="O126" i="14"/>
  <c r="N126" i="14"/>
  <c r="AG126" i="14" s="1"/>
  <c r="AH126" i="14" s="1"/>
  <c r="M126" i="14"/>
  <c r="O125" i="14"/>
  <c r="N125" i="14"/>
  <c r="M125" i="14"/>
  <c r="O124" i="14"/>
  <c r="N124" i="14"/>
  <c r="M124" i="14"/>
  <c r="O123" i="14"/>
  <c r="N123" i="14"/>
  <c r="M123" i="14"/>
  <c r="O122" i="14"/>
  <c r="N122" i="14"/>
  <c r="AG122" i="14" s="1"/>
  <c r="AH122" i="14" s="1"/>
  <c r="M122" i="14"/>
  <c r="O121" i="14"/>
  <c r="N121" i="14"/>
  <c r="M121" i="14"/>
  <c r="AG120" i="14"/>
  <c r="AH120" i="14" s="1"/>
  <c r="O120" i="14"/>
  <c r="N120" i="14"/>
  <c r="M120" i="14"/>
  <c r="O119" i="14"/>
  <c r="N119" i="14"/>
  <c r="AG119" i="14" s="1"/>
  <c r="AH119" i="14" s="1"/>
  <c r="M119" i="14"/>
  <c r="O118" i="14"/>
  <c r="N118" i="14"/>
  <c r="M118" i="14"/>
  <c r="O117" i="14"/>
  <c r="AG117" i="14" s="1"/>
  <c r="AH117" i="14" s="1"/>
  <c r="N117" i="14"/>
  <c r="M117" i="14"/>
  <c r="O116" i="14"/>
  <c r="AG116" i="14" s="1"/>
  <c r="AH116" i="14" s="1"/>
  <c r="N116" i="14"/>
  <c r="M116" i="14"/>
  <c r="O115" i="14"/>
  <c r="N115" i="14"/>
  <c r="AG115" i="14" s="1"/>
  <c r="AH115" i="14" s="1"/>
  <c r="M115" i="14"/>
  <c r="O114" i="14"/>
  <c r="N114" i="14"/>
  <c r="M114" i="14"/>
  <c r="O113" i="14"/>
  <c r="N113" i="14"/>
  <c r="M113" i="14"/>
  <c r="O112" i="14"/>
  <c r="N112" i="14"/>
  <c r="AG112" i="14" s="1"/>
  <c r="AH112" i="14" s="1"/>
  <c r="M112" i="14"/>
  <c r="AG111" i="14"/>
  <c r="AH111" i="14" s="1"/>
  <c r="O111" i="14"/>
  <c r="N111" i="14"/>
  <c r="M111" i="14"/>
  <c r="O110" i="14"/>
  <c r="N110" i="14"/>
  <c r="AG110" i="14" s="1"/>
  <c r="AH110" i="14" s="1"/>
  <c r="M110" i="14"/>
  <c r="O109" i="14"/>
  <c r="N109" i="14"/>
  <c r="M109" i="14"/>
  <c r="O108" i="14"/>
  <c r="N108" i="14"/>
  <c r="M108" i="14"/>
  <c r="O107" i="14"/>
  <c r="N107" i="14"/>
  <c r="M107" i="14"/>
  <c r="O106" i="14"/>
  <c r="N106" i="14"/>
  <c r="AG106" i="14" s="1"/>
  <c r="AH106" i="14" s="1"/>
  <c r="M106" i="14"/>
  <c r="O105" i="14"/>
  <c r="N105" i="14"/>
  <c r="M105" i="14"/>
  <c r="AG104" i="14"/>
  <c r="AH104" i="14" s="1"/>
  <c r="O104" i="14"/>
  <c r="N104" i="14"/>
  <c r="M104" i="14"/>
  <c r="O103" i="14"/>
  <c r="N103" i="14"/>
  <c r="AG103" i="14" s="1"/>
  <c r="AH103" i="14" s="1"/>
  <c r="M103" i="14"/>
  <c r="O102" i="14"/>
  <c r="N102" i="14"/>
  <c r="M102" i="14"/>
  <c r="O101" i="14"/>
  <c r="AG101" i="14" s="1"/>
  <c r="AH101" i="14" s="1"/>
  <c r="N101" i="14"/>
  <c r="M101" i="14"/>
  <c r="O100" i="14"/>
  <c r="AG100" i="14" s="1"/>
  <c r="AH100" i="14" s="1"/>
  <c r="N100" i="14"/>
  <c r="M100" i="14"/>
  <c r="O99" i="14"/>
  <c r="N99" i="14"/>
  <c r="AG99" i="14" s="1"/>
  <c r="AH99" i="14" s="1"/>
  <c r="M99" i="14"/>
  <c r="O98" i="14"/>
  <c r="N98" i="14"/>
  <c r="M98" i="14"/>
  <c r="O97" i="14"/>
  <c r="N97" i="14"/>
  <c r="AG97" i="14" s="1"/>
  <c r="AH97" i="14" s="1"/>
  <c r="M97" i="14"/>
  <c r="AG96" i="14"/>
  <c r="AH96" i="14" s="1"/>
  <c r="O96" i="14"/>
  <c r="N96" i="14"/>
  <c r="M96" i="14"/>
  <c r="O95" i="14"/>
  <c r="N95" i="14"/>
  <c r="AG95" i="14" s="1"/>
  <c r="AH95" i="14" s="1"/>
  <c r="M95" i="14"/>
  <c r="O94" i="14"/>
  <c r="N94" i="14"/>
  <c r="M94" i="14"/>
  <c r="O93" i="14"/>
  <c r="AG93" i="14" s="1"/>
  <c r="AH93" i="14" s="1"/>
  <c r="N93" i="14"/>
  <c r="M93" i="14"/>
  <c r="O92" i="14"/>
  <c r="AG92" i="14" s="1"/>
  <c r="AH92" i="14" s="1"/>
  <c r="N92" i="14"/>
  <c r="M92" i="14"/>
  <c r="O91" i="14"/>
  <c r="N91" i="14"/>
  <c r="M91" i="14"/>
  <c r="O90" i="14"/>
  <c r="N90" i="14"/>
  <c r="M90" i="14"/>
  <c r="O89" i="14"/>
  <c r="N89" i="14"/>
  <c r="AG89" i="14" s="1"/>
  <c r="AH89" i="14" s="1"/>
  <c r="M89" i="14"/>
  <c r="K88" i="14"/>
  <c r="O88" i="14" s="1"/>
  <c r="O87" i="14"/>
  <c r="N87" i="14"/>
  <c r="M87" i="14"/>
  <c r="O86" i="14"/>
  <c r="N86" i="14"/>
  <c r="AG86" i="14" s="1"/>
  <c r="AH86" i="14" s="1"/>
  <c r="M86" i="14"/>
  <c r="AG85" i="14"/>
  <c r="AH85" i="14" s="1"/>
  <c r="O85" i="14"/>
  <c r="N85" i="14"/>
  <c r="M85" i="14"/>
  <c r="O84" i="14"/>
  <c r="N84" i="14"/>
  <c r="AG84" i="14" s="1"/>
  <c r="AH84" i="14" s="1"/>
  <c r="M84" i="14"/>
  <c r="O83" i="14"/>
  <c r="N83" i="14"/>
  <c r="M83" i="14"/>
  <c r="O82" i="14"/>
  <c r="AG82" i="14" s="1"/>
  <c r="AH82" i="14" s="1"/>
  <c r="N82" i="14"/>
  <c r="M82" i="14"/>
  <c r="O81" i="14"/>
  <c r="AG81" i="14" s="1"/>
  <c r="AH81" i="14" s="1"/>
  <c r="N81" i="14"/>
  <c r="M81" i="14"/>
  <c r="O80" i="14"/>
  <c r="N80" i="14"/>
  <c r="AG80" i="14" s="1"/>
  <c r="AH80" i="14" s="1"/>
  <c r="M80" i="14"/>
  <c r="O79" i="14"/>
  <c r="N79" i="14"/>
  <c r="M79" i="14"/>
  <c r="N78" i="14"/>
  <c r="K78" i="14"/>
  <c r="O77" i="14"/>
  <c r="N77" i="14"/>
  <c r="AG77" i="14" s="1"/>
  <c r="AH77" i="14" s="1"/>
  <c r="M77" i="14"/>
  <c r="O76" i="14"/>
  <c r="N76" i="14"/>
  <c r="M76" i="14"/>
  <c r="O75" i="14"/>
  <c r="N75" i="14"/>
  <c r="M75" i="14"/>
  <c r="AG74" i="14"/>
  <c r="AH74" i="14" s="1"/>
  <c r="O74" i="14"/>
  <c r="N74" i="14"/>
  <c r="M74" i="14"/>
  <c r="O73" i="14"/>
  <c r="N73" i="14"/>
  <c r="AG73" i="14" s="1"/>
  <c r="AH73" i="14" s="1"/>
  <c r="M73" i="14"/>
  <c r="O72" i="14"/>
  <c r="N72" i="14"/>
  <c r="M72" i="14"/>
  <c r="O71" i="14"/>
  <c r="N71" i="14"/>
  <c r="M71" i="14"/>
  <c r="O70" i="14"/>
  <c r="AG70" i="14" s="1"/>
  <c r="AH70" i="14" s="1"/>
  <c r="N70" i="14"/>
  <c r="M70" i="14"/>
  <c r="AG69" i="14"/>
  <c r="AH69" i="14" s="1"/>
  <c r="O69" i="14"/>
  <c r="N69" i="14"/>
  <c r="M69" i="14"/>
  <c r="O68" i="14"/>
  <c r="N68" i="14"/>
  <c r="M68" i="14"/>
  <c r="O67" i="14"/>
  <c r="N67" i="14"/>
  <c r="M67" i="14"/>
  <c r="K66" i="14"/>
  <c r="O66" i="14" s="1"/>
  <c r="O65" i="14"/>
  <c r="AG65" i="14" s="1"/>
  <c r="AH65" i="14" s="1"/>
  <c r="N65" i="14"/>
  <c r="M65" i="14"/>
  <c r="O64" i="14"/>
  <c r="AG64" i="14" s="1"/>
  <c r="AH64" i="14" s="1"/>
  <c r="N64" i="14"/>
  <c r="M64" i="14"/>
  <c r="O63" i="14"/>
  <c r="N63" i="14"/>
  <c r="M63" i="14"/>
  <c r="O62" i="14"/>
  <c r="N62" i="14"/>
  <c r="AG62" i="14" s="1"/>
  <c r="AH62" i="14" s="1"/>
  <c r="M62" i="14"/>
  <c r="O61" i="14"/>
  <c r="N61" i="14"/>
  <c r="AG61" i="14" s="1"/>
  <c r="AH61" i="14" s="1"/>
  <c r="M61" i="14"/>
  <c r="AG60" i="14"/>
  <c r="AH60" i="14" s="1"/>
  <c r="O60" i="14"/>
  <c r="N60" i="14"/>
  <c r="M60" i="14"/>
  <c r="O59" i="14"/>
  <c r="N59" i="14"/>
  <c r="AG59" i="14" s="1"/>
  <c r="AH59" i="14" s="1"/>
  <c r="M59" i="14"/>
  <c r="O58" i="14"/>
  <c r="N58" i="14"/>
  <c r="M58" i="14"/>
  <c r="O57" i="14"/>
  <c r="AG57" i="14" s="1"/>
  <c r="AH57" i="14" s="1"/>
  <c r="N57" i="14"/>
  <c r="M57" i="14"/>
  <c r="O56" i="14"/>
  <c r="AG56" i="14" s="1"/>
  <c r="AH56" i="14" s="1"/>
  <c r="N56" i="14"/>
  <c r="M56" i="14"/>
  <c r="O55" i="14"/>
  <c r="N55" i="14"/>
  <c r="AG55" i="14" s="1"/>
  <c r="AH55" i="14" s="1"/>
  <c r="M55" i="14"/>
  <c r="O54" i="14"/>
  <c r="N54" i="14"/>
  <c r="M54" i="14"/>
  <c r="O53" i="14"/>
  <c r="N53" i="14"/>
  <c r="M53" i="14"/>
  <c r="O52" i="14"/>
  <c r="N52" i="14"/>
  <c r="AG52" i="14" s="1"/>
  <c r="AH52" i="14" s="1"/>
  <c r="M52" i="14"/>
  <c r="AG51" i="14"/>
  <c r="AH51" i="14" s="1"/>
  <c r="O51" i="14"/>
  <c r="N51" i="14"/>
  <c r="M51" i="14"/>
  <c r="O50" i="14"/>
  <c r="N50" i="14"/>
  <c r="M50" i="14"/>
  <c r="O49" i="14"/>
  <c r="N49" i="14"/>
  <c r="M49" i="14"/>
  <c r="O48" i="14"/>
  <c r="N48" i="14"/>
  <c r="AG48" i="14" s="1"/>
  <c r="AH48" i="14" s="1"/>
  <c r="M48" i="14"/>
  <c r="AG47" i="14"/>
  <c r="AH47" i="14" s="1"/>
  <c r="O47" i="14"/>
  <c r="N47" i="14"/>
  <c r="M47" i="14"/>
  <c r="O46" i="14"/>
  <c r="N46" i="14"/>
  <c r="AG46" i="14" s="1"/>
  <c r="AH46" i="14" s="1"/>
  <c r="M46" i="14"/>
  <c r="O45" i="14"/>
  <c r="N45" i="14"/>
  <c r="AG45" i="14" s="1"/>
  <c r="AH45" i="14" s="1"/>
  <c r="M45" i="14"/>
  <c r="AG44" i="14"/>
  <c r="AH44" i="14" s="1"/>
  <c r="O44" i="14"/>
  <c r="N44" i="14"/>
  <c r="M44" i="14"/>
  <c r="O43" i="14"/>
  <c r="N43" i="14"/>
  <c r="AG43" i="14" s="1"/>
  <c r="AH43" i="14" s="1"/>
  <c r="M43" i="14"/>
  <c r="O42" i="14"/>
  <c r="N42" i="14"/>
  <c r="M42" i="14"/>
  <c r="O41" i="14"/>
  <c r="AG41" i="14" s="1"/>
  <c r="AH41" i="14" s="1"/>
  <c r="N41" i="14"/>
  <c r="M41" i="14"/>
  <c r="O40" i="14"/>
  <c r="N40" i="14"/>
  <c r="M40" i="14"/>
  <c r="O39" i="14"/>
  <c r="N39" i="14"/>
  <c r="M39" i="14"/>
  <c r="O38" i="14"/>
  <c r="N38" i="14"/>
  <c r="M38" i="14"/>
  <c r="O37" i="14"/>
  <c r="N37" i="14"/>
  <c r="AG37" i="14" s="1"/>
  <c r="AH37" i="14" s="1"/>
  <c r="M37" i="14"/>
  <c r="O36" i="14"/>
  <c r="N36" i="14"/>
  <c r="AG36" i="14" s="1"/>
  <c r="AH36" i="14" s="1"/>
  <c r="M36" i="14"/>
  <c r="AG35" i="14"/>
  <c r="AH35" i="14" s="1"/>
  <c r="O35" i="14"/>
  <c r="N35" i="14"/>
  <c r="M35" i="14"/>
  <c r="O34" i="14"/>
  <c r="N34" i="14"/>
  <c r="AG34" i="14" s="1"/>
  <c r="AH34" i="14" s="1"/>
  <c r="M34" i="14"/>
  <c r="O33" i="14"/>
  <c r="N33" i="14"/>
  <c r="M33" i="14"/>
  <c r="O32" i="14"/>
  <c r="N32" i="14"/>
  <c r="M32" i="14"/>
  <c r="O31" i="14"/>
  <c r="N31" i="14"/>
  <c r="M31" i="14"/>
  <c r="O30" i="14"/>
  <c r="N30" i="14"/>
  <c r="M30" i="14"/>
  <c r="O29" i="14"/>
  <c r="N29" i="14"/>
  <c r="M29" i="14"/>
  <c r="O28" i="14"/>
  <c r="N28" i="14"/>
  <c r="AG28" i="14" s="1"/>
  <c r="AH28" i="14" s="1"/>
  <c r="M28" i="14"/>
  <c r="AG27" i="14"/>
  <c r="AH27" i="14" s="1"/>
  <c r="O27" i="14"/>
  <c r="N27" i="14"/>
  <c r="M27" i="14"/>
  <c r="O26" i="14"/>
  <c r="N26" i="14"/>
  <c r="M26" i="14"/>
  <c r="O25" i="14"/>
  <c r="N25" i="14"/>
  <c r="M25" i="14"/>
  <c r="O24" i="14"/>
  <c r="N24" i="14"/>
  <c r="AG24" i="14" s="1"/>
  <c r="AH24" i="14" s="1"/>
  <c r="M24" i="14"/>
  <c r="O23" i="14"/>
  <c r="N23" i="14"/>
  <c r="AG23" i="14" s="1"/>
  <c r="AH23" i="14" s="1"/>
  <c r="M23" i="14"/>
  <c r="O22" i="14"/>
  <c r="N22" i="14"/>
  <c r="M22" i="14"/>
  <c r="O21" i="14"/>
  <c r="N21" i="14"/>
  <c r="M21" i="14"/>
  <c r="AG20" i="14"/>
  <c r="AH20" i="14" s="1"/>
  <c r="O20" i="14"/>
  <c r="N20" i="14"/>
  <c r="M20" i="14"/>
  <c r="O19" i="14"/>
  <c r="N19" i="14"/>
  <c r="AG19" i="14" s="1"/>
  <c r="AH19" i="14" s="1"/>
  <c r="M19" i="14"/>
  <c r="O18" i="14"/>
  <c r="N18" i="14"/>
  <c r="M18" i="14"/>
  <c r="O17" i="14"/>
  <c r="AG17" i="14" s="1"/>
  <c r="AH17" i="14" s="1"/>
  <c r="N17" i="14"/>
  <c r="M17" i="14"/>
  <c r="O16" i="14"/>
  <c r="N16" i="14"/>
  <c r="M16" i="14"/>
  <c r="O15" i="14"/>
  <c r="N15" i="14"/>
  <c r="AG15" i="14" s="1"/>
  <c r="AH15" i="14" s="1"/>
  <c r="M15" i="14"/>
  <c r="O14" i="14"/>
  <c r="N14" i="14"/>
  <c r="AG14" i="14" s="1"/>
  <c r="AH14" i="14" s="1"/>
  <c r="M14" i="14"/>
  <c r="O13" i="14"/>
  <c r="N13" i="14"/>
  <c r="AG13" i="14" s="1"/>
  <c r="AH13" i="14" s="1"/>
  <c r="M13" i="14"/>
  <c r="AG12" i="14"/>
  <c r="AH12" i="14" s="1"/>
  <c r="O12" i="14"/>
  <c r="N12" i="14"/>
  <c r="M12" i="14"/>
  <c r="O11" i="14"/>
  <c r="N11" i="14"/>
  <c r="AG11" i="14" s="1"/>
  <c r="AH11" i="14" s="1"/>
  <c r="M11" i="14"/>
  <c r="O10" i="14"/>
  <c r="N10" i="14"/>
  <c r="M10" i="14"/>
  <c r="O9" i="14"/>
  <c r="AG9" i="14" s="1"/>
  <c r="AH9" i="14" s="1"/>
  <c r="N9" i="14"/>
  <c r="M9" i="14"/>
  <c r="O8" i="14"/>
  <c r="N8" i="14"/>
  <c r="M8" i="14"/>
  <c r="K7" i="14"/>
  <c r="O6" i="14"/>
  <c r="N6" i="14"/>
  <c r="M6" i="14"/>
  <c r="O5" i="14"/>
  <c r="N5" i="14"/>
  <c r="AG5" i="14" s="1"/>
  <c r="M5" i="14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L120" i="13"/>
  <c r="I120" i="13"/>
  <c r="H120" i="13"/>
  <c r="O119" i="13"/>
  <c r="AG119" i="13" s="1"/>
  <c r="AH119" i="13" s="1"/>
  <c r="N119" i="13"/>
  <c r="M119" i="13"/>
  <c r="O118" i="13"/>
  <c r="N118" i="13"/>
  <c r="M118" i="13"/>
  <c r="O117" i="13"/>
  <c r="AG117" i="13" s="1"/>
  <c r="AH117" i="13" s="1"/>
  <c r="N117" i="13"/>
  <c r="M117" i="13"/>
  <c r="O116" i="13"/>
  <c r="N116" i="13"/>
  <c r="M116" i="13"/>
  <c r="O115" i="13"/>
  <c r="N115" i="13"/>
  <c r="M115" i="13"/>
  <c r="O114" i="13"/>
  <c r="N114" i="13"/>
  <c r="AG114" i="13" s="1"/>
  <c r="AH114" i="13" s="1"/>
  <c r="M114" i="13"/>
  <c r="O113" i="13"/>
  <c r="N113" i="13"/>
  <c r="AG113" i="13" s="1"/>
  <c r="AH113" i="13" s="1"/>
  <c r="M113" i="13"/>
  <c r="O112" i="13"/>
  <c r="N112" i="13"/>
  <c r="AG112" i="13" s="1"/>
  <c r="AH112" i="13" s="1"/>
  <c r="M112" i="13"/>
  <c r="O111" i="13"/>
  <c r="AG111" i="13" s="1"/>
  <c r="AH111" i="13" s="1"/>
  <c r="N111" i="13"/>
  <c r="M111" i="13"/>
  <c r="O110" i="13"/>
  <c r="N110" i="13"/>
  <c r="AG110" i="13" s="1"/>
  <c r="AH110" i="13" s="1"/>
  <c r="M110" i="13"/>
  <c r="O109" i="13"/>
  <c r="N109" i="13"/>
  <c r="AG109" i="13" s="1"/>
  <c r="AH109" i="13" s="1"/>
  <c r="M109" i="13"/>
  <c r="O108" i="13"/>
  <c r="N108" i="13"/>
  <c r="AG108" i="13" s="1"/>
  <c r="AH108" i="13" s="1"/>
  <c r="M108" i="13"/>
  <c r="O107" i="13"/>
  <c r="N107" i="13"/>
  <c r="M107" i="13"/>
  <c r="AG106" i="13"/>
  <c r="AH106" i="13" s="1"/>
  <c r="O106" i="13"/>
  <c r="N106" i="13"/>
  <c r="M106" i="13"/>
  <c r="O105" i="13"/>
  <c r="AG105" i="13" s="1"/>
  <c r="AH105" i="13" s="1"/>
  <c r="N105" i="13"/>
  <c r="M105" i="13"/>
  <c r="O104" i="13"/>
  <c r="N104" i="13"/>
  <c r="M104" i="13"/>
  <c r="O103" i="13"/>
  <c r="N103" i="13"/>
  <c r="M103" i="13"/>
  <c r="O102" i="13"/>
  <c r="N102" i="13"/>
  <c r="AG102" i="13" s="1"/>
  <c r="AH102" i="13" s="1"/>
  <c r="M102" i="13"/>
  <c r="O101" i="13"/>
  <c r="N101" i="13"/>
  <c r="M101" i="13"/>
  <c r="O100" i="13"/>
  <c r="N100" i="13"/>
  <c r="AG100" i="13" s="1"/>
  <c r="AH100" i="13" s="1"/>
  <c r="M100" i="13"/>
  <c r="O99" i="13"/>
  <c r="N99" i="13"/>
  <c r="AG99" i="13" s="1"/>
  <c r="AH99" i="13" s="1"/>
  <c r="M99" i="13"/>
  <c r="O98" i="13"/>
  <c r="N98" i="13"/>
  <c r="AG98" i="13" s="1"/>
  <c r="AH98" i="13" s="1"/>
  <c r="M98" i="13"/>
  <c r="O97" i="13"/>
  <c r="N97" i="13"/>
  <c r="AG97" i="13" s="1"/>
  <c r="AH97" i="13" s="1"/>
  <c r="M97" i="13"/>
  <c r="K96" i="13"/>
  <c r="O96" i="13" s="1"/>
  <c r="O95" i="13"/>
  <c r="AG95" i="13" s="1"/>
  <c r="AH95" i="13" s="1"/>
  <c r="N95" i="13"/>
  <c r="M95" i="13"/>
  <c r="AG94" i="13"/>
  <c r="AH94" i="13" s="1"/>
  <c r="O94" i="13"/>
  <c r="N94" i="13"/>
  <c r="M94" i="13"/>
  <c r="O93" i="13"/>
  <c r="N93" i="13"/>
  <c r="AG93" i="13" s="1"/>
  <c r="AH93" i="13" s="1"/>
  <c r="M93" i="13"/>
  <c r="O92" i="13"/>
  <c r="N92" i="13"/>
  <c r="M92" i="13"/>
  <c r="O91" i="13"/>
  <c r="N91" i="13"/>
  <c r="AG91" i="13" s="1"/>
  <c r="AH91" i="13" s="1"/>
  <c r="M91" i="13"/>
  <c r="O90" i="13"/>
  <c r="N90" i="13"/>
  <c r="M90" i="13"/>
  <c r="O89" i="13"/>
  <c r="K89" i="13"/>
  <c r="N89" i="13" s="1"/>
  <c r="AG89" i="13" s="1"/>
  <c r="AH89" i="13" s="1"/>
  <c r="O88" i="13"/>
  <c r="N88" i="13"/>
  <c r="AG88" i="13" s="1"/>
  <c r="AH88" i="13" s="1"/>
  <c r="M88" i="13"/>
  <c r="K87" i="13"/>
  <c r="O87" i="13" s="1"/>
  <c r="O86" i="13"/>
  <c r="AG86" i="13" s="1"/>
  <c r="AH86" i="13" s="1"/>
  <c r="N86" i="13"/>
  <c r="M86" i="13"/>
  <c r="O85" i="13"/>
  <c r="N85" i="13"/>
  <c r="AG85" i="13" s="1"/>
  <c r="AH85" i="13" s="1"/>
  <c r="M85" i="13"/>
  <c r="O84" i="13"/>
  <c r="N84" i="13"/>
  <c r="AG84" i="13" s="1"/>
  <c r="AH84" i="13" s="1"/>
  <c r="M84" i="13"/>
  <c r="O83" i="13"/>
  <c r="N83" i="13"/>
  <c r="M83" i="13"/>
  <c r="O82" i="13"/>
  <c r="N82" i="13"/>
  <c r="AG82" i="13" s="1"/>
  <c r="AH82" i="13" s="1"/>
  <c r="M82" i="13"/>
  <c r="O81" i="13"/>
  <c r="AG81" i="13" s="1"/>
  <c r="AH81" i="13" s="1"/>
  <c r="N81" i="13"/>
  <c r="M81" i="13"/>
  <c r="O80" i="13"/>
  <c r="N80" i="13"/>
  <c r="AG80" i="13" s="1"/>
  <c r="AH80" i="13" s="1"/>
  <c r="M80" i="13"/>
  <c r="O79" i="13"/>
  <c r="N79" i="13"/>
  <c r="AG79" i="13" s="1"/>
  <c r="AH79" i="13" s="1"/>
  <c r="M79" i="13"/>
  <c r="K78" i="13"/>
  <c r="N78" i="13" s="1"/>
  <c r="O77" i="13"/>
  <c r="K77" i="13"/>
  <c r="N77" i="13" s="1"/>
  <c r="AG77" i="13" s="1"/>
  <c r="AH77" i="13" s="1"/>
  <c r="O76" i="13"/>
  <c r="N76" i="13"/>
  <c r="M76" i="13"/>
  <c r="O75" i="13"/>
  <c r="AG75" i="13" s="1"/>
  <c r="AH75" i="13" s="1"/>
  <c r="N75" i="13"/>
  <c r="M75" i="13"/>
  <c r="AG74" i="13"/>
  <c r="AH74" i="13" s="1"/>
  <c r="O74" i="13"/>
  <c r="N74" i="13"/>
  <c r="M74" i="13"/>
  <c r="O73" i="13"/>
  <c r="N73" i="13"/>
  <c r="AG73" i="13" s="1"/>
  <c r="AH73" i="13" s="1"/>
  <c r="M73" i="13"/>
  <c r="O72" i="13"/>
  <c r="N72" i="13"/>
  <c r="M72" i="13"/>
  <c r="O71" i="13"/>
  <c r="N71" i="13"/>
  <c r="AG71" i="13" s="1"/>
  <c r="AH71" i="13" s="1"/>
  <c r="M71" i="13"/>
  <c r="O70" i="13"/>
  <c r="N70" i="13"/>
  <c r="M70" i="13"/>
  <c r="O69" i="13"/>
  <c r="N69" i="13"/>
  <c r="M69" i="13"/>
  <c r="O68" i="13"/>
  <c r="N68" i="13"/>
  <c r="AG68" i="13" s="1"/>
  <c r="AH68" i="13" s="1"/>
  <c r="M68" i="13"/>
  <c r="O67" i="13"/>
  <c r="N67" i="13"/>
  <c r="AG67" i="13" s="1"/>
  <c r="AH67" i="13" s="1"/>
  <c r="M67" i="13"/>
  <c r="O66" i="13"/>
  <c r="N66" i="13"/>
  <c r="AG66" i="13" s="1"/>
  <c r="AH66" i="13" s="1"/>
  <c r="M66" i="13"/>
  <c r="O65" i="13"/>
  <c r="N65" i="13"/>
  <c r="AG65" i="13" s="1"/>
  <c r="AH65" i="13" s="1"/>
  <c r="M65" i="13"/>
  <c r="O64" i="13"/>
  <c r="K64" i="13"/>
  <c r="N64" i="13" s="1"/>
  <c r="O63" i="13"/>
  <c r="N63" i="13"/>
  <c r="AG63" i="13" s="1"/>
  <c r="AH63" i="13" s="1"/>
  <c r="M63" i="13"/>
  <c r="O62" i="13"/>
  <c r="N62" i="13"/>
  <c r="AG62" i="13" s="1"/>
  <c r="AH62" i="13" s="1"/>
  <c r="M62" i="13"/>
  <c r="O61" i="13"/>
  <c r="N61" i="13"/>
  <c r="M61" i="13"/>
  <c r="O60" i="13"/>
  <c r="N60" i="13"/>
  <c r="M60" i="13"/>
  <c r="O59" i="13"/>
  <c r="N59" i="13"/>
  <c r="M59" i="13"/>
  <c r="O58" i="13"/>
  <c r="N58" i="13"/>
  <c r="AG58" i="13" s="1"/>
  <c r="AH58" i="13" s="1"/>
  <c r="M58" i="13"/>
  <c r="O57" i="13"/>
  <c r="N57" i="13"/>
  <c r="AG57" i="13" s="1"/>
  <c r="AH57" i="13" s="1"/>
  <c r="M57" i="13"/>
  <c r="O56" i="13"/>
  <c r="N56" i="13"/>
  <c r="AG56" i="13" s="1"/>
  <c r="AH56" i="13" s="1"/>
  <c r="M56" i="13"/>
  <c r="AG55" i="13"/>
  <c r="AH55" i="13" s="1"/>
  <c r="O55" i="13"/>
  <c r="N55" i="13"/>
  <c r="M55" i="13"/>
  <c r="O54" i="13"/>
  <c r="N54" i="13"/>
  <c r="AG54" i="13" s="1"/>
  <c r="AH54" i="13" s="1"/>
  <c r="M54" i="13"/>
  <c r="O53" i="13"/>
  <c r="N53" i="13"/>
  <c r="M53" i="13"/>
  <c r="O52" i="13"/>
  <c r="N52" i="13"/>
  <c r="AG52" i="13" s="1"/>
  <c r="AH52" i="13" s="1"/>
  <c r="M52" i="13"/>
  <c r="O51" i="13"/>
  <c r="N51" i="13"/>
  <c r="AG51" i="13" s="1"/>
  <c r="AH51" i="13" s="1"/>
  <c r="M51" i="13"/>
  <c r="O50" i="13"/>
  <c r="N50" i="13"/>
  <c r="M50" i="13"/>
  <c r="O49" i="13"/>
  <c r="N49" i="13"/>
  <c r="M49" i="13"/>
  <c r="O48" i="13"/>
  <c r="N48" i="13"/>
  <c r="AG48" i="13" s="1"/>
  <c r="AH48" i="13" s="1"/>
  <c r="M48" i="13"/>
  <c r="O47" i="13"/>
  <c r="AG47" i="13" s="1"/>
  <c r="AH47" i="13" s="1"/>
  <c r="N47" i="13"/>
  <c r="M47" i="13"/>
  <c r="O46" i="13"/>
  <c r="N46" i="13"/>
  <c r="AG46" i="13" s="1"/>
  <c r="AH46" i="13" s="1"/>
  <c r="M46" i="13"/>
  <c r="O45" i="13"/>
  <c r="N45" i="13"/>
  <c r="M45" i="13"/>
  <c r="O44" i="13"/>
  <c r="N44" i="13"/>
  <c r="AG44" i="13" s="1"/>
  <c r="AH44" i="13" s="1"/>
  <c r="M44" i="13"/>
  <c r="O43" i="13"/>
  <c r="N43" i="13"/>
  <c r="AG43" i="13" s="1"/>
  <c r="AH43" i="13" s="1"/>
  <c r="M43" i="13"/>
  <c r="O42" i="13"/>
  <c r="N42" i="13"/>
  <c r="AG42" i="13" s="1"/>
  <c r="AH42" i="13" s="1"/>
  <c r="M42" i="13"/>
  <c r="O41" i="13"/>
  <c r="N41" i="13"/>
  <c r="AG41" i="13" s="1"/>
  <c r="AH41" i="13" s="1"/>
  <c r="M41" i="13"/>
  <c r="AG40" i="13"/>
  <c r="AH40" i="13" s="1"/>
  <c r="O40" i="13"/>
  <c r="N40" i="13"/>
  <c r="M40" i="13"/>
  <c r="O39" i="13"/>
  <c r="N39" i="13"/>
  <c r="AG39" i="13" s="1"/>
  <c r="AH39" i="13" s="1"/>
  <c r="M39" i="13"/>
  <c r="O38" i="13"/>
  <c r="N38" i="13"/>
  <c r="M38" i="13"/>
  <c r="O37" i="13"/>
  <c r="AG37" i="13" s="1"/>
  <c r="AH37" i="13" s="1"/>
  <c r="N37" i="13"/>
  <c r="M37" i="13"/>
  <c r="O36" i="13"/>
  <c r="N36" i="13"/>
  <c r="AG36" i="13" s="1"/>
  <c r="AH36" i="13" s="1"/>
  <c r="M36" i="13"/>
  <c r="O35" i="13"/>
  <c r="N35" i="13"/>
  <c r="AG35" i="13" s="1"/>
  <c r="AH35" i="13" s="1"/>
  <c r="M35" i="13"/>
  <c r="O34" i="13"/>
  <c r="N34" i="13"/>
  <c r="AG34" i="13" s="1"/>
  <c r="AH34" i="13" s="1"/>
  <c r="M34" i="13"/>
  <c r="O33" i="13"/>
  <c r="N33" i="13"/>
  <c r="AG33" i="13" s="1"/>
  <c r="AH33" i="13" s="1"/>
  <c r="M33" i="13"/>
  <c r="O32" i="13"/>
  <c r="AG32" i="13" s="1"/>
  <c r="AH32" i="13" s="1"/>
  <c r="N32" i="13"/>
  <c r="M32" i="13"/>
  <c r="O31" i="13"/>
  <c r="N31" i="13"/>
  <c r="AG31" i="13" s="1"/>
  <c r="AH31" i="13" s="1"/>
  <c r="M31" i="13"/>
  <c r="O30" i="13"/>
  <c r="N30" i="13"/>
  <c r="AG30" i="13" s="1"/>
  <c r="AH30" i="13" s="1"/>
  <c r="M30" i="13"/>
  <c r="O29" i="13"/>
  <c r="N29" i="13"/>
  <c r="M29" i="13"/>
  <c r="O28" i="13"/>
  <c r="N28" i="13"/>
  <c r="M28" i="13"/>
  <c r="O27" i="13"/>
  <c r="N27" i="13"/>
  <c r="M27" i="13"/>
  <c r="O26" i="13"/>
  <c r="N26" i="13"/>
  <c r="AG26" i="13" s="1"/>
  <c r="AH26" i="13" s="1"/>
  <c r="M26" i="13"/>
  <c r="O25" i="13"/>
  <c r="N25" i="13"/>
  <c r="AG25" i="13" s="1"/>
  <c r="AH25" i="13" s="1"/>
  <c r="M25" i="13"/>
  <c r="N24" i="13"/>
  <c r="J24" i="13"/>
  <c r="J120" i="13" s="1"/>
  <c r="O23" i="13"/>
  <c r="N23" i="13"/>
  <c r="AG23" i="13" s="1"/>
  <c r="AH23" i="13" s="1"/>
  <c r="M23" i="13"/>
  <c r="K22" i="13"/>
  <c r="M22" i="13" s="1"/>
  <c r="O21" i="13"/>
  <c r="N21" i="13"/>
  <c r="AG21" i="13" s="1"/>
  <c r="AH21" i="13" s="1"/>
  <c r="M21" i="13"/>
  <c r="O20" i="13"/>
  <c r="N20" i="13"/>
  <c r="AG20" i="13" s="1"/>
  <c r="AH20" i="13" s="1"/>
  <c r="M20" i="13"/>
  <c r="O19" i="13"/>
  <c r="N19" i="13"/>
  <c r="AG19" i="13" s="1"/>
  <c r="AH19" i="13" s="1"/>
  <c r="M19" i="13"/>
  <c r="O18" i="13"/>
  <c r="AG18" i="13" s="1"/>
  <c r="AH18" i="13" s="1"/>
  <c r="N18" i="13"/>
  <c r="M18" i="13"/>
  <c r="AG17" i="13"/>
  <c r="AH17" i="13" s="1"/>
  <c r="O17" i="13"/>
  <c r="N17" i="13"/>
  <c r="M17" i="13"/>
  <c r="O16" i="13"/>
  <c r="N16" i="13"/>
  <c r="AG16" i="13" s="1"/>
  <c r="AH16" i="13" s="1"/>
  <c r="M16" i="13"/>
  <c r="O15" i="13"/>
  <c r="N15" i="13"/>
  <c r="M15" i="13"/>
  <c r="O14" i="13"/>
  <c r="N14" i="13"/>
  <c r="M14" i="13"/>
  <c r="O13" i="13"/>
  <c r="N13" i="13"/>
  <c r="M13" i="13"/>
  <c r="O12" i="13"/>
  <c r="N12" i="13"/>
  <c r="M12" i="13"/>
  <c r="O11" i="13"/>
  <c r="N11" i="13"/>
  <c r="AG11" i="13" s="1"/>
  <c r="AH11" i="13" s="1"/>
  <c r="M11" i="13"/>
  <c r="O10" i="13"/>
  <c r="N10" i="13"/>
  <c r="AG10" i="13" s="1"/>
  <c r="AH10" i="13" s="1"/>
  <c r="M10" i="13"/>
  <c r="O9" i="13"/>
  <c r="N9" i="13"/>
  <c r="AG9" i="13" s="1"/>
  <c r="AH9" i="13" s="1"/>
  <c r="M9" i="13"/>
  <c r="O8" i="13"/>
  <c r="N8" i="13"/>
  <c r="AG8" i="13" s="1"/>
  <c r="AH8" i="13" s="1"/>
  <c r="M8" i="13"/>
  <c r="O7" i="13"/>
  <c r="N7" i="13"/>
  <c r="M7" i="13"/>
  <c r="O6" i="13"/>
  <c r="N6" i="13"/>
  <c r="AG6" i="13" s="1"/>
  <c r="AH6" i="13" s="1"/>
  <c r="M6" i="13"/>
  <c r="O5" i="13"/>
  <c r="N5" i="13"/>
  <c r="M5" i="13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L84" i="12"/>
  <c r="J84" i="12"/>
  <c r="I84" i="12"/>
  <c r="H84" i="12"/>
  <c r="O83" i="12"/>
  <c r="N83" i="12"/>
  <c r="M83" i="12"/>
  <c r="O82" i="12"/>
  <c r="N82" i="12"/>
  <c r="AG82" i="12" s="1"/>
  <c r="AH82" i="12" s="1"/>
  <c r="M82" i="12"/>
  <c r="O81" i="12"/>
  <c r="AG81" i="12" s="1"/>
  <c r="AH81" i="12" s="1"/>
  <c r="N81" i="12"/>
  <c r="M81" i="12"/>
  <c r="O80" i="12"/>
  <c r="AG80" i="12" s="1"/>
  <c r="AH80" i="12" s="1"/>
  <c r="N80" i="12"/>
  <c r="M80" i="12"/>
  <c r="O79" i="12"/>
  <c r="N79" i="12"/>
  <c r="M79" i="12"/>
  <c r="O78" i="12"/>
  <c r="AG78" i="12" s="1"/>
  <c r="AH78" i="12" s="1"/>
  <c r="N78" i="12"/>
  <c r="M78" i="12"/>
  <c r="O77" i="12"/>
  <c r="N77" i="12"/>
  <c r="AG77" i="12" s="1"/>
  <c r="AH77" i="12" s="1"/>
  <c r="M77" i="12"/>
  <c r="O76" i="12"/>
  <c r="N76" i="12"/>
  <c r="M76" i="12"/>
  <c r="O75" i="12"/>
  <c r="N75" i="12"/>
  <c r="AG75" i="12" s="1"/>
  <c r="AH75" i="12" s="1"/>
  <c r="M75" i="12"/>
  <c r="O74" i="12"/>
  <c r="N74" i="12"/>
  <c r="AG74" i="12" s="1"/>
  <c r="AH74" i="12" s="1"/>
  <c r="M74" i="12"/>
  <c r="O73" i="12"/>
  <c r="N73" i="12"/>
  <c r="AG73" i="12" s="1"/>
  <c r="AH73" i="12" s="1"/>
  <c r="M73" i="12"/>
  <c r="O72" i="12"/>
  <c r="N72" i="12"/>
  <c r="AG72" i="12" s="1"/>
  <c r="AH72" i="12" s="1"/>
  <c r="M72" i="12"/>
  <c r="O71" i="12"/>
  <c r="N71" i="12"/>
  <c r="M71" i="12"/>
  <c r="O70" i="12"/>
  <c r="AG70" i="12" s="1"/>
  <c r="AH70" i="12" s="1"/>
  <c r="N70" i="12"/>
  <c r="M70" i="12"/>
  <c r="O69" i="12"/>
  <c r="N69" i="12"/>
  <c r="M69" i="12"/>
  <c r="O68" i="12"/>
  <c r="N68" i="12"/>
  <c r="M68" i="12"/>
  <c r="O67" i="12"/>
  <c r="N67" i="12"/>
  <c r="AG67" i="12" s="1"/>
  <c r="AH67" i="12" s="1"/>
  <c r="M67" i="12"/>
  <c r="O66" i="12"/>
  <c r="AG66" i="12" s="1"/>
  <c r="AH66" i="12" s="1"/>
  <c r="N66" i="12"/>
  <c r="M66" i="12"/>
  <c r="O65" i="12"/>
  <c r="N65" i="12"/>
  <c r="AG65" i="12" s="1"/>
  <c r="AH65" i="12" s="1"/>
  <c r="M65" i="12"/>
  <c r="O64" i="12"/>
  <c r="N64" i="12"/>
  <c r="AG64" i="12" s="1"/>
  <c r="AH64" i="12" s="1"/>
  <c r="M64" i="12"/>
  <c r="O63" i="12"/>
  <c r="N63" i="12"/>
  <c r="AG63" i="12" s="1"/>
  <c r="AH63" i="12" s="1"/>
  <c r="M63" i="12"/>
  <c r="O62" i="12"/>
  <c r="N62" i="12"/>
  <c r="M62" i="12"/>
  <c r="K61" i="12"/>
  <c r="O61" i="12" s="1"/>
  <c r="O60" i="12"/>
  <c r="N60" i="12"/>
  <c r="M60" i="12"/>
  <c r="O59" i="12"/>
  <c r="N59" i="12"/>
  <c r="M59" i="12"/>
  <c r="O58" i="12"/>
  <c r="N58" i="12"/>
  <c r="AG58" i="12" s="1"/>
  <c r="AH58" i="12" s="1"/>
  <c r="M58" i="12"/>
  <c r="O57" i="12"/>
  <c r="N57" i="12"/>
  <c r="AG57" i="12" s="1"/>
  <c r="AH57" i="12" s="1"/>
  <c r="M57" i="12"/>
  <c r="O56" i="12"/>
  <c r="N56" i="12"/>
  <c r="AG56" i="12" s="1"/>
  <c r="AH56" i="12" s="1"/>
  <c r="M56" i="12"/>
  <c r="AG55" i="12"/>
  <c r="AH55" i="12" s="1"/>
  <c r="O55" i="12"/>
  <c r="N55" i="12"/>
  <c r="M55" i="12"/>
  <c r="O54" i="12"/>
  <c r="N54" i="12"/>
  <c r="AG54" i="12" s="1"/>
  <c r="AH54" i="12" s="1"/>
  <c r="M54" i="12"/>
  <c r="O53" i="12"/>
  <c r="N53" i="12"/>
  <c r="M53" i="12"/>
  <c r="O52" i="12"/>
  <c r="N52" i="12"/>
  <c r="M52" i="12"/>
  <c r="O51" i="12"/>
  <c r="AG51" i="12" s="1"/>
  <c r="AH51" i="12" s="1"/>
  <c r="N51" i="12"/>
  <c r="M51" i="12"/>
  <c r="O50" i="12"/>
  <c r="N50" i="12"/>
  <c r="M50" i="12"/>
  <c r="O49" i="12"/>
  <c r="N49" i="12"/>
  <c r="AG49" i="12" s="1"/>
  <c r="AH49" i="12" s="1"/>
  <c r="M49" i="12"/>
  <c r="O48" i="12"/>
  <c r="N48" i="12"/>
  <c r="AG48" i="12" s="1"/>
  <c r="AH48" i="12" s="1"/>
  <c r="M48" i="12"/>
  <c r="O47" i="12"/>
  <c r="N47" i="12"/>
  <c r="AG47" i="12" s="1"/>
  <c r="AH47" i="12" s="1"/>
  <c r="M47" i="12"/>
  <c r="AG46" i="12"/>
  <c r="AH46" i="12" s="1"/>
  <c r="O46" i="12"/>
  <c r="N46" i="12"/>
  <c r="M46" i="12"/>
  <c r="O45" i="12"/>
  <c r="N45" i="12"/>
  <c r="AG45" i="12" s="1"/>
  <c r="AH45" i="12" s="1"/>
  <c r="M45" i="12"/>
  <c r="O44" i="12"/>
  <c r="N44" i="12"/>
  <c r="AG44" i="12" s="1"/>
  <c r="AH44" i="12" s="1"/>
  <c r="M44" i="12"/>
  <c r="O43" i="12"/>
  <c r="AG43" i="12" s="1"/>
  <c r="AH43" i="12" s="1"/>
  <c r="N43" i="12"/>
  <c r="M43" i="12"/>
  <c r="O42" i="12"/>
  <c r="N42" i="12"/>
  <c r="M42" i="12"/>
  <c r="O41" i="12"/>
  <c r="N41" i="12"/>
  <c r="M41" i="12"/>
  <c r="O40" i="12"/>
  <c r="N40" i="12"/>
  <c r="M40" i="12"/>
  <c r="O39" i="12"/>
  <c r="N39" i="12"/>
  <c r="AG39" i="12" s="1"/>
  <c r="AH39" i="12" s="1"/>
  <c r="M39" i="12"/>
  <c r="AG38" i="12"/>
  <c r="AH38" i="12" s="1"/>
  <c r="O38" i="12"/>
  <c r="N38" i="12"/>
  <c r="M38" i="12"/>
  <c r="O37" i="12"/>
  <c r="N37" i="12"/>
  <c r="AG37" i="12" s="1"/>
  <c r="AH37" i="12" s="1"/>
  <c r="M37" i="12"/>
  <c r="O36" i="12"/>
  <c r="N36" i="12"/>
  <c r="AG36" i="12" s="1"/>
  <c r="AH36" i="12" s="1"/>
  <c r="M36" i="12"/>
  <c r="K35" i="12"/>
  <c r="N35" i="12" s="1"/>
  <c r="O34" i="12"/>
  <c r="N34" i="12"/>
  <c r="AG34" i="12" s="1"/>
  <c r="AH34" i="12" s="1"/>
  <c r="M34" i="12"/>
  <c r="O33" i="12"/>
  <c r="N33" i="12"/>
  <c r="AG33" i="12" s="1"/>
  <c r="AH33" i="12" s="1"/>
  <c r="M33" i="12"/>
  <c r="O32" i="12"/>
  <c r="N32" i="12"/>
  <c r="M32" i="12"/>
  <c r="O31" i="12"/>
  <c r="N31" i="12"/>
  <c r="AG31" i="12" s="1"/>
  <c r="AH31" i="12" s="1"/>
  <c r="M31" i="12"/>
  <c r="O30" i="12"/>
  <c r="N30" i="12"/>
  <c r="M30" i="12"/>
  <c r="O29" i="12"/>
  <c r="N29" i="12"/>
  <c r="AG29" i="12" s="1"/>
  <c r="AH29" i="12" s="1"/>
  <c r="M29" i="12"/>
  <c r="O28" i="12"/>
  <c r="AG28" i="12" s="1"/>
  <c r="AH28" i="12" s="1"/>
  <c r="N28" i="12"/>
  <c r="M28" i="12"/>
  <c r="O27" i="12"/>
  <c r="N27" i="12"/>
  <c r="AG27" i="12" s="1"/>
  <c r="AH27" i="12" s="1"/>
  <c r="M27" i="12"/>
  <c r="O26" i="12"/>
  <c r="N26" i="12"/>
  <c r="AG26" i="12" s="1"/>
  <c r="AH26" i="12" s="1"/>
  <c r="K26" i="12"/>
  <c r="M26" i="12" s="1"/>
  <c r="O25" i="12"/>
  <c r="N25" i="12"/>
  <c r="AG25" i="12" s="1"/>
  <c r="AH25" i="12" s="1"/>
  <c r="M25" i="12"/>
  <c r="O24" i="12"/>
  <c r="AG24" i="12" s="1"/>
  <c r="AH24" i="12" s="1"/>
  <c r="N24" i="12"/>
  <c r="M24" i="12"/>
  <c r="O23" i="12"/>
  <c r="N23" i="12"/>
  <c r="M23" i="12"/>
  <c r="O22" i="12"/>
  <c r="N22" i="12"/>
  <c r="M22" i="12"/>
  <c r="O21" i="12"/>
  <c r="N21" i="12"/>
  <c r="M21" i="12"/>
  <c r="O20" i="12"/>
  <c r="N20" i="12"/>
  <c r="AG20" i="12" s="1"/>
  <c r="AH20" i="12" s="1"/>
  <c r="M20" i="12"/>
  <c r="O19" i="12"/>
  <c r="N19" i="12"/>
  <c r="M19" i="12"/>
  <c r="O18" i="12"/>
  <c r="N18" i="12"/>
  <c r="M18" i="12"/>
  <c r="K17" i="12"/>
  <c r="N17" i="12" s="1"/>
  <c r="O16" i="12"/>
  <c r="N16" i="12"/>
  <c r="M16" i="12"/>
  <c r="O15" i="12"/>
  <c r="N15" i="12"/>
  <c r="M15" i="12"/>
  <c r="AG14" i="12"/>
  <c r="AH14" i="12" s="1"/>
  <c r="O14" i="12"/>
  <c r="N14" i="12"/>
  <c r="M14" i="12"/>
  <c r="O13" i="12"/>
  <c r="N13" i="12"/>
  <c r="AG13" i="12" s="1"/>
  <c r="AH13" i="12" s="1"/>
  <c r="M13" i="12"/>
  <c r="O12" i="12"/>
  <c r="N12" i="12"/>
  <c r="M12" i="12"/>
  <c r="O11" i="12"/>
  <c r="N11" i="12"/>
  <c r="M11" i="12"/>
  <c r="O10" i="12"/>
  <c r="N10" i="12"/>
  <c r="M10" i="12"/>
  <c r="O9" i="12"/>
  <c r="N9" i="12"/>
  <c r="M9" i="12"/>
  <c r="O8" i="12"/>
  <c r="N8" i="12"/>
  <c r="AG8" i="12" s="1"/>
  <c r="AH8" i="12" s="1"/>
  <c r="M8" i="12"/>
  <c r="O7" i="12"/>
  <c r="N7" i="12"/>
  <c r="AG7" i="12" s="1"/>
  <c r="AH7" i="12" s="1"/>
  <c r="M7" i="12"/>
  <c r="O6" i="12"/>
  <c r="N6" i="12"/>
  <c r="AG6" i="12" s="1"/>
  <c r="AH6" i="12" s="1"/>
  <c r="M6" i="12"/>
  <c r="AG5" i="12"/>
  <c r="O5" i="12"/>
  <c r="N5" i="12"/>
  <c r="M5" i="12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L17" i="11"/>
  <c r="K17" i="11"/>
  <c r="J17" i="11"/>
  <c r="I17" i="11"/>
  <c r="H17" i="11"/>
  <c r="O16" i="11"/>
  <c r="N16" i="11"/>
  <c r="M16" i="11"/>
  <c r="O15" i="11"/>
  <c r="N15" i="11"/>
  <c r="AG15" i="11" s="1"/>
  <c r="AH15" i="11" s="1"/>
  <c r="M15" i="11"/>
  <c r="O14" i="11"/>
  <c r="N14" i="11"/>
  <c r="AG14" i="11" s="1"/>
  <c r="AH14" i="11" s="1"/>
  <c r="M14" i="11"/>
  <c r="O13" i="11"/>
  <c r="N13" i="11"/>
  <c r="AG13" i="11" s="1"/>
  <c r="AH13" i="11" s="1"/>
  <c r="M13" i="11"/>
  <c r="O12" i="11"/>
  <c r="N12" i="11"/>
  <c r="M12" i="11"/>
  <c r="O11" i="11"/>
  <c r="N11" i="11"/>
  <c r="AG11" i="11" s="1"/>
  <c r="AH11" i="11" s="1"/>
  <c r="M11" i="11"/>
  <c r="O10" i="11"/>
  <c r="N10" i="11"/>
  <c r="AG10" i="11" s="1"/>
  <c r="AH10" i="11" s="1"/>
  <c r="M10" i="11"/>
  <c r="O9" i="11"/>
  <c r="N9" i="11"/>
  <c r="AG9" i="11" s="1"/>
  <c r="AH9" i="11" s="1"/>
  <c r="M9" i="11"/>
  <c r="O8" i="11"/>
  <c r="N8" i="11"/>
  <c r="M8" i="11"/>
  <c r="O7" i="11"/>
  <c r="AG7" i="11" s="1"/>
  <c r="AH7" i="11" s="1"/>
  <c r="N7" i="11"/>
  <c r="M7" i="11"/>
  <c r="O6" i="11"/>
  <c r="N6" i="11"/>
  <c r="M6" i="11"/>
  <c r="O5" i="11"/>
  <c r="N5" i="11"/>
  <c r="M5" i="11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L77" i="10"/>
  <c r="J77" i="10"/>
  <c r="I77" i="10"/>
  <c r="H77" i="10"/>
  <c r="O76" i="10"/>
  <c r="N76" i="10"/>
  <c r="M76" i="10"/>
  <c r="O75" i="10"/>
  <c r="N75" i="10"/>
  <c r="AG75" i="10" s="1"/>
  <c r="AH75" i="10" s="1"/>
  <c r="M75" i="10"/>
  <c r="O74" i="10"/>
  <c r="N74" i="10"/>
  <c r="AG74" i="10" s="1"/>
  <c r="AH74" i="10" s="1"/>
  <c r="M74" i="10"/>
  <c r="O73" i="10"/>
  <c r="N73" i="10"/>
  <c r="AG73" i="10" s="1"/>
  <c r="AH73" i="10" s="1"/>
  <c r="M73" i="10"/>
  <c r="O72" i="10"/>
  <c r="N72" i="10"/>
  <c r="AG72" i="10" s="1"/>
  <c r="AH72" i="10" s="1"/>
  <c r="M72" i="10"/>
  <c r="N71" i="10"/>
  <c r="AG71" i="10" s="1"/>
  <c r="AH71" i="10" s="1"/>
  <c r="M71" i="10"/>
  <c r="M70" i="10"/>
  <c r="K70" i="10"/>
  <c r="O70" i="10" s="1"/>
  <c r="O69" i="10"/>
  <c r="N69" i="10"/>
  <c r="AG69" i="10" s="1"/>
  <c r="AH69" i="10" s="1"/>
  <c r="M69" i="10"/>
  <c r="AG68" i="10"/>
  <c r="AH68" i="10" s="1"/>
  <c r="O68" i="10"/>
  <c r="N68" i="10"/>
  <c r="M68" i="10"/>
  <c r="O67" i="10"/>
  <c r="N67" i="10"/>
  <c r="AG67" i="10" s="1"/>
  <c r="AH67" i="10" s="1"/>
  <c r="M67" i="10"/>
  <c r="O66" i="10"/>
  <c r="N66" i="10"/>
  <c r="M66" i="10"/>
  <c r="O65" i="10"/>
  <c r="AG65" i="10" s="1"/>
  <c r="AH65" i="10" s="1"/>
  <c r="N65" i="10"/>
  <c r="M65" i="10"/>
  <c r="O64" i="10"/>
  <c r="AG64" i="10" s="1"/>
  <c r="AH64" i="10" s="1"/>
  <c r="N64" i="10"/>
  <c r="M64" i="10"/>
  <c r="O63" i="10"/>
  <c r="AG63" i="10" s="1"/>
  <c r="AH63" i="10" s="1"/>
  <c r="N63" i="10"/>
  <c r="M63" i="10"/>
  <c r="O62" i="10"/>
  <c r="N62" i="10"/>
  <c r="M62" i="10"/>
  <c r="N61" i="10"/>
  <c r="AG61" i="10" s="1"/>
  <c r="AH61" i="10" s="1"/>
  <c r="M61" i="10"/>
  <c r="O60" i="10"/>
  <c r="M60" i="10"/>
  <c r="K60" i="10"/>
  <c r="N60" i="10" s="1"/>
  <c r="O59" i="10"/>
  <c r="N59" i="10"/>
  <c r="AG59" i="10" s="1"/>
  <c r="AH59" i="10" s="1"/>
  <c r="M59" i="10"/>
  <c r="O58" i="10"/>
  <c r="N58" i="10"/>
  <c r="AG58" i="10" s="1"/>
  <c r="AH58" i="10" s="1"/>
  <c r="M58" i="10"/>
  <c r="O57" i="10"/>
  <c r="N57" i="10"/>
  <c r="M57" i="10"/>
  <c r="O56" i="10"/>
  <c r="AG56" i="10" s="1"/>
  <c r="AH56" i="10" s="1"/>
  <c r="N56" i="10"/>
  <c r="M56" i="10"/>
  <c r="O55" i="10"/>
  <c r="AG55" i="10" s="1"/>
  <c r="AH55" i="10" s="1"/>
  <c r="N55" i="10"/>
  <c r="M55" i="10"/>
  <c r="O54" i="10"/>
  <c r="N54" i="10"/>
  <c r="M54" i="10"/>
  <c r="O53" i="10"/>
  <c r="N53" i="10"/>
  <c r="M53" i="10"/>
  <c r="O52" i="10"/>
  <c r="N52" i="10"/>
  <c r="AG52" i="10" s="1"/>
  <c r="AH52" i="10" s="1"/>
  <c r="M52" i="10"/>
  <c r="AG51" i="10"/>
  <c r="AH51" i="10" s="1"/>
  <c r="O51" i="10"/>
  <c r="N51" i="10"/>
  <c r="M51" i="10"/>
  <c r="O50" i="10"/>
  <c r="N50" i="10"/>
  <c r="AG50" i="10" s="1"/>
  <c r="AH50" i="10" s="1"/>
  <c r="M50" i="10"/>
  <c r="O49" i="10"/>
  <c r="AG49" i="10" s="1"/>
  <c r="AH49" i="10" s="1"/>
  <c r="N49" i="10"/>
  <c r="M49" i="10"/>
  <c r="O48" i="10"/>
  <c r="AG48" i="10" s="1"/>
  <c r="AH48" i="10" s="1"/>
  <c r="N48" i="10"/>
  <c r="M48" i="10"/>
  <c r="O47" i="10"/>
  <c r="AG47" i="10" s="1"/>
  <c r="AH47" i="10" s="1"/>
  <c r="N47" i="10"/>
  <c r="M47" i="10"/>
  <c r="O46" i="10"/>
  <c r="N46" i="10"/>
  <c r="M46" i="10"/>
  <c r="O45" i="10"/>
  <c r="N45" i="10"/>
  <c r="AG45" i="10" s="1"/>
  <c r="AH45" i="10" s="1"/>
  <c r="M45" i="10"/>
  <c r="AG44" i="10"/>
  <c r="AH44" i="10" s="1"/>
  <c r="O44" i="10"/>
  <c r="N44" i="10"/>
  <c r="M44" i="10"/>
  <c r="N43" i="10"/>
  <c r="K43" i="10"/>
  <c r="O43" i="10" s="1"/>
  <c r="O42" i="10"/>
  <c r="N42" i="10"/>
  <c r="M42" i="10"/>
  <c r="O41" i="10"/>
  <c r="N41" i="10"/>
  <c r="AG41" i="10" s="1"/>
  <c r="AH41" i="10" s="1"/>
  <c r="M41" i="10"/>
  <c r="O40" i="10"/>
  <c r="N40" i="10"/>
  <c r="AG40" i="10" s="1"/>
  <c r="AH40" i="10" s="1"/>
  <c r="M40" i="10"/>
  <c r="O39" i="10"/>
  <c r="N39" i="10"/>
  <c r="AG39" i="10" s="1"/>
  <c r="AH39" i="10" s="1"/>
  <c r="M39" i="10"/>
  <c r="O38" i="10"/>
  <c r="N38" i="10"/>
  <c r="M38" i="10"/>
  <c r="O37" i="10"/>
  <c r="AG37" i="10" s="1"/>
  <c r="AH37" i="10" s="1"/>
  <c r="N37" i="10"/>
  <c r="M37" i="10"/>
  <c r="O36" i="10"/>
  <c r="AG36" i="10" s="1"/>
  <c r="AH36" i="10" s="1"/>
  <c r="N36" i="10"/>
  <c r="M36" i="10"/>
  <c r="O35" i="10"/>
  <c r="N35" i="10"/>
  <c r="M35" i="10"/>
  <c r="K34" i="10"/>
  <c r="O34" i="10" s="1"/>
  <c r="O33" i="10"/>
  <c r="AG33" i="10" s="1"/>
  <c r="AH33" i="10" s="1"/>
  <c r="N33" i="10"/>
  <c r="M33" i="10"/>
  <c r="O32" i="10"/>
  <c r="N32" i="10"/>
  <c r="M32" i="10"/>
  <c r="O31" i="10"/>
  <c r="N31" i="10"/>
  <c r="AG31" i="10" s="1"/>
  <c r="AH31" i="10" s="1"/>
  <c r="M31" i="10"/>
  <c r="O30" i="10"/>
  <c r="N30" i="10"/>
  <c r="AG30" i="10" s="1"/>
  <c r="AH30" i="10" s="1"/>
  <c r="M30" i="10"/>
  <c r="AG29" i="10"/>
  <c r="AH29" i="10" s="1"/>
  <c r="O29" i="10"/>
  <c r="N29" i="10"/>
  <c r="M29" i="10"/>
  <c r="O28" i="10"/>
  <c r="N28" i="10"/>
  <c r="AG28" i="10" s="1"/>
  <c r="AH28" i="10" s="1"/>
  <c r="M28" i="10"/>
  <c r="O27" i="10"/>
  <c r="N27" i="10"/>
  <c r="M27" i="10"/>
  <c r="O26" i="10"/>
  <c r="AG26" i="10" s="1"/>
  <c r="AH26" i="10" s="1"/>
  <c r="N26" i="10"/>
  <c r="M26" i="10"/>
  <c r="O25" i="10"/>
  <c r="AG25" i="10" s="1"/>
  <c r="AH25" i="10" s="1"/>
  <c r="N25" i="10"/>
  <c r="M25" i="10"/>
  <c r="K24" i="10"/>
  <c r="K77" i="10" s="1"/>
  <c r="O23" i="10"/>
  <c r="AG23" i="10" s="1"/>
  <c r="AH23" i="10" s="1"/>
  <c r="N23" i="10"/>
  <c r="M23" i="10"/>
  <c r="O22" i="10"/>
  <c r="AG22" i="10" s="1"/>
  <c r="AH22" i="10" s="1"/>
  <c r="N22" i="10"/>
  <c r="M22" i="10"/>
  <c r="O21" i="10"/>
  <c r="N21" i="10"/>
  <c r="AG21" i="10" s="1"/>
  <c r="AH21" i="10" s="1"/>
  <c r="M21" i="10"/>
  <c r="O20" i="10"/>
  <c r="N20" i="10"/>
  <c r="AG20" i="10" s="1"/>
  <c r="AH20" i="10" s="1"/>
  <c r="M20" i="10"/>
  <c r="AG19" i="10"/>
  <c r="AH19" i="10" s="1"/>
  <c r="O19" i="10"/>
  <c r="N19" i="10"/>
  <c r="M19" i="10"/>
  <c r="AG18" i="10"/>
  <c r="AH18" i="10" s="1"/>
  <c r="O18" i="10"/>
  <c r="N18" i="10"/>
  <c r="M18" i="10"/>
  <c r="AG17" i="10"/>
  <c r="AH17" i="10" s="1"/>
  <c r="O17" i="10"/>
  <c r="N17" i="10"/>
  <c r="M17" i="10"/>
  <c r="O16" i="10"/>
  <c r="N16" i="10"/>
  <c r="M16" i="10"/>
  <c r="O15" i="10"/>
  <c r="AG15" i="10" s="1"/>
  <c r="AH15" i="10" s="1"/>
  <c r="N15" i="10"/>
  <c r="M15" i="10"/>
  <c r="O14" i="10"/>
  <c r="N14" i="10"/>
  <c r="M14" i="10"/>
  <c r="O13" i="10"/>
  <c r="N13" i="10"/>
  <c r="AG13" i="10" s="1"/>
  <c r="AH13" i="10" s="1"/>
  <c r="M13" i="10"/>
  <c r="O12" i="10"/>
  <c r="N12" i="10"/>
  <c r="M12" i="10"/>
  <c r="O11" i="10"/>
  <c r="AG11" i="10" s="1"/>
  <c r="AH11" i="10" s="1"/>
  <c r="N11" i="10"/>
  <c r="M11" i="10"/>
  <c r="AG10" i="10"/>
  <c r="AH10" i="10" s="1"/>
  <c r="O10" i="10"/>
  <c r="N10" i="10"/>
  <c r="M10" i="10"/>
  <c r="O9" i="10"/>
  <c r="AG9" i="10" s="1"/>
  <c r="AH9" i="10" s="1"/>
  <c r="N9" i="10"/>
  <c r="M9" i="10"/>
  <c r="O8" i="10"/>
  <c r="N8" i="10"/>
  <c r="M8" i="10"/>
  <c r="O7" i="10"/>
  <c r="N7" i="10"/>
  <c r="M7" i="10"/>
  <c r="O6" i="10"/>
  <c r="N6" i="10"/>
  <c r="M6" i="10"/>
  <c r="O5" i="10"/>
  <c r="N5" i="10"/>
  <c r="M5" i="10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L10" i="9"/>
  <c r="K10" i="9"/>
  <c r="J10" i="9"/>
  <c r="I10" i="9"/>
  <c r="H10" i="9"/>
  <c r="O9" i="9"/>
  <c r="N9" i="9"/>
  <c r="AG9" i="9" s="1"/>
  <c r="AH9" i="9" s="1"/>
  <c r="M9" i="9"/>
  <c r="AG8" i="9"/>
  <c r="AH8" i="9" s="1"/>
  <c r="O8" i="9"/>
  <c r="N8" i="9"/>
  <c r="M8" i="9"/>
  <c r="O7" i="9"/>
  <c r="N7" i="9"/>
  <c r="AG7" i="9" s="1"/>
  <c r="AH7" i="9" s="1"/>
  <c r="M7" i="9"/>
  <c r="O6" i="9"/>
  <c r="N6" i="9"/>
  <c r="M6" i="9"/>
  <c r="M10" i="9" s="1"/>
  <c r="O5" i="9"/>
  <c r="AG5" i="9" s="1"/>
  <c r="N5" i="9"/>
  <c r="N10" i="9" s="1"/>
  <c r="M5" i="9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L69" i="8"/>
  <c r="J69" i="8"/>
  <c r="I69" i="8"/>
  <c r="H69" i="8"/>
  <c r="O68" i="8"/>
  <c r="N68" i="8"/>
  <c r="M68" i="8"/>
  <c r="O67" i="8"/>
  <c r="N67" i="8"/>
  <c r="M67" i="8"/>
  <c r="O65" i="8"/>
  <c r="AG65" i="8" s="1"/>
  <c r="AH65" i="8" s="1"/>
  <c r="N65" i="8"/>
  <c r="M65" i="8"/>
  <c r="O64" i="8"/>
  <c r="N64" i="8"/>
  <c r="M64" i="8"/>
  <c r="O63" i="8"/>
  <c r="N63" i="8"/>
  <c r="AG63" i="8" s="1"/>
  <c r="AH63" i="8" s="1"/>
  <c r="M63" i="8"/>
  <c r="O62" i="8"/>
  <c r="N62" i="8"/>
  <c r="AG62" i="8" s="1"/>
  <c r="AH62" i="8" s="1"/>
  <c r="M62" i="8"/>
  <c r="O61" i="8"/>
  <c r="N61" i="8"/>
  <c r="AG61" i="8" s="1"/>
  <c r="AH61" i="8" s="1"/>
  <c r="M61" i="8"/>
  <c r="O60" i="8"/>
  <c r="N60" i="8"/>
  <c r="AG60" i="8" s="1"/>
  <c r="AH60" i="8" s="1"/>
  <c r="M60" i="8"/>
  <c r="O59" i="8"/>
  <c r="N59" i="8"/>
  <c r="AG59" i="8" s="1"/>
  <c r="AH59" i="8" s="1"/>
  <c r="M59" i="8"/>
  <c r="O58" i="8"/>
  <c r="AG58" i="8" s="1"/>
  <c r="AH58" i="8" s="1"/>
  <c r="N58" i="8"/>
  <c r="M58" i="8"/>
  <c r="O57" i="8"/>
  <c r="AG57" i="8" s="1"/>
  <c r="AH57" i="8" s="1"/>
  <c r="N57" i="8"/>
  <c r="M57" i="8"/>
  <c r="O56" i="8"/>
  <c r="N56" i="8"/>
  <c r="AG56" i="8" s="1"/>
  <c r="AH56" i="8" s="1"/>
  <c r="M56" i="8"/>
  <c r="O55" i="8"/>
  <c r="N55" i="8"/>
  <c r="M55" i="8"/>
  <c r="O54" i="8"/>
  <c r="N54" i="8"/>
  <c r="AG54" i="8" s="1"/>
  <c r="AH54" i="8" s="1"/>
  <c r="M54" i="8"/>
  <c r="AG53" i="8"/>
  <c r="AH53" i="8" s="1"/>
  <c r="O53" i="8"/>
  <c r="N53" i="8"/>
  <c r="M53" i="8"/>
  <c r="O52" i="8"/>
  <c r="N52" i="8"/>
  <c r="AG52" i="8" s="1"/>
  <c r="AH52" i="8" s="1"/>
  <c r="M52" i="8"/>
  <c r="O51" i="8"/>
  <c r="N51" i="8"/>
  <c r="M51" i="8"/>
  <c r="O50" i="8"/>
  <c r="AG50" i="8" s="1"/>
  <c r="AH50" i="8" s="1"/>
  <c r="N50" i="8"/>
  <c r="M50" i="8"/>
  <c r="O49" i="8"/>
  <c r="N49" i="8"/>
  <c r="M49" i="8"/>
  <c r="O48" i="8"/>
  <c r="N48" i="8"/>
  <c r="M48" i="8"/>
  <c r="O47" i="8"/>
  <c r="N47" i="8"/>
  <c r="AG47" i="8" s="1"/>
  <c r="AH47" i="8" s="1"/>
  <c r="M47" i="8"/>
  <c r="AG46" i="8"/>
  <c r="AH46" i="8" s="1"/>
  <c r="O46" i="8"/>
  <c r="N46" i="8"/>
  <c r="M46" i="8"/>
  <c r="O45" i="8"/>
  <c r="N45" i="8"/>
  <c r="AG45" i="8" s="1"/>
  <c r="AH45" i="8" s="1"/>
  <c r="M45" i="8"/>
  <c r="N44" i="8"/>
  <c r="M44" i="8"/>
  <c r="K44" i="8"/>
  <c r="O44" i="8" s="1"/>
  <c r="O43" i="8"/>
  <c r="AG43" i="8" s="1"/>
  <c r="AH43" i="8" s="1"/>
  <c r="N43" i="8"/>
  <c r="M43" i="8"/>
  <c r="O42" i="8"/>
  <c r="AG42" i="8" s="1"/>
  <c r="AH42" i="8" s="1"/>
  <c r="N42" i="8"/>
  <c r="M42" i="8"/>
  <c r="O41" i="8"/>
  <c r="N41" i="8"/>
  <c r="AG41" i="8" s="1"/>
  <c r="AH41" i="8" s="1"/>
  <c r="M41" i="8"/>
  <c r="O40" i="8"/>
  <c r="N40" i="8"/>
  <c r="M40" i="8"/>
  <c r="O39" i="8"/>
  <c r="N39" i="8"/>
  <c r="M39" i="8"/>
  <c r="O38" i="8"/>
  <c r="N38" i="8"/>
  <c r="M38" i="8"/>
  <c r="O37" i="8"/>
  <c r="N37" i="8"/>
  <c r="M37" i="8"/>
  <c r="O36" i="8"/>
  <c r="N36" i="8"/>
  <c r="M36" i="8"/>
  <c r="O35" i="8"/>
  <c r="AG35" i="8" s="1"/>
  <c r="AH35" i="8" s="1"/>
  <c r="N35" i="8"/>
  <c r="M35" i="8"/>
  <c r="K34" i="8"/>
  <c r="O34" i="8" s="1"/>
  <c r="O33" i="8"/>
  <c r="N33" i="8"/>
  <c r="AG33" i="8" s="1"/>
  <c r="AH33" i="8" s="1"/>
  <c r="M33" i="8"/>
  <c r="AG32" i="8"/>
  <c r="AH32" i="8" s="1"/>
  <c r="O32" i="8"/>
  <c r="N32" i="8"/>
  <c r="M32" i="8"/>
  <c r="O31" i="8"/>
  <c r="N31" i="8"/>
  <c r="AG31" i="8" s="1"/>
  <c r="AH31" i="8" s="1"/>
  <c r="M31" i="8"/>
  <c r="AH30" i="8"/>
  <c r="AG30" i="8"/>
  <c r="O30" i="8"/>
  <c r="N30" i="8"/>
  <c r="M30" i="8"/>
  <c r="O29" i="8"/>
  <c r="N29" i="8"/>
  <c r="AG29" i="8" s="1"/>
  <c r="AH29" i="8" s="1"/>
  <c r="M29" i="8"/>
  <c r="O28" i="8"/>
  <c r="AG28" i="8" s="1"/>
  <c r="AH28" i="8" s="1"/>
  <c r="N28" i="8"/>
  <c r="M28" i="8"/>
  <c r="O27" i="8"/>
  <c r="N27" i="8"/>
  <c r="AG27" i="8" s="1"/>
  <c r="AH27" i="8" s="1"/>
  <c r="M27" i="8"/>
  <c r="O26" i="8"/>
  <c r="N26" i="8"/>
  <c r="M26" i="8"/>
  <c r="O25" i="8"/>
  <c r="N25" i="8"/>
  <c r="AG25" i="8" s="1"/>
  <c r="AH25" i="8" s="1"/>
  <c r="M25" i="8"/>
  <c r="O24" i="8"/>
  <c r="N24" i="8"/>
  <c r="AG24" i="8" s="1"/>
  <c r="AH24" i="8" s="1"/>
  <c r="M24" i="8"/>
  <c r="O23" i="8"/>
  <c r="N23" i="8"/>
  <c r="AG23" i="8" s="1"/>
  <c r="AH23" i="8" s="1"/>
  <c r="M23" i="8"/>
  <c r="O22" i="8"/>
  <c r="N22" i="8"/>
  <c r="AG22" i="8" s="1"/>
  <c r="AH22" i="8" s="1"/>
  <c r="M22" i="8"/>
  <c r="O21" i="8"/>
  <c r="N21" i="8"/>
  <c r="AG21" i="8" s="1"/>
  <c r="AH21" i="8" s="1"/>
  <c r="M21" i="8"/>
  <c r="O20" i="8"/>
  <c r="N20" i="8"/>
  <c r="M20" i="8"/>
  <c r="O19" i="8"/>
  <c r="N19" i="8"/>
  <c r="AG19" i="8" s="1"/>
  <c r="AH19" i="8" s="1"/>
  <c r="M19" i="8"/>
  <c r="O18" i="8"/>
  <c r="N18" i="8"/>
  <c r="AG18" i="8" s="1"/>
  <c r="AH18" i="8" s="1"/>
  <c r="M18" i="8"/>
  <c r="O17" i="8"/>
  <c r="N17" i="8"/>
  <c r="M17" i="8"/>
  <c r="O16" i="8"/>
  <c r="N16" i="8"/>
  <c r="AG16" i="8" s="1"/>
  <c r="AH16" i="8" s="1"/>
  <c r="M16" i="8"/>
  <c r="AG15" i="8"/>
  <c r="AH15" i="8" s="1"/>
  <c r="O15" i="8"/>
  <c r="N15" i="8"/>
  <c r="M15" i="8"/>
  <c r="O14" i="8"/>
  <c r="N14" i="8"/>
  <c r="AG14" i="8" s="1"/>
  <c r="AH14" i="8" s="1"/>
  <c r="M14" i="8"/>
  <c r="O13" i="8"/>
  <c r="N13" i="8"/>
  <c r="M13" i="8"/>
  <c r="O12" i="8"/>
  <c r="AG12" i="8" s="1"/>
  <c r="AH12" i="8" s="1"/>
  <c r="N12" i="8"/>
  <c r="M12" i="8"/>
  <c r="AG11" i="8"/>
  <c r="AH11" i="8" s="1"/>
  <c r="O11" i="8"/>
  <c r="N11" i="8"/>
  <c r="M11" i="8"/>
  <c r="O10" i="8"/>
  <c r="N10" i="8"/>
  <c r="M10" i="8"/>
  <c r="N9" i="8"/>
  <c r="K9" i="8"/>
  <c r="M9" i="8" s="1"/>
  <c r="O8" i="8"/>
  <c r="AG8" i="8" s="1"/>
  <c r="AH8" i="8" s="1"/>
  <c r="N8" i="8"/>
  <c r="M8" i="8"/>
  <c r="O7" i="8"/>
  <c r="N7" i="8"/>
  <c r="AG7" i="8" s="1"/>
  <c r="AH7" i="8" s="1"/>
  <c r="M7" i="8"/>
  <c r="O6" i="8"/>
  <c r="N6" i="8"/>
  <c r="M6" i="8"/>
  <c r="O5" i="8"/>
  <c r="N5" i="8"/>
  <c r="AG5" i="8" s="1"/>
  <c r="M5" i="8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L79" i="7"/>
  <c r="J79" i="7"/>
  <c r="I79" i="7"/>
  <c r="H79" i="7"/>
  <c r="O78" i="7"/>
  <c r="N78" i="7"/>
  <c r="M78" i="7"/>
  <c r="O77" i="7"/>
  <c r="N77" i="7"/>
  <c r="AG77" i="7" s="1"/>
  <c r="AH77" i="7" s="1"/>
  <c r="M77" i="7"/>
  <c r="O76" i="7"/>
  <c r="N76" i="7"/>
  <c r="AG76" i="7" s="1"/>
  <c r="AH76" i="7" s="1"/>
  <c r="M76" i="7"/>
  <c r="AG75" i="7"/>
  <c r="AH75" i="7" s="1"/>
  <c r="O75" i="7"/>
  <c r="N75" i="7"/>
  <c r="M75" i="7"/>
  <c r="O74" i="7"/>
  <c r="N74" i="7"/>
  <c r="M74" i="7"/>
  <c r="O73" i="7"/>
  <c r="AG73" i="7" s="1"/>
  <c r="AH73" i="7" s="1"/>
  <c r="N73" i="7"/>
  <c r="M73" i="7"/>
  <c r="O72" i="7"/>
  <c r="N72" i="7"/>
  <c r="AG72" i="7" s="1"/>
  <c r="AH72" i="7" s="1"/>
  <c r="M72" i="7"/>
  <c r="O71" i="7"/>
  <c r="N71" i="7"/>
  <c r="M71" i="7"/>
  <c r="O70" i="7"/>
  <c r="N70" i="7"/>
  <c r="M70" i="7"/>
  <c r="O69" i="7"/>
  <c r="AG69" i="7" s="1"/>
  <c r="AH69" i="7" s="1"/>
  <c r="N69" i="7"/>
  <c r="M69" i="7"/>
  <c r="O68" i="7"/>
  <c r="N68" i="7"/>
  <c r="AG68" i="7" s="1"/>
  <c r="AH68" i="7" s="1"/>
  <c r="M68" i="7"/>
  <c r="AG67" i="7"/>
  <c r="AH67" i="7" s="1"/>
  <c r="O67" i="7"/>
  <c r="N67" i="7"/>
  <c r="M67" i="7"/>
  <c r="O66" i="7"/>
  <c r="N66" i="7"/>
  <c r="M66" i="7"/>
  <c r="O65" i="7"/>
  <c r="N65" i="7"/>
  <c r="M65" i="7"/>
  <c r="O64" i="7"/>
  <c r="AG64" i="7" s="1"/>
  <c r="AH64" i="7" s="1"/>
  <c r="N64" i="7"/>
  <c r="M64" i="7"/>
  <c r="O63" i="7"/>
  <c r="N63" i="7"/>
  <c r="AG63" i="7" s="1"/>
  <c r="AH63" i="7" s="1"/>
  <c r="M63" i="7"/>
  <c r="O62" i="7"/>
  <c r="N62" i="7"/>
  <c r="M62" i="7"/>
  <c r="O61" i="7"/>
  <c r="N61" i="7"/>
  <c r="AG61" i="7" s="1"/>
  <c r="AH61" i="7" s="1"/>
  <c r="M61" i="7"/>
  <c r="AG60" i="7"/>
  <c r="AH60" i="7" s="1"/>
  <c r="O60" i="7"/>
  <c r="N60" i="7"/>
  <c r="M60" i="7"/>
  <c r="O59" i="7"/>
  <c r="N59" i="7"/>
  <c r="AG59" i="7" s="1"/>
  <c r="AH59" i="7" s="1"/>
  <c r="M59" i="7"/>
  <c r="O58" i="7"/>
  <c r="N58" i="7"/>
  <c r="M58" i="7"/>
  <c r="O57" i="7"/>
  <c r="N57" i="7"/>
  <c r="M57" i="7"/>
  <c r="AH56" i="7"/>
  <c r="AG56" i="7"/>
  <c r="O56" i="7"/>
  <c r="N56" i="7"/>
  <c r="M56" i="7"/>
  <c r="O55" i="7"/>
  <c r="N55" i="7"/>
  <c r="AG55" i="7" s="1"/>
  <c r="AH55" i="7" s="1"/>
  <c r="M55" i="7"/>
  <c r="O54" i="7"/>
  <c r="N54" i="7"/>
  <c r="M54" i="7"/>
  <c r="O53" i="7"/>
  <c r="N53" i="7"/>
  <c r="AG53" i="7" s="1"/>
  <c r="AH53" i="7" s="1"/>
  <c r="M53" i="7"/>
  <c r="O52" i="7"/>
  <c r="AG52" i="7" s="1"/>
  <c r="AH52" i="7" s="1"/>
  <c r="N52" i="7"/>
  <c r="M52" i="7"/>
  <c r="O51" i="7"/>
  <c r="N51" i="7"/>
  <c r="AG51" i="7" s="1"/>
  <c r="AH51" i="7" s="1"/>
  <c r="M51" i="7"/>
  <c r="O50" i="7"/>
  <c r="N50" i="7"/>
  <c r="M50" i="7"/>
  <c r="O49" i="7"/>
  <c r="N49" i="7"/>
  <c r="M49" i="7"/>
  <c r="O48" i="7"/>
  <c r="AG48" i="7" s="1"/>
  <c r="AH48" i="7" s="1"/>
  <c r="N48" i="7"/>
  <c r="M48" i="7"/>
  <c r="M47" i="7"/>
  <c r="K47" i="7"/>
  <c r="O47" i="7" s="1"/>
  <c r="O46" i="7"/>
  <c r="AG46" i="7" s="1"/>
  <c r="AH46" i="7" s="1"/>
  <c r="N46" i="7"/>
  <c r="M46" i="7"/>
  <c r="AH45" i="7"/>
  <c r="AG45" i="7"/>
  <c r="O45" i="7"/>
  <c r="N45" i="7"/>
  <c r="M45" i="7"/>
  <c r="O44" i="7"/>
  <c r="N44" i="7"/>
  <c r="M44" i="7"/>
  <c r="O43" i="7"/>
  <c r="N43" i="7"/>
  <c r="M43" i="7"/>
  <c r="O42" i="7"/>
  <c r="AG42" i="7" s="1"/>
  <c r="AH42" i="7" s="1"/>
  <c r="N42" i="7"/>
  <c r="M42" i="7"/>
  <c r="O41" i="7"/>
  <c r="AG41" i="7" s="1"/>
  <c r="AH41" i="7" s="1"/>
  <c r="N41" i="7"/>
  <c r="M41" i="7"/>
  <c r="O40" i="7"/>
  <c r="N40" i="7"/>
  <c r="AG40" i="7" s="1"/>
  <c r="AH40" i="7" s="1"/>
  <c r="M40" i="7"/>
  <c r="O39" i="7"/>
  <c r="N39" i="7"/>
  <c r="M39" i="7"/>
  <c r="O38" i="7"/>
  <c r="N38" i="7"/>
  <c r="M38" i="7"/>
  <c r="O37" i="7"/>
  <c r="N37" i="7"/>
  <c r="AG37" i="7" s="1"/>
  <c r="AH37" i="7" s="1"/>
  <c r="M37" i="7"/>
  <c r="O36" i="7"/>
  <c r="N36" i="7"/>
  <c r="M36" i="7"/>
  <c r="K35" i="7"/>
  <c r="O35" i="7" s="1"/>
  <c r="O34" i="7"/>
  <c r="AG34" i="7" s="1"/>
  <c r="AH34" i="7" s="1"/>
  <c r="N34" i="7"/>
  <c r="M34" i="7"/>
  <c r="O33" i="7"/>
  <c r="N33" i="7"/>
  <c r="AG33" i="7" s="1"/>
  <c r="AH33" i="7" s="1"/>
  <c r="M33" i="7"/>
  <c r="O32" i="7"/>
  <c r="N32" i="7"/>
  <c r="M32" i="7"/>
  <c r="O31" i="7"/>
  <c r="AG31" i="7" s="1"/>
  <c r="AH31" i="7" s="1"/>
  <c r="N31" i="7"/>
  <c r="M31" i="7"/>
  <c r="O30" i="7"/>
  <c r="N30" i="7"/>
  <c r="AG30" i="7" s="1"/>
  <c r="AH30" i="7" s="1"/>
  <c r="M30" i="7"/>
  <c r="AH29" i="7"/>
  <c r="AG29" i="7"/>
  <c r="O29" i="7"/>
  <c r="N29" i="7"/>
  <c r="M29" i="7"/>
  <c r="O28" i="7"/>
  <c r="N28" i="7"/>
  <c r="AG28" i="7" s="1"/>
  <c r="AH28" i="7" s="1"/>
  <c r="M28" i="7"/>
  <c r="O27" i="7"/>
  <c r="AG27" i="7" s="1"/>
  <c r="AH27" i="7" s="1"/>
  <c r="N27" i="7"/>
  <c r="M27" i="7"/>
  <c r="K26" i="7"/>
  <c r="M26" i="7" s="1"/>
  <c r="O25" i="7"/>
  <c r="N25" i="7"/>
  <c r="M25" i="7"/>
  <c r="O24" i="7"/>
  <c r="N24" i="7"/>
  <c r="M24" i="7"/>
  <c r="O23" i="7"/>
  <c r="N23" i="7"/>
  <c r="AG23" i="7" s="1"/>
  <c r="AH23" i="7" s="1"/>
  <c r="M23" i="7"/>
  <c r="O22" i="7"/>
  <c r="N22" i="7"/>
  <c r="M22" i="7"/>
  <c r="O21" i="7"/>
  <c r="N21" i="7"/>
  <c r="M21" i="7"/>
  <c r="O20" i="7"/>
  <c r="AG20" i="7" s="1"/>
  <c r="AH20" i="7" s="1"/>
  <c r="N20" i="7"/>
  <c r="M20" i="7"/>
  <c r="O19" i="7"/>
  <c r="N19" i="7"/>
  <c r="AG19" i="7" s="1"/>
  <c r="AH19" i="7" s="1"/>
  <c r="M19" i="7"/>
  <c r="O18" i="7"/>
  <c r="N18" i="7"/>
  <c r="AG18" i="7" s="1"/>
  <c r="AH18" i="7" s="1"/>
  <c r="M18" i="7"/>
  <c r="O17" i="7"/>
  <c r="N17" i="7"/>
  <c r="M17" i="7"/>
  <c r="O16" i="7"/>
  <c r="N16" i="7"/>
  <c r="M16" i="7"/>
  <c r="O15" i="7"/>
  <c r="N15" i="7"/>
  <c r="AG15" i="7" s="1"/>
  <c r="AH15" i="7" s="1"/>
  <c r="M15" i="7"/>
  <c r="O14" i="7"/>
  <c r="N14" i="7"/>
  <c r="M14" i="7"/>
  <c r="O13" i="7"/>
  <c r="N13" i="7"/>
  <c r="AG13" i="7" s="1"/>
  <c r="AH13" i="7" s="1"/>
  <c r="M13" i="7"/>
  <c r="O12" i="7"/>
  <c r="AG12" i="7" s="1"/>
  <c r="AH12" i="7" s="1"/>
  <c r="N12" i="7"/>
  <c r="M12" i="7"/>
  <c r="K11" i="7"/>
  <c r="O10" i="7"/>
  <c r="N10" i="7"/>
  <c r="M10" i="7"/>
  <c r="O9" i="7"/>
  <c r="N9" i="7"/>
  <c r="M9" i="7"/>
  <c r="AG8" i="7"/>
  <c r="AH8" i="7" s="1"/>
  <c r="O8" i="7"/>
  <c r="N8" i="7"/>
  <c r="M8" i="7"/>
  <c r="O7" i="7"/>
  <c r="AG7" i="7" s="1"/>
  <c r="AH7" i="7" s="1"/>
  <c r="N7" i="7"/>
  <c r="M7" i="7"/>
  <c r="O6" i="7"/>
  <c r="N6" i="7"/>
  <c r="AG6" i="7" s="1"/>
  <c r="AH6" i="7" s="1"/>
  <c r="M6" i="7"/>
  <c r="O5" i="7"/>
  <c r="AG5" i="7" s="1"/>
  <c r="N5" i="7"/>
  <c r="M5" i="7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L59" i="6"/>
  <c r="J59" i="6"/>
  <c r="I59" i="6"/>
  <c r="H59" i="6"/>
  <c r="O58" i="6"/>
  <c r="N58" i="6"/>
  <c r="M58" i="6"/>
  <c r="O57" i="6"/>
  <c r="N57" i="6"/>
  <c r="M57" i="6"/>
  <c r="O56" i="6"/>
  <c r="N56" i="6"/>
  <c r="AG56" i="6" s="1"/>
  <c r="AH56" i="6" s="1"/>
  <c r="M56" i="6"/>
  <c r="O55" i="6"/>
  <c r="N55" i="6"/>
  <c r="M55" i="6"/>
  <c r="O54" i="6"/>
  <c r="N54" i="6"/>
  <c r="AG54" i="6" s="1"/>
  <c r="AH54" i="6" s="1"/>
  <c r="M54" i="6"/>
  <c r="O53" i="6"/>
  <c r="AG53" i="6" s="1"/>
  <c r="AH53" i="6" s="1"/>
  <c r="N53" i="6"/>
  <c r="M53" i="6"/>
  <c r="O52" i="6"/>
  <c r="AG52" i="6" s="1"/>
  <c r="AH52" i="6" s="1"/>
  <c r="N52" i="6"/>
  <c r="M52" i="6"/>
  <c r="O51" i="6"/>
  <c r="N51" i="6"/>
  <c r="AG51" i="6" s="1"/>
  <c r="AH51" i="6" s="1"/>
  <c r="M51" i="6"/>
  <c r="O50" i="6"/>
  <c r="N50" i="6"/>
  <c r="M50" i="6"/>
  <c r="O49" i="6"/>
  <c r="N49" i="6"/>
  <c r="M49" i="6"/>
  <c r="K48" i="6"/>
  <c r="O47" i="6"/>
  <c r="N47" i="6"/>
  <c r="M47" i="6"/>
  <c r="O46" i="6"/>
  <c r="AG46" i="6" s="1"/>
  <c r="AH46" i="6" s="1"/>
  <c r="N46" i="6"/>
  <c r="M46" i="6"/>
  <c r="O45" i="6"/>
  <c r="N45" i="6"/>
  <c r="AG45" i="6" s="1"/>
  <c r="AH45" i="6" s="1"/>
  <c r="M45" i="6"/>
  <c r="O44" i="6"/>
  <c r="N44" i="6"/>
  <c r="AG44" i="6" s="1"/>
  <c r="AH44" i="6" s="1"/>
  <c r="M44" i="6"/>
  <c r="O43" i="6"/>
  <c r="N43" i="6"/>
  <c r="M43" i="6"/>
  <c r="O42" i="6"/>
  <c r="N42" i="6"/>
  <c r="M42" i="6"/>
  <c r="AG41" i="6"/>
  <c r="AH41" i="6" s="1"/>
  <c r="O41" i="6"/>
  <c r="N41" i="6"/>
  <c r="M41" i="6"/>
  <c r="AG40" i="6"/>
  <c r="AH40" i="6" s="1"/>
  <c r="O40" i="6"/>
  <c r="N40" i="6"/>
  <c r="M40" i="6"/>
  <c r="O39" i="6"/>
  <c r="N39" i="6"/>
  <c r="M39" i="6"/>
  <c r="O38" i="6"/>
  <c r="N38" i="6"/>
  <c r="M38" i="6"/>
  <c r="O37" i="6"/>
  <c r="AG37" i="6" s="1"/>
  <c r="AH37" i="6" s="1"/>
  <c r="N37" i="6"/>
  <c r="M37" i="6"/>
  <c r="O36" i="6"/>
  <c r="N36" i="6"/>
  <c r="AG36" i="6" s="1"/>
  <c r="AH36" i="6" s="1"/>
  <c r="M36" i="6"/>
  <c r="O35" i="6"/>
  <c r="N35" i="6"/>
  <c r="M35" i="6"/>
  <c r="O34" i="6"/>
  <c r="N34" i="6"/>
  <c r="AG34" i="6" s="1"/>
  <c r="AH34" i="6" s="1"/>
  <c r="M34" i="6"/>
  <c r="O33" i="6"/>
  <c r="N33" i="6"/>
  <c r="AG33" i="6" s="1"/>
  <c r="AH33" i="6" s="1"/>
  <c r="M33" i="6"/>
  <c r="AG32" i="6"/>
  <c r="AH32" i="6" s="1"/>
  <c r="O32" i="6"/>
  <c r="N32" i="6"/>
  <c r="M32" i="6"/>
  <c r="O31" i="6"/>
  <c r="N31" i="6"/>
  <c r="M31" i="6"/>
  <c r="O30" i="6"/>
  <c r="N30" i="6"/>
  <c r="M30" i="6"/>
  <c r="O29" i="6"/>
  <c r="AG29" i="6" s="1"/>
  <c r="AH29" i="6" s="1"/>
  <c r="N29" i="6"/>
  <c r="M29" i="6"/>
  <c r="O28" i="6"/>
  <c r="N28" i="6"/>
  <c r="AG28" i="6" s="1"/>
  <c r="AH28" i="6" s="1"/>
  <c r="M28" i="6"/>
  <c r="O27" i="6"/>
  <c r="N27" i="6"/>
  <c r="M27" i="6"/>
  <c r="O26" i="6"/>
  <c r="N26" i="6"/>
  <c r="AG26" i="6" s="1"/>
  <c r="AH26" i="6" s="1"/>
  <c r="M26" i="6"/>
  <c r="AG25" i="6"/>
  <c r="AH25" i="6" s="1"/>
  <c r="O25" i="6"/>
  <c r="N25" i="6"/>
  <c r="M25" i="6"/>
  <c r="AG24" i="6"/>
  <c r="AH24" i="6" s="1"/>
  <c r="O24" i="6"/>
  <c r="N24" i="6"/>
  <c r="M24" i="6"/>
  <c r="O23" i="6"/>
  <c r="N23" i="6"/>
  <c r="M23" i="6"/>
  <c r="O22" i="6"/>
  <c r="N22" i="6"/>
  <c r="M22" i="6"/>
  <c r="O21" i="6"/>
  <c r="AG21" i="6" s="1"/>
  <c r="AH21" i="6" s="1"/>
  <c r="N21" i="6"/>
  <c r="M21" i="6"/>
  <c r="O20" i="6"/>
  <c r="N20" i="6"/>
  <c r="AG20" i="6" s="1"/>
  <c r="AH20" i="6" s="1"/>
  <c r="M20" i="6"/>
  <c r="O19" i="6"/>
  <c r="N19" i="6"/>
  <c r="M19" i="6"/>
  <c r="O18" i="6"/>
  <c r="N18" i="6"/>
  <c r="AG18" i="6" s="1"/>
  <c r="AH18" i="6" s="1"/>
  <c r="M18" i="6"/>
  <c r="K17" i="6"/>
  <c r="O16" i="6"/>
  <c r="N16" i="6"/>
  <c r="AG16" i="6" s="1"/>
  <c r="AH16" i="6" s="1"/>
  <c r="M16" i="6"/>
  <c r="O15" i="6"/>
  <c r="N15" i="6"/>
  <c r="AG15" i="6" s="1"/>
  <c r="AH15" i="6" s="1"/>
  <c r="M15" i="6"/>
  <c r="AG14" i="6"/>
  <c r="AH14" i="6" s="1"/>
  <c r="O14" i="6"/>
  <c r="N14" i="6"/>
  <c r="M14" i="6"/>
  <c r="O13" i="6"/>
  <c r="N13" i="6"/>
  <c r="AG13" i="6" s="1"/>
  <c r="AH13" i="6" s="1"/>
  <c r="M13" i="6"/>
  <c r="O12" i="6"/>
  <c r="N12" i="6"/>
  <c r="AG12" i="6" s="1"/>
  <c r="AH12" i="6" s="1"/>
  <c r="M12" i="6"/>
  <c r="O11" i="6"/>
  <c r="AG11" i="6" s="1"/>
  <c r="AH11" i="6" s="1"/>
  <c r="N11" i="6"/>
  <c r="M11" i="6"/>
  <c r="K10" i="6"/>
  <c r="O9" i="6"/>
  <c r="N9" i="6"/>
  <c r="M9" i="6"/>
  <c r="O8" i="6"/>
  <c r="N8" i="6"/>
  <c r="M8" i="6"/>
  <c r="O7" i="6"/>
  <c r="AG7" i="6" s="1"/>
  <c r="AH7" i="6" s="1"/>
  <c r="N7" i="6"/>
  <c r="M7" i="6"/>
  <c r="O6" i="6"/>
  <c r="N6" i="6"/>
  <c r="M6" i="6"/>
  <c r="O5" i="6"/>
  <c r="N5" i="6"/>
  <c r="M5" i="6"/>
  <c r="AF22" i="5"/>
  <c r="AE22" i="5"/>
  <c r="AD22" i="5"/>
  <c r="AC22" i="5"/>
  <c r="AB22" i="5"/>
  <c r="AA22" i="5"/>
  <c r="Z22" i="5"/>
  <c r="Y22" i="5"/>
  <c r="T22" i="5"/>
  <c r="S22" i="5"/>
  <c r="R22" i="5"/>
  <c r="Q22" i="5"/>
  <c r="P22" i="5"/>
  <c r="L22" i="5"/>
  <c r="K22" i="5"/>
  <c r="J22" i="5"/>
  <c r="I22" i="5"/>
  <c r="H22" i="5"/>
  <c r="O21" i="5"/>
  <c r="N21" i="5"/>
  <c r="AG21" i="5" s="1"/>
  <c r="AH21" i="5" s="1"/>
  <c r="M21" i="5"/>
  <c r="O20" i="5"/>
  <c r="N20" i="5"/>
  <c r="M20" i="5"/>
  <c r="O19" i="5"/>
  <c r="N19" i="5"/>
  <c r="M19" i="5"/>
  <c r="O18" i="5"/>
  <c r="N18" i="5"/>
  <c r="AG18" i="5" s="1"/>
  <c r="AH18" i="5" s="1"/>
  <c r="M18" i="5"/>
  <c r="O17" i="5"/>
  <c r="N17" i="5"/>
  <c r="M17" i="5"/>
  <c r="AG16" i="5"/>
  <c r="AH16" i="5" s="1"/>
  <c r="O16" i="5"/>
  <c r="N16" i="5"/>
  <c r="M16" i="5"/>
  <c r="O15" i="5"/>
  <c r="N15" i="5"/>
  <c r="AG15" i="5" s="1"/>
  <c r="AH15" i="5" s="1"/>
  <c r="M15" i="5"/>
  <c r="O14" i="5"/>
  <c r="N14" i="5"/>
  <c r="M14" i="5"/>
  <c r="O13" i="5"/>
  <c r="AG13" i="5" s="1"/>
  <c r="AH13" i="5" s="1"/>
  <c r="N13" i="5"/>
  <c r="M13" i="5"/>
  <c r="O12" i="5"/>
  <c r="N12" i="5"/>
  <c r="M12" i="5"/>
  <c r="O11" i="5"/>
  <c r="N11" i="5"/>
  <c r="M11" i="5"/>
  <c r="O10" i="5"/>
  <c r="N10" i="5"/>
  <c r="AG10" i="5" s="1"/>
  <c r="AH10" i="5" s="1"/>
  <c r="M10" i="5"/>
  <c r="O9" i="5"/>
  <c r="N9" i="5"/>
  <c r="AG9" i="5" s="1"/>
  <c r="AH9" i="5" s="1"/>
  <c r="M9" i="5"/>
  <c r="AG8" i="5"/>
  <c r="AH8" i="5" s="1"/>
  <c r="O8" i="5"/>
  <c r="N8" i="5"/>
  <c r="M8" i="5"/>
  <c r="O7" i="5"/>
  <c r="N7" i="5"/>
  <c r="M7" i="5"/>
  <c r="O6" i="5"/>
  <c r="N6" i="5"/>
  <c r="M6" i="5"/>
  <c r="O5" i="5"/>
  <c r="N5" i="5"/>
  <c r="M5" i="5"/>
  <c r="AF20" i="4"/>
  <c r="AE20" i="4"/>
  <c r="AD20" i="4"/>
  <c r="AC20" i="4"/>
  <c r="AB20" i="4"/>
  <c r="AA20" i="4"/>
  <c r="Z20" i="4"/>
  <c r="Y20" i="4"/>
  <c r="T20" i="4"/>
  <c r="S20" i="4"/>
  <c r="R20" i="4"/>
  <c r="Q20" i="4"/>
  <c r="P20" i="4"/>
  <c r="L20" i="4"/>
  <c r="K20" i="4"/>
  <c r="J20" i="4"/>
  <c r="I20" i="4"/>
  <c r="H20" i="4"/>
  <c r="O19" i="4"/>
  <c r="N19" i="4"/>
  <c r="M19" i="4"/>
  <c r="O18" i="4"/>
  <c r="N18" i="4"/>
  <c r="M18" i="4"/>
  <c r="O17" i="4"/>
  <c r="N17" i="4"/>
  <c r="AG17" i="4" s="1"/>
  <c r="AH17" i="4" s="1"/>
  <c r="M17" i="4"/>
  <c r="AG16" i="4"/>
  <c r="AH16" i="4" s="1"/>
  <c r="O16" i="4"/>
  <c r="N16" i="4"/>
  <c r="M16" i="4"/>
  <c r="O15" i="4"/>
  <c r="N15" i="4"/>
  <c r="AG15" i="4" s="1"/>
  <c r="AH15" i="4" s="1"/>
  <c r="M15" i="4"/>
  <c r="O14" i="4"/>
  <c r="N14" i="4"/>
  <c r="M14" i="4"/>
  <c r="O13" i="4"/>
  <c r="AG13" i="4" s="1"/>
  <c r="AH13" i="4" s="1"/>
  <c r="N13" i="4"/>
  <c r="M13" i="4"/>
  <c r="O12" i="4"/>
  <c r="AG12" i="4" s="1"/>
  <c r="AH12" i="4" s="1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AG8" i="4" s="1"/>
  <c r="AH8" i="4" s="1"/>
  <c r="M8" i="4"/>
  <c r="AG7" i="4"/>
  <c r="AH7" i="4" s="1"/>
  <c r="O7" i="4"/>
  <c r="N7" i="4"/>
  <c r="M7" i="4"/>
  <c r="O6" i="4"/>
  <c r="N6" i="4"/>
  <c r="AG6" i="4" s="1"/>
  <c r="AH6" i="4" s="1"/>
  <c r="M6" i="4"/>
  <c r="O5" i="4"/>
  <c r="N5" i="4"/>
  <c r="M5" i="4"/>
  <c r="AF9" i="3"/>
  <c r="AE9" i="3"/>
  <c r="AD9" i="3"/>
  <c r="AC9" i="3"/>
  <c r="AB9" i="3"/>
  <c r="AA9" i="3"/>
  <c r="Z9" i="3"/>
  <c r="Y9" i="3"/>
  <c r="T9" i="3"/>
  <c r="S9" i="3"/>
  <c r="R9" i="3"/>
  <c r="Q9" i="3"/>
  <c r="P9" i="3"/>
  <c r="L9" i="3"/>
  <c r="K9" i="3"/>
  <c r="J9" i="3"/>
  <c r="I9" i="3"/>
  <c r="H9" i="3"/>
  <c r="O8" i="3"/>
  <c r="N8" i="3"/>
  <c r="AG8" i="3" s="1"/>
  <c r="AH8" i="3" s="1"/>
  <c r="M8" i="3"/>
  <c r="O7" i="3"/>
  <c r="N7" i="3"/>
  <c r="M7" i="3"/>
  <c r="O6" i="3"/>
  <c r="AG6" i="3" s="1"/>
  <c r="AH6" i="3" s="1"/>
  <c r="N6" i="3"/>
  <c r="M6" i="3"/>
  <c r="O5" i="3"/>
  <c r="O9" i="3" s="1"/>
  <c r="N5" i="3"/>
  <c r="N9" i="3" s="1"/>
  <c r="M5" i="3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L89" i="2"/>
  <c r="I89" i="2"/>
  <c r="H89" i="2"/>
  <c r="O88" i="2"/>
  <c r="N88" i="2"/>
  <c r="AG88" i="2" s="1"/>
  <c r="AH88" i="2" s="1"/>
  <c r="M88" i="2"/>
  <c r="O87" i="2"/>
  <c r="N87" i="2"/>
  <c r="M87" i="2"/>
  <c r="AG86" i="2"/>
  <c r="AH86" i="2" s="1"/>
  <c r="O86" i="2"/>
  <c r="N86" i="2"/>
  <c r="M86" i="2"/>
  <c r="M85" i="2"/>
  <c r="K85" i="2"/>
  <c r="O85" i="2" s="1"/>
  <c r="O84" i="2"/>
  <c r="N84" i="2"/>
  <c r="AG84" i="2" s="1"/>
  <c r="AH84" i="2" s="1"/>
  <c r="M84" i="2"/>
  <c r="O83" i="2"/>
  <c r="N83" i="2"/>
  <c r="AG83" i="2" s="1"/>
  <c r="AH83" i="2" s="1"/>
  <c r="M83" i="2"/>
  <c r="K82" i="2"/>
  <c r="O82" i="2" s="1"/>
  <c r="O81" i="2"/>
  <c r="N81" i="2"/>
  <c r="M81" i="2"/>
  <c r="O80" i="2"/>
  <c r="N80" i="2"/>
  <c r="AG80" i="2" s="1"/>
  <c r="AH80" i="2" s="1"/>
  <c r="M80" i="2"/>
  <c r="AG79" i="2"/>
  <c r="AH79" i="2" s="1"/>
  <c r="O79" i="2"/>
  <c r="N79" i="2"/>
  <c r="M79" i="2"/>
  <c r="O78" i="2"/>
  <c r="N78" i="2"/>
  <c r="AG78" i="2" s="1"/>
  <c r="AH78" i="2" s="1"/>
  <c r="M78" i="2"/>
  <c r="K77" i="2"/>
  <c r="O77" i="2" s="1"/>
  <c r="AG76" i="2"/>
  <c r="AH76" i="2" s="1"/>
  <c r="O76" i="2"/>
  <c r="N76" i="2"/>
  <c r="M76" i="2"/>
  <c r="O75" i="2"/>
  <c r="N75" i="2"/>
  <c r="AG75" i="2" s="1"/>
  <c r="AH75" i="2" s="1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AG69" i="2" s="1"/>
  <c r="AH69" i="2" s="1"/>
  <c r="M69" i="2"/>
  <c r="O68" i="2"/>
  <c r="N68" i="2"/>
  <c r="AG68" i="2" s="1"/>
  <c r="AH68" i="2" s="1"/>
  <c r="M68" i="2"/>
  <c r="O67" i="2"/>
  <c r="N67" i="2"/>
  <c r="M67" i="2"/>
  <c r="O66" i="2"/>
  <c r="AG66" i="2" s="1"/>
  <c r="AH66" i="2" s="1"/>
  <c r="N66" i="2"/>
  <c r="M66" i="2"/>
  <c r="O65" i="2"/>
  <c r="N65" i="2"/>
  <c r="M65" i="2"/>
  <c r="O64" i="2"/>
  <c r="N64" i="2"/>
  <c r="AG64" i="2" s="1"/>
  <c r="AH64" i="2" s="1"/>
  <c r="M64" i="2"/>
  <c r="K63" i="2"/>
  <c r="O63" i="2" s="1"/>
  <c r="O62" i="2"/>
  <c r="N62" i="2"/>
  <c r="M62" i="2"/>
  <c r="O61" i="2"/>
  <c r="N61" i="2"/>
  <c r="AG61" i="2" s="1"/>
  <c r="AH61" i="2" s="1"/>
  <c r="M61" i="2"/>
  <c r="O60" i="2"/>
  <c r="N60" i="2"/>
  <c r="AG60" i="2" s="1"/>
  <c r="AH60" i="2" s="1"/>
  <c r="M60" i="2"/>
  <c r="O59" i="2"/>
  <c r="N59" i="2"/>
  <c r="K59" i="2"/>
  <c r="M59" i="2" s="1"/>
  <c r="N58" i="2"/>
  <c r="J58" i="2"/>
  <c r="J89" i="2" s="1"/>
  <c r="O57" i="2"/>
  <c r="N57" i="2"/>
  <c r="M57" i="2"/>
  <c r="O56" i="2"/>
  <c r="AG56" i="2" s="1"/>
  <c r="AH56" i="2" s="1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AG52" i="2" s="1"/>
  <c r="AH52" i="2" s="1"/>
  <c r="M52" i="2"/>
  <c r="AG51" i="2"/>
  <c r="AH51" i="2" s="1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AG47" i="2" s="1"/>
  <c r="AH47" i="2" s="1"/>
  <c r="M47" i="2"/>
  <c r="O46" i="2"/>
  <c r="N46" i="2"/>
  <c r="M46" i="2"/>
  <c r="O45" i="2"/>
  <c r="N45" i="2"/>
  <c r="M45" i="2"/>
  <c r="AG44" i="2"/>
  <c r="AH44" i="2" s="1"/>
  <c r="O44" i="2"/>
  <c r="N44" i="2"/>
  <c r="M44" i="2"/>
  <c r="O43" i="2"/>
  <c r="N43" i="2"/>
  <c r="AG43" i="2" s="1"/>
  <c r="AH43" i="2" s="1"/>
  <c r="M43" i="2"/>
  <c r="O42" i="2"/>
  <c r="N42" i="2"/>
  <c r="M42" i="2"/>
  <c r="O41" i="2"/>
  <c r="AG41" i="2" s="1"/>
  <c r="AH41" i="2" s="1"/>
  <c r="N41" i="2"/>
  <c r="M41" i="2"/>
  <c r="O40" i="2"/>
  <c r="AG40" i="2" s="1"/>
  <c r="AH40" i="2" s="1"/>
  <c r="N40" i="2"/>
  <c r="M40" i="2"/>
  <c r="O39" i="2"/>
  <c r="N39" i="2"/>
  <c r="AG39" i="2" s="1"/>
  <c r="AH39" i="2" s="1"/>
  <c r="M39" i="2"/>
  <c r="O38" i="2"/>
  <c r="N38" i="2"/>
  <c r="AG38" i="2" s="1"/>
  <c r="AH38" i="2" s="1"/>
  <c r="M38" i="2"/>
  <c r="O37" i="2"/>
  <c r="N37" i="2"/>
  <c r="AG37" i="2" s="1"/>
  <c r="AH37" i="2" s="1"/>
  <c r="M37" i="2"/>
  <c r="K36" i="2"/>
  <c r="O36" i="2" s="1"/>
  <c r="O35" i="2"/>
  <c r="N35" i="2"/>
  <c r="M35" i="2"/>
  <c r="O34" i="2"/>
  <c r="N34" i="2"/>
  <c r="M34" i="2"/>
  <c r="O33" i="2"/>
  <c r="N33" i="2"/>
  <c r="AG33" i="2" s="1"/>
  <c r="AH33" i="2" s="1"/>
  <c r="M33" i="2"/>
  <c r="AG32" i="2"/>
  <c r="AH32" i="2" s="1"/>
  <c r="O32" i="2"/>
  <c r="N32" i="2"/>
  <c r="M32" i="2"/>
  <c r="O31" i="2"/>
  <c r="N31" i="2"/>
  <c r="AG31" i="2" s="1"/>
  <c r="AH31" i="2" s="1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AG25" i="2" s="1"/>
  <c r="AH25" i="2" s="1"/>
  <c r="M25" i="2"/>
  <c r="O24" i="2"/>
  <c r="N24" i="2"/>
  <c r="AG24" i="2" s="1"/>
  <c r="AH24" i="2" s="1"/>
  <c r="M24" i="2"/>
  <c r="M23" i="2"/>
  <c r="K23" i="2"/>
  <c r="O23" i="2" s="1"/>
  <c r="O22" i="2"/>
  <c r="N22" i="2"/>
  <c r="AG22" i="2" s="1"/>
  <c r="AH22" i="2" s="1"/>
  <c r="M22" i="2"/>
  <c r="O21" i="2"/>
  <c r="N21" i="2"/>
  <c r="AG21" i="2" s="1"/>
  <c r="AH21" i="2" s="1"/>
  <c r="M21" i="2"/>
  <c r="O20" i="2"/>
  <c r="N20" i="2"/>
  <c r="AG20" i="2" s="1"/>
  <c r="AH20" i="2" s="1"/>
  <c r="M20" i="2"/>
  <c r="O19" i="2"/>
  <c r="AG19" i="2" s="1"/>
  <c r="AH19" i="2" s="1"/>
  <c r="N19" i="2"/>
  <c r="M19" i="2"/>
  <c r="O18" i="2"/>
  <c r="K18" i="2"/>
  <c r="N18" i="2" s="1"/>
  <c r="O17" i="2"/>
  <c r="N17" i="2"/>
  <c r="AG17" i="2" s="1"/>
  <c r="AH17" i="2" s="1"/>
  <c r="M17" i="2"/>
  <c r="O16" i="2"/>
  <c r="AG16" i="2" s="1"/>
  <c r="AH16" i="2" s="1"/>
  <c r="N16" i="2"/>
  <c r="M16" i="2"/>
  <c r="O15" i="2"/>
  <c r="AG15" i="2" s="1"/>
  <c r="AH15" i="2" s="1"/>
  <c r="N15" i="2"/>
  <c r="M15" i="2"/>
  <c r="O14" i="2"/>
  <c r="N14" i="2"/>
  <c r="M14" i="2"/>
  <c r="K13" i="2"/>
  <c r="O13" i="2" s="1"/>
  <c r="O12" i="2"/>
  <c r="N12" i="2"/>
  <c r="M12" i="2"/>
  <c r="O11" i="2"/>
  <c r="N11" i="2"/>
  <c r="M11" i="2"/>
  <c r="O10" i="2"/>
  <c r="N10" i="2"/>
  <c r="AG10" i="2" s="1"/>
  <c r="AH10" i="2" s="1"/>
  <c r="M10" i="2"/>
  <c r="O9" i="2"/>
  <c r="N9" i="2"/>
  <c r="M9" i="2"/>
  <c r="O8" i="2"/>
  <c r="AG8" i="2" s="1"/>
  <c r="AH8" i="2" s="1"/>
  <c r="N8" i="2"/>
  <c r="M8" i="2"/>
  <c r="AG7" i="2"/>
  <c r="AH7" i="2" s="1"/>
  <c r="O7" i="2"/>
  <c r="N7" i="2"/>
  <c r="M7" i="2"/>
  <c r="O6" i="2"/>
  <c r="N6" i="2"/>
  <c r="AG6" i="2" s="1"/>
  <c r="AH6" i="2" s="1"/>
  <c r="M6" i="2"/>
  <c r="O5" i="2"/>
  <c r="N5" i="2"/>
  <c r="M5" i="2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L95" i="1"/>
  <c r="J95" i="1"/>
  <c r="I95" i="1"/>
  <c r="H95" i="1"/>
  <c r="O94" i="1"/>
  <c r="N94" i="1"/>
  <c r="AG94" i="1" s="1"/>
  <c r="AH94" i="1" s="1"/>
  <c r="M94" i="1"/>
  <c r="N93" i="1"/>
  <c r="K93" i="1"/>
  <c r="M93" i="1" s="1"/>
  <c r="O92" i="1"/>
  <c r="AG92" i="1" s="1"/>
  <c r="AH92" i="1" s="1"/>
  <c r="N92" i="1"/>
  <c r="M92" i="1"/>
  <c r="O91" i="1"/>
  <c r="N91" i="1"/>
  <c r="AG91" i="1" s="1"/>
  <c r="AH91" i="1" s="1"/>
  <c r="M91" i="1"/>
  <c r="O90" i="1"/>
  <c r="N90" i="1"/>
  <c r="M90" i="1"/>
  <c r="O89" i="1"/>
  <c r="N89" i="1"/>
  <c r="AG89" i="1" s="1"/>
  <c r="AH89" i="1" s="1"/>
  <c r="M89" i="1"/>
  <c r="O88" i="1"/>
  <c r="N88" i="1"/>
  <c r="AG88" i="1" s="1"/>
  <c r="AH88" i="1" s="1"/>
  <c r="M88" i="1"/>
  <c r="O87" i="1"/>
  <c r="N87" i="1"/>
  <c r="AG87" i="1" s="1"/>
  <c r="AH87" i="1" s="1"/>
  <c r="M87" i="1"/>
  <c r="O86" i="1"/>
  <c r="N86" i="1"/>
  <c r="AG86" i="1" s="1"/>
  <c r="AH86" i="1" s="1"/>
  <c r="M86" i="1"/>
  <c r="O85" i="1"/>
  <c r="N85" i="1"/>
  <c r="AG85" i="1" s="1"/>
  <c r="AH85" i="1" s="1"/>
  <c r="M85" i="1"/>
  <c r="O84" i="1"/>
  <c r="AG84" i="1" s="1"/>
  <c r="AH84" i="1" s="1"/>
  <c r="N84" i="1"/>
  <c r="M84" i="1"/>
  <c r="O83" i="1"/>
  <c r="N83" i="1"/>
  <c r="AG83" i="1" s="1"/>
  <c r="AH83" i="1" s="1"/>
  <c r="M83" i="1"/>
  <c r="O82" i="1"/>
  <c r="N82" i="1"/>
  <c r="AG82" i="1" s="1"/>
  <c r="AH82" i="1" s="1"/>
  <c r="M82" i="1"/>
  <c r="O81" i="1"/>
  <c r="N81" i="1"/>
  <c r="M81" i="1"/>
  <c r="O80" i="1"/>
  <c r="N80" i="1"/>
  <c r="AG80" i="1" s="1"/>
  <c r="AH80" i="1" s="1"/>
  <c r="M80" i="1"/>
  <c r="AG79" i="1"/>
  <c r="AH79" i="1" s="1"/>
  <c r="O79" i="1"/>
  <c r="N79" i="1"/>
  <c r="M79" i="1"/>
  <c r="O78" i="1"/>
  <c r="N78" i="1"/>
  <c r="AG78" i="1" s="1"/>
  <c r="AH78" i="1" s="1"/>
  <c r="M78" i="1"/>
  <c r="O77" i="1"/>
  <c r="N77" i="1"/>
  <c r="AG77" i="1" s="1"/>
  <c r="AH77" i="1" s="1"/>
  <c r="M77" i="1"/>
  <c r="O76" i="1"/>
  <c r="N76" i="1"/>
  <c r="M76" i="1"/>
  <c r="O75" i="1"/>
  <c r="N75" i="1"/>
  <c r="M75" i="1"/>
  <c r="K74" i="1"/>
  <c r="M74" i="1" s="1"/>
  <c r="O73" i="1"/>
  <c r="N73" i="1"/>
  <c r="M73" i="1"/>
  <c r="O72" i="1"/>
  <c r="N72" i="1"/>
  <c r="M72" i="1"/>
  <c r="O71" i="1"/>
  <c r="N71" i="1"/>
  <c r="AG71" i="1" s="1"/>
  <c r="AH71" i="1" s="1"/>
  <c r="M71" i="1"/>
  <c r="O70" i="1"/>
  <c r="N70" i="1"/>
  <c r="M70" i="1"/>
  <c r="O69" i="1"/>
  <c r="N69" i="1"/>
  <c r="AG69" i="1" s="1"/>
  <c r="AH69" i="1" s="1"/>
  <c r="M69" i="1"/>
  <c r="O68" i="1"/>
  <c r="N68" i="1"/>
  <c r="AG68" i="1" s="1"/>
  <c r="AH68" i="1" s="1"/>
  <c r="M68" i="1"/>
  <c r="O67" i="1"/>
  <c r="N67" i="1"/>
  <c r="M67" i="1"/>
  <c r="O66" i="1"/>
  <c r="N66" i="1"/>
  <c r="AG66" i="1" s="1"/>
  <c r="AH66" i="1" s="1"/>
  <c r="M66" i="1"/>
  <c r="O65" i="1"/>
  <c r="N65" i="1"/>
  <c r="M65" i="1"/>
  <c r="O64" i="1"/>
  <c r="N64" i="1"/>
  <c r="M64" i="1"/>
  <c r="O63" i="1"/>
  <c r="N63" i="1"/>
  <c r="AG63" i="1" s="1"/>
  <c r="AH63" i="1" s="1"/>
  <c r="M63" i="1"/>
  <c r="O62" i="1"/>
  <c r="N62" i="1"/>
  <c r="M62" i="1"/>
  <c r="O61" i="1"/>
  <c r="N61" i="1"/>
  <c r="AG61" i="1" s="1"/>
  <c r="AH61" i="1" s="1"/>
  <c r="M61" i="1"/>
  <c r="O60" i="1"/>
  <c r="N60" i="1"/>
  <c r="AG60" i="1" s="1"/>
  <c r="AH60" i="1" s="1"/>
  <c r="M60" i="1"/>
  <c r="O59" i="1"/>
  <c r="N59" i="1"/>
  <c r="M59" i="1"/>
  <c r="O58" i="1"/>
  <c r="AG58" i="1" s="1"/>
  <c r="AH58" i="1" s="1"/>
  <c r="N58" i="1"/>
  <c r="M58" i="1"/>
  <c r="O57" i="1"/>
  <c r="N57" i="1"/>
  <c r="M57" i="1"/>
  <c r="O56" i="1"/>
  <c r="N56" i="1"/>
  <c r="AG56" i="1" s="1"/>
  <c r="AH56" i="1" s="1"/>
  <c r="M56" i="1"/>
  <c r="O55" i="1"/>
  <c r="N55" i="1"/>
  <c r="AG55" i="1" s="1"/>
  <c r="AH55" i="1" s="1"/>
  <c r="M55" i="1"/>
  <c r="O54" i="1"/>
  <c r="N54" i="1"/>
  <c r="M54" i="1"/>
  <c r="O53" i="1"/>
  <c r="N53" i="1"/>
  <c r="AG53" i="1" s="1"/>
  <c r="AH53" i="1" s="1"/>
  <c r="M53" i="1"/>
  <c r="AG52" i="1"/>
  <c r="AH52" i="1" s="1"/>
  <c r="O52" i="1"/>
  <c r="N52" i="1"/>
  <c r="M52" i="1"/>
  <c r="O51" i="1"/>
  <c r="N51" i="1"/>
  <c r="AG51" i="1" s="1"/>
  <c r="AH51" i="1" s="1"/>
  <c r="M51" i="1"/>
  <c r="O50" i="1"/>
  <c r="N50" i="1"/>
  <c r="AG50" i="1" s="1"/>
  <c r="AH50" i="1" s="1"/>
  <c r="M50" i="1"/>
  <c r="O49" i="1"/>
  <c r="N49" i="1"/>
  <c r="M49" i="1"/>
  <c r="O48" i="1"/>
  <c r="N48" i="1"/>
  <c r="M48" i="1"/>
  <c r="O47" i="1"/>
  <c r="N47" i="1"/>
  <c r="M47" i="1"/>
  <c r="O46" i="1"/>
  <c r="N46" i="1"/>
  <c r="AG46" i="1" s="1"/>
  <c r="AH46" i="1" s="1"/>
  <c r="M46" i="1"/>
  <c r="O45" i="1"/>
  <c r="N45" i="1"/>
  <c r="M45" i="1"/>
  <c r="O44" i="1"/>
  <c r="N44" i="1"/>
  <c r="AG44" i="1" s="1"/>
  <c r="AH44" i="1" s="1"/>
  <c r="M44" i="1"/>
  <c r="O43" i="1"/>
  <c r="N43" i="1"/>
  <c r="AG43" i="1" s="1"/>
  <c r="AH43" i="1" s="1"/>
  <c r="M43" i="1"/>
  <c r="O42" i="1"/>
  <c r="N42" i="1"/>
  <c r="AG42" i="1" s="1"/>
  <c r="AH42" i="1" s="1"/>
  <c r="M42" i="1"/>
  <c r="O41" i="1"/>
  <c r="AG41" i="1" s="1"/>
  <c r="AH41" i="1" s="1"/>
  <c r="N41" i="1"/>
  <c r="M41" i="1"/>
  <c r="K40" i="1"/>
  <c r="O39" i="1"/>
  <c r="N39" i="1"/>
  <c r="AG39" i="1" s="1"/>
  <c r="AH39" i="1" s="1"/>
  <c r="M39" i="1"/>
  <c r="O38" i="1"/>
  <c r="AG38" i="1" s="1"/>
  <c r="AH38" i="1" s="1"/>
  <c r="N38" i="1"/>
  <c r="M38" i="1"/>
  <c r="O37" i="1"/>
  <c r="N37" i="1"/>
  <c r="M37" i="1"/>
  <c r="O36" i="1"/>
  <c r="N36" i="1"/>
  <c r="AG36" i="1" s="1"/>
  <c r="AH36" i="1" s="1"/>
  <c r="M36" i="1"/>
  <c r="O35" i="1"/>
  <c r="N35" i="1"/>
  <c r="AG35" i="1" s="1"/>
  <c r="AH35" i="1" s="1"/>
  <c r="M35" i="1"/>
  <c r="O34" i="1"/>
  <c r="N34" i="1"/>
  <c r="AG34" i="1" s="1"/>
  <c r="AH34" i="1" s="1"/>
  <c r="M34" i="1"/>
  <c r="O33" i="1"/>
  <c r="AG33" i="1" s="1"/>
  <c r="AH33" i="1" s="1"/>
  <c r="N33" i="1"/>
  <c r="M33" i="1"/>
  <c r="O32" i="1"/>
  <c r="N32" i="1"/>
  <c r="M32" i="1"/>
  <c r="O31" i="1"/>
  <c r="N31" i="1"/>
  <c r="AG31" i="1" s="1"/>
  <c r="AH31" i="1" s="1"/>
  <c r="M31" i="1"/>
  <c r="O30" i="1"/>
  <c r="AG30" i="1" s="1"/>
  <c r="AH30" i="1" s="1"/>
  <c r="N30" i="1"/>
  <c r="M30" i="1"/>
  <c r="O29" i="1"/>
  <c r="N29" i="1"/>
  <c r="AG29" i="1" s="1"/>
  <c r="AH29" i="1" s="1"/>
  <c r="M29" i="1"/>
  <c r="O28" i="1"/>
  <c r="N28" i="1"/>
  <c r="AG28" i="1" s="1"/>
  <c r="AH28" i="1" s="1"/>
  <c r="M28" i="1"/>
  <c r="O27" i="1"/>
  <c r="N27" i="1"/>
  <c r="AG27" i="1" s="1"/>
  <c r="AH27" i="1" s="1"/>
  <c r="M27" i="1"/>
  <c r="O26" i="1"/>
  <c r="N26" i="1"/>
  <c r="AG26" i="1" s="1"/>
  <c r="AH26" i="1" s="1"/>
  <c r="M26" i="1"/>
  <c r="AG25" i="1"/>
  <c r="AH25" i="1" s="1"/>
  <c r="O25" i="1"/>
  <c r="N25" i="1"/>
  <c r="M25" i="1"/>
  <c r="O24" i="1"/>
  <c r="N24" i="1"/>
  <c r="AG24" i="1" s="1"/>
  <c r="AH24" i="1" s="1"/>
  <c r="M24" i="1"/>
  <c r="K23" i="1"/>
  <c r="O23" i="1" s="1"/>
  <c r="AG22" i="1"/>
  <c r="AH22" i="1" s="1"/>
  <c r="O22" i="1"/>
  <c r="N22" i="1"/>
  <c r="M22" i="1"/>
  <c r="O21" i="1"/>
  <c r="N21" i="1"/>
  <c r="AG21" i="1" s="1"/>
  <c r="AH21" i="1" s="1"/>
  <c r="M21" i="1"/>
  <c r="O20" i="1"/>
  <c r="N20" i="1"/>
  <c r="AG20" i="1" s="1"/>
  <c r="AH20" i="1" s="1"/>
  <c r="M20" i="1"/>
  <c r="O19" i="1"/>
  <c r="N19" i="1"/>
  <c r="M19" i="1"/>
  <c r="O18" i="1"/>
  <c r="N18" i="1"/>
  <c r="M18" i="1"/>
  <c r="O17" i="1"/>
  <c r="N17" i="1"/>
  <c r="AG17" i="1" s="1"/>
  <c r="AH17" i="1" s="1"/>
  <c r="M17" i="1"/>
  <c r="O16" i="1"/>
  <c r="N16" i="1"/>
  <c r="AG16" i="1" s="1"/>
  <c r="AH16" i="1" s="1"/>
  <c r="M16" i="1"/>
  <c r="O15" i="1"/>
  <c r="N15" i="1"/>
  <c r="AG15" i="1" s="1"/>
  <c r="AH15" i="1" s="1"/>
  <c r="M15" i="1"/>
  <c r="O14" i="1"/>
  <c r="AG14" i="1" s="1"/>
  <c r="AH14" i="1" s="1"/>
  <c r="N14" i="1"/>
  <c r="M14" i="1"/>
  <c r="K13" i="1"/>
  <c r="O13" i="1" s="1"/>
  <c r="O12" i="1"/>
  <c r="N12" i="1"/>
  <c r="AG12" i="1" s="1"/>
  <c r="AH12" i="1" s="1"/>
  <c r="M12" i="1"/>
  <c r="O11" i="1"/>
  <c r="N11" i="1"/>
  <c r="AG11" i="1" s="1"/>
  <c r="AH11" i="1" s="1"/>
  <c r="M11" i="1"/>
  <c r="O10" i="1"/>
  <c r="N10" i="1"/>
  <c r="M10" i="1"/>
  <c r="O9" i="1"/>
  <c r="N9" i="1"/>
  <c r="AG9" i="1" s="1"/>
  <c r="AH9" i="1" s="1"/>
  <c r="M9" i="1"/>
  <c r="O8" i="1"/>
  <c r="N8" i="1"/>
  <c r="M8" i="1"/>
  <c r="O7" i="1"/>
  <c r="N7" i="1"/>
  <c r="M7" i="1"/>
  <c r="O6" i="1"/>
  <c r="N6" i="1"/>
  <c r="AG6" i="1" s="1"/>
  <c r="AH6" i="1" s="1"/>
  <c r="M6" i="1"/>
  <c r="O5" i="1"/>
  <c r="N5" i="1"/>
  <c r="M5" i="1"/>
  <c r="AG21" i="17" l="1"/>
  <c r="AH21" i="17" s="1"/>
  <c r="AG24" i="17"/>
  <c r="AH24" i="17" s="1"/>
  <c r="AG27" i="17"/>
  <c r="AH27" i="17" s="1"/>
  <c r="AG32" i="17"/>
  <c r="AH32" i="17" s="1"/>
  <c r="AG41" i="17"/>
  <c r="AH41" i="17" s="1"/>
  <c r="AG47" i="17"/>
  <c r="AH47" i="17" s="1"/>
  <c r="AG80" i="17"/>
  <c r="AH80" i="17" s="1"/>
  <c r="AG93" i="17"/>
  <c r="AH93" i="17" s="1"/>
  <c r="AG95" i="17"/>
  <c r="AH95" i="17" s="1"/>
  <c r="AG108" i="17"/>
  <c r="AH108" i="17" s="1"/>
  <c r="AG37" i="17"/>
  <c r="AH37" i="17" s="1"/>
  <c r="AG48" i="17"/>
  <c r="AH48" i="17" s="1"/>
  <c r="AG68" i="17"/>
  <c r="AH68" i="17" s="1"/>
  <c r="AG74" i="17"/>
  <c r="AH74" i="17" s="1"/>
  <c r="AG81" i="17"/>
  <c r="AH81" i="17" s="1"/>
  <c r="AG116" i="17"/>
  <c r="AH116" i="17" s="1"/>
  <c r="AG59" i="17"/>
  <c r="AH59" i="17" s="1"/>
  <c r="AG112" i="17"/>
  <c r="AH112" i="17" s="1"/>
  <c r="AG44" i="17"/>
  <c r="AH44" i="17" s="1"/>
  <c r="O31" i="17"/>
  <c r="AG31" i="17" s="1"/>
  <c r="AH31" i="17" s="1"/>
  <c r="AG38" i="17"/>
  <c r="AH38" i="17" s="1"/>
  <c r="AG40" i="17"/>
  <c r="AH40" i="17" s="1"/>
  <c r="AG46" i="17"/>
  <c r="AH46" i="17" s="1"/>
  <c r="AG49" i="17"/>
  <c r="AH49" i="17" s="1"/>
  <c r="AG51" i="17"/>
  <c r="AH51" i="17" s="1"/>
  <c r="AG57" i="17"/>
  <c r="AH57" i="17" s="1"/>
  <c r="AG62" i="17"/>
  <c r="AH62" i="17" s="1"/>
  <c r="AG69" i="17"/>
  <c r="AH69" i="17" s="1"/>
  <c r="AG79" i="17"/>
  <c r="AH79" i="17" s="1"/>
  <c r="AG82" i="17"/>
  <c r="AH82" i="17" s="1"/>
  <c r="AG84" i="17"/>
  <c r="AH84" i="17" s="1"/>
  <c r="AG92" i="17"/>
  <c r="AH92" i="17" s="1"/>
  <c r="AG60" i="17"/>
  <c r="AH60" i="17" s="1"/>
  <c r="AG65" i="17"/>
  <c r="AH65" i="17" s="1"/>
  <c r="AG89" i="17"/>
  <c r="AH89" i="17" s="1"/>
  <c r="AG101" i="17"/>
  <c r="AH101" i="17" s="1"/>
  <c r="AG115" i="17"/>
  <c r="AH115" i="17" s="1"/>
  <c r="AG12" i="16"/>
  <c r="AH12" i="16" s="1"/>
  <c r="AG24" i="16"/>
  <c r="AH24" i="16" s="1"/>
  <c r="AG36" i="16"/>
  <c r="AH36" i="16" s="1"/>
  <c r="AG80" i="16"/>
  <c r="AH80" i="16" s="1"/>
  <c r="O118" i="16"/>
  <c r="AG118" i="16" s="1"/>
  <c r="AH118" i="16" s="1"/>
  <c r="M123" i="16"/>
  <c r="AG6" i="16"/>
  <c r="AH6" i="16" s="1"/>
  <c r="AG34" i="16"/>
  <c r="AH34" i="16" s="1"/>
  <c r="AG58" i="16"/>
  <c r="AH58" i="16" s="1"/>
  <c r="AG61" i="16"/>
  <c r="AH61" i="16" s="1"/>
  <c r="AG71" i="16"/>
  <c r="AH71" i="16" s="1"/>
  <c r="AG73" i="16"/>
  <c r="AH73" i="16" s="1"/>
  <c r="AG109" i="16"/>
  <c r="AH109" i="16" s="1"/>
  <c r="N123" i="16"/>
  <c r="AG123" i="16" s="1"/>
  <c r="AH123" i="16" s="1"/>
  <c r="AH127" i="16"/>
  <c r="AG42" i="16"/>
  <c r="AH42" i="16" s="1"/>
  <c r="AG102" i="16"/>
  <c r="AH102" i="16" s="1"/>
  <c r="AG105" i="16"/>
  <c r="AH105" i="16" s="1"/>
  <c r="AG69" i="16"/>
  <c r="AH69" i="16" s="1"/>
  <c r="AG84" i="16"/>
  <c r="AH84" i="16" s="1"/>
  <c r="AG18" i="16"/>
  <c r="AH18" i="16" s="1"/>
  <c r="AG20" i="16"/>
  <c r="AH20" i="16" s="1"/>
  <c r="AG23" i="16"/>
  <c r="AH23" i="16" s="1"/>
  <c r="AG28" i="16"/>
  <c r="AH28" i="16" s="1"/>
  <c r="AG35" i="16"/>
  <c r="AH35" i="16" s="1"/>
  <c r="AG43" i="16"/>
  <c r="AH43" i="16" s="1"/>
  <c r="AG48" i="16"/>
  <c r="AH48" i="16" s="1"/>
  <c r="AG50" i="16"/>
  <c r="AH50" i="16" s="1"/>
  <c r="AG55" i="16"/>
  <c r="AH55" i="16" s="1"/>
  <c r="AG62" i="16"/>
  <c r="AH62" i="16" s="1"/>
  <c r="AG72" i="16"/>
  <c r="AH72" i="16" s="1"/>
  <c r="AG82" i="16"/>
  <c r="AH82" i="16" s="1"/>
  <c r="AG112" i="16"/>
  <c r="AH112" i="16" s="1"/>
  <c r="AG26" i="15"/>
  <c r="AH26" i="15" s="1"/>
  <c r="AG33" i="15"/>
  <c r="AH33" i="15" s="1"/>
  <c r="AG45" i="15"/>
  <c r="AH45" i="15" s="1"/>
  <c r="AG65" i="15"/>
  <c r="AH65" i="15" s="1"/>
  <c r="AG72" i="15"/>
  <c r="AH72" i="15" s="1"/>
  <c r="AG79" i="15"/>
  <c r="AH79" i="15" s="1"/>
  <c r="AG97" i="15"/>
  <c r="AH97" i="15" s="1"/>
  <c r="AG117" i="15"/>
  <c r="AH117" i="15" s="1"/>
  <c r="AG24" i="15"/>
  <c r="AH24" i="15" s="1"/>
  <c r="AG43" i="15"/>
  <c r="AH43" i="15" s="1"/>
  <c r="AG46" i="15"/>
  <c r="AH46" i="15" s="1"/>
  <c r="AG53" i="15"/>
  <c r="AH53" i="15" s="1"/>
  <c r="AG63" i="15"/>
  <c r="AH63" i="15" s="1"/>
  <c r="AG70" i="15"/>
  <c r="AH70" i="15" s="1"/>
  <c r="AG85" i="15"/>
  <c r="AH85" i="15" s="1"/>
  <c r="AG88" i="15"/>
  <c r="AH88" i="15" s="1"/>
  <c r="AG103" i="15"/>
  <c r="AH103" i="15" s="1"/>
  <c r="AG108" i="15"/>
  <c r="AH108" i="15" s="1"/>
  <c r="O69" i="15"/>
  <c r="AG69" i="15" s="1"/>
  <c r="AH69" i="15" s="1"/>
  <c r="AG10" i="15"/>
  <c r="AH10" i="15" s="1"/>
  <c r="AG15" i="15"/>
  <c r="AH15" i="15" s="1"/>
  <c r="O29" i="15"/>
  <c r="AG29" i="15" s="1"/>
  <c r="AH29" i="15" s="1"/>
  <c r="AG34" i="15"/>
  <c r="AH34" i="15" s="1"/>
  <c r="AG59" i="15"/>
  <c r="AH59" i="15" s="1"/>
  <c r="AG80" i="15"/>
  <c r="AH80" i="15" s="1"/>
  <c r="AG101" i="15"/>
  <c r="AH101" i="15" s="1"/>
  <c r="AG106" i="15"/>
  <c r="AH106" i="15" s="1"/>
  <c r="AG111" i="15"/>
  <c r="AH111" i="15" s="1"/>
  <c r="N13" i="15"/>
  <c r="AG18" i="15"/>
  <c r="AH18" i="15" s="1"/>
  <c r="AG25" i="15"/>
  <c r="AH25" i="15" s="1"/>
  <c r="AG37" i="15"/>
  <c r="AH37" i="15" s="1"/>
  <c r="AG44" i="15"/>
  <c r="AH44" i="15" s="1"/>
  <c r="AG47" i="15"/>
  <c r="AH47" i="15" s="1"/>
  <c r="M69" i="15"/>
  <c r="M76" i="15"/>
  <c r="AG86" i="15"/>
  <c r="AH86" i="15" s="1"/>
  <c r="AG76" i="15"/>
  <c r="AH76" i="15" s="1"/>
  <c r="AG6" i="15"/>
  <c r="AH6" i="15" s="1"/>
  <c r="AG11" i="15"/>
  <c r="AH11" i="15" s="1"/>
  <c r="AG23" i="15"/>
  <c r="AH23" i="15" s="1"/>
  <c r="AG42" i="15"/>
  <c r="AH42" i="15" s="1"/>
  <c r="AG55" i="15"/>
  <c r="AH55" i="15" s="1"/>
  <c r="AG62" i="15"/>
  <c r="AH62" i="15" s="1"/>
  <c r="O76" i="15"/>
  <c r="AG83" i="15"/>
  <c r="AH83" i="15" s="1"/>
  <c r="AG102" i="15"/>
  <c r="AH102" i="15" s="1"/>
  <c r="AG107" i="15"/>
  <c r="AH107" i="15" s="1"/>
  <c r="AG16" i="14"/>
  <c r="AH16" i="14" s="1"/>
  <c r="AG26" i="14"/>
  <c r="AH26" i="14" s="1"/>
  <c r="AG33" i="14"/>
  <c r="AH33" i="14" s="1"/>
  <c r="AG38" i="14"/>
  <c r="AH38" i="14" s="1"/>
  <c r="AG50" i="14"/>
  <c r="AH50" i="14" s="1"/>
  <c r="AG67" i="14"/>
  <c r="AH67" i="14" s="1"/>
  <c r="AG87" i="14"/>
  <c r="AH87" i="14" s="1"/>
  <c r="AG108" i="14"/>
  <c r="AH108" i="14" s="1"/>
  <c r="AG113" i="14"/>
  <c r="AH113" i="14" s="1"/>
  <c r="AG124" i="14"/>
  <c r="AH124" i="14" s="1"/>
  <c r="AG129" i="14"/>
  <c r="AH129" i="14" s="1"/>
  <c r="AG140" i="14"/>
  <c r="AH140" i="14" s="1"/>
  <c r="AG145" i="14"/>
  <c r="AH145" i="14" s="1"/>
  <c r="AG21" i="14"/>
  <c r="AH21" i="14" s="1"/>
  <c r="AG31" i="14"/>
  <c r="AH31" i="14" s="1"/>
  <c r="AG75" i="14"/>
  <c r="AH75" i="14" s="1"/>
  <c r="AG83" i="14"/>
  <c r="AH83" i="14" s="1"/>
  <c r="AG102" i="14"/>
  <c r="AH102" i="14" s="1"/>
  <c r="AG118" i="14"/>
  <c r="AH118" i="14" s="1"/>
  <c r="AG134" i="14"/>
  <c r="AH134" i="14" s="1"/>
  <c r="AG148" i="14"/>
  <c r="AH148" i="14" s="1"/>
  <c r="AG151" i="14"/>
  <c r="AH151" i="14" s="1"/>
  <c r="AG165" i="14"/>
  <c r="AH165" i="14" s="1"/>
  <c r="AG6" i="14"/>
  <c r="AH6" i="14" s="1"/>
  <c r="AG29" i="14"/>
  <c r="AH29" i="14" s="1"/>
  <c r="AG39" i="14"/>
  <c r="AH39" i="14" s="1"/>
  <c r="AG53" i="14"/>
  <c r="AH53" i="14" s="1"/>
  <c r="M88" i="14"/>
  <c r="AG91" i="14"/>
  <c r="AH91" i="14" s="1"/>
  <c r="AG98" i="14"/>
  <c r="AH98" i="14" s="1"/>
  <c r="AG107" i="14"/>
  <c r="AH107" i="14" s="1"/>
  <c r="AG109" i="14"/>
  <c r="AH109" i="14" s="1"/>
  <c r="AG114" i="14"/>
  <c r="AH114" i="14" s="1"/>
  <c r="AG123" i="14"/>
  <c r="AH123" i="14" s="1"/>
  <c r="AG125" i="14"/>
  <c r="AH125" i="14" s="1"/>
  <c r="AG130" i="14"/>
  <c r="AH130" i="14" s="1"/>
  <c r="N143" i="14"/>
  <c r="K166" i="14"/>
  <c r="AG10" i="14"/>
  <c r="AH10" i="14" s="1"/>
  <c r="AG22" i="14"/>
  <c r="AH22" i="14" s="1"/>
  <c r="AG32" i="14"/>
  <c r="AH32" i="14" s="1"/>
  <c r="AG42" i="14"/>
  <c r="AH42" i="14" s="1"/>
  <c r="AG58" i="14"/>
  <c r="AH58" i="14" s="1"/>
  <c r="AG71" i="14"/>
  <c r="AH71" i="14" s="1"/>
  <c r="AG76" i="14"/>
  <c r="AH76" i="14" s="1"/>
  <c r="AG79" i="14"/>
  <c r="AH79" i="14" s="1"/>
  <c r="AG105" i="14"/>
  <c r="AH105" i="14" s="1"/>
  <c r="AG121" i="14"/>
  <c r="AH121" i="14" s="1"/>
  <c r="M137" i="14"/>
  <c r="AG146" i="14"/>
  <c r="AH146" i="14" s="1"/>
  <c r="AG154" i="14"/>
  <c r="AH154" i="14" s="1"/>
  <c r="AG137" i="14"/>
  <c r="AH137" i="14" s="1"/>
  <c r="AG8" i="14"/>
  <c r="AH8" i="14" s="1"/>
  <c r="AG18" i="14"/>
  <c r="AH18" i="14" s="1"/>
  <c r="AG25" i="14"/>
  <c r="AH25" i="14" s="1"/>
  <c r="AG30" i="14"/>
  <c r="AH30" i="14" s="1"/>
  <c r="AG40" i="14"/>
  <c r="AH40" i="14" s="1"/>
  <c r="AG49" i="14"/>
  <c r="AH49" i="14" s="1"/>
  <c r="AG54" i="14"/>
  <c r="AH54" i="14" s="1"/>
  <c r="AG63" i="14"/>
  <c r="AH63" i="14" s="1"/>
  <c r="AG157" i="14"/>
  <c r="AH157" i="14" s="1"/>
  <c r="AG162" i="14"/>
  <c r="AH162" i="14" s="1"/>
  <c r="AG15" i="13"/>
  <c r="AH15" i="13" s="1"/>
  <c r="AG72" i="13"/>
  <c r="AH72" i="13" s="1"/>
  <c r="M77" i="13"/>
  <c r="AG92" i="13"/>
  <c r="AH92" i="13" s="1"/>
  <c r="AG13" i="13"/>
  <c r="AH13" i="13" s="1"/>
  <c r="AG28" i="13"/>
  <c r="AH28" i="13" s="1"/>
  <c r="AG38" i="13"/>
  <c r="AH38" i="13" s="1"/>
  <c r="AG45" i="13"/>
  <c r="AH45" i="13" s="1"/>
  <c r="AG50" i="13"/>
  <c r="AH50" i="13" s="1"/>
  <c r="AG60" i="13"/>
  <c r="AH60" i="13" s="1"/>
  <c r="AG70" i="13"/>
  <c r="AH70" i="13" s="1"/>
  <c r="AG90" i="13"/>
  <c r="AH90" i="13" s="1"/>
  <c r="AG107" i="13"/>
  <c r="AH107" i="13" s="1"/>
  <c r="M24" i="13"/>
  <c r="AG53" i="13"/>
  <c r="AH53" i="13" s="1"/>
  <c r="AG115" i="13"/>
  <c r="AH115" i="13" s="1"/>
  <c r="AG14" i="13"/>
  <c r="AH14" i="13" s="1"/>
  <c r="AG103" i="13"/>
  <c r="AH103" i="13" s="1"/>
  <c r="O24" i="13"/>
  <c r="AG24" i="13" s="1"/>
  <c r="AH24" i="13" s="1"/>
  <c r="AG29" i="13"/>
  <c r="AH29" i="13" s="1"/>
  <c r="AG61" i="13"/>
  <c r="AH61" i="13" s="1"/>
  <c r="AG64" i="13"/>
  <c r="AH64" i="13" s="1"/>
  <c r="AG76" i="13"/>
  <c r="AH76" i="13" s="1"/>
  <c r="O78" i="13"/>
  <c r="AG78" i="13" s="1"/>
  <c r="AH78" i="13" s="1"/>
  <c r="AG83" i="13"/>
  <c r="AH83" i="13" s="1"/>
  <c r="M89" i="13"/>
  <c r="M96" i="13"/>
  <c r="AG101" i="13"/>
  <c r="AH101" i="13" s="1"/>
  <c r="AG7" i="13"/>
  <c r="AH7" i="13" s="1"/>
  <c r="AG12" i="13"/>
  <c r="AH12" i="13" s="1"/>
  <c r="N22" i="13"/>
  <c r="AG27" i="13"/>
  <c r="AH27" i="13" s="1"/>
  <c r="AG49" i="13"/>
  <c r="AH49" i="13" s="1"/>
  <c r="AG59" i="13"/>
  <c r="AH59" i="13" s="1"/>
  <c r="AG69" i="13"/>
  <c r="AH69" i="13" s="1"/>
  <c r="AG104" i="13"/>
  <c r="AH104" i="13" s="1"/>
  <c r="AG116" i="13"/>
  <c r="AH116" i="13" s="1"/>
  <c r="AG118" i="13"/>
  <c r="AH118" i="13" s="1"/>
  <c r="AG76" i="12"/>
  <c r="AH76" i="12" s="1"/>
  <c r="AG12" i="12"/>
  <c r="AH12" i="12" s="1"/>
  <c r="AG22" i="12"/>
  <c r="AH22" i="12" s="1"/>
  <c r="AG41" i="12"/>
  <c r="AH41" i="12" s="1"/>
  <c r="AG69" i="12"/>
  <c r="AH69" i="12" s="1"/>
  <c r="AG79" i="12"/>
  <c r="AH79" i="12" s="1"/>
  <c r="AG10" i="12"/>
  <c r="AH10" i="12" s="1"/>
  <c r="AG15" i="12"/>
  <c r="AH15" i="12" s="1"/>
  <c r="AG18" i="12"/>
  <c r="AH18" i="12" s="1"/>
  <c r="AG23" i="12"/>
  <c r="AH23" i="12" s="1"/>
  <c r="AG42" i="12"/>
  <c r="AH42" i="12" s="1"/>
  <c r="AG52" i="12"/>
  <c r="AH52" i="12" s="1"/>
  <c r="AG59" i="12"/>
  <c r="AH59" i="12" s="1"/>
  <c r="AG11" i="12"/>
  <c r="AH11" i="12" s="1"/>
  <c r="AG30" i="12"/>
  <c r="AH30" i="12" s="1"/>
  <c r="AG32" i="12"/>
  <c r="AH32" i="12" s="1"/>
  <c r="O35" i="12"/>
  <c r="O84" i="12" s="1"/>
  <c r="AG40" i="12"/>
  <c r="AH40" i="12" s="1"/>
  <c r="AG50" i="12"/>
  <c r="AH50" i="12" s="1"/>
  <c r="AG60" i="12"/>
  <c r="AH60" i="12" s="1"/>
  <c r="AG68" i="12"/>
  <c r="AH68" i="12" s="1"/>
  <c r="AG62" i="12"/>
  <c r="AH62" i="12" s="1"/>
  <c r="AG9" i="12"/>
  <c r="AH9" i="12" s="1"/>
  <c r="AG16" i="12"/>
  <c r="AH16" i="12" s="1"/>
  <c r="AG19" i="12"/>
  <c r="AH19" i="12" s="1"/>
  <c r="AG21" i="12"/>
  <c r="AH21" i="12" s="1"/>
  <c r="AG53" i="12"/>
  <c r="AH53" i="12" s="1"/>
  <c r="AG71" i="12"/>
  <c r="AH71" i="12" s="1"/>
  <c r="AG83" i="12"/>
  <c r="AH83" i="12" s="1"/>
  <c r="AG8" i="11"/>
  <c r="AH8" i="11" s="1"/>
  <c r="AG6" i="11"/>
  <c r="AH6" i="11" s="1"/>
  <c r="M17" i="11"/>
  <c r="AG16" i="11"/>
  <c r="AH16" i="11" s="1"/>
  <c r="AG12" i="11"/>
  <c r="AH12" i="11" s="1"/>
  <c r="AG38" i="10"/>
  <c r="AH38" i="10" s="1"/>
  <c r="AG43" i="10"/>
  <c r="AH43" i="10" s="1"/>
  <c r="AG57" i="10"/>
  <c r="AH57" i="10" s="1"/>
  <c r="AG62" i="10"/>
  <c r="AH62" i="10" s="1"/>
  <c r="AG6" i="10"/>
  <c r="AH6" i="10" s="1"/>
  <c r="AG16" i="10"/>
  <c r="AH16" i="10" s="1"/>
  <c r="M43" i="10"/>
  <c r="AG46" i="10"/>
  <c r="AH46" i="10" s="1"/>
  <c r="AG53" i="10"/>
  <c r="AH53" i="10" s="1"/>
  <c r="N70" i="10"/>
  <c r="AG70" i="10" s="1"/>
  <c r="AH70" i="10" s="1"/>
  <c r="AG7" i="10"/>
  <c r="AH7" i="10" s="1"/>
  <c r="AG14" i="10"/>
  <c r="AH14" i="10" s="1"/>
  <c r="N24" i="10"/>
  <c r="N77" i="10" s="1"/>
  <c r="AG27" i="10"/>
  <c r="AH27" i="10" s="1"/>
  <c r="N34" i="10"/>
  <c r="AG34" i="10" s="1"/>
  <c r="AH34" i="10" s="1"/>
  <c r="AG60" i="10"/>
  <c r="AH60" i="10" s="1"/>
  <c r="AG66" i="10"/>
  <c r="AH66" i="10" s="1"/>
  <c r="AG12" i="10"/>
  <c r="AH12" i="10" s="1"/>
  <c r="AG76" i="10"/>
  <c r="AH76" i="10" s="1"/>
  <c r="AG8" i="10"/>
  <c r="AH8" i="10" s="1"/>
  <c r="AG32" i="10"/>
  <c r="AH32" i="10" s="1"/>
  <c r="AG35" i="10"/>
  <c r="AH35" i="10" s="1"/>
  <c r="AG42" i="10"/>
  <c r="AH42" i="10" s="1"/>
  <c r="AG54" i="10"/>
  <c r="AH54" i="10" s="1"/>
  <c r="AG6" i="9"/>
  <c r="AH6" i="9" s="1"/>
  <c r="O9" i="8"/>
  <c r="AG9" i="8" s="1"/>
  <c r="AG49" i="8"/>
  <c r="AH49" i="8" s="1"/>
  <c r="AG38" i="8"/>
  <c r="AH38" i="8" s="1"/>
  <c r="AG67" i="8"/>
  <c r="AH67" i="8" s="1"/>
  <c r="AG10" i="8"/>
  <c r="AH10" i="8" s="1"/>
  <c r="AG36" i="8"/>
  <c r="AH36" i="8" s="1"/>
  <c r="AG64" i="8"/>
  <c r="AH64" i="8" s="1"/>
  <c r="AG68" i="8"/>
  <c r="AH68" i="8" s="1"/>
  <c r="AG20" i="8"/>
  <c r="AH20" i="8" s="1"/>
  <c r="AG6" i="8"/>
  <c r="AH6" i="8" s="1"/>
  <c r="M34" i="8"/>
  <c r="M69" i="8" s="1"/>
  <c r="AG39" i="8"/>
  <c r="AH39" i="8" s="1"/>
  <c r="AG48" i="8"/>
  <c r="AH48" i="8" s="1"/>
  <c r="AG55" i="8"/>
  <c r="AH55" i="8" s="1"/>
  <c r="AG13" i="8"/>
  <c r="AH13" i="8" s="1"/>
  <c r="AG17" i="8"/>
  <c r="AH17" i="8" s="1"/>
  <c r="AG37" i="8"/>
  <c r="AH37" i="8" s="1"/>
  <c r="AG44" i="8"/>
  <c r="AH44" i="8" s="1"/>
  <c r="AG51" i="8"/>
  <c r="AH51" i="8" s="1"/>
  <c r="AG26" i="8"/>
  <c r="AH26" i="8" s="1"/>
  <c r="AG40" i="8"/>
  <c r="AH40" i="8" s="1"/>
  <c r="AG9" i="7"/>
  <c r="AH9" i="7" s="1"/>
  <c r="AG22" i="7"/>
  <c r="AH22" i="7" s="1"/>
  <c r="AG24" i="7"/>
  <c r="AH24" i="7" s="1"/>
  <c r="AG32" i="7"/>
  <c r="AH32" i="7" s="1"/>
  <c r="AG44" i="7"/>
  <c r="AH44" i="7" s="1"/>
  <c r="AG65" i="7"/>
  <c r="AH65" i="7" s="1"/>
  <c r="AG74" i="7"/>
  <c r="AH74" i="7" s="1"/>
  <c r="AG78" i="7"/>
  <c r="AH78" i="7" s="1"/>
  <c r="AG10" i="7"/>
  <c r="AH10" i="7" s="1"/>
  <c r="AG25" i="7"/>
  <c r="AH25" i="7" s="1"/>
  <c r="N35" i="7"/>
  <c r="AG57" i="7"/>
  <c r="AH57" i="7" s="1"/>
  <c r="AG66" i="7"/>
  <c r="AH66" i="7" s="1"/>
  <c r="AG70" i="7"/>
  <c r="AH70" i="7" s="1"/>
  <c r="K79" i="7"/>
  <c r="AG14" i="7"/>
  <c r="AH14" i="7" s="1"/>
  <c r="AG16" i="7"/>
  <c r="AH16" i="7" s="1"/>
  <c r="AG36" i="7"/>
  <c r="AH36" i="7" s="1"/>
  <c r="AG38" i="7"/>
  <c r="AH38" i="7" s="1"/>
  <c r="N47" i="7"/>
  <c r="AG49" i="7"/>
  <c r="AH49" i="7" s="1"/>
  <c r="AG58" i="7"/>
  <c r="AH58" i="7" s="1"/>
  <c r="AG62" i="7"/>
  <c r="AH62" i="7" s="1"/>
  <c r="AG21" i="7"/>
  <c r="AH21" i="7" s="1"/>
  <c r="AG43" i="7"/>
  <c r="AH43" i="7" s="1"/>
  <c r="AG71" i="7"/>
  <c r="AH71" i="7" s="1"/>
  <c r="AG17" i="7"/>
  <c r="AH17" i="7" s="1"/>
  <c r="AG39" i="7"/>
  <c r="AH39" i="7" s="1"/>
  <c r="AG50" i="7"/>
  <c r="AH50" i="7" s="1"/>
  <c r="AG54" i="7"/>
  <c r="AH54" i="7" s="1"/>
  <c r="AG31" i="6"/>
  <c r="AH31" i="6" s="1"/>
  <c r="AG38" i="6"/>
  <c r="AH38" i="6" s="1"/>
  <c r="AG43" i="6"/>
  <c r="AH43" i="6" s="1"/>
  <c r="AG58" i="6"/>
  <c r="AH58" i="6" s="1"/>
  <c r="AG6" i="6"/>
  <c r="AH6" i="6" s="1"/>
  <c r="AG8" i="6"/>
  <c r="AH8" i="6" s="1"/>
  <c r="AG19" i="6"/>
  <c r="AH19" i="6" s="1"/>
  <c r="AG39" i="6"/>
  <c r="AH39" i="6" s="1"/>
  <c r="AG49" i="6"/>
  <c r="AH49" i="6" s="1"/>
  <c r="AG9" i="6"/>
  <c r="AH9" i="6" s="1"/>
  <c r="AG22" i="6"/>
  <c r="AH22" i="6" s="1"/>
  <c r="AG27" i="6"/>
  <c r="AH27" i="6" s="1"/>
  <c r="AG50" i="6"/>
  <c r="AH50" i="6" s="1"/>
  <c r="AG23" i="6"/>
  <c r="AH23" i="6" s="1"/>
  <c r="AG30" i="6"/>
  <c r="AH30" i="6" s="1"/>
  <c r="AG35" i="6"/>
  <c r="AH35" i="6" s="1"/>
  <c r="AG42" i="6"/>
  <c r="AH42" i="6" s="1"/>
  <c r="AG55" i="6"/>
  <c r="AH55" i="6" s="1"/>
  <c r="AG57" i="6"/>
  <c r="AH57" i="6" s="1"/>
  <c r="N22" i="5"/>
  <c r="AG14" i="5"/>
  <c r="AH14" i="5" s="1"/>
  <c r="AG19" i="5"/>
  <c r="AH19" i="5" s="1"/>
  <c r="M22" i="5"/>
  <c r="AG12" i="5"/>
  <c r="AH12" i="5" s="1"/>
  <c r="AG17" i="5"/>
  <c r="AH17" i="5" s="1"/>
  <c r="O22" i="5"/>
  <c r="AG20" i="5"/>
  <c r="AH20" i="5" s="1"/>
  <c r="AG6" i="5"/>
  <c r="AH6" i="5" s="1"/>
  <c r="AG11" i="5"/>
  <c r="AH11" i="5" s="1"/>
  <c r="AG5" i="4"/>
  <c r="AH5" i="4" s="1"/>
  <c r="AH20" i="4" s="1"/>
  <c r="AG10" i="4"/>
  <c r="AH10" i="4" s="1"/>
  <c r="AG18" i="4"/>
  <c r="AH18" i="4" s="1"/>
  <c r="N20" i="4"/>
  <c r="AG11" i="4"/>
  <c r="AH11" i="4" s="1"/>
  <c r="AG14" i="4"/>
  <c r="AH14" i="4" s="1"/>
  <c r="AG9" i="4"/>
  <c r="AH9" i="4" s="1"/>
  <c r="AG19" i="4"/>
  <c r="AH19" i="4" s="1"/>
  <c r="M20" i="4"/>
  <c r="AG7" i="3"/>
  <c r="AH7" i="3" s="1"/>
  <c r="M9" i="3"/>
  <c r="AG9" i="2"/>
  <c r="AH9" i="2" s="1"/>
  <c r="AG29" i="2"/>
  <c r="AH29" i="2" s="1"/>
  <c r="AG34" i="2"/>
  <c r="AH34" i="2" s="1"/>
  <c r="AG50" i="2"/>
  <c r="AH50" i="2" s="1"/>
  <c r="AG57" i="2"/>
  <c r="AH57" i="2" s="1"/>
  <c r="N63" i="2"/>
  <c r="AG73" i="2"/>
  <c r="AH73" i="2" s="1"/>
  <c r="AG81" i="2"/>
  <c r="AH81" i="2" s="1"/>
  <c r="AG18" i="2"/>
  <c r="AH18" i="2" s="1"/>
  <c r="AG27" i="2"/>
  <c r="AH27" i="2" s="1"/>
  <c r="AG45" i="2"/>
  <c r="AH45" i="2" s="1"/>
  <c r="AG55" i="2"/>
  <c r="AH55" i="2" s="1"/>
  <c r="AG71" i="2"/>
  <c r="AH71" i="2" s="1"/>
  <c r="AG5" i="2"/>
  <c r="N23" i="2"/>
  <c r="AG23" i="2" s="1"/>
  <c r="AH23" i="2" s="1"/>
  <c r="AG30" i="2"/>
  <c r="AH30" i="2" s="1"/>
  <c r="AG35" i="2"/>
  <c r="AH35" i="2" s="1"/>
  <c r="AG48" i="2"/>
  <c r="AH48" i="2" s="1"/>
  <c r="AG53" i="2"/>
  <c r="AH53" i="2" s="1"/>
  <c r="AG67" i="2"/>
  <c r="AH67" i="2" s="1"/>
  <c r="AG74" i="2"/>
  <c r="AH74" i="2" s="1"/>
  <c r="M82" i="2"/>
  <c r="N13" i="2"/>
  <c r="AG13" i="2" s="1"/>
  <c r="AH13" i="2" s="1"/>
  <c r="AG28" i="2"/>
  <c r="AH28" i="2" s="1"/>
  <c r="AG46" i="2"/>
  <c r="AH46" i="2" s="1"/>
  <c r="AG59" i="2"/>
  <c r="AH59" i="2" s="1"/>
  <c r="AG72" i="2"/>
  <c r="AH72" i="2" s="1"/>
  <c r="N82" i="2"/>
  <c r="AG82" i="2" s="1"/>
  <c r="AH82" i="2" s="1"/>
  <c r="AG87" i="2"/>
  <c r="AH87" i="2" s="1"/>
  <c r="AG11" i="2"/>
  <c r="AH11" i="2" s="1"/>
  <c r="AG14" i="2"/>
  <c r="AH14" i="2" s="1"/>
  <c r="AG26" i="2"/>
  <c r="AH26" i="2" s="1"/>
  <c r="AG42" i="2"/>
  <c r="AH42" i="2" s="1"/>
  <c r="AG49" i="2"/>
  <c r="AH49" i="2" s="1"/>
  <c r="AG54" i="2"/>
  <c r="AH54" i="2" s="1"/>
  <c r="AG62" i="2"/>
  <c r="AH62" i="2" s="1"/>
  <c r="AG65" i="2"/>
  <c r="AH65" i="2" s="1"/>
  <c r="AG70" i="2"/>
  <c r="AH70" i="2" s="1"/>
  <c r="N85" i="2"/>
  <c r="AG85" i="2" s="1"/>
  <c r="AH85" i="2" s="1"/>
  <c r="AG10" i="1"/>
  <c r="AH10" i="1" s="1"/>
  <c r="AG18" i="1"/>
  <c r="AH18" i="1" s="1"/>
  <c r="AG48" i="1"/>
  <c r="AH48" i="1" s="1"/>
  <c r="AG65" i="1"/>
  <c r="AH65" i="1" s="1"/>
  <c r="AG70" i="1"/>
  <c r="AH70" i="1" s="1"/>
  <c r="AG75" i="1"/>
  <c r="AH75" i="1" s="1"/>
  <c r="O93" i="1"/>
  <c r="AG93" i="1" s="1"/>
  <c r="AH93" i="1" s="1"/>
  <c r="AG73" i="1"/>
  <c r="AH73" i="1" s="1"/>
  <c r="M13" i="1"/>
  <c r="AG19" i="1"/>
  <c r="AH19" i="1" s="1"/>
  <c r="AG47" i="1"/>
  <c r="AH47" i="1" s="1"/>
  <c r="AG49" i="1"/>
  <c r="AH49" i="1" s="1"/>
  <c r="AG54" i="1"/>
  <c r="AH54" i="1" s="1"/>
  <c r="AG59" i="1"/>
  <c r="AH59" i="1" s="1"/>
  <c r="AG64" i="1"/>
  <c r="AH64" i="1" s="1"/>
  <c r="N74" i="1"/>
  <c r="AG74" i="1" s="1"/>
  <c r="AH74" i="1" s="1"/>
  <c r="AG76" i="1"/>
  <c r="AH76" i="1" s="1"/>
  <c r="AG8" i="1"/>
  <c r="AH8" i="1" s="1"/>
  <c r="N13" i="1"/>
  <c r="AG13" i="1" s="1"/>
  <c r="AH13" i="1" s="1"/>
  <c r="AG32" i="1"/>
  <c r="AH32" i="1" s="1"/>
  <c r="AG37" i="1"/>
  <c r="AH37" i="1" s="1"/>
  <c r="O74" i="1"/>
  <c r="AG7" i="1"/>
  <c r="AH7" i="1" s="1"/>
  <c r="AG45" i="1"/>
  <c r="AH45" i="1" s="1"/>
  <c r="AG57" i="1"/>
  <c r="AH57" i="1" s="1"/>
  <c r="AG62" i="1"/>
  <c r="AH62" i="1" s="1"/>
  <c r="AG67" i="1"/>
  <c r="AH67" i="1" s="1"/>
  <c r="AG72" i="1"/>
  <c r="AH72" i="1" s="1"/>
  <c r="AG81" i="1"/>
  <c r="AH81" i="1" s="1"/>
  <c r="AG90" i="1"/>
  <c r="AH90" i="1" s="1"/>
  <c r="AG63" i="2"/>
  <c r="AH63" i="2" s="1"/>
  <c r="AG20" i="4"/>
  <c r="AG5" i="1"/>
  <c r="M40" i="1"/>
  <c r="M95" i="1" s="1"/>
  <c r="O40" i="1"/>
  <c r="O95" i="1" s="1"/>
  <c r="N40" i="1"/>
  <c r="AG40" i="1" s="1"/>
  <c r="AH40" i="1" s="1"/>
  <c r="K95" i="1"/>
  <c r="AH5" i="2"/>
  <c r="M58" i="2"/>
  <c r="AG5" i="3"/>
  <c r="AG5" i="5"/>
  <c r="M36" i="2"/>
  <c r="M10" i="6"/>
  <c r="K59" i="6"/>
  <c r="N10" i="6"/>
  <c r="AH5" i="7"/>
  <c r="M23" i="1"/>
  <c r="N36" i="2"/>
  <c r="AG36" i="2" s="1"/>
  <c r="AH36" i="2" s="1"/>
  <c r="O58" i="2"/>
  <c r="O89" i="2" s="1"/>
  <c r="M77" i="2"/>
  <c r="AG7" i="5"/>
  <c r="AH7" i="5" s="1"/>
  <c r="O10" i="6"/>
  <c r="AG35" i="7"/>
  <c r="AH35" i="7" s="1"/>
  <c r="AG5" i="6"/>
  <c r="N23" i="1"/>
  <c r="AG23" i="1" s="1"/>
  <c r="AH23" i="1" s="1"/>
  <c r="M13" i="2"/>
  <c r="M89" i="2" s="1"/>
  <c r="M63" i="2"/>
  <c r="N77" i="2"/>
  <c r="AG77" i="2" s="1"/>
  <c r="AH77" i="2" s="1"/>
  <c r="K89" i="2"/>
  <c r="AG47" i="6"/>
  <c r="AH47" i="6" s="1"/>
  <c r="O20" i="4"/>
  <c r="O17" i="6"/>
  <c r="N17" i="6"/>
  <c r="AG47" i="7"/>
  <c r="AH47" i="7" s="1"/>
  <c r="AH5" i="9"/>
  <c r="AG12" i="2"/>
  <c r="AH12" i="2" s="1"/>
  <c r="M18" i="2"/>
  <c r="M17" i="6"/>
  <c r="M48" i="6"/>
  <c r="O48" i="6"/>
  <c r="N48" i="6"/>
  <c r="N26" i="7"/>
  <c r="O17" i="11"/>
  <c r="AH5" i="12"/>
  <c r="AH5" i="14"/>
  <c r="O26" i="7"/>
  <c r="O79" i="7" s="1"/>
  <c r="K69" i="8"/>
  <c r="M24" i="10"/>
  <c r="M77" i="10" s="1"/>
  <c r="M11" i="7"/>
  <c r="M79" i="7" s="1"/>
  <c r="N11" i="7"/>
  <c r="AH5" i="8"/>
  <c r="N34" i="8"/>
  <c r="AG34" i="8" s="1"/>
  <c r="AH34" i="8" s="1"/>
  <c r="O10" i="9"/>
  <c r="O24" i="10"/>
  <c r="O77" i="10" s="1"/>
  <c r="O11" i="7"/>
  <c r="M35" i="7"/>
  <c r="AG5" i="10"/>
  <c r="M34" i="10"/>
  <c r="AG5" i="11"/>
  <c r="N17" i="11"/>
  <c r="O17" i="12"/>
  <c r="AG17" i="12" s="1"/>
  <c r="O22" i="13"/>
  <c r="O120" i="13" s="1"/>
  <c r="M87" i="13"/>
  <c r="N96" i="13"/>
  <c r="AG96" i="13" s="1"/>
  <c r="AH96" i="13" s="1"/>
  <c r="M7" i="14"/>
  <c r="M66" i="14"/>
  <c r="AH5" i="16"/>
  <c r="N87" i="13"/>
  <c r="AG87" i="13" s="1"/>
  <c r="AH87" i="13" s="1"/>
  <c r="N7" i="14"/>
  <c r="N66" i="14"/>
  <c r="AG66" i="14" s="1"/>
  <c r="AH66" i="14" s="1"/>
  <c r="AG16" i="15"/>
  <c r="AH16" i="15" s="1"/>
  <c r="AG57" i="15"/>
  <c r="AH57" i="15" s="1"/>
  <c r="AG95" i="15"/>
  <c r="AH95" i="15" s="1"/>
  <c r="O39" i="16"/>
  <c r="N39" i="16"/>
  <c r="AG39" i="16" s="1"/>
  <c r="AH39" i="16" s="1"/>
  <c r="M39" i="16"/>
  <c r="M35" i="12"/>
  <c r="M64" i="13"/>
  <c r="M120" i="13" s="1"/>
  <c r="M78" i="13"/>
  <c r="K120" i="13"/>
  <c r="O7" i="14"/>
  <c r="AG68" i="14"/>
  <c r="AH68" i="14" s="1"/>
  <c r="AG94" i="14"/>
  <c r="AH94" i="14" s="1"/>
  <c r="AG35" i="15"/>
  <c r="AH35" i="15" s="1"/>
  <c r="AG71" i="15"/>
  <c r="AH71" i="15" s="1"/>
  <c r="K84" i="12"/>
  <c r="AG5" i="13"/>
  <c r="AG72" i="14"/>
  <c r="AH72" i="14" s="1"/>
  <c r="M78" i="14"/>
  <c r="O78" i="14"/>
  <c r="O166" i="14" s="1"/>
  <c r="AG90" i="14"/>
  <c r="AH90" i="14" s="1"/>
  <c r="N149" i="14"/>
  <c r="AG149" i="14" s="1"/>
  <c r="AH149" i="14" s="1"/>
  <c r="M149" i="14"/>
  <c r="K119" i="17"/>
  <c r="O13" i="17"/>
  <c r="N13" i="17"/>
  <c r="M13" i="17"/>
  <c r="M61" i="12"/>
  <c r="M166" i="14"/>
  <c r="AH5" i="15"/>
  <c r="O84" i="15"/>
  <c r="N84" i="15"/>
  <c r="M84" i="15"/>
  <c r="AG89" i="16"/>
  <c r="AH89" i="16" s="1"/>
  <c r="M17" i="12"/>
  <c r="M84" i="12" s="1"/>
  <c r="N61" i="12"/>
  <c r="AG61" i="12" s="1"/>
  <c r="AH61" i="12" s="1"/>
  <c r="O143" i="14"/>
  <c r="AG143" i="14" s="1"/>
  <c r="AH143" i="14" s="1"/>
  <c r="O13" i="15"/>
  <c r="AG13" i="15" s="1"/>
  <c r="AH13" i="15" s="1"/>
  <c r="O54" i="15"/>
  <c r="AG54" i="15" s="1"/>
  <c r="AH54" i="15" s="1"/>
  <c r="AG92" i="15"/>
  <c r="AH92" i="15" s="1"/>
  <c r="AG99" i="15"/>
  <c r="AH99" i="15" s="1"/>
  <c r="AG122" i="15"/>
  <c r="AH122" i="15" s="1"/>
  <c r="O22" i="16"/>
  <c r="N22" i="16"/>
  <c r="M22" i="16"/>
  <c r="AG37" i="16"/>
  <c r="AH37" i="16" s="1"/>
  <c r="AG120" i="16"/>
  <c r="AH120" i="16" s="1"/>
  <c r="AG85" i="17"/>
  <c r="AH85" i="17" s="1"/>
  <c r="O90" i="17"/>
  <c r="O119" i="17" s="1"/>
  <c r="N90" i="17"/>
  <c r="N88" i="14"/>
  <c r="AG88" i="14" s="1"/>
  <c r="AH88" i="14" s="1"/>
  <c r="AG96" i="15"/>
  <c r="AH96" i="15" s="1"/>
  <c r="AG29" i="16"/>
  <c r="AH29" i="16" s="1"/>
  <c r="AG30" i="17"/>
  <c r="AH30" i="17" s="1"/>
  <c r="AG52" i="17"/>
  <c r="AH52" i="17" s="1"/>
  <c r="M90" i="17"/>
  <c r="AG100" i="15"/>
  <c r="AH100" i="15" s="1"/>
  <c r="AG113" i="15"/>
  <c r="AH113" i="15" s="1"/>
  <c r="O77" i="16"/>
  <c r="N77" i="16"/>
  <c r="M77" i="16"/>
  <c r="AG86" i="16"/>
  <c r="AH86" i="16" s="1"/>
  <c r="AH5" i="17"/>
  <c r="AG63" i="17"/>
  <c r="AH63" i="17" s="1"/>
  <c r="AG77" i="17"/>
  <c r="AH77" i="17" s="1"/>
  <c r="K130" i="16"/>
  <c r="O103" i="16"/>
  <c r="N103" i="16"/>
  <c r="AG33" i="17"/>
  <c r="AH33" i="17" s="1"/>
  <c r="AG104" i="17"/>
  <c r="AH104" i="17" s="1"/>
  <c r="M46" i="15"/>
  <c r="M127" i="15" s="1"/>
  <c r="M88" i="15"/>
  <c r="M103" i="16"/>
  <c r="N127" i="15"/>
  <c r="M13" i="15"/>
  <c r="M101" i="15"/>
  <c r="J127" i="15"/>
  <c r="AG114" i="15"/>
  <c r="AH114" i="15" s="1"/>
  <c r="AG67" i="16"/>
  <c r="AH67" i="16" s="1"/>
  <c r="AG117" i="16"/>
  <c r="AH117" i="16" s="1"/>
  <c r="AG8" i="17"/>
  <c r="AH8" i="17" s="1"/>
  <c r="AG55" i="17"/>
  <c r="AH55" i="17" s="1"/>
  <c r="AG96" i="17"/>
  <c r="AH96" i="17" s="1"/>
  <c r="O109" i="17"/>
  <c r="N109" i="17"/>
  <c r="AG109" i="17" s="1"/>
  <c r="AH109" i="17" s="1"/>
  <c r="M96" i="16"/>
  <c r="M99" i="16"/>
  <c r="M127" i="16"/>
  <c r="M23" i="17"/>
  <c r="M70" i="17"/>
  <c r="N96" i="16"/>
  <c r="AG96" i="16" s="1"/>
  <c r="AH96" i="16" s="1"/>
  <c r="N99" i="16"/>
  <c r="AG99" i="16" s="1"/>
  <c r="AH99" i="16" s="1"/>
  <c r="M118" i="16"/>
  <c r="J130" i="16"/>
  <c r="N23" i="17"/>
  <c r="AG23" i="17" s="1"/>
  <c r="AH23" i="17" s="1"/>
  <c r="M31" i="17"/>
  <c r="M64" i="17"/>
  <c r="N70" i="17"/>
  <c r="AG70" i="17" s="1"/>
  <c r="AH70" i="17" s="1"/>
  <c r="M13" i="16"/>
  <c r="AG13" i="17" l="1"/>
  <c r="AH13" i="17" s="1"/>
  <c r="M119" i="17"/>
  <c r="AG103" i="16"/>
  <c r="AH103" i="16" s="1"/>
  <c r="M130" i="16"/>
  <c r="O130" i="16"/>
  <c r="O127" i="15"/>
  <c r="AG78" i="14"/>
  <c r="AH78" i="14" s="1"/>
  <c r="AG7" i="14"/>
  <c r="AH7" i="14" s="1"/>
  <c r="AH166" i="14" s="1"/>
  <c r="AG22" i="13"/>
  <c r="AH22" i="13" s="1"/>
  <c r="AG35" i="12"/>
  <c r="AH35" i="12" s="1"/>
  <c r="AH10" i="9"/>
  <c r="AG10" i="9"/>
  <c r="AH9" i="8"/>
  <c r="AH69" i="8" s="1"/>
  <c r="AG69" i="8"/>
  <c r="O69" i="8"/>
  <c r="AG11" i="7"/>
  <c r="AH11" i="7" s="1"/>
  <c r="M59" i="6"/>
  <c r="O59" i="6"/>
  <c r="AG17" i="6"/>
  <c r="AH17" i="6" s="1"/>
  <c r="N89" i="2"/>
  <c r="N95" i="1"/>
  <c r="AH17" i="12"/>
  <c r="AG84" i="12"/>
  <c r="AH5" i="10"/>
  <c r="AG26" i="7"/>
  <c r="AH26" i="7" s="1"/>
  <c r="AG24" i="10"/>
  <c r="AH24" i="10" s="1"/>
  <c r="AH5" i="6"/>
  <c r="AH127" i="15"/>
  <c r="N59" i="6"/>
  <c r="N69" i="8"/>
  <c r="AG58" i="2"/>
  <c r="AH58" i="2" s="1"/>
  <c r="AH89" i="2" s="1"/>
  <c r="N166" i="14"/>
  <c r="AG17" i="11"/>
  <c r="AH5" i="11"/>
  <c r="AH17" i="11" s="1"/>
  <c r="AG48" i="6"/>
  <c r="AH48" i="6" s="1"/>
  <c r="N79" i="7"/>
  <c r="AG22" i="5"/>
  <c r="AH5" i="5"/>
  <c r="AH22" i="5" s="1"/>
  <c r="N119" i="17"/>
  <c r="N130" i="16"/>
  <c r="AG77" i="16"/>
  <c r="AH77" i="16" s="1"/>
  <c r="N84" i="12"/>
  <c r="AG10" i="6"/>
  <c r="AH10" i="6" s="1"/>
  <c r="AG9" i="3"/>
  <c r="AH5" i="3"/>
  <c r="AH9" i="3" s="1"/>
  <c r="AH84" i="12"/>
  <c r="AG90" i="17"/>
  <c r="AH90" i="17" s="1"/>
  <c r="AH119" i="17" s="1"/>
  <c r="AG22" i="16"/>
  <c r="AG84" i="15"/>
  <c r="AH84" i="15" s="1"/>
  <c r="AH5" i="13"/>
  <c r="N120" i="13"/>
  <c r="AG95" i="1"/>
  <c r="AH5" i="1"/>
  <c r="AH95" i="1" s="1"/>
  <c r="AG127" i="15" l="1"/>
  <c r="AG166" i="14"/>
  <c r="AG120" i="13"/>
  <c r="AH120" i="13"/>
  <c r="AG79" i="7"/>
  <c r="AH79" i="7"/>
  <c r="AG89" i="2"/>
  <c r="AG119" i="17"/>
  <c r="AH59" i="6"/>
  <c r="AH22" i="16"/>
  <c r="AH130" i="16" s="1"/>
  <c r="AG130" i="16"/>
  <c r="AG59" i="6"/>
  <c r="AH77" i="10"/>
  <c r="AG77" i="10"/>
</calcChain>
</file>

<file path=xl/sharedStrings.xml><?xml version="1.0" encoding="utf-8"?>
<sst xmlns="http://schemas.openxmlformats.org/spreadsheetml/2006/main" count="4706" uniqueCount="1157">
  <si>
    <t>CO. NAME: TOSHCO INC</t>
  </si>
  <si>
    <t xml:space="preserve">Petty Cash </t>
  </si>
  <si>
    <t>For the Month Ended: January  2018</t>
  </si>
  <si>
    <t>6223-2</t>
  </si>
  <si>
    <t>6102-3</t>
  </si>
  <si>
    <t>Date</t>
  </si>
  <si>
    <t>PCV Number</t>
  </si>
  <si>
    <t>Payee</t>
  </si>
  <si>
    <t>TIN</t>
  </si>
  <si>
    <t>Address</t>
  </si>
  <si>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</si>
  <si>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</si>
  <si>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</si>
  <si>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</si>
  <si>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</si>
  <si>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</si>
  <si>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</si>
  <si>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</si>
  <si>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</si>
  <si>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</si>
  <si>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</si>
  <si>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</si>
  <si>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 xml:space="preserve">CLEANING </t>
  </si>
  <si>
    <t>PACKAGING</t>
  </si>
  <si>
    <t>OFFICE SUPPLIES</t>
  </si>
  <si>
    <t>GUEST SUPPLIES</t>
  </si>
  <si>
    <t>DECORS</t>
  </si>
  <si>
    <t>MEDICAL SUPPLIES</t>
  </si>
  <si>
    <t>WARES AND UTENSILS</t>
  </si>
  <si>
    <t>REPAIRS AND MAINTENANCE</t>
  </si>
  <si>
    <t>PHOTOCOPY</t>
  </si>
  <si>
    <t>TRANSPO</t>
  </si>
  <si>
    <t>SALARIES AND WAGES</t>
  </si>
  <si>
    <t>MARKETING</t>
  </si>
  <si>
    <t>MISC</t>
  </si>
  <si>
    <t>EMP MEAL</t>
  </si>
  <si>
    <t>Petty Cash</t>
  </si>
  <si>
    <t>3G MInistopConvinience store</t>
  </si>
  <si>
    <t>222-046-738-000</t>
  </si>
  <si>
    <t>Valero St Makati</t>
  </si>
  <si>
    <t>Tube Ice</t>
  </si>
  <si>
    <t>Evarlies Meatshop</t>
  </si>
  <si>
    <t>181-809-831-000</t>
  </si>
  <si>
    <t>Marikina City</t>
  </si>
  <si>
    <t>Pork Ribs,Chicken</t>
  </si>
  <si>
    <t>Angelo Sanchez</t>
  </si>
  <si>
    <t>Transpo going to Marikina Purchased Kitchen Stocks</t>
  </si>
  <si>
    <t>Kutz Trading</t>
  </si>
  <si>
    <t>100-738-311-000</t>
  </si>
  <si>
    <t>Novalichez QC</t>
  </si>
  <si>
    <t>Lettuce,Celery,Carrots,Kalamansi,Garlic etc.</t>
  </si>
  <si>
    <t>Rustans Supercenter Inc</t>
  </si>
  <si>
    <t>201-160-401-050</t>
  </si>
  <si>
    <t>Cheese,All Purpose Cream,Oreo Vanilla,Tofu</t>
  </si>
  <si>
    <t>Joy &amp; Gil Meat &amp; Veg Trading</t>
  </si>
  <si>
    <t>911-381-792-000</t>
  </si>
  <si>
    <t>Imus Cavite</t>
  </si>
  <si>
    <t>Eggs,Bell Pepper,Kalabasa,Cucumber</t>
  </si>
  <si>
    <t>Mango, Carrots,Potato,Eggplant</t>
  </si>
  <si>
    <t>Office Warehouse Inc</t>
  </si>
  <si>
    <t>200-492-462-008</t>
  </si>
  <si>
    <t>Paseo Center Makati City</t>
  </si>
  <si>
    <t>Inkcartridge</t>
  </si>
  <si>
    <t>The Landmark Corporation</t>
  </si>
  <si>
    <t>000-148-285-000</t>
  </si>
  <si>
    <t>Ayala Center, Makati City</t>
  </si>
  <si>
    <t>Broas,Wanton,Crab Paste,Vinegar etc</t>
  </si>
  <si>
    <t>Chicken &amp; Arugula</t>
  </si>
  <si>
    <t>Glenn Biarcal</t>
  </si>
  <si>
    <t>Transpo going to Killion Purchased Kitchen Stocks</t>
  </si>
  <si>
    <t>Kelgene International In</t>
  </si>
  <si>
    <t>211-612-468-000</t>
  </si>
  <si>
    <t>Quiapo Manila</t>
  </si>
  <si>
    <t>APC,Bread Flour,Anchovies,Breadcrumbs</t>
  </si>
  <si>
    <t>Molo Wrap,Chicken</t>
  </si>
  <si>
    <t>Basil,Bellpepper,Parsley,Ampalaya</t>
  </si>
  <si>
    <t>213-575-918-005</t>
  </si>
  <si>
    <t>Sen Gil Puyat Makati City</t>
  </si>
  <si>
    <t>Black Forrest Ham</t>
  </si>
  <si>
    <t xml:space="preserve">Chicken </t>
  </si>
  <si>
    <t>Waltermart Supermarket Inc</t>
  </si>
  <si>
    <t>003-501-787-001</t>
  </si>
  <si>
    <t>Ripe Mango</t>
  </si>
  <si>
    <t>Lettuce,Apple,Beef Brisket</t>
  </si>
  <si>
    <t>Mayo &amp; Cheese</t>
  </si>
  <si>
    <t>Lettuce,White Onion,Sweet Peas,Tomato</t>
  </si>
  <si>
    <t>Italian Seasoning</t>
  </si>
  <si>
    <t>Joy Dishwashing Liquid</t>
  </si>
  <si>
    <t>139-599-310-000</t>
  </si>
  <si>
    <t>San Roque Marikina</t>
  </si>
  <si>
    <t>Bacon</t>
  </si>
  <si>
    <t>Transpo purchased kitchen stocks in marikina</t>
  </si>
  <si>
    <t>Philippine Red Cross</t>
  </si>
  <si>
    <t>000-804-271-000</t>
  </si>
  <si>
    <t>Bonifacio Drive Manila</t>
  </si>
  <si>
    <t>First Aid Training Fee</t>
  </si>
  <si>
    <t>Joyce Dino</t>
  </si>
  <si>
    <t xml:space="preserve">Meals </t>
  </si>
  <si>
    <t>Mango,Apple,Lemon</t>
  </si>
  <si>
    <t>Calamansi, Tomato,Tofu</t>
  </si>
  <si>
    <t>Leo Genil</t>
  </si>
  <si>
    <t>PC re-format</t>
  </si>
  <si>
    <t>Mango &amp; Orange Juice for Picasso</t>
  </si>
  <si>
    <t>Transpo going to Foodzone</t>
  </si>
  <si>
    <t>Foodzone Inc</t>
  </si>
  <si>
    <t>004-846-011-000</t>
  </si>
  <si>
    <t>Old Zuniga Mandaluyong City</t>
  </si>
  <si>
    <t>Pizza Cheese</t>
  </si>
  <si>
    <t>Sardines</t>
  </si>
  <si>
    <t>Boneless Bangus,Lettuce</t>
  </si>
  <si>
    <t>Garlic Longganiza,Sardines,Fudge Cream,Macaroni</t>
  </si>
  <si>
    <t>Joy &amp; Gil Meat &amp; Vegetable Trading</t>
  </si>
  <si>
    <t>Porkchop &amp; Liempo</t>
  </si>
  <si>
    <t>Pork Belly</t>
  </si>
  <si>
    <t>Sugar &amp; Ketchup</t>
  </si>
  <si>
    <t>Glade Air Freshener</t>
  </si>
  <si>
    <t>3G Ministop Convinience Store</t>
  </si>
  <si>
    <t>Transpo going to Shopwise</t>
  </si>
  <si>
    <t>Information Managers Inc</t>
  </si>
  <si>
    <t>000-124-743-000</t>
  </si>
  <si>
    <t>Makati City</t>
  </si>
  <si>
    <t>Installation of Ticktock</t>
  </si>
  <si>
    <t>Mayo &amp; Tomato</t>
  </si>
  <si>
    <t>Shah Bonn Jadd Gen Merchandise</t>
  </si>
  <si>
    <t>106-228-027-000</t>
  </si>
  <si>
    <t>Guadalupe Makati</t>
  </si>
  <si>
    <t>Paper Cup</t>
  </si>
  <si>
    <t>3G Mini Stop Convinience Store</t>
  </si>
  <si>
    <t>Tube ice</t>
  </si>
  <si>
    <t>Oregano Powder</t>
  </si>
  <si>
    <t>Cloud 9,Broas,Cocoa Powder</t>
  </si>
  <si>
    <t>Dishwashing Liquid</t>
  </si>
  <si>
    <t>Pork Ribs,Chicken Legs,Bacon</t>
  </si>
  <si>
    <t>Solewater Marketing</t>
  </si>
  <si>
    <t>147-183-753-000</t>
  </si>
  <si>
    <t>Water Filer (3 way set)</t>
  </si>
  <si>
    <t>Transpo going to Solewater</t>
  </si>
  <si>
    <t>200-492-462-000</t>
  </si>
  <si>
    <t>Correction Tape,Sticker Paper</t>
  </si>
  <si>
    <t>Boneless Bangus</t>
  </si>
  <si>
    <t>Crab Paste, Sardines,Mayo</t>
  </si>
  <si>
    <t>Retouch Office Products Inc</t>
  </si>
  <si>
    <t>230-639-969-000</t>
  </si>
  <si>
    <t>Binondo Manila</t>
  </si>
  <si>
    <t>EPS Ribbon for POS Printer</t>
  </si>
  <si>
    <t>Transpo purchased POS Ribbon</t>
  </si>
  <si>
    <t>Mandaluyong City</t>
  </si>
  <si>
    <t>Pizza Cheese &amp; Mayo</t>
  </si>
  <si>
    <t>Eggs</t>
  </si>
  <si>
    <t>Iodized Salt &amp; Graham Cracker</t>
  </si>
  <si>
    <t>Six Three Seven Novelty Store</t>
  </si>
  <si>
    <t>202-115-126-000</t>
  </si>
  <si>
    <t>Tondo Manila</t>
  </si>
  <si>
    <t>Soup Canester</t>
  </si>
  <si>
    <t>Mix Taste Gen Merchandise</t>
  </si>
  <si>
    <t>412-883-710-000</t>
  </si>
  <si>
    <t>San Nicolas Manila</t>
  </si>
  <si>
    <t>Cake Canester,Spring Pan</t>
  </si>
  <si>
    <t>Candles</t>
  </si>
  <si>
    <t>Cream Cheese</t>
  </si>
  <si>
    <t>.</t>
  </si>
  <si>
    <t>Transpo going to Divisoria</t>
  </si>
  <si>
    <t>Joy &amp; Gil Meat &amp; Veg Dealer</t>
  </si>
  <si>
    <t>Liempo &amp; Srimp</t>
  </si>
  <si>
    <t>Scotch Tape,Ballpen,Pentel Pen</t>
  </si>
  <si>
    <t>Smoked Bangus,Cayenne Powder,Beef Brisket</t>
  </si>
  <si>
    <t>Crab Paste,Sardines,Elbow Macaroni,Iodized Salt,Garlic Longaniza</t>
  </si>
  <si>
    <t>Sha Bonn Jadd Gen Merchandise</t>
  </si>
  <si>
    <t>106-226-027+000</t>
  </si>
  <si>
    <t>Plastic Fork,Meal Bag,Paper Bag,Sando Plastic</t>
  </si>
  <si>
    <t>Transpo going to Guadalupe</t>
  </si>
  <si>
    <t>Hunts Tomato Sauce</t>
  </si>
  <si>
    <t>Pork Ribs</t>
  </si>
  <si>
    <t>Transpo going to Marikina</t>
  </si>
  <si>
    <t>Continental Sales Inc</t>
  </si>
  <si>
    <t>Quezon City</t>
  </si>
  <si>
    <t>Service Fee for Check up of Chest Freezer</t>
  </si>
  <si>
    <t>Carrots &amp; Native Tomato</t>
  </si>
  <si>
    <t>Photocopy of Sizzle It Receipt</t>
  </si>
  <si>
    <t>Linguine,Penne,Angel Hair</t>
  </si>
  <si>
    <t>Kelgene International Inc</t>
  </si>
  <si>
    <t>Assorted Groceries</t>
  </si>
  <si>
    <t>Transpo going to Kelgene</t>
  </si>
  <si>
    <t>Inovatronix Inc</t>
  </si>
  <si>
    <t>000-097-447-029</t>
  </si>
  <si>
    <t>Photo Printing of Valentines POP's</t>
  </si>
  <si>
    <t>Pancit Palabok for Annual Meeting</t>
  </si>
  <si>
    <t>Eco Bag</t>
  </si>
  <si>
    <t>Vessels Church</t>
  </si>
  <si>
    <t>Love Offering</t>
  </si>
  <si>
    <t>Transpo going to Head Office</t>
  </si>
  <si>
    <t>Chicken &amp; Brisket</t>
  </si>
  <si>
    <t>Vinegar,Soy Sauce,Ketchup,Lea &amp; Perrins</t>
  </si>
  <si>
    <t>For the Month Ended: February  2018</t>
  </si>
  <si>
    <t>Correction Tape,Binder Clip</t>
  </si>
  <si>
    <t>Softdriinks (Annual Meeting)</t>
  </si>
  <si>
    <t>Transpo purchased kitchen stocks in Marikina</t>
  </si>
  <si>
    <t>Bread Flour &amp; All Purpose Cream</t>
  </si>
  <si>
    <t>Manila Bambi Foods Company</t>
  </si>
  <si>
    <t>202-584-709-000</t>
  </si>
  <si>
    <t>Paco Manila</t>
  </si>
  <si>
    <t>Nacho Chips</t>
  </si>
  <si>
    <t>Earles Delicatessen</t>
  </si>
  <si>
    <t>213-575-819-005</t>
  </si>
  <si>
    <t>Gil Puyat Makati City</t>
  </si>
  <si>
    <t>Hungarian &amp; Black Forrest Ham</t>
  </si>
  <si>
    <t>Green Peas &amp; Chicken Fillet</t>
  </si>
  <si>
    <t>Oreo Baking Powder,Mango Puree,Sardines</t>
  </si>
  <si>
    <t>Transpo going to Makati City Hall &amp; Purchased Stocks in Manila Bambi</t>
  </si>
  <si>
    <t>Condura Express Service Makati City</t>
  </si>
  <si>
    <t>002-284-007-000</t>
  </si>
  <si>
    <t>Check up ACU Function Room</t>
  </si>
  <si>
    <t>Alcohol</t>
  </si>
  <si>
    <t>Photocopy of Inventory Form</t>
  </si>
  <si>
    <t>Card Case,Correction Tape,Copy Paper</t>
  </si>
  <si>
    <t>Abmarac Corporation</t>
  </si>
  <si>
    <t>006-748-072-000</t>
  </si>
  <si>
    <t>Hot Sauce</t>
  </si>
  <si>
    <t>Pull Out &amp; Delivery Fee of Chest Freezer</t>
  </si>
  <si>
    <t>Native Tomato, Fresh Eggs</t>
  </si>
  <si>
    <t>All Purpose Cream,Artichoke,Alaska Condensed,Broas</t>
  </si>
  <si>
    <t>Beef Brisket,Sweet Peas</t>
  </si>
  <si>
    <t>Plate Bowl</t>
  </si>
  <si>
    <t>SM Mart Inc</t>
  </si>
  <si>
    <t>213-546-858-001</t>
  </si>
  <si>
    <t xml:space="preserve">Ramiken </t>
  </si>
  <si>
    <t>Love Offering Bible Service</t>
  </si>
  <si>
    <t>Managers Meeting transpo Allowance to H.O.</t>
  </si>
  <si>
    <t>Transpo going to Guadalupe purchased kitchen stocks, &amp; going to KCC office for SC signiture</t>
  </si>
  <si>
    <t>TOSH Marketing Department</t>
  </si>
  <si>
    <t>Payment for Ref Magnet Valentine Promo</t>
  </si>
  <si>
    <t>Nameplate</t>
  </si>
  <si>
    <t>Breadcrumbs</t>
  </si>
  <si>
    <t>Allowance Chef's Meeting</t>
  </si>
  <si>
    <t>Kolin Phils., International Inc</t>
  </si>
  <si>
    <t>004-660-225-000</t>
  </si>
  <si>
    <t>Guadalupe Nuevo Makati City</t>
  </si>
  <si>
    <t>Chiller Repair</t>
  </si>
  <si>
    <t>White Sugar,Apple</t>
  </si>
  <si>
    <t>Alluminum Foil</t>
  </si>
  <si>
    <t>Flour &amp; Salt</t>
  </si>
  <si>
    <t>Sardines,Fudge Cream,Crab Paste,Salt,Graham,Cheddar Cheese</t>
  </si>
  <si>
    <t>Beef Brisket,Boneless Bangus,Arugula</t>
  </si>
  <si>
    <t>Ink Cartridge</t>
  </si>
  <si>
    <t>Adaptor</t>
  </si>
  <si>
    <t>Tang Orange for Picasso Catering</t>
  </si>
  <si>
    <t>Evalies Meatshop</t>
  </si>
  <si>
    <t>Transpo purchsed kitchen stocks</t>
  </si>
  <si>
    <t>Joyce &amp; Gil Meat Vegetable Dealer</t>
  </si>
  <si>
    <t>Malagasang Imus Cavite</t>
  </si>
  <si>
    <t>Shrimp Gambas,Pork Maskara,Liempo</t>
  </si>
  <si>
    <t xml:space="preserve">Pizza Cheese,Mayonaise </t>
  </si>
  <si>
    <t>Transpo purchased Pizza Cheese in Mandaluyong</t>
  </si>
  <si>
    <t>Jayliens Toys &amp; Party Needs</t>
  </si>
  <si>
    <t>298-830-031-000</t>
  </si>
  <si>
    <t>Love Baloon &amp; Hand Pump for Valentine Decors</t>
  </si>
  <si>
    <t>Mix &amp; Taste General Merchandise</t>
  </si>
  <si>
    <t>Packaging Supplies</t>
  </si>
  <si>
    <t>Transpo purchased Decors to Divisoria</t>
  </si>
  <si>
    <t>Packaging Tape</t>
  </si>
  <si>
    <t>213-545-858-001</t>
  </si>
  <si>
    <t>Ayala Center Makati City</t>
  </si>
  <si>
    <t>Tea Light Candle for Valentiine Decors</t>
  </si>
  <si>
    <t>Cooks Exchange, Inc</t>
  </si>
  <si>
    <t>001-925-221-002</t>
  </si>
  <si>
    <t>Plastic Wrapping for Cake Display</t>
  </si>
  <si>
    <t>Ribbon Refill (Bundy Clock)</t>
  </si>
  <si>
    <t>Chicken,Beef Brisket</t>
  </si>
  <si>
    <t>Tea &amp; Splenda</t>
  </si>
  <si>
    <t>Tissue</t>
  </si>
  <si>
    <t>TOSH Marketing Dept.</t>
  </si>
  <si>
    <t>Ref Magnet (Valentine Promo)</t>
  </si>
  <si>
    <t>Shah-Bonn-Jadd Gen Merchandise</t>
  </si>
  <si>
    <t>106-226-027-000</t>
  </si>
  <si>
    <t>Canester,Sauce Cup</t>
  </si>
  <si>
    <t>Kitchen Towel</t>
  </si>
  <si>
    <t>Rustans Supermarket Fresh</t>
  </si>
  <si>
    <t>Valero St Makati City</t>
  </si>
  <si>
    <t>Tissue Roll</t>
  </si>
  <si>
    <t xml:space="preserve">Transpo </t>
  </si>
  <si>
    <t>Malaya Lumber</t>
  </si>
  <si>
    <t>000-164-259-000</t>
  </si>
  <si>
    <t>Poblacion Makati City</t>
  </si>
  <si>
    <t>THHN Wire for Generator Connection</t>
  </si>
  <si>
    <t>Innovatronix Incorporated</t>
  </si>
  <si>
    <t>Ayala Makati</t>
  </si>
  <si>
    <t>Photo Printing of POP's (Everyday Promo)</t>
  </si>
  <si>
    <t>Supervalue Inc</t>
  </si>
  <si>
    <t>000-144-476-000</t>
  </si>
  <si>
    <t>Orange &amp; Mango Juice</t>
  </si>
  <si>
    <t>Pepperoni</t>
  </si>
  <si>
    <t>Folder,Scotch Tape</t>
  </si>
  <si>
    <t>Smoked Bangus,Cayenne,Laurel,Tomato,Arugula</t>
  </si>
  <si>
    <t>Paprika,Ground Oregano,Broas,Cream Cheese,Sardines,Taba ng Talangka</t>
  </si>
  <si>
    <t>Almas Cold Cuts</t>
  </si>
  <si>
    <t>235-048-461-000</t>
  </si>
  <si>
    <t>Bacon bits</t>
  </si>
  <si>
    <t>Lettuce &amp; Eggs</t>
  </si>
  <si>
    <t>Condensed Milk,Graham,Lumpia Wrapper</t>
  </si>
  <si>
    <t>Beef Brisket,Lettuce,Lemon,Apple</t>
  </si>
  <si>
    <t>Graham,Broas</t>
  </si>
  <si>
    <t>Orange</t>
  </si>
  <si>
    <t>Ripe Mango,Apple &amp; Orange</t>
  </si>
  <si>
    <t>Pot Holder</t>
  </si>
  <si>
    <t>For the Month Ended: February 13-18,  2018</t>
  </si>
  <si>
    <t>Raymond Todio</t>
  </si>
  <si>
    <t>Materials c/o repair of circuit breaker</t>
  </si>
  <si>
    <t>Labor fee c/o repair of circuit breaker</t>
  </si>
  <si>
    <t>Materials c/o repair of kitchen sink and cooking table</t>
  </si>
  <si>
    <t>Labor fee c/o repair of sink table, grease trap &amp; cooking table</t>
  </si>
  <si>
    <t>DGJP Trucking Service</t>
  </si>
  <si>
    <t>Hauling service c/o pull out of sizzle it equipment</t>
  </si>
  <si>
    <t>Bonifacio A. Balingcong</t>
  </si>
  <si>
    <t xml:space="preserve">Hauling service c/o pull out of debris </t>
  </si>
  <si>
    <t>Silver Rose General Merchandise</t>
  </si>
  <si>
    <t>Materials c/o repair of sink table and grease trap</t>
  </si>
  <si>
    <t>Aced Hardware Philippines Inc.</t>
  </si>
  <si>
    <t>Faucet, 2 pcs (bar and kitchen)</t>
  </si>
  <si>
    <t>3G Mini Stop Convenience Store</t>
  </si>
  <si>
    <t>Sharmila Food Center, Inc.</t>
  </si>
  <si>
    <t>Employees Meal</t>
  </si>
  <si>
    <t>Mercury Drug Corporation</t>
  </si>
  <si>
    <t>Meal/snack for laborer</t>
  </si>
  <si>
    <t>For the Month Ended: February 2018</t>
  </si>
  <si>
    <t>Rey Todio</t>
  </si>
  <si>
    <t>ACU Repair (Function Area)</t>
  </si>
  <si>
    <t>For the Month Ended: March  2018</t>
  </si>
  <si>
    <t>Baguette Bread</t>
  </si>
  <si>
    <t>MERC Aicon Services</t>
  </si>
  <si>
    <t>305-850-749-000</t>
  </si>
  <si>
    <t>Las Pinas City</t>
  </si>
  <si>
    <t>ACU Check up</t>
  </si>
  <si>
    <t>Kahlua</t>
  </si>
  <si>
    <t>Crab Paste,Sardines,All Purpose Cream,Broas,Fudge Cream,</t>
  </si>
  <si>
    <t>Elbow Macaroni,Graham,Choey Choco,Cloud 9</t>
  </si>
  <si>
    <t>Jap Breadcrumbs</t>
  </si>
  <si>
    <t>Bacon Bits</t>
  </si>
  <si>
    <t>Transpo Purchased Kitchen Stocks in Marikina</t>
  </si>
  <si>
    <t>Coleman Prestige Service Center</t>
  </si>
  <si>
    <t>110-310-197-008</t>
  </si>
  <si>
    <t>Blender Parts &amp;Pitcher &amp; Blade)</t>
  </si>
  <si>
    <t>Blu Cheese,Spaghetti Pasta</t>
  </si>
  <si>
    <t>Smoked Bangus,Lettuce,Tomato</t>
  </si>
  <si>
    <t>Honey Maple Syrup</t>
  </si>
  <si>
    <t>Pepperoni,Garlic Longaniza,wanton,Spag Sauce,Soy Sauce,vinegar,Honey</t>
  </si>
  <si>
    <t>235-048-461-0000</t>
  </si>
  <si>
    <t>Photo Printing of POP's (Lenten Menu)</t>
  </si>
  <si>
    <t>Capri Artichoke &amp; Cream Cheese</t>
  </si>
  <si>
    <t>Fluorescent Light &amp; Water hose</t>
  </si>
  <si>
    <t>Advertisign Advertising</t>
  </si>
  <si>
    <t>TOSH PAYC Tarpaulin Printing</t>
  </si>
  <si>
    <t>Jeff Villanueva</t>
  </si>
  <si>
    <t>Transpo going to Printing Shop for PAYC Tarp</t>
  </si>
  <si>
    <t>Ace Hardware Philippines Inc</t>
  </si>
  <si>
    <t>200-035-311-021</t>
  </si>
  <si>
    <t>Air Freshener</t>
  </si>
  <si>
    <t>Grout,Metal Spreader,Electrical Tape</t>
  </si>
  <si>
    <t>Transpo going to KCC office for check signing</t>
  </si>
  <si>
    <t>SJ Gas &amp; Appliance Center Inc</t>
  </si>
  <si>
    <t>001-859-679-000</t>
  </si>
  <si>
    <t>Bagumbayan Taguig City</t>
  </si>
  <si>
    <t>Gas Payment c/o Sizzle It</t>
  </si>
  <si>
    <t>Taxii Fare -Purchased Plates</t>
  </si>
  <si>
    <t>Pizza Cheese &amp; Mayonnaise</t>
  </si>
  <si>
    <t>Transpo- Purchased Kitchen Stocks</t>
  </si>
  <si>
    <t>Plates</t>
  </si>
  <si>
    <t>Anson Emporium Corporation</t>
  </si>
  <si>
    <t>000-106-840-000</t>
  </si>
  <si>
    <t>Makati Ave</t>
  </si>
  <si>
    <t>Kettle</t>
  </si>
  <si>
    <t>Trashbag</t>
  </si>
  <si>
    <t>Pork Tenderloin</t>
  </si>
  <si>
    <t>Aluminum Foil</t>
  </si>
  <si>
    <t>Sardines,Crab Paste,Cream Cheese,Oreo Vanilla,Pepperoni</t>
  </si>
  <si>
    <t>Arugula,Beef Brisket,Boneless Bangus</t>
  </si>
  <si>
    <t>Sweet Peas,Smoked Bangus</t>
  </si>
  <si>
    <t>Katchup.Cornstarch,Paprika,Blu Cheese,Sardines etc.</t>
  </si>
  <si>
    <t>Anchovies</t>
  </si>
  <si>
    <t>000-388-474-486</t>
  </si>
  <si>
    <t>Syrnge</t>
  </si>
  <si>
    <t>Century Tune</t>
  </si>
  <si>
    <t>Shah Bonn Jadd Gen Merch.</t>
  </si>
  <si>
    <t>Guadalupe Makati City</t>
  </si>
  <si>
    <t>Pizza Box</t>
  </si>
  <si>
    <t>Transpo purchased Packaging Materials</t>
  </si>
  <si>
    <t>Nacho Chips,APF,Bread Flour,Anchovies,White Sugar,Tuna</t>
  </si>
  <si>
    <t xml:space="preserve">Transpo Purchased Kitchen Stocks </t>
  </si>
  <si>
    <t>American Lemon</t>
  </si>
  <si>
    <t>For the Month Ended: April  2018</t>
  </si>
  <si>
    <t>Condura Express Service Makati</t>
  </si>
  <si>
    <t>ACU Cleaning</t>
  </si>
  <si>
    <t>Doormats</t>
  </si>
  <si>
    <t>Pork Ribs,Bacon</t>
  </si>
  <si>
    <t>Grenadine</t>
  </si>
  <si>
    <t>Beef Brisket,Arugula &amp; Sweet Peas</t>
  </si>
  <si>
    <t>Sardines,Crab Paste,Broas,Oreo Vanilla,Cheddar Cheese,Sugar</t>
  </si>
  <si>
    <t>Officewarehouse Inc</t>
  </si>
  <si>
    <t>Paseo Center Makati</t>
  </si>
  <si>
    <t>Globalhome Tile Corporation</t>
  </si>
  <si>
    <t>008-425-774-006</t>
  </si>
  <si>
    <t>Macapagal Blvd Pasay City</t>
  </si>
  <si>
    <t>Floor Tiles</t>
  </si>
  <si>
    <t>Transpo purchesd floor tiles</t>
  </si>
  <si>
    <t>Copy Paper</t>
  </si>
  <si>
    <t>Tomato</t>
  </si>
  <si>
    <t>Cream Cheese,Oreo Vanilla</t>
  </si>
  <si>
    <t>Ribbon Printer,Scotch Tape,Ballpen</t>
  </si>
  <si>
    <t>Surf Bar</t>
  </si>
  <si>
    <t>Ace Hardware Phils., Inc</t>
  </si>
  <si>
    <t>200-036-311-021</t>
  </si>
  <si>
    <t>Door Catches</t>
  </si>
  <si>
    <t>Weighing Scale</t>
  </si>
  <si>
    <t>Mixed Veggies,Lettuce,Smoked Bangus</t>
  </si>
  <si>
    <t>Molo Wrapper,Condensed Milk</t>
  </si>
  <si>
    <t>Photocopy of Fire Permit</t>
  </si>
  <si>
    <t>Issacar Arel</t>
  </si>
  <si>
    <t>Transpo going to Head Office pick up Checks Disbursement</t>
  </si>
  <si>
    <t>Transpo going to KCC office for Payroll Signiture</t>
  </si>
  <si>
    <t>Folder,Correction Tape,Paper Clip,Rubberband</t>
  </si>
  <si>
    <t>Transpo Purchased kitchen Stocks</t>
  </si>
  <si>
    <t>Plastic Labo</t>
  </si>
  <si>
    <t>Beef Brisket,Oregano powder</t>
  </si>
  <si>
    <t>Choco Fudge Cream,Sardines,Graham,Lipton Tea,Broas</t>
  </si>
  <si>
    <t>000-388-474-0486</t>
  </si>
  <si>
    <t>Chef's Meeting Allowance (Food Demo)</t>
  </si>
  <si>
    <t>Manager's Meeting (Mansup)</t>
  </si>
  <si>
    <t>Chuan Hong Glassware</t>
  </si>
  <si>
    <t>106-268-748-000</t>
  </si>
  <si>
    <t>Food Keeper (Tosh Party Pans)</t>
  </si>
  <si>
    <t>Transpo Purchased Packaging Materials</t>
  </si>
  <si>
    <t>Pineapple Chunks</t>
  </si>
  <si>
    <t>Sand Paper</t>
  </si>
  <si>
    <t>Transpo going to Makati City Hall</t>
  </si>
  <si>
    <t>French Baguette</t>
  </si>
  <si>
    <t>Arugula</t>
  </si>
  <si>
    <t>Broas,Papperoni,Sweet Ham,Sardiines,Crab Paste etc.</t>
  </si>
  <si>
    <t>Fresh Eggs</t>
  </si>
  <si>
    <t>Centrohome Hardware</t>
  </si>
  <si>
    <t>493-081-470-000</t>
  </si>
  <si>
    <t>Padlock</t>
  </si>
  <si>
    <t>Grout</t>
  </si>
  <si>
    <t>New Quepe Hardware Co., Inc</t>
  </si>
  <si>
    <t>000-304-634-000</t>
  </si>
  <si>
    <t>Pasay City</t>
  </si>
  <si>
    <t>Paint</t>
  </si>
  <si>
    <t>Mckinley Gen Merchandise</t>
  </si>
  <si>
    <t>191-402-031-000</t>
  </si>
  <si>
    <t>Poblacio Makati City</t>
  </si>
  <si>
    <t>Steel Chain</t>
  </si>
  <si>
    <t>Transpo going to Hardware</t>
  </si>
  <si>
    <t>Safeguard Soap</t>
  </si>
  <si>
    <t>Black Forest Ham</t>
  </si>
  <si>
    <t>Artichoke</t>
  </si>
  <si>
    <t>Photocopy of DOLE Documents</t>
  </si>
  <si>
    <t>Copy Paper,Scotch Tape,Ballpen Refill</t>
  </si>
  <si>
    <t>Lettuce</t>
  </si>
  <si>
    <t>French Baguet</t>
  </si>
  <si>
    <t>National Bookstore Inc</t>
  </si>
  <si>
    <t>000-325-972-010</t>
  </si>
  <si>
    <t>Brown &amp; White  Envelope,Notebook,Bond Paper</t>
  </si>
  <si>
    <t>Folder &amp; Book shelves</t>
  </si>
  <si>
    <t>Photocopy of DOLE Documents,SEC Doc's,Business Permit &amp; Fire Permit</t>
  </si>
  <si>
    <t xml:space="preserve">Folder </t>
  </si>
  <si>
    <t>Stilts</t>
  </si>
  <si>
    <t>Managers Company Outing Contribution</t>
  </si>
  <si>
    <t>Alcohol,Betadine,Mediplast,Imodium</t>
  </si>
  <si>
    <t>Ministop</t>
  </si>
  <si>
    <t>477-928-673-004</t>
  </si>
  <si>
    <t>Fuji Apple,Lettuce</t>
  </si>
  <si>
    <t>Mayo,Vinegar,Soysauce</t>
  </si>
  <si>
    <t>Ecarl Digital Copy Express</t>
  </si>
  <si>
    <t>175-858-899-000</t>
  </si>
  <si>
    <t>Kapasigan Pasig City</t>
  </si>
  <si>
    <t>Riso copy of Cashiers Report</t>
  </si>
  <si>
    <t>Marie Sosa</t>
  </si>
  <si>
    <t>Transpo-Riso copy of Cashiers Report</t>
  </si>
  <si>
    <t>For the Month Ended: May  2018</t>
  </si>
  <si>
    <t>Photocopy of Doc's Sanitary  Permit</t>
  </si>
  <si>
    <t>Photocopy of Inventory Forms</t>
  </si>
  <si>
    <t>Cream Cheese,Sardines,Crab Paste,Cornstarch,Mayo,Oreo,Choco Fudge</t>
  </si>
  <si>
    <t>Beef Brisket,Cayenne Powder,Baby Arugula</t>
  </si>
  <si>
    <t>Bacon,Pork Ribs,Chicken</t>
  </si>
  <si>
    <t>Transpo purchased Kitchen Stocks in Marikina</t>
  </si>
  <si>
    <t>213 -575-918-005</t>
  </si>
  <si>
    <t>Gil Puyat Pasay City</t>
  </si>
  <si>
    <t>Butter</t>
  </si>
  <si>
    <t>Retouch Office Products inc</t>
  </si>
  <si>
    <t>Ribbon Priinter, Chalk Board</t>
  </si>
  <si>
    <t>Plastic Clear Cup</t>
  </si>
  <si>
    <t>443-797-813-000</t>
  </si>
  <si>
    <t>Plastic Cup with lid</t>
  </si>
  <si>
    <t>Jap Breadcrumbs,Spaghetti Pasta</t>
  </si>
  <si>
    <t>Mckim Prints Inc</t>
  </si>
  <si>
    <t>210-972-656-002</t>
  </si>
  <si>
    <t xml:space="preserve">Sticker with Logo </t>
  </si>
  <si>
    <t>Staplewire</t>
  </si>
  <si>
    <t>L.D. Barbon Trading</t>
  </si>
  <si>
    <t>172-846-282-000</t>
  </si>
  <si>
    <t>All Purpose Flour &amp; Bread Flour</t>
  </si>
  <si>
    <t>Transpo purchased Bread Flour</t>
  </si>
  <si>
    <t>Tissue Paper &amp; Paper Bag</t>
  </si>
  <si>
    <t>Macaroni,Angel Hair Pasta,Baguette Bread,Oreo Vanilla,Lee Kum Kee</t>
  </si>
  <si>
    <t>Belong Enterprise</t>
  </si>
  <si>
    <t>180-192-125-001</t>
  </si>
  <si>
    <t xml:space="preserve">News Paper </t>
  </si>
  <si>
    <t>Pineapple Tidbits</t>
  </si>
  <si>
    <t>Burn Ointment,Mediplast,Bandage,Mediplast Stripes</t>
  </si>
  <si>
    <t>National Book Store inc</t>
  </si>
  <si>
    <t>000-325-972-048</t>
  </si>
  <si>
    <t>Timecard</t>
  </si>
  <si>
    <t>Fruit Basket</t>
  </si>
  <si>
    <t>Ace Hardware Philippines inc</t>
  </si>
  <si>
    <t>Rubber Mat &amp; Extension Cord</t>
  </si>
  <si>
    <t>Oreo Vanilla,Patis,Breadcrumbs,Mayo</t>
  </si>
  <si>
    <t>Smoked Bangus</t>
  </si>
  <si>
    <t>French Baguette &amp; Molo Wrapper</t>
  </si>
  <si>
    <t>Babay Back Ribs &amp; Bacon</t>
  </si>
  <si>
    <t>Transpo purchased Kitchen Stocks</t>
  </si>
  <si>
    <t>Sozo Exousia Inc</t>
  </si>
  <si>
    <t>006-801-328-000</t>
  </si>
  <si>
    <t>Chicken BBQ &amp; Inasal Sauce</t>
  </si>
  <si>
    <t>Ceniza Dauag</t>
  </si>
  <si>
    <t>BOSH Seminar (DOLE Requirement)</t>
  </si>
  <si>
    <t>White Sugar &amp; Butter</t>
  </si>
  <si>
    <t>Transpo going to KCC Office for Check Signing</t>
  </si>
  <si>
    <t>Liguine Pasta &amp; French Baguette</t>
  </si>
  <si>
    <t>Spaghetti,Sardines,Blue Cheese,Cream Cheese,Oreo Vanilla,</t>
  </si>
  <si>
    <t>Boneless Bangus,Sweetpeas,Lettuce,Beef Brisket</t>
  </si>
  <si>
    <t>Mejora Ferro Corporation</t>
  </si>
  <si>
    <t>Photocopy of Evaluaton Form</t>
  </si>
  <si>
    <t>Patis,Vinegar,Soysauce</t>
  </si>
  <si>
    <t>French Baguette &amp; Cucumber</t>
  </si>
  <si>
    <t>Scotch Tape,Ballpen Refill</t>
  </si>
  <si>
    <t>Pork Ribs &amp; Bacon Bits</t>
  </si>
  <si>
    <t>French Baguette,Paprika,Choco Fudge Cream,Graham,Cream Cheese,All Purpose Cream,Molo Wrapper</t>
  </si>
  <si>
    <t>Tosh Head Office</t>
  </si>
  <si>
    <t xml:space="preserve">Meal Allowance c/o BOSH Seminar </t>
  </si>
  <si>
    <t>Zonrox.Scotch Brite,Air Freshener</t>
  </si>
  <si>
    <t>Knorr Seasoning,Nestle Cream,Sardines</t>
  </si>
  <si>
    <t>Dory Fish</t>
  </si>
  <si>
    <t>Newsprint</t>
  </si>
  <si>
    <t>French Bread</t>
  </si>
  <si>
    <t>Ballpen Refill &amp; Pen</t>
  </si>
  <si>
    <t>Photocopy</t>
  </si>
  <si>
    <t>For the Month Ended: May 2018</t>
  </si>
  <si>
    <t>Public Market</t>
  </si>
  <si>
    <t>Ripe Mango &amp; Apple</t>
  </si>
  <si>
    <t xml:space="preserve">Ripe Mango </t>
  </si>
  <si>
    <t>For the Month Ended: June  2018</t>
  </si>
  <si>
    <t>Pork Ribs,Chicken Leg,Bacon,Hungarian Sausage</t>
  </si>
  <si>
    <t>Soy Sauce,Vinegar,Broas,APC,Crab Paste,Alaska Evap,Macanoni</t>
  </si>
  <si>
    <t>Arugula,Beef Brisket</t>
  </si>
  <si>
    <t>Spaghetti &amp; APC</t>
  </si>
  <si>
    <t xml:space="preserve">Transpo purchased Rice </t>
  </si>
  <si>
    <t>Bagumbayan QC</t>
  </si>
  <si>
    <t>Buffalo Sauce</t>
  </si>
  <si>
    <t>Mozza</t>
  </si>
  <si>
    <t>Harry's Liquor Mart</t>
  </si>
  <si>
    <t>101-703-221-000</t>
  </si>
  <si>
    <t>White Wine</t>
  </si>
  <si>
    <t>Earle's Delicatessen</t>
  </si>
  <si>
    <t>Transpo going to Suysing purchased stocks</t>
  </si>
  <si>
    <t>Cheese Powder</t>
  </si>
  <si>
    <t>Suy Sing Commercial Corporation</t>
  </si>
  <si>
    <t>000-320-806-000</t>
  </si>
  <si>
    <t>Binodo Manila</t>
  </si>
  <si>
    <t>All Purpose Cream,Spaghetti</t>
  </si>
  <si>
    <t>White Sugar</t>
  </si>
  <si>
    <t>Cucumber,French Baguette,Eggs</t>
  </si>
  <si>
    <t>Arugula, Smoked Bangus &amp; Paminta</t>
  </si>
  <si>
    <t>Sardines,Cream Cheese,Oreo Vanilla,Crab Paste,Broas</t>
  </si>
  <si>
    <t>C750 Canester</t>
  </si>
  <si>
    <t>Sugar &amp; Fettuccini</t>
  </si>
  <si>
    <t>Typewriting Paper</t>
  </si>
  <si>
    <t>Magnolia Butter Cup</t>
  </si>
  <si>
    <t>Photocopy of Forms</t>
  </si>
  <si>
    <t>3G Ministop</t>
  </si>
  <si>
    <t>Flouriscent Lamp</t>
  </si>
  <si>
    <t>Calamansi Puree,Butter,Cheddar Cheese,Sardines,Sugar,Cornstarch etc.</t>
  </si>
  <si>
    <t>Romaine Lettuce</t>
  </si>
  <si>
    <t>Copy Paper,Envelope Binder,Scotch Tape,Correction Tape</t>
  </si>
  <si>
    <t>Photocopy of Information Sheet</t>
  </si>
  <si>
    <t>Refined Sugar</t>
  </si>
  <si>
    <t>Earles delicatessen</t>
  </si>
  <si>
    <t>Sardines,White Sugar</t>
  </si>
  <si>
    <t>Sweet Peas,Tomato,Arugula,Brisket</t>
  </si>
  <si>
    <t>Baguette</t>
  </si>
  <si>
    <t>Vinegar,Soysauce</t>
  </si>
  <si>
    <t>Bible Service</t>
  </si>
  <si>
    <t>443-318-251-000</t>
  </si>
  <si>
    <t>Tarpaulin Printing</t>
  </si>
  <si>
    <t>Transpo going to Advertisign Printing Shop</t>
  </si>
  <si>
    <t>BBQ Soysauce</t>
  </si>
  <si>
    <t>Rice</t>
  </si>
  <si>
    <t>Baby Back Ribs &amp; Hungarian Sausage</t>
  </si>
  <si>
    <t>Transpo purchased kitchen stocks in Foodzone</t>
  </si>
  <si>
    <t>Breadcrumbs,Butter</t>
  </si>
  <si>
    <t>Mix &amp; Match POP's</t>
  </si>
  <si>
    <t>Hungarian Sausage,Bacon Bits</t>
  </si>
  <si>
    <t>Gas (Transpo purchased kitchen stocks in Marikina)</t>
  </si>
  <si>
    <t>Breadcrumbs,Butter,Sardines,Black Olives,Oreo Vanilla,Sunquick Orange</t>
  </si>
  <si>
    <t>Smoked Bangus,Arugula,Oregano Powder</t>
  </si>
  <si>
    <t>Mozzarella,Lemonada</t>
  </si>
  <si>
    <t>Pesto Mix</t>
  </si>
  <si>
    <t>Mayonnaise</t>
  </si>
  <si>
    <t>Ballpen &amp; PCV</t>
  </si>
  <si>
    <t>000-388-474-046</t>
  </si>
  <si>
    <t>Pineapple Chunk</t>
  </si>
  <si>
    <t>Spaghetti,Linguine,Salt,Sugar</t>
  </si>
  <si>
    <t>Chicken,Tomato,</t>
  </si>
  <si>
    <t>Spaghetti Sauce,All Purpose Cream,Tomato,Hotdog</t>
  </si>
  <si>
    <t>All Purpose Cream</t>
  </si>
  <si>
    <t>For the Month Ended: June 2018</t>
  </si>
  <si>
    <t>Guadalupe Public Market</t>
  </si>
  <si>
    <t>Camille Espinosa</t>
  </si>
  <si>
    <t>Transpo purchased in Guadalupe Market</t>
  </si>
  <si>
    <t>Transpo purchased rice in Makati Public Market</t>
  </si>
  <si>
    <t>Native Tomato (2kilo)</t>
  </si>
  <si>
    <t>Assorted Fruits</t>
  </si>
  <si>
    <t>Flour,Breadcrumbs,Cornstarch,Butter</t>
  </si>
  <si>
    <t>139-288-599-000</t>
  </si>
  <si>
    <t>Sausage,Pork Ribs,Bacon</t>
  </si>
  <si>
    <t>Transpo going to Killion purchased groceries</t>
  </si>
  <si>
    <t>Transpo going to KCC office for SC Signiture</t>
  </si>
  <si>
    <t>Lumpia Wrapper,Alaska Evap,Broas,Baguette,Bacon</t>
  </si>
  <si>
    <t>CW Home Depot</t>
  </si>
  <si>
    <t>225-311-296-000</t>
  </si>
  <si>
    <t>Push Botton for Urinal</t>
  </si>
  <si>
    <t>Joyc Dino</t>
  </si>
  <si>
    <t>Transpo going to Home Depot</t>
  </si>
  <si>
    <t>Baguette &amp; Honey</t>
  </si>
  <si>
    <t>Spaghetti,Cream Cheese,Buffalo Sauce</t>
  </si>
  <si>
    <t>Beef Brisket,Arugula,Aligue Paste,Sardines</t>
  </si>
  <si>
    <t>Bagumbayan Quezon City</t>
  </si>
  <si>
    <t>Mozzarella Cheese</t>
  </si>
  <si>
    <t>Pork Ribs,Bacon Bits</t>
  </si>
  <si>
    <t>Almas Cold Cuts Store</t>
  </si>
  <si>
    <t>Hungarian Sausage</t>
  </si>
  <si>
    <t>Gasoline-Purchased kitchen stocks in Marikina</t>
  </si>
  <si>
    <t>Pineapple Tidbits,Butter</t>
  </si>
  <si>
    <t>Glade</t>
  </si>
  <si>
    <t>Ace Harware Philippines Inc</t>
  </si>
  <si>
    <t>Ayala Makati City</t>
  </si>
  <si>
    <t>Epoxy</t>
  </si>
  <si>
    <t>Extra Dining Staff</t>
  </si>
  <si>
    <t>Macaroni,Penne,AP Cream,Flour</t>
  </si>
  <si>
    <t>Kelgene International Inc.</t>
  </si>
  <si>
    <t>Flour,Bread Flour,AP Cream,Butter,Sugar,Yeast,Anchovies,Sunquick Orange,</t>
  </si>
  <si>
    <t>Transpo going to Killion</t>
  </si>
  <si>
    <t>Chicken Cubes</t>
  </si>
  <si>
    <t>Sugar,Black Pepper,Baguette Bread</t>
  </si>
  <si>
    <t>Breadcrumbs,Mama Sitas,Sugar,Sardines</t>
  </si>
  <si>
    <t>Green Peas</t>
  </si>
  <si>
    <t>Manadaluyong City</t>
  </si>
  <si>
    <t>Pizza Cheese,Chicken Cubes,Mayo</t>
  </si>
  <si>
    <t>Bising Trading Post</t>
  </si>
  <si>
    <t>111-15-241-005</t>
  </si>
  <si>
    <t>West Triangle QC</t>
  </si>
  <si>
    <t>Basil Seeds</t>
  </si>
  <si>
    <t>Materials for Toilet Repair</t>
  </si>
  <si>
    <t>Grab Bike</t>
  </si>
  <si>
    <t>Grab Messenger Fee for Payroll Signing</t>
  </si>
  <si>
    <t>Bel Air Makati</t>
  </si>
  <si>
    <t>7up &amp; Bottled Water</t>
  </si>
  <si>
    <t>Salpicao Sauce,Pesto Mix,Sundried,ABS</t>
  </si>
  <si>
    <t>Spaghetti Pasta</t>
  </si>
  <si>
    <t>Extra Staff</t>
  </si>
  <si>
    <t>Chefs Meeting Allowance</t>
  </si>
  <si>
    <t>Spaghetti &amp; Lenuine Pasta</t>
  </si>
  <si>
    <t>PTP Bus Purchased New Plates</t>
  </si>
  <si>
    <t>Full Payment for CR Repair</t>
  </si>
  <si>
    <t>HR Department</t>
  </si>
  <si>
    <t>ID Payment (Toshco Staff)</t>
  </si>
  <si>
    <t>Extra Dining Staff (June 18,2018)</t>
  </si>
  <si>
    <t>Scotch Tape,Ballpen,Timecard Correction Tape</t>
  </si>
  <si>
    <t>Pork Ribs,Sausage,Bacon</t>
  </si>
  <si>
    <t>Transpo purchased kitchen stocks  in Marikina</t>
  </si>
  <si>
    <t>Calamansi Concentrate</t>
  </si>
  <si>
    <t>Orocan Spoon &amp; Fork Strainer</t>
  </si>
  <si>
    <t>Broas,Oreo Vanilla,Fudge Cream,Sardines</t>
  </si>
  <si>
    <t>Smoked Bangus,Beef Brisket</t>
  </si>
  <si>
    <t>MERC Aircon Services</t>
  </si>
  <si>
    <t>Transpo for Business Permit Payment</t>
  </si>
  <si>
    <t>Transpo went to KCC office for check signing</t>
  </si>
  <si>
    <t>Transpo going to Landmark for replacing of plates</t>
  </si>
  <si>
    <t>Graham Crackers</t>
  </si>
  <si>
    <t>Joy &amp; Gil Vegetable Trading</t>
  </si>
  <si>
    <t>Mansup Meeting Allowance</t>
  </si>
  <si>
    <t>Honey Mustard</t>
  </si>
  <si>
    <t>Clearbook</t>
  </si>
  <si>
    <t>Intermatrix</t>
  </si>
  <si>
    <t>222-888-239-003</t>
  </si>
  <si>
    <t>Photocopy of Tosh Menu New Receipe</t>
  </si>
  <si>
    <t>Extra Dining Staff (07/26/18)</t>
  </si>
  <si>
    <t>Extra Dining Staff (07/28/18)</t>
  </si>
  <si>
    <t>Extra Dining Staff (07/30/18)</t>
  </si>
  <si>
    <t>Transpo going to KCC ofc for payroll signing</t>
  </si>
  <si>
    <t>For the Month Ended:August 2018</t>
  </si>
  <si>
    <t>Pork Ribs,Bacon Bits,Hungarian Sausage</t>
  </si>
  <si>
    <t>Poblacion Market</t>
  </si>
  <si>
    <t>25 kilo Rice</t>
  </si>
  <si>
    <t>Transpo going to Poblacion Market</t>
  </si>
  <si>
    <t>Napkin</t>
  </si>
  <si>
    <t>Makati City Hall</t>
  </si>
  <si>
    <t>Representation c/o Sanitary Inspection</t>
  </si>
  <si>
    <t>ASC Enterprises Inc</t>
  </si>
  <si>
    <t>000-080-595-000</t>
  </si>
  <si>
    <t>Sta Mesa Manila</t>
  </si>
  <si>
    <t>USB for Biometric</t>
  </si>
  <si>
    <t>Photocopy of BIR Form</t>
  </si>
  <si>
    <t>Transpo going to KCC Office for check signing</t>
  </si>
  <si>
    <t>Shah Bonn Jadd General Merch</t>
  </si>
  <si>
    <t>Plastic Spoon,Fork &amp; Paper Straw</t>
  </si>
  <si>
    <t>Apple</t>
  </si>
  <si>
    <t>Breadcrumbs &amp; Mayonnaise</t>
  </si>
  <si>
    <t>Fresh Eggs,Knorr Seasoning</t>
  </si>
  <si>
    <t>Boneless Bangus,Squash,Calamansi</t>
  </si>
  <si>
    <t>L Cervantes Store</t>
  </si>
  <si>
    <t>423-744-313-000</t>
  </si>
  <si>
    <t>Tranpo going to KCC Office for check signing</t>
  </si>
  <si>
    <t>Tube Ice (07/04/18) COD</t>
  </si>
  <si>
    <t>Tube Ice (07/06/18) COD</t>
  </si>
  <si>
    <t>Tube Ice (07/07/18) COD</t>
  </si>
  <si>
    <t>Datu Puti Patis &amp; BBQ Sauce</t>
  </si>
  <si>
    <t>Tube Ice (07/08/18) COD</t>
  </si>
  <si>
    <t>Lettuce &amp; Del Monte Tidbits</t>
  </si>
  <si>
    <t>Paper Straw</t>
  </si>
  <si>
    <t>Photocopy of Daily Inventory</t>
  </si>
  <si>
    <t>Tube Ice (08/09/18) COD</t>
  </si>
  <si>
    <t>Tube Ice (08/10/18) COD</t>
  </si>
  <si>
    <t>180-182-125-001</t>
  </si>
  <si>
    <t>Broas,Chooey Chocolate,Oreo Vanilla,Macaroni,Cream Cheese,</t>
  </si>
  <si>
    <t>Eveready Battery</t>
  </si>
  <si>
    <t>Beef Brisket,Arugula</t>
  </si>
  <si>
    <t>Tube Ice (08/13/18) COD</t>
  </si>
  <si>
    <t>Extra Dining Staff (1day-Aug 13,2018)</t>
  </si>
  <si>
    <t>000-106-840-006</t>
  </si>
  <si>
    <t>Electric Kettle</t>
  </si>
  <si>
    <t>200-492-462-019</t>
  </si>
  <si>
    <t>Valero Makati</t>
  </si>
  <si>
    <t>Clearbook,Carbon Paper</t>
  </si>
  <si>
    <t>Pork Ribs,Sausage</t>
  </si>
  <si>
    <t>Transpo going to KCC office for Check Signing</t>
  </si>
  <si>
    <t>Extra Dining Staff (1day-Aug 15,2018)</t>
  </si>
  <si>
    <t>Transpo going to Monterey Shopwise</t>
  </si>
  <si>
    <t>Rustans Supercenters Inc</t>
  </si>
  <si>
    <t xml:space="preserve">201-160-401-002Pio Del Pilar Makati </t>
  </si>
  <si>
    <t>Pork Liempo &amp; Pork Belly</t>
  </si>
  <si>
    <t>Rice,Baguette &amp; Tofu</t>
  </si>
  <si>
    <t>Transpo going to Poblacion Market purchased Rice</t>
  </si>
  <si>
    <t>Beef Brisket,Arugula,Tomato</t>
  </si>
  <si>
    <t>Cream Cheese,Garlic Longganiza,Baguette,Crab Paste,Sardines</t>
  </si>
  <si>
    <t>Poblacion Public Market</t>
  </si>
  <si>
    <t>Rice (25klg)</t>
  </si>
  <si>
    <t>Pork Ribs, Sausage,Bacon</t>
  </si>
  <si>
    <t>Mamasitas BBQ Sauce,Heritage Cheese</t>
  </si>
  <si>
    <t>Copy Paper,Scoth Tape,Ribbon for POS Printer</t>
  </si>
  <si>
    <t>Extra Dining Staff (1day-Aug 17,2018)</t>
  </si>
  <si>
    <t>Ace Hardware</t>
  </si>
  <si>
    <t>Spring for Kitchen Faucet</t>
  </si>
  <si>
    <t>Sesame Seeds</t>
  </si>
  <si>
    <t>Patis</t>
  </si>
  <si>
    <t>Brown Paper Bag</t>
  </si>
  <si>
    <t>Flourescent Light</t>
  </si>
  <si>
    <t>Gil Puyat Makati</t>
  </si>
  <si>
    <t>PCV,Adaptor,Record Book</t>
  </si>
  <si>
    <t>Elbow Macaroni,</t>
  </si>
  <si>
    <t>Glade Air Freshener,Lysol</t>
  </si>
  <si>
    <t>Photocopy of Inventory Form (no receipt)</t>
  </si>
  <si>
    <t>Transpo going to Head Office &amp; Commissary</t>
  </si>
  <si>
    <t>Mayo,Molo Wrapper,Artichoke,Pancake Mix</t>
  </si>
  <si>
    <t>Lettuce &amp; Arugula</t>
  </si>
  <si>
    <t xml:space="preserve">Newtech Pest Control </t>
  </si>
  <si>
    <t>230-403-792-000</t>
  </si>
  <si>
    <t>Taguig City</t>
  </si>
  <si>
    <t>Pest Control Services</t>
  </si>
  <si>
    <t>Coffee Beans</t>
  </si>
  <si>
    <t>Rice (25kg)</t>
  </si>
  <si>
    <t>Transpo purchased Rice in Guadalupe</t>
  </si>
  <si>
    <t>5 btls of White Wine</t>
  </si>
  <si>
    <t>Transpo going to Harry's Liquor Mart</t>
  </si>
  <si>
    <t>Spareribs</t>
  </si>
  <si>
    <t>5 btls of White Wine &amp; 2btls of Grenadine</t>
  </si>
  <si>
    <t>Transpo going to Commissary</t>
  </si>
  <si>
    <t>Super Shopping Market Inc</t>
  </si>
  <si>
    <t>209-609-185-039</t>
  </si>
  <si>
    <t>Jupiter St Makati City</t>
  </si>
  <si>
    <t>White Onion,Baguette &amp; Molo Wrepper</t>
  </si>
  <si>
    <t>Angel Hair</t>
  </si>
  <si>
    <t>H.O Marketing</t>
  </si>
  <si>
    <t>PAYC T-Shirt</t>
  </si>
  <si>
    <t>Pepsi 1.5 Liter</t>
  </si>
  <si>
    <t>Sardines,Artichoke,Corn Oil,Taba ng Talangka</t>
  </si>
  <si>
    <t>Boneless Bangus,Oregano Powder,arugula</t>
  </si>
  <si>
    <t>Tarpaulin Standee</t>
  </si>
  <si>
    <t>Tronix</t>
  </si>
  <si>
    <t>00-097-47-029</t>
  </si>
  <si>
    <t>Photoprinting of POP's</t>
  </si>
  <si>
    <t>Transpo going to Tronix Printing Shop</t>
  </si>
  <si>
    <t>Almas Meatshop</t>
  </si>
  <si>
    <t>Tube Ice (09/01 del.)</t>
  </si>
  <si>
    <t>Tube Ice (09/03 del.)</t>
  </si>
  <si>
    <t>Peperoni,Cream Cheese,Vinegar</t>
  </si>
  <si>
    <t>Shah Bonn Jadd</t>
  </si>
  <si>
    <t>Canester 750</t>
  </si>
  <si>
    <t>Transpo purchased Canester</t>
  </si>
  <si>
    <t>Tube Ice (09/04 del.)</t>
  </si>
  <si>
    <t>Tube Ice (09/05 del.)</t>
  </si>
  <si>
    <t>201-160-401-062</t>
  </si>
  <si>
    <t>Rice,Molo Wraper</t>
  </si>
  <si>
    <t>Transpo going to Printing Shop</t>
  </si>
  <si>
    <t>Lasagna &amp; Spareribs</t>
  </si>
  <si>
    <t>201-160-401-002</t>
  </si>
  <si>
    <t>Transpo going to Guadalupe Market</t>
  </si>
  <si>
    <t>White Sugar,Breadcrumbs</t>
  </si>
  <si>
    <t>Sugar,Lettuce &amp; Breadcrumbs</t>
  </si>
  <si>
    <t>Bake &amp; Taste Gen Mechandise</t>
  </si>
  <si>
    <t>Walnut,Almond Flakes</t>
  </si>
  <si>
    <t>Food Keeper (Take Out Pan)</t>
  </si>
  <si>
    <t>All Purpose Flour</t>
  </si>
  <si>
    <t>Scotch Tape,Ballpen Refill,Ink Cartirdge</t>
  </si>
  <si>
    <t>Alma's Cold Cuts Store</t>
  </si>
  <si>
    <t>Photocopy of New Menu</t>
  </si>
  <si>
    <t>Alaska Condensed Milk,Cream Cheese</t>
  </si>
  <si>
    <t>Transpo going to Mam Kathy</t>
  </si>
  <si>
    <t>Transpo going to Home Depo</t>
  </si>
  <si>
    <t>CW Home Depot Imus Cavite</t>
  </si>
  <si>
    <t>225-311-296-010</t>
  </si>
  <si>
    <t>Teflon Tape,Sanitary Tank Filling</t>
  </si>
  <si>
    <t>Foccasia Bread</t>
  </si>
  <si>
    <t>Lambprint Advertising Services</t>
  </si>
  <si>
    <t>189-049-864-000</t>
  </si>
  <si>
    <t>Menu Board</t>
  </si>
  <si>
    <t>Breadcrumbs,Graham,Black Pepper</t>
  </si>
  <si>
    <t>Mozza Cheese,Cheese Sauce</t>
  </si>
  <si>
    <t>Extra Dining Staff (Sept.14)</t>
  </si>
  <si>
    <t>POS Ribbon Printer</t>
  </si>
  <si>
    <t>Onion,Wanton Wrapper,Eggs</t>
  </si>
  <si>
    <t>Extra Dining Staff (Sept.15)</t>
  </si>
  <si>
    <t>Lettuce,Boneless Bangus,Lemon Grass Spring Onion &amp; Camote</t>
  </si>
  <si>
    <t>Soysauce,Sardines,Chorizo,Pomace Oil,Broas,Curry Powder</t>
  </si>
  <si>
    <t>Cheese Grater &amp; Parfait Glass</t>
  </si>
  <si>
    <t>Transpo going to Cartimar</t>
  </si>
  <si>
    <t>MK Kitchen Equipment</t>
  </si>
  <si>
    <t>222-810-003-005</t>
  </si>
  <si>
    <t>Taft Ave Pasay City</t>
  </si>
  <si>
    <t>Cup Cake Molder,2 pcs Round Sizzling Plates</t>
  </si>
  <si>
    <t xml:space="preserve">Baking Pan, 4 pcs Round Sizzling Plate </t>
  </si>
  <si>
    <t>HDMF</t>
  </si>
  <si>
    <t>Penalty for late payment due to insuficient fund</t>
  </si>
  <si>
    <t>Baby Back Ribs,Bacon Bits,Promeat</t>
  </si>
  <si>
    <t>Angelo Sancjez</t>
  </si>
  <si>
    <t>Baguette Bread,Demi Glace,Chorizo,Fudge Cream</t>
  </si>
  <si>
    <t>White Onion,Carrots,Parsely,Tomato,Celery</t>
  </si>
  <si>
    <t>Chef Agui Ojendras</t>
  </si>
  <si>
    <t>Transpo for Food Demo</t>
  </si>
  <si>
    <t>Chef Rodel Margallo</t>
  </si>
  <si>
    <t>3 days Duty for New Menu Launching</t>
  </si>
  <si>
    <t>3 days Transpo Allowance</t>
  </si>
  <si>
    <t>Chef Irene Enriquez</t>
  </si>
  <si>
    <t>2 days Duty for New Menu Launching</t>
  </si>
  <si>
    <t>2 days Transpo Allowance</t>
  </si>
  <si>
    <t>Vic &amp; Baby Veg Dealer</t>
  </si>
  <si>
    <t>212-868-741-000</t>
  </si>
  <si>
    <t>Assorted Veggies for New Menu</t>
  </si>
  <si>
    <t>Polar Queen Waterways Inc</t>
  </si>
  <si>
    <t>007-019-796-000</t>
  </si>
  <si>
    <t>Sampaloc Manila</t>
  </si>
  <si>
    <t>Bernabe Flores</t>
  </si>
  <si>
    <t>Cake Payment</t>
  </si>
  <si>
    <t>Spareribs,Pesto,Lasagna,Aioli,Buffalo Sauce,Cheese Sauce</t>
  </si>
  <si>
    <t>Transpo pick up kitchen stocks in Commissary</t>
  </si>
  <si>
    <t>200-492-432-008</t>
  </si>
  <si>
    <t>Logitech Mouse</t>
  </si>
  <si>
    <t>Order Slip</t>
  </si>
  <si>
    <t>Black Pepper Ground &amp; Whole,San Remo Pasta</t>
  </si>
  <si>
    <t>MFD Enterprises</t>
  </si>
  <si>
    <t>249-978-640-000</t>
  </si>
  <si>
    <t>Murphy D4 Quezon City</t>
  </si>
  <si>
    <t>Short Payment</t>
  </si>
  <si>
    <t>Assorted Fruits &amp; Veggies</t>
  </si>
  <si>
    <t>1 kilo Ripe Mango</t>
  </si>
  <si>
    <t>Knorr Cubes</t>
  </si>
  <si>
    <t>Spareribs,Pesto,Italian Meatballs,Blue Cheese Dressing</t>
  </si>
  <si>
    <t>Photoprinting of POP's for New Menu</t>
  </si>
  <si>
    <t>Sapareribs,Pesto &amp; Chocolate Sauce</t>
  </si>
  <si>
    <t>Mozzarella &amp; French Baguette</t>
  </si>
  <si>
    <t>Chopped Tomato</t>
  </si>
  <si>
    <t>Acrylic Frame</t>
  </si>
  <si>
    <t>Transpo going to printing shop</t>
  </si>
  <si>
    <t>Black Forest Ham, Smoke Bavarian</t>
  </si>
  <si>
    <t>Transpo going to Cash &amp; Carry purchased kitchen stocks</t>
  </si>
  <si>
    <t>AAN Baking Goods Supplies Inc</t>
  </si>
  <si>
    <t>008-196-741-005</t>
  </si>
  <si>
    <t>Corn Meal</t>
  </si>
  <si>
    <t>Innovatronix Inc</t>
  </si>
  <si>
    <t>Photoprinting of POP's-New Menu</t>
  </si>
  <si>
    <t>Tosh Moa</t>
  </si>
  <si>
    <t>Rectangulas Plates (10pcs.)</t>
  </si>
  <si>
    <t>Transpo from Tosh moa to Cartimar purchased kitchen wares</t>
  </si>
  <si>
    <t>H.O. Marketing</t>
  </si>
  <si>
    <t>Payment for Consultancy fee for New Menu Launch</t>
  </si>
  <si>
    <t>Beef Shortplate</t>
  </si>
  <si>
    <t>ABS,Salpicao Sauce,Pesto Pint,Gravy</t>
  </si>
  <si>
    <t>Payroll Toshco Staff</t>
  </si>
  <si>
    <t>Short Encashment (Sept 20 payroll)</t>
  </si>
  <si>
    <t>Hunggarian Sausage</t>
  </si>
  <si>
    <t>Lee Kum Kee,Sweetener</t>
  </si>
  <si>
    <t>Carrots,Cabbage</t>
  </si>
  <si>
    <t>Saging na Saba,American Lemon</t>
  </si>
  <si>
    <t>Cheery Tomato,Pear</t>
  </si>
  <si>
    <t>Celery,Basil,Sugar Beets</t>
  </si>
  <si>
    <t>Tomato Sauce</t>
  </si>
  <si>
    <t>Shah bonn Jadd General Merch.</t>
  </si>
  <si>
    <t>Gloves &amp; Paper Bag</t>
  </si>
  <si>
    <t>Angel hair,Garllic Longganiza</t>
  </si>
  <si>
    <t>Arugula,Potato &amp; Tomato</t>
  </si>
  <si>
    <t>BBQ Sticks</t>
  </si>
  <si>
    <t>Scotch Tape,Ribbon Printer</t>
  </si>
  <si>
    <t>Mozzarella</t>
  </si>
  <si>
    <t>Payment for Tokens c/o Loyalty Awardee</t>
  </si>
  <si>
    <t>For the Month Ended:October2018</t>
  </si>
  <si>
    <t>Shah Bonn Jadd General Merchandise</t>
  </si>
  <si>
    <t>Canester &amp; Paper Straw</t>
  </si>
  <si>
    <t>Tosh Katipunan</t>
  </si>
  <si>
    <t>Payment for Cake (Peacan,Choco Bar,Apple Pie)</t>
  </si>
  <si>
    <t>Transpo pick up cake in Tosh Katipunan</t>
  </si>
  <si>
    <t xml:space="preserve">Payment for Royalty Token </t>
  </si>
  <si>
    <t>Ideal Linguine,Butter,Cheddar Cheese,Garlic Longganiza</t>
  </si>
  <si>
    <t>Fresh Tomato,Molo Wrapper</t>
  </si>
  <si>
    <t>Bread Commissary Inc</t>
  </si>
  <si>
    <t>009-335-457-000</t>
  </si>
  <si>
    <t>Baguette Bread,Loaf Bread,Focassia,Brioche</t>
  </si>
  <si>
    <t>Transpo going to Bread Commissary</t>
  </si>
  <si>
    <t>Dory Fish,Arugula Leaves</t>
  </si>
  <si>
    <t>Iodized Salt,Butter,Broas</t>
  </si>
  <si>
    <t>Tang Mango Juice</t>
  </si>
  <si>
    <t>Transpo purchased Beef Shortplate @ Tosh Moa</t>
  </si>
  <si>
    <t>Extra Dining Staff (1day)</t>
  </si>
  <si>
    <t>Glade Air Freashener</t>
  </si>
  <si>
    <t>Tomato,Camote,Sweet Potato,Banana</t>
  </si>
  <si>
    <t>Baguette Bread,Macaroni Elbow,Penne Pasta</t>
  </si>
  <si>
    <t>Pealer</t>
  </si>
  <si>
    <t>928-673-004-000</t>
  </si>
  <si>
    <t>Cherry Tomato</t>
  </si>
  <si>
    <t>Bacon,Greenpeas,Butter</t>
  </si>
  <si>
    <t>Transpo going to Marikina purchased Pork Ribs</t>
  </si>
  <si>
    <t>Photocopy of P.A. Form</t>
  </si>
  <si>
    <t>Lettuce,Oregano Powder,Arugula</t>
  </si>
  <si>
    <t>Tomato Paste,Paprika Powder,Baking Powder,Curry Powder</t>
  </si>
  <si>
    <t>Payment for Cake (Peacan,Choco Bar)</t>
  </si>
  <si>
    <t>Transpo going to Tosh Katipunan</t>
  </si>
  <si>
    <t>Linguine Pasta</t>
  </si>
  <si>
    <t>Basil,Ripe Mango</t>
  </si>
  <si>
    <t>Tofu,Cheddar Cheese</t>
  </si>
  <si>
    <t>Condura Express Service Center</t>
  </si>
  <si>
    <t>002-284-017-000</t>
  </si>
  <si>
    <t>ACU Cleaning (Dining Area)</t>
  </si>
  <si>
    <t>Extra Dining Staff (1Day)</t>
  </si>
  <si>
    <t>Payment for Cakes (Pecan,Choco Bar,Apple Pie)</t>
  </si>
  <si>
    <t>Transpo purchased Cakes in Katipunan</t>
  </si>
  <si>
    <t>Photocopy of Cashiers Report</t>
  </si>
  <si>
    <t>Brioche Bread</t>
  </si>
  <si>
    <t xml:space="preserve">Scotch Tape,Correction Tape,Paperclip,PCV,POS Ink </t>
  </si>
  <si>
    <t>Photocopy of Evaluation Form</t>
  </si>
  <si>
    <t>Envelope,Folder</t>
  </si>
  <si>
    <t>Penalty Payment due to Insuficient Cash Funds</t>
  </si>
  <si>
    <t>Tomato, Baguette Bread</t>
  </si>
  <si>
    <t>Lettuce.Smoked Bangus,Sugar Beets,Camote,Parsley</t>
  </si>
  <si>
    <t>Bacon,Demi Glace,Garlic Longaniza,Lee Kum Kee,Walnuts</t>
  </si>
  <si>
    <t>Bottled Water (15pcs)</t>
  </si>
  <si>
    <t>Basil &amp; Tomato</t>
  </si>
  <si>
    <t>Weighing Scale Registration</t>
  </si>
  <si>
    <t>Transpo went to Makati City Hall</t>
  </si>
  <si>
    <t>Elbow Macaroni, Angel Hair Pasta,Anchovies</t>
  </si>
  <si>
    <t>Tosh Cafe</t>
  </si>
  <si>
    <t>Payment for Cakes</t>
  </si>
  <si>
    <t>Fresh Tomato,Lettuce,Molo Wrapper</t>
  </si>
  <si>
    <t>Transpo went to KCC Office for Check Signing</t>
  </si>
  <si>
    <t>Florescent Bulb</t>
  </si>
  <si>
    <t>Elbow Macaroni,Chorizo,Sardines,Taba ng Talangka,Sausage</t>
  </si>
  <si>
    <t>Arugula,Smoked Bangus</t>
  </si>
  <si>
    <t>Vegetable Colander</t>
  </si>
  <si>
    <t>San Miguel Brewery Inc</t>
  </si>
  <si>
    <t xml:space="preserve">Short Payment </t>
  </si>
  <si>
    <t>Bacon Bits &amp; Pork Ribs</t>
  </si>
  <si>
    <t>Transpo purchased Kitchen Staff in Marikina</t>
  </si>
  <si>
    <t>Payment for CGL 2018-2019</t>
  </si>
  <si>
    <t>Pesto Mix &amp; Spareribs</t>
  </si>
  <si>
    <t>Tomato,Lettuce,White Onion</t>
  </si>
  <si>
    <t>French Baguette,Italian Meatballs</t>
  </si>
  <si>
    <t>Taxi Fare from Tosh Moa to Valer</t>
  </si>
  <si>
    <t>Photocopy of Cahiers Report</t>
  </si>
  <si>
    <t>Extra Dining Staff (4 days Oct.24-25-26-27)</t>
  </si>
  <si>
    <t>Lettuce &amp; French Baguette</t>
  </si>
  <si>
    <t>Detergent Powder</t>
  </si>
  <si>
    <t>Micro Green Veggies</t>
  </si>
  <si>
    <t>Spaghetti,Anchovies,Kernel Corn,Dill,Cherry Tomato,Eggs</t>
  </si>
  <si>
    <t>Lettuce &amp; Green Peas</t>
  </si>
  <si>
    <t>For the Month Ended:November 2018</t>
  </si>
  <si>
    <t>Ideal Spaghetti</t>
  </si>
  <si>
    <t>Photocopy of Kitchen Inventory</t>
  </si>
  <si>
    <t>Cakes</t>
  </si>
  <si>
    <t>Pork Ribs,Bacon Bits,Sausage</t>
  </si>
  <si>
    <t>Transpo going to Katipunan</t>
  </si>
  <si>
    <t>Anchovies,Garlic Longaniza,Broas,Vinegar,Soysauce</t>
  </si>
  <si>
    <t>Tanglad,Arugula</t>
  </si>
  <si>
    <t>Abmarac</t>
  </si>
  <si>
    <t>Spaghetti Sauce</t>
  </si>
  <si>
    <t>Tomato,Molo Wrapper</t>
  </si>
  <si>
    <t>Pepperoni,Cheddar Cheese Broas,Tidbits</t>
  </si>
  <si>
    <t>Paper Straw,Hand Gloves</t>
  </si>
  <si>
    <t>Cherry Berry Flower Decors</t>
  </si>
  <si>
    <t>009-288-158-000</t>
  </si>
  <si>
    <t>Garland,Ribbon for Xmas Decors</t>
  </si>
  <si>
    <t>Lucky Star Kitchen Ware</t>
  </si>
  <si>
    <t>403-955-776-000</t>
  </si>
  <si>
    <t>Christmas Lights</t>
  </si>
  <si>
    <t>Food Keeper</t>
  </si>
  <si>
    <t>SM Hypermart</t>
  </si>
  <si>
    <t>Chicken Breast Fillet</t>
  </si>
  <si>
    <t>Peeled Tomato,Cheese Sauce,Baguette Bread</t>
  </si>
  <si>
    <t>Pesto Mix,Spareribs,Kids Spag Sauce,Blue Cheese Dressing</t>
  </si>
  <si>
    <t>Extension Cord,Copy Paper</t>
  </si>
  <si>
    <t>Transpo going to Commi pick up Kitchen Stocks</t>
  </si>
  <si>
    <t>Eggs &amp; Tomato</t>
  </si>
  <si>
    <t>Molo Wrapper,Garlic Longganiza,Curry Powder</t>
  </si>
  <si>
    <t>Transpo c/o Food Delivery</t>
  </si>
  <si>
    <t>225-311-296-005</t>
  </si>
  <si>
    <t>Creston Caster</t>
  </si>
  <si>
    <t>Sticke Paper</t>
  </si>
  <si>
    <t>Coffee Grinds</t>
  </si>
  <si>
    <t>White Onion</t>
  </si>
  <si>
    <t>Romaine Lettuce,French Beans</t>
  </si>
  <si>
    <t>Bayleaf,Black Pepper,Carrots,Celery</t>
  </si>
  <si>
    <t>Tube Ice (2 sack)</t>
  </si>
  <si>
    <t>Transpo going to Katipunan pick up Cakes</t>
  </si>
  <si>
    <t>Smoked Bangus,Sweet Peas,Kamote</t>
  </si>
  <si>
    <t>Oreo,Broas,Bell Pepper</t>
  </si>
  <si>
    <t>Lettuce,Tomato,Arugula,Camote</t>
  </si>
  <si>
    <t>Broas,Graham,Walnuts,Cram Cheese</t>
  </si>
  <si>
    <t>Evarlies Meat Shop</t>
  </si>
  <si>
    <t>Pork Ribs,Bacon Bits, hungarian Sausage</t>
  </si>
  <si>
    <t>Transpo going to Marikina Purchased kitchen stocks</t>
  </si>
  <si>
    <t>Datu Puti Vinegar</t>
  </si>
  <si>
    <t>200-035-311-017</t>
  </si>
  <si>
    <t>Materials Repair of Kitchen Faucet</t>
  </si>
  <si>
    <t xml:space="preserve">Glenn Biarcal </t>
  </si>
  <si>
    <t>Molo Wrapper</t>
  </si>
  <si>
    <t>Permanent Marker,Correction Tape,Scoth Tape,Ballpen,Rubberbend</t>
  </si>
  <si>
    <t>Sardines,Bacon</t>
  </si>
  <si>
    <t>Joel Vinuya</t>
  </si>
  <si>
    <t>Labor Repair of Water Pipe Line (Kitchen Faucet)</t>
  </si>
  <si>
    <t>Pork Ribs,Baby Backribs,Bacon</t>
  </si>
  <si>
    <t>Risocopy of Cashiers Report</t>
  </si>
  <si>
    <t>Transpo going to Marikina purchased kichen stocks</t>
  </si>
  <si>
    <t xml:space="preserve">Transpo c/o Canvas of Floor Tiles </t>
  </si>
  <si>
    <t>Transpo going to Tosh Cafe</t>
  </si>
  <si>
    <t>Transpo purchased tiles for outside area repair</t>
  </si>
  <si>
    <t>Wilcon Depot Inc</t>
  </si>
  <si>
    <t>009-192-878-031</t>
  </si>
  <si>
    <t>Floor Tiles,Cement,Grout,Sink Table Faucet</t>
  </si>
  <si>
    <t>213-575-919-005</t>
  </si>
  <si>
    <t>Black Forest Ham,Smoked Bavarian</t>
  </si>
  <si>
    <t>Raisins,Kikkoman,Soysauce,Vinegar, Garlic Longaniza</t>
  </si>
  <si>
    <t>Arugula,Oregano Powder,Paprika Shrimp,Cherry Tomato</t>
  </si>
  <si>
    <t>Sunquick &amp; Tang Orange</t>
  </si>
  <si>
    <t>French Baguette,Bacon,Sardines</t>
  </si>
  <si>
    <t>Potato,Cheddar Cheese</t>
  </si>
  <si>
    <t>Datu Puti,Pomace,French Baguette</t>
  </si>
  <si>
    <t>Lettuce,Bell Pepper</t>
  </si>
  <si>
    <t>Creamer</t>
  </si>
  <si>
    <t>000-388-474-048</t>
  </si>
  <si>
    <t>Tang Orange</t>
  </si>
  <si>
    <t>Transpo pick up cakes @ tosh cafe</t>
  </si>
  <si>
    <t>Labor Fee c/o Floor Tiles ooutside Area</t>
  </si>
  <si>
    <t>Parkson Mart Inc</t>
  </si>
  <si>
    <t>009-009-006-000</t>
  </si>
  <si>
    <t>Dasmarinas City</t>
  </si>
  <si>
    <t>Salt &amp; Pepper Shaker</t>
  </si>
  <si>
    <t>Liguini Pasta,Heritage Cheese</t>
  </si>
  <si>
    <t>Liguini Pasta,Graham,Sardines,Chorizo</t>
  </si>
  <si>
    <t>Ruel Hayagan</t>
  </si>
  <si>
    <t>Banana Lakatan (Purchased in Palengke) for Picasso Catering</t>
  </si>
  <si>
    <t>Century Tuna</t>
  </si>
  <si>
    <t>Cheese Powder,Chorizo</t>
  </si>
  <si>
    <t>Tang Mango</t>
  </si>
  <si>
    <t>Corn Oil</t>
  </si>
  <si>
    <t>For the Month Ended:December 2018</t>
  </si>
  <si>
    <t>Transpo going to Marikin a purchased kitchen stocks</t>
  </si>
  <si>
    <t>Extra Dining Staff (Nov.29-HD/Dec.1-HD)</t>
  </si>
  <si>
    <t>Cranberries,Bacon,Siomai Wrapper</t>
  </si>
  <si>
    <t>Cheery Tomato</t>
  </si>
  <si>
    <t>208-492-162-008</t>
  </si>
  <si>
    <t>Ink Cartirdge,Ballpen</t>
  </si>
  <si>
    <t>Angel Hair,Vegie Oil,Fudge Cream</t>
  </si>
  <si>
    <t>Century Pear</t>
  </si>
  <si>
    <t>Extra Dining Staff Half Day Duty</t>
  </si>
  <si>
    <t xml:space="preserve">Transpo going to Tosh Katipunan </t>
  </si>
  <si>
    <t>Christmas Donation c/o Outreach Program (Head Office)</t>
  </si>
  <si>
    <t>Food,Tshirt &amp; Parlor Games for Outreach Program</t>
  </si>
  <si>
    <t>Bread Crumbs,Vinegar,Nestle Cream</t>
  </si>
  <si>
    <t>Bell Pepper,Cucumber,Basil</t>
  </si>
  <si>
    <t>Flour</t>
  </si>
  <si>
    <t>Scoth Tape,Alcohol,Folder</t>
  </si>
  <si>
    <t>Bread Crumbs &amp; Ripe Mango</t>
  </si>
  <si>
    <t>Camilla Espinosa</t>
  </si>
  <si>
    <t>Lettuce,Mango,Tomatoes</t>
  </si>
  <si>
    <t>Del Monte Tidbits,Bacon</t>
  </si>
  <si>
    <t>Ripe Mango,Lemon,Apple</t>
  </si>
  <si>
    <t>Makati Public Market</t>
  </si>
  <si>
    <t>Banana Lakatan</t>
  </si>
  <si>
    <t>Century Tuna,All Purpose Cream</t>
  </si>
  <si>
    <t>Mixed Veggies,Sweet Peas</t>
  </si>
  <si>
    <t>All Purpose Cream,Alaska Condensed,Flour,Bacon</t>
  </si>
  <si>
    <t xml:space="preserve">Graham,Alaska Condensed </t>
  </si>
  <si>
    <t>Basic Good Marketing</t>
  </si>
  <si>
    <t>175-656-397-000</t>
  </si>
  <si>
    <t>Disposable Spoon &amp; Fork,Sauce Cup</t>
  </si>
  <si>
    <t>Transpo purchased Packaging</t>
  </si>
  <si>
    <t>All Purpose Cream,Bread Glour,All Purpose flour,Cornstarch,Corn Oil</t>
  </si>
  <si>
    <t>Capers</t>
  </si>
  <si>
    <t>Garlic Longaniza,Corn Oil,Sardines,Cheese Powder,BBQ Sauce</t>
  </si>
  <si>
    <t>French Beans,Cold Storage</t>
  </si>
  <si>
    <t>Cemille Espinosa</t>
  </si>
  <si>
    <t>Ribbon for Printer &amp; Ballpen</t>
  </si>
  <si>
    <t>French Baguette,Bacon</t>
  </si>
  <si>
    <t>Breadcrumbs &amp; Graham</t>
  </si>
  <si>
    <t>Cheddar Cheese,French Baguette</t>
  </si>
  <si>
    <t>Pineapple Tdbits,Bacon,Graham,Soysauce</t>
  </si>
  <si>
    <t>Half Day Duty-Extra Dining Staff</t>
  </si>
  <si>
    <t>546-575-918-085</t>
  </si>
  <si>
    <t>Black Forest Ham, Bavarian</t>
  </si>
  <si>
    <t>Transpo going to KCC Office</t>
  </si>
  <si>
    <t>Transpo going to Tosh Cafe pick up Cakes</t>
  </si>
  <si>
    <t>Pepperoni,Raisin,Curry Powder,Pomace,Paprika</t>
  </si>
  <si>
    <t>Rice,Lettuce,Tomato</t>
  </si>
  <si>
    <t>Transpo purchased rice</t>
  </si>
  <si>
    <t>Tomato &amp; Lettuce</t>
  </si>
  <si>
    <t>Broas,Oreo Vanilla,Pepperoni,Garlic Longganiza</t>
  </si>
  <si>
    <t>White Onion,Bell Pepper,Sugar Beets,Arugula</t>
  </si>
  <si>
    <t xml:space="preserve">Shah Bonn Jadd </t>
  </si>
  <si>
    <t>Pizza Box,Paper Straw</t>
  </si>
  <si>
    <t>Pork Ribs,Bacon bits</t>
  </si>
  <si>
    <t>Elbow Macaroni</t>
  </si>
  <si>
    <t>213*575-918-005</t>
  </si>
  <si>
    <t>Smoked Bavarian</t>
  </si>
  <si>
    <t>Tanglad</t>
  </si>
  <si>
    <t>0006-801-328-000</t>
  </si>
  <si>
    <t>Capri Whole Peeled Tomato</t>
  </si>
  <si>
    <t>Lettuce,Cherry Tomato</t>
  </si>
  <si>
    <t>Capri Tomato,Tomato Paste,Walnuts,Pepperoni</t>
  </si>
  <si>
    <t>Ground Pork &amp; Beef</t>
  </si>
  <si>
    <t>San Remo Pasta</t>
  </si>
  <si>
    <t>Baygon Fly Paper</t>
  </si>
  <si>
    <t>Beef Tacos,Aromat</t>
  </si>
  <si>
    <t>Zonrox,Glade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</si>
</sst>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\-??_);_(@_)"/>
    <numFmt numFmtId="165" formatCode="d/mmm;@"/>
    <numFmt numFmtId="166" formatCode="d/mmm/yy;@"/>
    <numFmt numFmtId="167" formatCode="d/mmm"/>
    <numFmt numFmtId="168" formatCode="d\-mmm;@"/>
    <numFmt numFmtId="169" formatCode="d\-mmm\-yy;@"/>
  </numFmts>
  <fonts count="6" x14ac:knownFonts="1">
    <font>
      <sz val="1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164" fontId="4" fillId="0" borderId="0" applyBorder="0" applyProtection="0"/>
    <xf numFmtId="9" fontId="5" fillId="0" borderId="0" applyBorder="0" applyProtection="0"/>
  </cellStyleXfs>
  <cellXfs count="141">
    <xf numFmtId="0" fontId="0" fillId="0" borderId="0" xfId="0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Border="1" applyAlignment="1" applyProtection="1"/>
    <xf numFmtId="0" fontId="1" fillId="0" borderId="0" xfId="0" applyFont="1" applyBorder="1" applyAlignment="1" applyProtection="1">
      <alignment horizontal="center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3" fillId="0" borderId="0" xfId="0" applyFont="1" applyBorder="1" applyAlignment="1" applyProtection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1" fillId="0" borderId="0" xfId="0" applyFont="1" applyAlignment="1">
      <alignment vertical="center" wrapText="1"/>
    </xf>
    <xf numFmtId="166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1" fillId="2" borderId="3" xfId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/>
    <xf numFmtId="0" fontId="1" fillId="2" borderId="6" xfId="0" applyFont="1" applyFill="1" applyBorder="1" applyAlignment="1" applyProtection="1"/>
    <xf numFmtId="0" fontId="2" fillId="2" borderId="3" xfId="0" applyFont="1" applyFill="1" applyBorder="1" applyAlignment="1" applyProtection="1"/>
    <xf numFmtId="0" fontId="1" fillId="2" borderId="7" xfId="0" applyFont="1" applyFill="1" applyBorder="1" applyAlignment="1" applyProtection="1"/>
    <xf numFmtId="164" fontId="1" fillId="2" borderId="0" xfId="0" applyNumberFormat="1" applyFont="1" applyFill="1" applyAlignment="1">
      <alignment wrapText="1"/>
    </xf>
    <xf numFmtId="0" fontId="1" fillId="2" borderId="0" xfId="0" applyFont="1" applyFill="1"/>
    <xf numFmtId="0" fontId="1" fillId="0" borderId="3" xfId="0" applyFont="1" applyBorder="1" applyAlignment="1" applyProtection="1"/>
    <xf numFmtId="167" fontId="1" fillId="2" borderId="3" xfId="0" applyNumberFormat="1" applyFont="1" applyFill="1" applyBorder="1" applyAlignment="1">
      <alignment horizontal="center"/>
    </xf>
    <xf numFmtId="166" fontId="1" fillId="3" borderId="3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167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1" fillId="3" borderId="3" xfId="1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/>
    <xf numFmtId="0" fontId="1" fillId="3" borderId="6" xfId="0" applyFont="1" applyFill="1" applyBorder="1" applyAlignment="1" applyProtection="1"/>
    <xf numFmtId="0" fontId="2" fillId="3" borderId="3" xfId="0" applyFont="1" applyFill="1" applyBorder="1" applyAlignment="1" applyProtection="1"/>
    <xf numFmtId="0" fontId="1" fillId="3" borderId="7" xfId="0" applyFont="1" applyFill="1" applyBorder="1" applyAlignment="1" applyProtection="1"/>
    <xf numFmtId="164" fontId="1" fillId="3" borderId="0" xfId="0" applyNumberFormat="1" applyFont="1" applyFill="1" applyAlignment="1">
      <alignment wrapText="1"/>
    </xf>
    <xf numFmtId="0" fontId="1" fillId="3" borderId="0" xfId="0" applyFont="1" applyFill="1"/>
    <xf numFmtId="0" fontId="1" fillId="2" borderId="3" xfId="0" applyFont="1" applyFill="1" applyBorder="1" applyAlignment="1">
      <alignment horizontal="center" vertical="center"/>
    </xf>
    <xf numFmtId="165" fontId="2" fillId="0" borderId="8" xfId="0" applyNumberFormat="1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 applyProtection="1"/>
    <xf numFmtId="164" fontId="2" fillId="0" borderId="3" xfId="1" applyFont="1" applyBorder="1" applyAlignment="1" applyProtection="1"/>
    <xf numFmtId="0" fontId="2" fillId="0" borderId="0" xfId="0" applyFont="1"/>
    <xf numFmtId="166" fontId="1" fillId="2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166" fontId="1" fillId="3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164" fontId="1" fillId="2" borderId="3" xfId="1" applyFont="1" applyFill="1" applyBorder="1" applyAlignment="1" applyProtection="1">
      <alignment horizontal="center" wrapText="1"/>
    </xf>
    <xf numFmtId="0" fontId="1" fillId="2" borderId="3" xfId="0" applyFont="1" applyFill="1" applyBorder="1" applyAlignment="1" applyProtection="1">
      <alignment horizontal="center" wrapText="1"/>
    </xf>
    <xf numFmtId="0" fontId="1" fillId="2" borderId="3" xfId="0" applyFont="1" applyFill="1" applyBorder="1" applyAlignment="1" applyProtection="1">
      <alignment wrapText="1"/>
    </xf>
    <xf numFmtId="0" fontId="1" fillId="2" borderId="6" xfId="0" applyFont="1" applyFill="1" applyBorder="1" applyAlignment="1" applyProtection="1">
      <alignment wrapText="1"/>
    </xf>
    <xf numFmtId="0" fontId="2" fillId="2" borderId="3" xfId="0" applyFont="1" applyFill="1" applyBorder="1" applyAlignment="1" applyProtection="1">
      <alignment wrapText="1"/>
    </xf>
    <xf numFmtId="0" fontId="1" fillId="2" borderId="0" xfId="0" applyFont="1" applyFill="1" applyAlignment="1">
      <alignment wrapText="1"/>
    </xf>
    <xf numFmtId="167" fontId="1" fillId="2" borderId="3" xfId="0" applyNumberFormat="1" applyFont="1" applyFill="1" applyBorder="1" applyAlignment="1">
      <alignment horizontal="center" vertical="center" wrapText="1"/>
    </xf>
    <xf numFmtId="166" fontId="1" fillId="3" borderId="3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164" fontId="1" fillId="3" borderId="3" xfId="1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wrapText="1"/>
    </xf>
    <xf numFmtId="0" fontId="1" fillId="3" borderId="6" xfId="0" applyFont="1" applyFill="1" applyBorder="1" applyAlignment="1" applyProtection="1">
      <alignment wrapText="1"/>
    </xf>
    <xf numFmtId="0" fontId="2" fillId="3" borderId="3" xfId="0" applyFont="1" applyFill="1" applyBorder="1" applyAlignment="1" applyProtection="1">
      <alignment wrapText="1"/>
    </xf>
    <xf numFmtId="0" fontId="1" fillId="3" borderId="0" xfId="0" applyFont="1" applyFill="1" applyAlignment="1">
      <alignment wrapText="1"/>
    </xf>
    <xf numFmtId="168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2" applyNumberFormat="1" applyFont="1"/>
    <xf numFmtId="0" fontId="1" fillId="0" borderId="0" xfId="2" applyNumberFormat="1" applyFont="1" applyAlignment="1">
      <alignment horizontal="left"/>
    </xf>
    <xf numFmtId="0" fontId="1" fillId="0" borderId="0" xfId="2" applyNumberFormat="1" applyFont="1" applyAlignment="1">
      <alignment horizontal="center"/>
    </xf>
    <xf numFmtId="164" fontId="1" fillId="0" borderId="0" xfId="2" applyNumberFormat="1" applyFont="1" applyBorder="1" applyProtection="1"/>
    <xf numFmtId="9" fontId="1" fillId="0" borderId="0" xfId="2" applyFont="1" applyBorder="1" applyAlignment="1" applyProtection="1">
      <alignment horizontal="center"/>
    </xf>
    <xf numFmtId="168" fontId="2" fillId="0" borderId="0" xfId="2" applyNumberFormat="1" applyFont="1" applyAlignment="1">
      <alignment horizontal="left"/>
    </xf>
    <xf numFmtId="0" fontId="2" fillId="0" borderId="0" xfId="2" applyNumberFormat="1" applyFont="1" applyAlignment="1">
      <alignment horizontal="left"/>
    </xf>
    <xf numFmtId="49" fontId="2" fillId="0" borderId="0" xfId="2" applyNumberFormat="1" applyFont="1"/>
    <xf numFmtId="0" fontId="3" fillId="0" borderId="0" xfId="2" applyNumberFormat="1" applyFont="1" applyBorder="1" applyAlignment="1" applyProtection="1">
      <alignment horizontal="center"/>
    </xf>
    <xf numFmtId="168" fontId="2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 wrapText="1"/>
    </xf>
    <xf numFmtId="9" fontId="2" fillId="0" borderId="1" xfId="2" applyFont="1" applyBorder="1" applyAlignment="1" applyProtection="1">
      <alignment horizontal="center" vertical="center" wrapText="1"/>
    </xf>
    <xf numFmtId="164" fontId="2" fillId="0" borderId="1" xfId="2" applyNumberFormat="1" applyFont="1" applyBorder="1" applyAlignment="1" applyProtection="1">
      <alignment horizontal="center" vertical="center" wrapText="1"/>
    </xf>
    <xf numFmtId="164" fontId="2" fillId="0" borderId="2" xfId="2" applyNumberFormat="1" applyFont="1" applyBorder="1" applyAlignment="1" applyProtection="1">
      <alignment horizontal="center" vertical="center" wrapText="1"/>
    </xf>
    <xf numFmtId="164" fontId="2" fillId="0" borderId="3" xfId="2" applyNumberFormat="1" applyFont="1" applyBorder="1" applyAlignment="1" applyProtection="1">
      <alignment horizontal="center" vertical="center" wrapText="1"/>
    </xf>
    <xf numFmtId="164" fontId="2" fillId="0" borderId="4" xfId="2" applyNumberFormat="1" applyFont="1" applyBorder="1" applyAlignment="1" applyProtection="1">
      <alignment horizontal="center" vertical="center" wrapText="1"/>
    </xf>
    <xf numFmtId="0" fontId="1" fillId="0" borderId="0" xfId="2" applyNumberFormat="1" applyFont="1" applyAlignment="1">
      <alignment vertical="center" wrapText="1"/>
    </xf>
    <xf numFmtId="169" fontId="1" fillId="2" borderId="3" xfId="0" applyNumberFormat="1" applyFont="1" applyFill="1" applyBorder="1" applyAlignment="1">
      <alignment horizontal="center" vertical="center" wrapText="1"/>
    </xf>
    <xf numFmtId="49" fontId="1" fillId="2" borderId="3" xfId="2" applyNumberFormat="1" applyFont="1" applyFill="1" applyBorder="1" applyAlignment="1">
      <alignment horizontal="center" vertical="center" wrapText="1"/>
    </xf>
    <xf numFmtId="0" fontId="1" fillId="2" borderId="3" xfId="2" applyNumberFormat="1" applyFont="1" applyFill="1" applyBorder="1" applyAlignment="1">
      <alignment horizontal="center" vertical="center" wrapText="1"/>
    </xf>
    <xf numFmtId="0" fontId="1" fillId="2" borderId="5" xfId="2" applyNumberFormat="1" applyFont="1" applyFill="1" applyBorder="1" applyAlignment="1">
      <alignment horizontal="center" vertical="center" wrapText="1"/>
    </xf>
    <xf numFmtId="9" fontId="1" fillId="2" borderId="3" xfId="2" applyFont="1" applyFill="1" applyBorder="1" applyAlignment="1" applyProtection="1">
      <alignment horizontal="center" wrapText="1"/>
    </xf>
    <xf numFmtId="164" fontId="1" fillId="2" borderId="3" xfId="2" applyNumberFormat="1" applyFont="1" applyFill="1" applyBorder="1" applyAlignment="1" applyProtection="1">
      <alignment wrapText="1"/>
    </xf>
    <xf numFmtId="164" fontId="1" fillId="2" borderId="6" xfId="2" applyNumberFormat="1" applyFont="1" applyFill="1" applyBorder="1" applyAlignment="1" applyProtection="1">
      <alignment wrapText="1"/>
    </xf>
    <xf numFmtId="164" fontId="2" fillId="2" borderId="3" xfId="2" applyNumberFormat="1" applyFont="1" applyFill="1" applyBorder="1" applyAlignment="1" applyProtection="1">
      <alignment wrapText="1"/>
    </xf>
    <xf numFmtId="164" fontId="1" fillId="2" borderId="0" xfId="2" applyNumberFormat="1" applyFont="1" applyFill="1" applyAlignment="1">
      <alignment wrapText="1"/>
    </xf>
    <xf numFmtId="0" fontId="1" fillId="2" borderId="0" xfId="2" applyNumberFormat="1" applyFont="1" applyFill="1" applyAlignment="1">
      <alignment wrapText="1"/>
    </xf>
    <xf numFmtId="167" fontId="1" fillId="2" borderId="3" xfId="0" applyNumberFormat="1" applyFont="1" applyFill="1" applyBorder="1" applyAlignment="1">
      <alignment horizontal="center"/>
    </xf>
    <xf numFmtId="169" fontId="1" fillId="3" borderId="3" xfId="0" applyNumberFormat="1" applyFont="1" applyFill="1" applyBorder="1" applyAlignment="1">
      <alignment horizontal="center" vertical="center" wrapText="1"/>
    </xf>
    <xf numFmtId="49" fontId="1" fillId="3" borderId="3" xfId="2" applyNumberFormat="1" applyFont="1" applyFill="1" applyBorder="1" applyAlignment="1">
      <alignment horizontal="center" vertical="center" wrapText="1"/>
    </xf>
    <xf numFmtId="0" fontId="1" fillId="3" borderId="3" xfId="2" applyNumberFormat="1" applyFont="1" applyFill="1" applyBorder="1" applyAlignment="1">
      <alignment horizontal="center" vertical="center" wrapText="1"/>
    </xf>
    <xf numFmtId="0" fontId="1" fillId="3" borderId="5" xfId="2" applyNumberFormat="1" applyFont="1" applyFill="1" applyBorder="1" applyAlignment="1">
      <alignment horizontal="center" vertical="center" wrapText="1"/>
    </xf>
    <xf numFmtId="9" fontId="1" fillId="3" borderId="3" xfId="2" applyFont="1" applyFill="1" applyBorder="1" applyAlignment="1" applyProtection="1">
      <alignment horizontal="center" wrapText="1"/>
    </xf>
    <xf numFmtId="164" fontId="1" fillId="3" borderId="3" xfId="2" applyNumberFormat="1" applyFont="1" applyFill="1" applyBorder="1" applyAlignment="1" applyProtection="1">
      <alignment wrapText="1"/>
    </xf>
    <xf numFmtId="164" fontId="1" fillId="3" borderId="6" xfId="2" applyNumberFormat="1" applyFont="1" applyFill="1" applyBorder="1" applyAlignment="1" applyProtection="1">
      <alignment wrapText="1"/>
    </xf>
    <xf numFmtId="164" fontId="2" fillId="3" borderId="3" xfId="2" applyNumberFormat="1" applyFont="1" applyFill="1" applyBorder="1" applyAlignment="1" applyProtection="1">
      <alignment wrapText="1"/>
    </xf>
    <xf numFmtId="164" fontId="1" fillId="3" borderId="0" xfId="2" applyNumberFormat="1" applyFont="1" applyFill="1" applyAlignment="1">
      <alignment wrapText="1"/>
    </xf>
    <xf numFmtId="0" fontId="1" fillId="3" borderId="0" xfId="2" applyNumberFormat="1" applyFont="1" applyFill="1" applyAlignment="1">
      <alignment wrapText="1"/>
    </xf>
    <xf numFmtId="169" fontId="1" fillId="2" borderId="3" xfId="0" applyNumberFormat="1" applyFont="1" applyFill="1" applyBorder="1" applyAlignment="1">
      <alignment horizontal="center" vertical="center"/>
    </xf>
    <xf numFmtId="49" fontId="1" fillId="2" borderId="3" xfId="2" applyNumberFormat="1" applyFont="1" applyFill="1" applyBorder="1" applyAlignment="1">
      <alignment horizontal="center" vertical="center"/>
    </xf>
    <xf numFmtId="9" fontId="1" fillId="2" borderId="3" xfId="2" applyFont="1" applyFill="1" applyBorder="1" applyAlignment="1" applyProtection="1">
      <alignment horizontal="center"/>
    </xf>
    <xf numFmtId="164" fontId="1" fillId="2" borderId="3" xfId="2" applyNumberFormat="1" applyFont="1" applyFill="1" applyBorder="1" applyProtection="1"/>
    <xf numFmtId="164" fontId="1" fillId="2" borderId="6" xfId="2" applyNumberFormat="1" applyFont="1" applyFill="1" applyBorder="1" applyProtection="1"/>
    <xf numFmtId="0" fontId="1" fillId="2" borderId="0" xfId="2" applyNumberFormat="1" applyFont="1" applyFill="1"/>
    <xf numFmtId="164" fontId="1" fillId="0" borderId="3" xfId="2" applyNumberFormat="1" applyFont="1" applyBorder="1" applyProtection="1"/>
    <xf numFmtId="164" fontId="2" fillId="2" borderId="3" xfId="2" applyNumberFormat="1" applyFont="1" applyFill="1" applyBorder="1" applyProtection="1"/>
    <xf numFmtId="164" fontId="1" fillId="2" borderId="7" xfId="2" applyNumberFormat="1" applyFont="1" applyFill="1" applyBorder="1" applyProtection="1"/>
    <xf numFmtId="168" fontId="2" fillId="0" borderId="8" xfId="2" applyNumberFormat="1" applyFont="1" applyBorder="1" applyAlignment="1" applyProtection="1">
      <alignment horizontal="center"/>
      <protection locked="0"/>
    </xf>
    <xf numFmtId="0" fontId="2" fillId="0" borderId="8" xfId="2" applyNumberFormat="1" applyFont="1" applyBorder="1" applyAlignment="1" applyProtection="1">
      <alignment horizontal="left"/>
      <protection locked="0"/>
    </xf>
    <xf numFmtId="0" fontId="2" fillId="0" borderId="8" xfId="2" applyNumberFormat="1" applyFont="1" applyBorder="1"/>
    <xf numFmtId="0" fontId="2" fillId="0" borderId="8" xfId="2" applyNumberFormat="1" applyFont="1" applyBorder="1" applyAlignment="1">
      <alignment horizontal="left"/>
    </xf>
    <xf numFmtId="0" fontId="2" fillId="0" borderId="8" xfId="2" applyNumberFormat="1" applyFont="1" applyBorder="1" applyAlignment="1">
      <alignment horizontal="center"/>
    </xf>
    <xf numFmtId="164" fontId="2" fillId="0" borderId="8" xfId="1" applyFont="1" applyBorder="1" applyAlignment="1" applyProtection="1"/>
    <xf numFmtId="164" fontId="2" fillId="0" borderId="3" xfId="1" applyFont="1" applyBorder="1" applyAlignment="1" applyProtection="1"/>
    <xf numFmtId="0" fontId="2" fillId="0" borderId="0" xfId="2" applyNumberFormat="1" applyFont="1"/>
    <xf numFmtId="0" fontId="1" fillId="2" borderId="3" xfId="0" applyFont="1" applyFill="1" applyBorder="1" applyAlignment="1">
      <alignment horizontal="left"/>
    </xf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3"/>
  <sheetViews>
    <sheetView topLeftCell="A85" zoomScale="90" zoomScaleNormal="90" workbookViewId="0">
      <selection activeCell="E96" sqref="A96:XFD102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28.44140625" style="3" customWidth="1"/>
    <col min="4" max="4" width="17.6640625" style="4" customWidth="1"/>
    <col min="5" max="5" width="28.6640625" style="4" customWidth="1"/>
    <col min="6" max="6" width="9.88671875" style="2" customWidth="1"/>
    <col min="7" max="7" width="39.77734375" style="3" customWidth="1"/>
    <col min="8" max="8" width="10.10937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9.6640625" style="5" customWidth="1"/>
    <col min="19" max="19" width="10.21875" style="5" customWidth="1"/>
    <col min="20" max="24" width="8.6640625" style="5" customWidth="1"/>
    <col min="25" max="25" width="11.6640625" style="5" customWidth="1"/>
    <col min="26" max="26" width="10.44140625" style="5" customWidth="1"/>
    <col min="27" max="27" width="8.44140625" style="5" customWidth="1"/>
    <col min="28" max="28" width="12.109375" style="5" customWidth="1"/>
    <col min="29" max="30" width="10.109375" style="5" customWidth="1"/>
    <col min="31" max="31" width="12.77734375" style="5" customWidth="1"/>
    <col min="32" max="32" width="0.21875" style="5" customWidth="1"/>
    <col min="33" max="33" width="13.44140625" style="5" customWidth="1"/>
    <col min="34" max="34" width="9.554687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2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30" customFormat="1" ht="19.5" customHeight="1" x14ac:dyDescent="0.2">
      <c r="A5" s="18">
        <v>43102</v>
      </c>
      <c r="B5" s="19"/>
      <c r="C5" s="20" t="s">
        <v>37</v>
      </c>
      <c r="D5" s="20" t="s">
        <v>38</v>
      </c>
      <c r="E5" s="20" t="s">
        <v>39</v>
      </c>
      <c r="F5" s="21">
        <v>22926</v>
      </c>
      <c r="G5" s="22" t="s">
        <v>40</v>
      </c>
      <c r="H5" s="23"/>
      <c r="I5" s="23"/>
      <c r="J5" s="23"/>
      <c r="K5" s="23">
        <v>35</v>
      </c>
      <c r="L5" s="24"/>
      <c r="M5" s="25">
        <f t="shared" ref="M5:M36" si="0">SUM(H5:J5,K5/1.12)</f>
        <v>31.249999999999996</v>
      </c>
      <c r="N5" s="25">
        <f t="shared" ref="N5:N36" si="1">K5/1.12*0.12</f>
        <v>3.7499999999999996</v>
      </c>
      <c r="O5" s="25">
        <f t="shared" ref="O5:O36" si="2">-SUM(I5:J5,K5/1.12)*L5</f>
        <v>0</v>
      </c>
      <c r="P5" s="25">
        <v>31.25</v>
      </c>
      <c r="Q5" s="25"/>
      <c r="R5" s="25"/>
      <c r="S5" s="25"/>
      <c r="T5" s="26"/>
      <c r="U5" s="26"/>
      <c r="V5" s="26"/>
      <c r="W5" s="26"/>
      <c r="X5" s="26"/>
      <c r="Y5" s="25"/>
      <c r="Z5" s="25"/>
      <c r="AA5" s="25"/>
      <c r="AB5" s="25"/>
      <c r="AC5" s="26"/>
      <c r="AD5" s="26"/>
      <c r="AE5" s="27"/>
      <c r="AF5" s="27"/>
      <c r="AG5" s="28">
        <f t="shared" ref="AG5:AG36" si="3">-SUM(N5:AF5)</f>
        <v>-35</v>
      </c>
      <c r="AH5" s="29">
        <f t="shared" ref="AH5:AH36" si="4">SUM(H5:K5)+AG5+O5</f>
        <v>0</v>
      </c>
    </row>
    <row r="6" spans="1:34" s="30" customFormat="1" ht="19.5" customHeight="1" x14ac:dyDescent="0.2">
      <c r="A6" s="18">
        <v>43102</v>
      </c>
      <c r="B6" s="19"/>
      <c r="C6" s="20" t="s">
        <v>41</v>
      </c>
      <c r="D6" s="20" t="s">
        <v>42</v>
      </c>
      <c r="E6" s="20" t="s">
        <v>43</v>
      </c>
      <c r="F6" s="21">
        <v>1500</v>
      </c>
      <c r="G6" s="22" t="s">
        <v>44</v>
      </c>
      <c r="H6" s="23"/>
      <c r="I6" s="23"/>
      <c r="J6" s="23"/>
      <c r="K6" s="23">
        <v>1912</v>
      </c>
      <c r="L6" s="24"/>
      <c r="M6" s="25">
        <f t="shared" si="0"/>
        <v>1707.1428571428569</v>
      </c>
      <c r="N6" s="25">
        <f t="shared" si="1"/>
        <v>204.8571428571428</v>
      </c>
      <c r="O6" s="25">
        <f t="shared" si="2"/>
        <v>0</v>
      </c>
      <c r="P6" s="25">
        <v>1707.14</v>
      </c>
      <c r="Q6" s="25"/>
      <c r="R6" s="25"/>
      <c r="S6" s="25"/>
      <c r="T6" s="26"/>
      <c r="U6" s="26"/>
      <c r="V6" s="26"/>
      <c r="W6" s="26"/>
      <c r="X6" s="26"/>
      <c r="Y6" s="31"/>
      <c r="Z6" s="25"/>
      <c r="AA6" s="25"/>
      <c r="AB6" s="25"/>
      <c r="AC6" s="26"/>
      <c r="AD6" s="26"/>
      <c r="AE6" s="27"/>
      <c r="AF6" s="27"/>
      <c r="AG6" s="28">
        <f t="shared" si="3"/>
        <v>-1911.997142857143</v>
      </c>
      <c r="AH6" s="29">
        <f t="shared" si="4"/>
        <v>2.8571428570103308E-3</v>
      </c>
    </row>
    <row r="7" spans="1:34" s="30" customFormat="1" ht="19.5" customHeight="1" x14ac:dyDescent="0.2">
      <c r="A7" s="18">
        <v>43102</v>
      </c>
      <c r="B7" s="19"/>
      <c r="C7" s="20" t="s">
        <v>45</v>
      </c>
      <c r="D7" s="20"/>
      <c r="E7" s="20"/>
      <c r="F7" s="21"/>
      <c r="G7" s="22" t="s">
        <v>46</v>
      </c>
      <c r="H7" s="23">
        <v>100</v>
      </c>
      <c r="I7" s="23"/>
      <c r="J7" s="23"/>
      <c r="K7" s="23"/>
      <c r="L7" s="24"/>
      <c r="M7" s="25">
        <f t="shared" si="0"/>
        <v>100</v>
      </c>
      <c r="N7" s="25">
        <f t="shared" si="1"/>
        <v>0</v>
      </c>
      <c r="O7" s="25">
        <f t="shared" si="2"/>
        <v>0</v>
      </c>
      <c r="P7" s="25"/>
      <c r="Q7" s="25"/>
      <c r="R7" s="25"/>
      <c r="S7" s="25"/>
      <c r="T7" s="26"/>
      <c r="U7" s="26"/>
      <c r="V7" s="26"/>
      <c r="W7" s="26"/>
      <c r="X7" s="26"/>
      <c r="Y7" s="31"/>
      <c r="Z7" s="25"/>
      <c r="AA7" s="25">
        <v>100</v>
      </c>
      <c r="AB7" s="25"/>
      <c r="AC7" s="26"/>
      <c r="AD7" s="26"/>
      <c r="AE7" s="27"/>
      <c r="AF7" s="27"/>
      <c r="AG7" s="28">
        <f t="shared" si="3"/>
        <v>-100</v>
      </c>
      <c r="AH7" s="29">
        <f t="shared" si="4"/>
        <v>0</v>
      </c>
    </row>
    <row r="8" spans="1:34" s="30" customFormat="1" ht="19.5" customHeight="1" x14ac:dyDescent="0.2">
      <c r="A8" s="18">
        <v>43102</v>
      </c>
      <c r="B8" s="19"/>
      <c r="C8" s="20" t="s">
        <v>47</v>
      </c>
      <c r="D8" s="20" t="s">
        <v>48</v>
      </c>
      <c r="E8" s="20" t="s">
        <v>49</v>
      </c>
      <c r="F8" s="21">
        <v>2880</v>
      </c>
      <c r="G8" s="22" t="s">
        <v>50</v>
      </c>
      <c r="H8" s="23"/>
      <c r="I8" s="23"/>
      <c r="J8" s="23">
        <v>1664.74</v>
      </c>
      <c r="K8" s="23"/>
      <c r="L8" s="24">
        <v>0.01</v>
      </c>
      <c r="M8" s="25">
        <f t="shared" si="0"/>
        <v>1664.74</v>
      </c>
      <c r="N8" s="25">
        <f t="shared" si="1"/>
        <v>0</v>
      </c>
      <c r="O8" s="25">
        <f t="shared" si="2"/>
        <v>-16.647400000000001</v>
      </c>
      <c r="P8" s="25">
        <v>1664.74</v>
      </c>
      <c r="Q8" s="25"/>
      <c r="R8" s="25"/>
      <c r="S8" s="25"/>
      <c r="T8" s="26"/>
      <c r="U8" s="26"/>
      <c r="V8" s="26"/>
      <c r="W8" s="26"/>
      <c r="X8" s="26"/>
      <c r="Y8" s="31"/>
      <c r="Z8" s="25"/>
      <c r="AA8" s="25"/>
      <c r="AB8" s="25"/>
      <c r="AC8" s="26"/>
      <c r="AD8" s="26"/>
      <c r="AE8" s="27"/>
      <c r="AF8" s="27"/>
      <c r="AG8" s="28">
        <f t="shared" si="3"/>
        <v>-1648.0925999999999</v>
      </c>
      <c r="AH8" s="29">
        <f t="shared" si="4"/>
        <v>6.0396132539608516E-14</v>
      </c>
    </row>
    <row r="9" spans="1:34" s="30" customFormat="1" ht="19.5" customHeight="1" x14ac:dyDescent="0.2">
      <c r="A9" s="18">
        <v>43102</v>
      </c>
      <c r="B9" s="19"/>
      <c r="C9" s="20" t="s">
        <v>51</v>
      </c>
      <c r="D9" s="20" t="s">
        <v>52</v>
      </c>
      <c r="E9" s="20" t="s">
        <v>39</v>
      </c>
      <c r="F9" s="21">
        <v>27666</v>
      </c>
      <c r="G9" s="22" t="s">
        <v>53</v>
      </c>
      <c r="H9" s="23"/>
      <c r="I9" s="23"/>
      <c r="J9" s="23"/>
      <c r="K9" s="23">
        <v>1475.63</v>
      </c>
      <c r="L9" s="24"/>
      <c r="M9" s="25">
        <f t="shared" si="0"/>
        <v>1317.5267857142858</v>
      </c>
      <c r="N9" s="25">
        <f t="shared" si="1"/>
        <v>158.1032142857143</v>
      </c>
      <c r="O9" s="25">
        <f t="shared" si="2"/>
        <v>0</v>
      </c>
      <c r="P9" s="25">
        <v>1317.53</v>
      </c>
      <c r="Q9" s="25"/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6"/>
      <c r="AD9" s="26"/>
      <c r="AE9" s="27"/>
      <c r="AF9" s="27"/>
      <c r="AG9" s="28">
        <f t="shared" si="3"/>
        <v>-1475.6332142857143</v>
      </c>
      <c r="AH9" s="29">
        <f t="shared" si="4"/>
        <v>-3.2142857141934655E-3</v>
      </c>
    </row>
    <row r="10" spans="1:34" s="30" customFormat="1" ht="19.5" customHeight="1" x14ac:dyDescent="0.2">
      <c r="A10" s="18">
        <v>43103</v>
      </c>
      <c r="B10" s="19"/>
      <c r="C10" s="20" t="s">
        <v>54</v>
      </c>
      <c r="D10" s="20" t="s">
        <v>55</v>
      </c>
      <c r="E10" s="20" t="s">
        <v>56</v>
      </c>
      <c r="F10" s="21">
        <v>107</v>
      </c>
      <c r="G10" s="22" t="s">
        <v>57</v>
      </c>
      <c r="H10" s="23"/>
      <c r="I10" s="23"/>
      <c r="J10" s="23">
        <v>661.2</v>
      </c>
      <c r="K10" s="23"/>
      <c r="L10" s="24"/>
      <c r="M10" s="25">
        <f t="shared" si="0"/>
        <v>661.2</v>
      </c>
      <c r="N10" s="25">
        <f t="shared" si="1"/>
        <v>0</v>
      </c>
      <c r="O10" s="25">
        <f t="shared" si="2"/>
        <v>0</v>
      </c>
      <c r="P10" s="25">
        <v>661.2</v>
      </c>
      <c r="Q10" s="25"/>
      <c r="R10" s="25"/>
      <c r="S10" s="25"/>
      <c r="T10" s="26"/>
      <c r="U10" s="26"/>
      <c r="V10" s="26"/>
      <c r="W10" s="26"/>
      <c r="X10" s="26"/>
      <c r="Y10" s="31"/>
      <c r="Z10" s="25"/>
      <c r="AA10" s="25"/>
      <c r="AB10" s="25"/>
      <c r="AC10" s="26"/>
      <c r="AD10" s="26"/>
      <c r="AE10" s="27"/>
      <c r="AF10" s="27"/>
      <c r="AG10" s="28">
        <f t="shared" si="3"/>
        <v>-661.2</v>
      </c>
      <c r="AH10" s="29">
        <f t="shared" si="4"/>
        <v>0</v>
      </c>
    </row>
    <row r="11" spans="1:34" s="30" customFormat="1" ht="19.5" customHeight="1" x14ac:dyDescent="0.2">
      <c r="A11" s="18">
        <v>43103</v>
      </c>
      <c r="B11" s="19"/>
      <c r="C11" s="20" t="s">
        <v>54</v>
      </c>
      <c r="D11" s="20" t="s">
        <v>55</v>
      </c>
      <c r="E11" s="20" t="s">
        <v>56</v>
      </c>
      <c r="F11" s="21">
        <v>108</v>
      </c>
      <c r="G11" s="22" t="s">
        <v>58</v>
      </c>
      <c r="H11" s="23"/>
      <c r="I11" s="23"/>
      <c r="J11" s="23">
        <v>233</v>
      </c>
      <c r="K11" s="23"/>
      <c r="L11" s="24"/>
      <c r="M11" s="25">
        <f t="shared" si="0"/>
        <v>233</v>
      </c>
      <c r="N11" s="25">
        <f t="shared" si="1"/>
        <v>0</v>
      </c>
      <c r="O11" s="25">
        <f t="shared" si="2"/>
        <v>0</v>
      </c>
      <c r="P11" s="25">
        <v>233</v>
      </c>
      <c r="Q11" s="25"/>
      <c r="R11" s="25"/>
      <c r="S11" s="25"/>
      <c r="T11" s="26"/>
      <c r="U11" s="26"/>
      <c r="V11" s="26"/>
      <c r="W11" s="26"/>
      <c r="X11" s="26"/>
      <c r="Y11" s="31"/>
      <c r="Z11" s="25"/>
      <c r="AA11" s="25"/>
      <c r="AB11" s="25"/>
      <c r="AC11" s="26"/>
      <c r="AD11" s="26"/>
      <c r="AE11" s="27"/>
      <c r="AF11" s="27"/>
      <c r="AG11" s="28">
        <f t="shared" si="3"/>
        <v>-233</v>
      </c>
      <c r="AH11" s="29">
        <f t="shared" si="4"/>
        <v>0</v>
      </c>
    </row>
    <row r="12" spans="1:34" s="30" customFormat="1" ht="19.5" customHeight="1" x14ac:dyDescent="0.2">
      <c r="A12" s="18">
        <v>43103</v>
      </c>
      <c r="B12" s="19"/>
      <c r="C12" s="20" t="s">
        <v>59</v>
      </c>
      <c r="D12" s="20" t="s">
        <v>60</v>
      </c>
      <c r="E12" s="20" t="s">
        <v>61</v>
      </c>
      <c r="F12" s="21">
        <v>630010</v>
      </c>
      <c r="G12" s="22" t="s">
        <v>62</v>
      </c>
      <c r="H12" s="23"/>
      <c r="I12" s="23"/>
      <c r="J12" s="23"/>
      <c r="K12" s="23">
        <v>430</v>
      </c>
      <c r="L12" s="24"/>
      <c r="M12" s="25">
        <f t="shared" si="0"/>
        <v>383.92857142857139</v>
      </c>
      <c r="N12" s="25">
        <f t="shared" si="1"/>
        <v>46.071428571428562</v>
      </c>
      <c r="O12" s="25">
        <f t="shared" si="2"/>
        <v>0</v>
      </c>
      <c r="P12" s="25"/>
      <c r="Q12" s="25"/>
      <c r="R12" s="25"/>
      <c r="S12" s="25"/>
      <c r="T12" s="26">
        <v>383.93</v>
      </c>
      <c r="U12" s="26"/>
      <c r="V12" s="26"/>
      <c r="W12" s="26"/>
      <c r="X12" s="26"/>
      <c r="Y12" s="31"/>
      <c r="Z12" s="25"/>
      <c r="AA12" s="25"/>
      <c r="AB12" s="25"/>
      <c r="AC12" s="26"/>
      <c r="AD12" s="26"/>
      <c r="AE12" s="27"/>
      <c r="AF12" s="27"/>
      <c r="AG12" s="28">
        <f t="shared" si="3"/>
        <v>-430.00142857142856</v>
      </c>
      <c r="AH12" s="29">
        <f t="shared" si="4"/>
        <v>-1.4285714285620088E-3</v>
      </c>
    </row>
    <row r="13" spans="1:34" s="30" customFormat="1" ht="19.5" customHeight="1" x14ac:dyDescent="0.2">
      <c r="A13" s="18">
        <v>43103</v>
      </c>
      <c r="B13" s="19"/>
      <c r="C13" s="20" t="s">
        <v>63</v>
      </c>
      <c r="D13" s="20" t="s">
        <v>64</v>
      </c>
      <c r="E13" s="20" t="s">
        <v>65</v>
      </c>
      <c r="F13" s="21">
        <v>57820</v>
      </c>
      <c r="G13" s="22" t="s">
        <v>66</v>
      </c>
      <c r="H13" s="23"/>
      <c r="I13" s="23"/>
      <c r="J13" s="23"/>
      <c r="K13" s="23">
        <f>2062.59+247.51</f>
        <v>2310.1000000000004</v>
      </c>
      <c r="L13" s="24">
        <v>0.01</v>
      </c>
      <c r="M13" s="25">
        <f t="shared" si="0"/>
        <v>2062.5892857142858</v>
      </c>
      <c r="N13" s="25">
        <f t="shared" si="1"/>
        <v>247.51071428571427</v>
      </c>
      <c r="O13" s="25">
        <f t="shared" si="2"/>
        <v>-20.625892857142858</v>
      </c>
      <c r="P13" s="25">
        <v>2062.59</v>
      </c>
      <c r="Q13" s="25"/>
      <c r="R13" s="25"/>
      <c r="S13" s="25"/>
      <c r="T13" s="26"/>
      <c r="U13" s="26"/>
      <c r="V13" s="26"/>
      <c r="W13" s="26"/>
      <c r="X13" s="26"/>
      <c r="Y13" s="31"/>
      <c r="Z13" s="25"/>
      <c r="AA13" s="25"/>
      <c r="AB13" s="25"/>
      <c r="AC13" s="26"/>
      <c r="AD13" s="26"/>
      <c r="AE13" s="27"/>
      <c r="AF13" s="27"/>
      <c r="AG13" s="28">
        <f t="shared" si="3"/>
        <v>-2289.4748214285714</v>
      </c>
      <c r="AH13" s="29">
        <f t="shared" si="4"/>
        <v>-7.1428571392573303E-4</v>
      </c>
    </row>
    <row r="14" spans="1:34" s="30" customFormat="1" ht="19.5" customHeight="1" x14ac:dyDescent="0.2">
      <c r="A14" s="18">
        <v>43103</v>
      </c>
      <c r="B14" s="19"/>
      <c r="C14" s="20" t="s">
        <v>63</v>
      </c>
      <c r="D14" s="20" t="s">
        <v>64</v>
      </c>
      <c r="E14" s="20" t="s">
        <v>65</v>
      </c>
      <c r="F14" s="21">
        <v>57820</v>
      </c>
      <c r="G14" s="22" t="s">
        <v>67</v>
      </c>
      <c r="H14" s="23"/>
      <c r="I14" s="23"/>
      <c r="J14" s="23">
        <v>633.79999999999995</v>
      </c>
      <c r="K14" s="23"/>
      <c r="L14" s="24">
        <v>0.01</v>
      </c>
      <c r="M14" s="25">
        <f t="shared" si="0"/>
        <v>633.79999999999995</v>
      </c>
      <c r="N14" s="25">
        <f t="shared" si="1"/>
        <v>0</v>
      </c>
      <c r="O14" s="25">
        <f t="shared" si="2"/>
        <v>-6.3380000000000001</v>
      </c>
      <c r="P14" s="25">
        <v>633.79999999999995</v>
      </c>
      <c r="Q14" s="25"/>
      <c r="R14" s="25"/>
      <c r="S14" s="25"/>
      <c r="T14" s="26"/>
      <c r="U14" s="26"/>
      <c r="V14" s="26"/>
      <c r="W14" s="26"/>
      <c r="X14" s="26"/>
      <c r="Y14" s="31"/>
      <c r="Z14" s="25"/>
      <c r="AA14" s="25"/>
      <c r="AB14" s="25"/>
      <c r="AC14" s="26"/>
      <c r="AD14" s="26"/>
      <c r="AE14" s="27"/>
      <c r="AF14" s="27"/>
      <c r="AG14" s="28">
        <f t="shared" si="3"/>
        <v>-627.46199999999999</v>
      </c>
      <c r="AH14" s="29">
        <f t="shared" si="4"/>
        <v>-3.4638958368304884E-14</v>
      </c>
    </row>
    <row r="15" spans="1:34" s="30" customFormat="1" ht="19.5" customHeight="1" x14ac:dyDescent="0.2">
      <c r="A15" s="18">
        <v>43103</v>
      </c>
      <c r="B15" s="19"/>
      <c r="C15" s="20" t="s">
        <v>68</v>
      </c>
      <c r="D15" s="20"/>
      <c r="E15" s="20"/>
      <c r="F15" s="21"/>
      <c r="G15" s="22" t="s">
        <v>69</v>
      </c>
      <c r="H15" s="23">
        <v>100</v>
      </c>
      <c r="I15" s="23"/>
      <c r="J15" s="23"/>
      <c r="K15" s="23"/>
      <c r="L15" s="24"/>
      <c r="M15" s="25">
        <f t="shared" si="0"/>
        <v>100</v>
      </c>
      <c r="N15" s="25">
        <f t="shared" si="1"/>
        <v>0</v>
      </c>
      <c r="O15" s="25">
        <f t="shared" si="2"/>
        <v>0</v>
      </c>
      <c r="P15" s="25"/>
      <c r="Q15" s="25"/>
      <c r="R15" s="25"/>
      <c r="S15" s="25"/>
      <c r="T15" s="26"/>
      <c r="U15" s="26"/>
      <c r="V15" s="26"/>
      <c r="W15" s="26"/>
      <c r="X15" s="26"/>
      <c r="Y15" s="31"/>
      <c r="Z15" s="25"/>
      <c r="AA15" s="25">
        <v>100</v>
      </c>
      <c r="AB15" s="25"/>
      <c r="AC15" s="26"/>
      <c r="AD15" s="26"/>
      <c r="AE15" s="27"/>
      <c r="AF15" s="27"/>
      <c r="AG15" s="28">
        <f t="shared" si="3"/>
        <v>-100</v>
      </c>
      <c r="AH15" s="29">
        <f t="shared" si="4"/>
        <v>0</v>
      </c>
    </row>
    <row r="16" spans="1:34" s="30" customFormat="1" ht="19.5" customHeight="1" x14ac:dyDescent="0.2">
      <c r="A16" s="18">
        <v>43103</v>
      </c>
      <c r="B16" s="19"/>
      <c r="C16" s="20" t="s">
        <v>70</v>
      </c>
      <c r="D16" s="20" t="s">
        <v>71</v>
      </c>
      <c r="E16" s="20" t="s">
        <v>72</v>
      </c>
      <c r="F16" s="21">
        <v>31986</v>
      </c>
      <c r="G16" s="22" t="s">
        <v>73</v>
      </c>
      <c r="H16" s="23"/>
      <c r="I16" s="23"/>
      <c r="J16" s="23"/>
      <c r="K16" s="23">
        <v>1559</v>
      </c>
      <c r="L16" s="24">
        <v>0.01</v>
      </c>
      <c r="M16" s="25">
        <f t="shared" si="0"/>
        <v>1391.9642857142856</v>
      </c>
      <c r="N16" s="25">
        <f t="shared" si="1"/>
        <v>167.03571428571425</v>
      </c>
      <c r="O16" s="25">
        <f t="shared" si="2"/>
        <v>-13.919642857142856</v>
      </c>
      <c r="P16" s="25">
        <v>1391.96</v>
      </c>
      <c r="Q16" s="25"/>
      <c r="R16" s="25"/>
      <c r="S16" s="25"/>
      <c r="T16" s="26"/>
      <c r="U16" s="26"/>
      <c r="V16" s="26"/>
      <c r="W16" s="26"/>
      <c r="X16" s="26"/>
      <c r="Y16" s="31"/>
      <c r="Z16" s="25"/>
      <c r="AA16" s="25"/>
      <c r="AB16" s="25"/>
      <c r="AC16" s="26"/>
      <c r="AD16" s="26"/>
      <c r="AE16" s="27"/>
      <c r="AF16" s="27"/>
      <c r="AG16" s="28">
        <f t="shared" si="3"/>
        <v>-1545.0760714285714</v>
      </c>
      <c r="AH16" s="29">
        <f t="shared" si="4"/>
        <v>4.2857142857766206E-3</v>
      </c>
    </row>
    <row r="17" spans="1:34" s="30" customFormat="1" ht="19.5" customHeight="1" x14ac:dyDescent="0.2">
      <c r="A17" s="18">
        <v>43103</v>
      </c>
      <c r="B17" s="19"/>
      <c r="C17" s="20" t="s">
        <v>51</v>
      </c>
      <c r="D17" s="20" t="s">
        <v>52</v>
      </c>
      <c r="E17" s="20" t="s">
        <v>39</v>
      </c>
      <c r="F17" s="21">
        <v>27690</v>
      </c>
      <c r="G17" s="22" t="s">
        <v>74</v>
      </c>
      <c r="H17" s="23"/>
      <c r="I17" s="23"/>
      <c r="J17" s="23"/>
      <c r="K17" s="23">
        <v>209.08</v>
      </c>
      <c r="L17" s="24"/>
      <c r="M17" s="25">
        <f t="shared" si="0"/>
        <v>186.67857142857142</v>
      </c>
      <c r="N17" s="25">
        <f t="shared" si="1"/>
        <v>22.401428571428568</v>
      </c>
      <c r="O17" s="25">
        <f t="shared" si="2"/>
        <v>0</v>
      </c>
      <c r="P17" s="25">
        <v>186.68</v>
      </c>
      <c r="Q17" s="25"/>
      <c r="R17" s="25"/>
      <c r="S17" s="25"/>
      <c r="T17" s="26"/>
      <c r="U17" s="26"/>
      <c r="V17" s="26"/>
      <c r="W17" s="26"/>
      <c r="X17" s="26"/>
      <c r="Y17" s="31"/>
      <c r="Z17" s="25"/>
      <c r="AA17" s="25"/>
      <c r="AB17" s="25"/>
      <c r="AC17" s="26"/>
      <c r="AD17" s="26"/>
      <c r="AE17" s="27"/>
      <c r="AF17" s="27"/>
      <c r="AG17" s="28">
        <f t="shared" si="3"/>
        <v>-209.08142857142857</v>
      </c>
      <c r="AH17" s="29">
        <f t="shared" si="4"/>
        <v>-1.4285714285620088E-3</v>
      </c>
    </row>
    <row r="18" spans="1:34" s="30" customFormat="1" ht="19.5" customHeight="1" x14ac:dyDescent="0.2">
      <c r="A18" s="18">
        <v>43103</v>
      </c>
      <c r="B18" s="19"/>
      <c r="C18" s="32" t="s">
        <v>47</v>
      </c>
      <c r="D18" s="20" t="s">
        <v>48</v>
      </c>
      <c r="E18" s="20" t="s">
        <v>49</v>
      </c>
      <c r="F18" s="21">
        <v>2881</v>
      </c>
      <c r="G18" s="22" t="s">
        <v>75</v>
      </c>
      <c r="H18" s="23"/>
      <c r="I18" s="23"/>
      <c r="J18" s="23">
        <v>378.72</v>
      </c>
      <c r="K18" s="23"/>
      <c r="L18" s="24"/>
      <c r="M18" s="25">
        <f t="shared" si="0"/>
        <v>378.72</v>
      </c>
      <c r="N18" s="25">
        <f t="shared" si="1"/>
        <v>0</v>
      </c>
      <c r="O18" s="25">
        <f t="shared" si="2"/>
        <v>0</v>
      </c>
      <c r="P18" s="25">
        <v>378.72</v>
      </c>
      <c r="Q18" s="25"/>
      <c r="R18" s="25"/>
      <c r="S18" s="25"/>
      <c r="T18" s="26"/>
      <c r="U18" s="26"/>
      <c r="V18" s="26"/>
      <c r="W18" s="26"/>
      <c r="X18" s="26"/>
      <c r="Y18" s="31"/>
      <c r="Z18" s="25"/>
      <c r="AA18" s="25"/>
      <c r="AB18" s="25"/>
      <c r="AC18" s="26"/>
      <c r="AD18" s="26"/>
      <c r="AE18" s="27"/>
      <c r="AF18" s="27"/>
      <c r="AG18" s="28">
        <f t="shared" si="3"/>
        <v>-378.72</v>
      </c>
      <c r="AH18" s="29">
        <f t="shared" si="4"/>
        <v>0</v>
      </c>
    </row>
    <row r="19" spans="1:34" s="30" customFormat="1" ht="19.5" customHeight="1" x14ac:dyDescent="0.2">
      <c r="A19" s="18">
        <v>43104</v>
      </c>
      <c r="B19" s="19"/>
      <c r="C19" s="32" t="s">
        <v>41</v>
      </c>
      <c r="D19" s="20" t="s">
        <v>76</v>
      </c>
      <c r="E19" s="20" t="s">
        <v>77</v>
      </c>
      <c r="F19" s="21">
        <v>25754</v>
      </c>
      <c r="G19" s="22" t="s">
        <v>78</v>
      </c>
      <c r="H19" s="23"/>
      <c r="I19" s="23"/>
      <c r="J19" s="23"/>
      <c r="K19" s="23">
        <v>900.08</v>
      </c>
      <c r="L19" s="24"/>
      <c r="M19" s="25">
        <f t="shared" si="0"/>
        <v>803.64285714285711</v>
      </c>
      <c r="N19" s="25">
        <f t="shared" si="1"/>
        <v>96.437142857142845</v>
      </c>
      <c r="O19" s="25">
        <f t="shared" si="2"/>
        <v>0</v>
      </c>
      <c r="P19" s="25">
        <v>803.64</v>
      </c>
      <c r="Q19" s="25"/>
      <c r="R19" s="25"/>
      <c r="S19" s="25"/>
      <c r="T19" s="26"/>
      <c r="U19" s="26"/>
      <c r="V19" s="26"/>
      <c r="W19" s="26"/>
      <c r="X19" s="26"/>
      <c r="Y19" s="31"/>
      <c r="Z19" s="25"/>
      <c r="AA19" s="25"/>
      <c r="AB19" s="25"/>
      <c r="AC19" s="26"/>
      <c r="AD19" s="26"/>
      <c r="AE19" s="27"/>
      <c r="AF19" s="27"/>
      <c r="AG19" s="28">
        <f t="shared" si="3"/>
        <v>-900.0771428571428</v>
      </c>
      <c r="AH19" s="29">
        <f t="shared" si="4"/>
        <v>2.8571428572377044E-3</v>
      </c>
    </row>
    <row r="20" spans="1:34" s="30" customFormat="1" ht="19.5" customHeight="1" x14ac:dyDescent="0.2">
      <c r="A20" s="18">
        <v>43104</v>
      </c>
      <c r="B20" s="19"/>
      <c r="C20" s="20" t="s">
        <v>54</v>
      </c>
      <c r="D20" s="20" t="s">
        <v>55</v>
      </c>
      <c r="E20" s="20" t="s">
        <v>56</v>
      </c>
      <c r="F20" s="21">
        <v>110</v>
      </c>
      <c r="G20" s="22" t="s">
        <v>79</v>
      </c>
      <c r="H20" s="23"/>
      <c r="I20" s="23"/>
      <c r="J20" s="23">
        <v>2150</v>
      </c>
      <c r="K20" s="23"/>
      <c r="L20" s="24"/>
      <c r="M20" s="25">
        <f t="shared" si="0"/>
        <v>2150</v>
      </c>
      <c r="N20" s="25">
        <f t="shared" si="1"/>
        <v>0</v>
      </c>
      <c r="O20" s="25">
        <f t="shared" si="2"/>
        <v>0</v>
      </c>
      <c r="P20" s="25">
        <v>2150</v>
      </c>
      <c r="Q20" s="25"/>
      <c r="R20" s="25"/>
      <c r="S20" s="25"/>
      <c r="T20" s="26"/>
      <c r="U20" s="26"/>
      <c r="V20" s="26"/>
      <c r="W20" s="26"/>
      <c r="X20" s="26"/>
      <c r="Y20" s="31"/>
      <c r="Z20" s="25"/>
      <c r="AA20" s="25"/>
      <c r="AB20" s="25"/>
      <c r="AC20" s="26"/>
      <c r="AD20" s="26"/>
      <c r="AE20" s="27"/>
      <c r="AF20" s="27"/>
      <c r="AG20" s="28">
        <f t="shared" si="3"/>
        <v>-2150</v>
      </c>
      <c r="AH20" s="29">
        <f t="shared" si="4"/>
        <v>0</v>
      </c>
    </row>
    <row r="21" spans="1:34" s="30" customFormat="1" ht="19.5" customHeight="1" x14ac:dyDescent="0.2">
      <c r="A21" s="18">
        <v>43104</v>
      </c>
      <c r="B21" s="19"/>
      <c r="C21" s="32" t="s">
        <v>80</v>
      </c>
      <c r="D21" s="20" t="s">
        <v>81</v>
      </c>
      <c r="E21" s="20" t="s">
        <v>43</v>
      </c>
      <c r="F21" s="21">
        <v>156588</v>
      </c>
      <c r="G21" s="22" t="s">
        <v>82</v>
      </c>
      <c r="H21" s="23"/>
      <c r="I21" s="23"/>
      <c r="J21" s="23"/>
      <c r="K21" s="23">
        <v>439.2</v>
      </c>
      <c r="L21" s="24"/>
      <c r="M21" s="25">
        <f t="shared" si="0"/>
        <v>392.14285714285711</v>
      </c>
      <c r="N21" s="25">
        <f t="shared" si="1"/>
        <v>47.05714285714285</v>
      </c>
      <c r="O21" s="25">
        <f t="shared" si="2"/>
        <v>0</v>
      </c>
      <c r="P21" s="25">
        <v>392.14</v>
      </c>
      <c r="Q21" s="25"/>
      <c r="R21" s="25"/>
      <c r="S21" s="25"/>
      <c r="T21" s="26"/>
      <c r="U21" s="26"/>
      <c r="V21" s="26"/>
      <c r="W21" s="26"/>
      <c r="X21" s="26"/>
      <c r="Y21" s="31"/>
      <c r="Z21" s="25"/>
      <c r="AA21" s="25"/>
      <c r="AB21" s="25"/>
      <c r="AC21" s="26"/>
      <c r="AD21" s="26"/>
      <c r="AE21" s="27"/>
      <c r="AF21" s="27"/>
      <c r="AG21" s="28">
        <f t="shared" si="3"/>
        <v>-439.19714285714281</v>
      </c>
      <c r="AH21" s="29">
        <f t="shared" si="4"/>
        <v>2.857142857180861E-3</v>
      </c>
    </row>
    <row r="22" spans="1:34" s="30" customFormat="1" ht="19.5" customHeight="1" x14ac:dyDescent="0.2">
      <c r="A22" s="18">
        <v>43104</v>
      </c>
      <c r="B22" s="19"/>
      <c r="C22" s="20" t="s">
        <v>63</v>
      </c>
      <c r="D22" s="20" t="s">
        <v>64</v>
      </c>
      <c r="E22" s="20" t="s">
        <v>65</v>
      </c>
      <c r="F22" s="21">
        <v>78412</v>
      </c>
      <c r="G22" s="22" t="s">
        <v>83</v>
      </c>
      <c r="H22" s="23"/>
      <c r="I22" s="23"/>
      <c r="J22" s="23">
        <v>1458</v>
      </c>
      <c r="K22" s="23"/>
      <c r="L22" s="24"/>
      <c r="M22" s="25">
        <f t="shared" si="0"/>
        <v>1458</v>
      </c>
      <c r="N22" s="25">
        <f t="shared" si="1"/>
        <v>0</v>
      </c>
      <c r="O22" s="25">
        <f t="shared" si="2"/>
        <v>0</v>
      </c>
      <c r="P22" s="25">
        <v>1458</v>
      </c>
      <c r="Q22" s="25"/>
      <c r="R22" s="25"/>
      <c r="S22" s="25"/>
      <c r="T22" s="26"/>
      <c r="U22" s="26"/>
      <c r="V22" s="26"/>
      <c r="W22" s="26"/>
      <c r="X22" s="26"/>
      <c r="Y22" s="31"/>
      <c r="Z22" s="25"/>
      <c r="AA22" s="25"/>
      <c r="AB22" s="25"/>
      <c r="AC22" s="26"/>
      <c r="AD22" s="26"/>
      <c r="AE22" s="27"/>
      <c r="AF22" s="27"/>
      <c r="AG22" s="28">
        <f t="shared" si="3"/>
        <v>-1458</v>
      </c>
      <c r="AH22" s="29">
        <f t="shared" si="4"/>
        <v>0</v>
      </c>
    </row>
    <row r="23" spans="1:34" s="30" customFormat="1" ht="19.5" customHeight="1" x14ac:dyDescent="0.2">
      <c r="A23" s="18">
        <v>43104</v>
      </c>
      <c r="B23" s="19"/>
      <c r="C23" s="20" t="s">
        <v>63</v>
      </c>
      <c r="D23" s="20" t="s">
        <v>64</v>
      </c>
      <c r="E23" s="20" t="s">
        <v>65</v>
      </c>
      <c r="F23" s="21">
        <v>78412</v>
      </c>
      <c r="G23" s="22" t="s">
        <v>84</v>
      </c>
      <c r="H23" s="23"/>
      <c r="I23" s="23"/>
      <c r="J23" s="23"/>
      <c r="K23" s="23">
        <f>474.02+56.88</f>
        <v>530.9</v>
      </c>
      <c r="L23" s="24"/>
      <c r="M23" s="25">
        <f t="shared" si="0"/>
        <v>474.01785714285705</v>
      </c>
      <c r="N23" s="25">
        <f t="shared" si="1"/>
        <v>56.882142857142846</v>
      </c>
      <c r="O23" s="25">
        <f t="shared" si="2"/>
        <v>0</v>
      </c>
      <c r="P23" s="25">
        <v>474.02</v>
      </c>
      <c r="Q23" s="25"/>
      <c r="R23" s="25"/>
      <c r="S23" s="25"/>
      <c r="T23" s="26"/>
      <c r="U23" s="26"/>
      <c r="V23" s="26"/>
      <c r="W23" s="26"/>
      <c r="X23" s="26"/>
      <c r="Y23" s="31"/>
      <c r="Z23" s="25"/>
      <c r="AA23" s="25"/>
      <c r="AB23" s="25"/>
      <c r="AC23" s="26"/>
      <c r="AD23" s="26"/>
      <c r="AE23" s="27"/>
      <c r="AF23" s="27"/>
      <c r="AG23" s="28">
        <f t="shared" si="3"/>
        <v>-530.90214285714285</v>
      </c>
      <c r="AH23" s="29">
        <f t="shared" si="4"/>
        <v>-2.1428571428714349E-3</v>
      </c>
    </row>
    <row r="24" spans="1:34" s="30" customFormat="1" ht="19.5" customHeight="1" x14ac:dyDescent="0.2">
      <c r="A24" s="18">
        <v>43105</v>
      </c>
      <c r="B24" s="19"/>
      <c r="C24" s="20" t="s">
        <v>63</v>
      </c>
      <c r="D24" s="20" t="s">
        <v>64</v>
      </c>
      <c r="E24" s="20" t="s">
        <v>65</v>
      </c>
      <c r="F24" s="21">
        <v>90417</v>
      </c>
      <c r="G24" s="22" t="s">
        <v>85</v>
      </c>
      <c r="H24" s="23"/>
      <c r="I24" s="23"/>
      <c r="J24" s="23">
        <v>639.6</v>
      </c>
      <c r="K24" s="23"/>
      <c r="L24" s="24"/>
      <c r="M24" s="25">
        <f t="shared" si="0"/>
        <v>639.6</v>
      </c>
      <c r="N24" s="25">
        <f t="shared" si="1"/>
        <v>0</v>
      </c>
      <c r="O24" s="25">
        <f t="shared" si="2"/>
        <v>0</v>
      </c>
      <c r="P24" s="25">
        <v>639.6</v>
      </c>
      <c r="Q24" s="25"/>
      <c r="R24" s="25"/>
      <c r="S24" s="25"/>
      <c r="T24" s="26"/>
      <c r="U24" s="26"/>
      <c r="V24" s="26"/>
      <c r="W24" s="26"/>
      <c r="X24" s="26"/>
      <c r="Y24" s="31"/>
      <c r="Z24" s="25"/>
      <c r="AA24" s="25"/>
      <c r="AB24" s="25"/>
      <c r="AC24" s="26"/>
      <c r="AD24" s="26"/>
      <c r="AE24" s="27"/>
      <c r="AF24" s="27"/>
      <c r="AG24" s="28">
        <f t="shared" si="3"/>
        <v>-639.6</v>
      </c>
      <c r="AH24" s="29">
        <f t="shared" si="4"/>
        <v>0</v>
      </c>
    </row>
    <row r="25" spans="1:34" s="30" customFormat="1" ht="19.5" customHeight="1" x14ac:dyDescent="0.2">
      <c r="A25" s="18">
        <v>43105</v>
      </c>
      <c r="B25" s="19"/>
      <c r="C25" s="20" t="s">
        <v>63</v>
      </c>
      <c r="D25" s="20" t="s">
        <v>64</v>
      </c>
      <c r="E25" s="20" t="s">
        <v>65</v>
      </c>
      <c r="F25" s="21">
        <v>90417</v>
      </c>
      <c r="G25" s="22" t="s">
        <v>86</v>
      </c>
      <c r="H25" s="23"/>
      <c r="I25" s="23"/>
      <c r="J25" s="23"/>
      <c r="K25" s="23">
        <v>48.9</v>
      </c>
      <c r="L25" s="24"/>
      <c r="M25" s="25">
        <f t="shared" si="0"/>
        <v>43.660714285714278</v>
      </c>
      <c r="N25" s="25">
        <f t="shared" si="1"/>
        <v>5.239285714285713</v>
      </c>
      <c r="O25" s="25">
        <f t="shared" si="2"/>
        <v>0</v>
      </c>
      <c r="P25" s="25">
        <v>43.66</v>
      </c>
      <c r="Q25" s="25"/>
      <c r="R25" s="25"/>
      <c r="S25" s="25"/>
      <c r="T25" s="26"/>
      <c r="U25" s="26"/>
      <c r="V25" s="26"/>
      <c r="W25" s="26"/>
      <c r="X25" s="26"/>
      <c r="Y25" s="31"/>
      <c r="Z25" s="25"/>
      <c r="AA25" s="25"/>
      <c r="AB25" s="25"/>
      <c r="AC25" s="26"/>
      <c r="AD25" s="26"/>
      <c r="AE25" s="27"/>
      <c r="AF25" s="27"/>
      <c r="AG25" s="28">
        <f t="shared" si="3"/>
        <v>-48.89928571428571</v>
      </c>
      <c r="AH25" s="29">
        <f t="shared" si="4"/>
        <v>7.1428571428810983E-4</v>
      </c>
    </row>
    <row r="26" spans="1:34" s="30" customFormat="1" ht="19.5" customHeight="1" x14ac:dyDescent="0.2">
      <c r="A26" s="18">
        <v>43105</v>
      </c>
      <c r="B26" s="19"/>
      <c r="C26" s="20" t="s">
        <v>63</v>
      </c>
      <c r="D26" s="20" t="s">
        <v>64</v>
      </c>
      <c r="E26" s="20" t="s">
        <v>65</v>
      </c>
      <c r="F26" s="21">
        <v>90417</v>
      </c>
      <c r="G26" s="22" t="s">
        <v>87</v>
      </c>
      <c r="H26" s="23"/>
      <c r="I26" s="23"/>
      <c r="J26" s="23"/>
      <c r="K26" s="23">
        <v>40.65</v>
      </c>
      <c r="L26" s="24"/>
      <c r="M26" s="25">
        <f t="shared" si="0"/>
        <v>36.294642857142854</v>
      </c>
      <c r="N26" s="25">
        <f t="shared" si="1"/>
        <v>4.3553571428571427</v>
      </c>
      <c r="O26" s="25">
        <f t="shared" si="2"/>
        <v>0</v>
      </c>
      <c r="P26" s="25"/>
      <c r="Q26" s="25"/>
      <c r="R26" s="25">
        <v>36.29</v>
      </c>
      <c r="S26" s="25"/>
      <c r="T26" s="26"/>
      <c r="U26" s="26"/>
      <c r="V26" s="26"/>
      <c r="W26" s="26"/>
      <c r="X26" s="26"/>
      <c r="Y26" s="31"/>
      <c r="Z26" s="25"/>
      <c r="AA26" s="25"/>
      <c r="AB26" s="25"/>
      <c r="AC26" s="26"/>
      <c r="AD26" s="26"/>
      <c r="AE26" s="27"/>
      <c r="AF26" s="27"/>
      <c r="AG26" s="28">
        <f t="shared" si="3"/>
        <v>-40.645357142857144</v>
      </c>
      <c r="AH26" s="29">
        <f t="shared" si="4"/>
        <v>4.6428571428549503E-3</v>
      </c>
    </row>
    <row r="27" spans="1:34" s="30" customFormat="1" ht="19.5" customHeight="1" x14ac:dyDescent="0.2">
      <c r="A27" s="18">
        <v>43105</v>
      </c>
      <c r="B27" s="19"/>
      <c r="C27" s="20" t="s">
        <v>37</v>
      </c>
      <c r="D27" s="20" t="s">
        <v>38</v>
      </c>
      <c r="E27" s="20" t="s">
        <v>39</v>
      </c>
      <c r="F27" s="21">
        <v>22950</v>
      </c>
      <c r="G27" s="22" t="s">
        <v>40</v>
      </c>
      <c r="H27" s="23"/>
      <c r="I27" s="23"/>
      <c r="J27" s="23"/>
      <c r="K27" s="23">
        <v>35</v>
      </c>
      <c r="L27" s="24"/>
      <c r="M27" s="25">
        <f t="shared" si="0"/>
        <v>31.249999999999996</v>
      </c>
      <c r="N27" s="25">
        <f t="shared" si="1"/>
        <v>3.7499999999999996</v>
      </c>
      <c r="O27" s="25">
        <f t="shared" si="2"/>
        <v>0</v>
      </c>
      <c r="P27" s="25"/>
      <c r="Q27" s="25">
        <v>31.25</v>
      </c>
      <c r="R27" s="25"/>
      <c r="S27" s="25"/>
      <c r="T27" s="26"/>
      <c r="U27" s="26"/>
      <c r="V27" s="26"/>
      <c r="W27" s="26"/>
      <c r="X27" s="26"/>
      <c r="Y27" s="31"/>
      <c r="Z27" s="25"/>
      <c r="AA27" s="25"/>
      <c r="AB27" s="25"/>
      <c r="AC27" s="26"/>
      <c r="AD27" s="26"/>
      <c r="AE27" s="27"/>
      <c r="AF27" s="27"/>
      <c r="AG27" s="28">
        <f t="shared" si="3"/>
        <v>-35</v>
      </c>
      <c r="AH27" s="29">
        <f t="shared" si="4"/>
        <v>0</v>
      </c>
    </row>
    <row r="28" spans="1:34" s="30" customFormat="1" ht="19.5" customHeight="1" x14ac:dyDescent="0.2">
      <c r="A28" s="18">
        <v>43106</v>
      </c>
      <c r="B28" s="19"/>
      <c r="C28" s="32" t="s">
        <v>41</v>
      </c>
      <c r="D28" s="20" t="s">
        <v>88</v>
      </c>
      <c r="E28" s="20" t="s">
        <v>89</v>
      </c>
      <c r="F28" s="21">
        <v>2187</v>
      </c>
      <c r="G28" s="22" t="s">
        <v>90</v>
      </c>
      <c r="H28" s="23"/>
      <c r="I28" s="23"/>
      <c r="J28" s="23">
        <v>840</v>
      </c>
      <c r="K28" s="23"/>
      <c r="L28" s="24"/>
      <c r="M28" s="25">
        <f t="shared" si="0"/>
        <v>840</v>
      </c>
      <c r="N28" s="25">
        <f t="shared" si="1"/>
        <v>0</v>
      </c>
      <c r="O28" s="25">
        <f t="shared" si="2"/>
        <v>0</v>
      </c>
      <c r="P28" s="25">
        <v>840</v>
      </c>
      <c r="Q28" s="25"/>
      <c r="R28" s="25"/>
      <c r="S28" s="25"/>
      <c r="T28" s="26"/>
      <c r="U28" s="26"/>
      <c r="V28" s="26"/>
      <c r="W28" s="26"/>
      <c r="X28" s="26"/>
      <c r="Y28" s="31"/>
      <c r="Z28" s="25"/>
      <c r="AA28" s="25"/>
      <c r="AB28" s="25"/>
      <c r="AC28" s="26"/>
      <c r="AD28" s="26"/>
      <c r="AE28" s="27"/>
      <c r="AF28" s="27"/>
      <c r="AG28" s="28">
        <f t="shared" si="3"/>
        <v>-840</v>
      </c>
      <c r="AH28" s="29">
        <f t="shared" si="4"/>
        <v>0</v>
      </c>
    </row>
    <row r="29" spans="1:34" s="46" customFormat="1" ht="19.5" customHeight="1" x14ac:dyDescent="0.2">
      <c r="A29" s="33">
        <v>43106</v>
      </c>
      <c r="B29" s="34"/>
      <c r="C29" s="35" t="s">
        <v>45</v>
      </c>
      <c r="D29" s="36"/>
      <c r="E29" s="36"/>
      <c r="F29" s="37"/>
      <c r="G29" s="38" t="s">
        <v>91</v>
      </c>
      <c r="H29" s="39">
        <v>100</v>
      </c>
      <c r="I29" s="39"/>
      <c r="J29" s="39"/>
      <c r="K29" s="39"/>
      <c r="L29" s="40"/>
      <c r="M29" s="41">
        <f t="shared" si="0"/>
        <v>100</v>
      </c>
      <c r="N29" s="41">
        <f t="shared" si="1"/>
        <v>0</v>
      </c>
      <c r="O29" s="41">
        <f t="shared" si="2"/>
        <v>0</v>
      </c>
      <c r="P29" s="41"/>
      <c r="Q29" s="41"/>
      <c r="R29" s="41"/>
      <c r="S29" s="41"/>
      <c r="T29" s="42"/>
      <c r="U29" s="42"/>
      <c r="V29" s="42"/>
      <c r="W29" s="42"/>
      <c r="X29" s="42"/>
      <c r="Y29" s="41"/>
      <c r="Z29" s="41"/>
      <c r="AA29" s="41">
        <v>100</v>
      </c>
      <c r="AB29" s="41"/>
      <c r="AC29" s="42"/>
      <c r="AD29" s="42"/>
      <c r="AE29" s="43"/>
      <c r="AF29" s="43"/>
      <c r="AG29" s="44">
        <f t="shared" si="3"/>
        <v>-100</v>
      </c>
      <c r="AH29" s="45">
        <f t="shared" si="4"/>
        <v>0</v>
      </c>
    </row>
    <row r="30" spans="1:34" s="30" customFormat="1" ht="19.5" customHeight="1" x14ac:dyDescent="0.2">
      <c r="A30" s="18">
        <v>43108</v>
      </c>
      <c r="B30" s="19"/>
      <c r="C30" s="20" t="s">
        <v>92</v>
      </c>
      <c r="D30" s="20" t="s">
        <v>93</v>
      </c>
      <c r="E30" s="20" t="s">
        <v>94</v>
      </c>
      <c r="F30" s="21">
        <v>4448326</v>
      </c>
      <c r="G30" s="21" t="s">
        <v>95</v>
      </c>
      <c r="H30" s="23"/>
      <c r="I30" s="23"/>
      <c r="J30" s="23">
        <v>1500</v>
      </c>
      <c r="K30" s="23"/>
      <c r="L30" s="24"/>
      <c r="M30" s="25">
        <f t="shared" si="0"/>
        <v>1500</v>
      </c>
      <c r="N30" s="25">
        <f t="shared" si="1"/>
        <v>0</v>
      </c>
      <c r="O30" s="25">
        <f t="shared" si="2"/>
        <v>0</v>
      </c>
      <c r="P30" s="25"/>
      <c r="Q30" s="25"/>
      <c r="R30" s="25"/>
      <c r="S30" s="25"/>
      <c r="T30" s="26"/>
      <c r="U30" s="26"/>
      <c r="V30" s="26"/>
      <c r="W30" s="26"/>
      <c r="X30" s="26"/>
      <c r="Y30" s="25"/>
      <c r="Z30" s="25"/>
      <c r="AA30" s="25"/>
      <c r="AB30" s="25"/>
      <c r="AC30" s="26"/>
      <c r="AD30" s="26"/>
      <c r="AE30" s="27">
        <v>1500</v>
      </c>
      <c r="AF30" s="27"/>
      <c r="AG30" s="28">
        <f t="shared" si="3"/>
        <v>-1500</v>
      </c>
      <c r="AH30" s="29">
        <f t="shared" si="4"/>
        <v>0</v>
      </c>
    </row>
    <row r="31" spans="1:34" s="30" customFormat="1" ht="19.5" customHeight="1" x14ac:dyDescent="0.2">
      <c r="A31" s="18">
        <v>43108</v>
      </c>
      <c r="B31" s="19"/>
      <c r="C31" s="20" t="s">
        <v>96</v>
      </c>
      <c r="D31" s="20"/>
      <c r="E31" s="20"/>
      <c r="F31" s="21"/>
      <c r="G31" s="22" t="s">
        <v>97</v>
      </c>
      <c r="H31" s="23">
        <v>500</v>
      </c>
      <c r="I31" s="23"/>
      <c r="J31" s="23"/>
      <c r="K31" s="23"/>
      <c r="L31" s="24"/>
      <c r="M31" s="25">
        <f t="shared" si="0"/>
        <v>500</v>
      </c>
      <c r="N31" s="25">
        <f t="shared" si="1"/>
        <v>0</v>
      </c>
      <c r="O31" s="25">
        <f t="shared" si="2"/>
        <v>0</v>
      </c>
      <c r="P31" s="25"/>
      <c r="Q31" s="25"/>
      <c r="R31" s="25"/>
      <c r="S31" s="25"/>
      <c r="T31" s="26"/>
      <c r="U31" s="26"/>
      <c r="V31" s="26"/>
      <c r="W31" s="26"/>
      <c r="X31" s="26"/>
      <c r="Y31" s="31"/>
      <c r="Z31" s="25"/>
      <c r="AA31" s="25"/>
      <c r="AB31" s="25"/>
      <c r="AC31" s="26"/>
      <c r="AD31" s="26"/>
      <c r="AE31" s="27"/>
      <c r="AF31" s="27">
        <v>500</v>
      </c>
      <c r="AG31" s="28">
        <f t="shared" si="3"/>
        <v>-500</v>
      </c>
      <c r="AH31" s="29">
        <f t="shared" si="4"/>
        <v>0</v>
      </c>
    </row>
    <row r="32" spans="1:34" s="30" customFormat="1" ht="19.5" customHeight="1" x14ac:dyDescent="0.2">
      <c r="A32" s="18">
        <v>43108</v>
      </c>
      <c r="B32" s="19"/>
      <c r="C32" s="20" t="s">
        <v>51</v>
      </c>
      <c r="D32" s="20" t="s">
        <v>52</v>
      </c>
      <c r="E32" s="20" t="s">
        <v>39</v>
      </c>
      <c r="F32" s="21">
        <v>27724</v>
      </c>
      <c r="G32" s="22" t="s">
        <v>98</v>
      </c>
      <c r="H32" s="23"/>
      <c r="I32" s="23"/>
      <c r="J32" s="23"/>
      <c r="K32" s="23">
        <v>354.4</v>
      </c>
      <c r="L32" s="24"/>
      <c r="M32" s="25">
        <f t="shared" si="0"/>
        <v>316.42857142857139</v>
      </c>
      <c r="N32" s="25">
        <f t="shared" si="1"/>
        <v>37.971428571428568</v>
      </c>
      <c r="O32" s="25">
        <f t="shared" si="2"/>
        <v>0</v>
      </c>
      <c r="P32" s="25"/>
      <c r="Q32" s="25">
        <v>316.43</v>
      </c>
      <c r="R32" s="25"/>
      <c r="S32" s="25"/>
      <c r="T32" s="26"/>
      <c r="U32" s="26"/>
      <c r="V32" s="26"/>
      <c r="W32" s="26"/>
      <c r="X32" s="26"/>
      <c r="Y32" s="31"/>
      <c r="Z32" s="25"/>
      <c r="AA32" s="25"/>
      <c r="AB32" s="25"/>
      <c r="AC32" s="26"/>
      <c r="AD32" s="26"/>
      <c r="AE32" s="27"/>
      <c r="AF32" s="27"/>
      <c r="AG32" s="28">
        <f t="shared" si="3"/>
        <v>-354.4014285714286</v>
      </c>
      <c r="AH32" s="29">
        <f t="shared" si="4"/>
        <v>-1.4285714286188522E-3</v>
      </c>
    </row>
    <row r="33" spans="1:34" s="30" customFormat="1" ht="19.5" customHeight="1" x14ac:dyDescent="0.2">
      <c r="A33" s="18">
        <v>43108</v>
      </c>
      <c r="B33" s="19"/>
      <c r="C33" s="20" t="s">
        <v>51</v>
      </c>
      <c r="D33" s="20" t="s">
        <v>52</v>
      </c>
      <c r="E33" s="20" t="s">
        <v>39</v>
      </c>
      <c r="F33" s="21">
        <v>27725</v>
      </c>
      <c r="G33" s="22" t="s">
        <v>99</v>
      </c>
      <c r="H33" s="23"/>
      <c r="I33" s="23"/>
      <c r="J33" s="23"/>
      <c r="K33" s="23">
        <v>228.47</v>
      </c>
      <c r="L33" s="24"/>
      <c r="M33" s="25">
        <f t="shared" si="0"/>
        <v>203.99107142857142</v>
      </c>
      <c r="N33" s="25">
        <f t="shared" si="1"/>
        <v>24.478928571428568</v>
      </c>
      <c r="O33" s="25">
        <f t="shared" si="2"/>
        <v>0</v>
      </c>
      <c r="P33" s="25">
        <v>203.99</v>
      </c>
      <c r="Q33" s="25"/>
      <c r="R33" s="25"/>
      <c r="S33" s="25"/>
      <c r="T33" s="26"/>
      <c r="U33" s="26"/>
      <c r="V33" s="26"/>
      <c r="W33" s="26"/>
      <c r="X33" s="26"/>
      <c r="Y33" s="31"/>
      <c r="Z33" s="25"/>
      <c r="AA33" s="25"/>
      <c r="AB33" s="25"/>
      <c r="AC33" s="26"/>
      <c r="AD33" s="26"/>
      <c r="AE33" s="27"/>
      <c r="AF33" s="27"/>
      <c r="AG33" s="28">
        <f t="shared" si="3"/>
        <v>-228.46892857142859</v>
      </c>
      <c r="AH33" s="29">
        <f t="shared" si="4"/>
        <v>1.0714285714072957E-3</v>
      </c>
    </row>
    <row r="34" spans="1:34" s="30" customFormat="1" ht="19.5" customHeight="1" x14ac:dyDescent="0.2">
      <c r="A34" s="18">
        <v>43109</v>
      </c>
      <c r="B34" s="19"/>
      <c r="C34" s="20" t="s">
        <v>100</v>
      </c>
      <c r="D34" s="20"/>
      <c r="E34" s="20"/>
      <c r="F34" s="21"/>
      <c r="G34" s="22" t="s">
        <v>101</v>
      </c>
      <c r="H34" s="23">
        <v>800</v>
      </c>
      <c r="I34" s="23"/>
      <c r="J34" s="23"/>
      <c r="K34" s="23"/>
      <c r="L34" s="24"/>
      <c r="M34" s="25">
        <f t="shared" si="0"/>
        <v>800</v>
      </c>
      <c r="N34" s="25">
        <f t="shared" si="1"/>
        <v>0</v>
      </c>
      <c r="O34" s="25">
        <f t="shared" si="2"/>
        <v>0</v>
      </c>
      <c r="P34" s="25"/>
      <c r="Q34" s="25"/>
      <c r="R34" s="25"/>
      <c r="S34" s="25"/>
      <c r="T34" s="26"/>
      <c r="U34" s="26"/>
      <c r="V34" s="26"/>
      <c r="W34" s="26"/>
      <c r="X34" s="26"/>
      <c r="Y34" s="31"/>
      <c r="Z34" s="25"/>
      <c r="AA34" s="25"/>
      <c r="AB34" s="25"/>
      <c r="AC34" s="26"/>
      <c r="AD34" s="26"/>
      <c r="AE34" s="27">
        <v>800</v>
      </c>
      <c r="AF34" s="27"/>
      <c r="AG34" s="28">
        <f t="shared" si="3"/>
        <v>-800</v>
      </c>
      <c r="AH34" s="29">
        <f t="shared" si="4"/>
        <v>0</v>
      </c>
    </row>
    <row r="35" spans="1:34" s="30" customFormat="1" ht="19.5" customHeight="1" x14ac:dyDescent="0.2">
      <c r="A35" s="18">
        <v>43109</v>
      </c>
      <c r="B35" s="19"/>
      <c r="C35" s="20" t="s">
        <v>51</v>
      </c>
      <c r="D35" s="20" t="s">
        <v>52</v>
      </c>
      <c r="E35" s="20" t="s">
        <v>39</v>
      </c>
      <c r="F35" s="21">
        <v>26635</v>
      </c>
      <c r="G35" s="22" t="s">
        <v>102</v>
      </c>
      <c r="H35" s="23"/>
      <c r="I35" s="23"/>
      <c r="J35" s="23"/>
      <c r="K35" s="23">
        <v>272</v>
      </c>
      <c r="L35" s="24"/>
      <c r="M35" s="25">
        <f t="shared" si="0"/>
        <v>242.85714285714283</v>
      </c>
      <c r="N35" s="25">
        <f t="shared" si="1"/>
        <v>29.142857142857139</v>
      </c>
      <c r="O35" s="25">
        <f t="shared" si="2"/>
        <v>0</v>
      </c>
      <c r="P35" s="25"/>
      <c r="Q35" s="25">
        <v>242.86</v>
      </c>
      <c r="R35" s="25"/>
      <c r="S35" s="25"/>
      <c r="T35" s="26"/>
      <c r="U35" s="26"/>
      <c r="V35" s="26"/>
      <c r="W35" s="26"/>
      <c r="X35" s="26"/>
      <c r="Y35" s="31"/>
      <c r="Z35" s="25"/>
      <c r="AA35" s="25"/>
      <c r="AB35" s="25"/>
      <c r="AC35" s="26"/>
      <c r="AD35" s="26"/>
      <c r="AE35" s="27"/>
      <c r="AF35" s="27"/>
      <c r="AG35" s="28">
        <f t="shared" si="3"/>
        <v>-272.00285714285712</v>
      </c>
      <c r="AH35" s="29">
        <f t="shared" si="4"/>
        <v>-2.8571428571240176E-3</v>
      </c>
    </row>
    <row r="36" spans="1:34" s="30" customFormat="1" ht="19.5" customHeight="1" x14ac:dyDescent="0.2">
      <c r="A36" s="18">
        <v>43109</v>
      </c>
      <c r="B36" s="19"/>
      <c r="C36" s="20" t="s">
        <v>68</v>
      </c>
      <c r="D36" s="20"/>
      <c r="E36" s="20"/>
      <c r="F36" s="21"/>
      <c r="G36" s="22" t="s">
        <v>103</v>
      </c>
      <c r="H36" s="23">
        <v>40</v>
      </c>
      <c r="I36" s="23"/>
      <c r="J36" s="23"/>
      <c r="K36" s="23"/>
      <c r="L36" s="24"/>
      <c r="M36" s="25">
        <f t="shared" si="0"/>
        <v>40</v>
      </c>
      <c r="N36" s="25">
        <f t="shared" si="1"/>
        <v>0</v>
      </c>
      <c r="O36" s="25">
        <f t="shared" si="2"/>
        <v>0</v>
      </c>
      <c r="P36" s="25"/>
      <c r="Q36" s="25"/>
      <c r="R36" s="25"/>
      <c r="S36" s="25"/>
      <c r="T36" s="26"/>
      <c r="U36" s="26"/>
      <c r="V36" s="26"/>
      <c r="W36" s="26"/>
      <c r="X36" s="26"/>
      <c r="Y36" s="31"/>
      <c r="Z36" s="25"/>
      <c r="AA36" s="25">
        <v>40</v>
      </c>
      <c r="AB36" s="25"/>
      <c r="AC36" s="26"/>
      <c r="AD36" s="26"/>
      <c r="AE36" s="27"/>
      <c r="AF36" s="27"/>
      <c r="AG36" s="28">
        <f t="shared" si="3"/>
        <v>-40</v>
      </c>
      <c r="AH36" s="29">
        <f t="shared" si="4"/>
        <v>0</v>
      </c>
    </row>
    <row r="37" spans="1:34" s="30" customFormat="1" ht="19.5" customHeight="1" x14ac:dyDescent="0.2">
      <c r="A37" s="18">
        <v>43109</v>
      </c>
      <c r="B37" s="19"/>
      <c r="C37" s="20" t="s">
        <v>104</v>
      </c>
      <c r="D37" s="20" t="s">
        <v>105</v>
      </c>
      <c r="E37" s="20" t="s">
        <v>106</v>
      </c>
      <c r="F37" s="21">
        <v>84726</v>
      </c>
      <c r="G37" s="22" t="s">
        <v>107</v>
      </c>
      <c r="H37" s="23"/>
      <c r="I37" s="23"/>
      <c r="J37" s="23"/>
      <c r="K37" s="23">
        <v>627.36</v>
      </c>
      <c r="L37" s="24">
        <v>0.01</v>
      </c>
      <c r="M37" s="25">
        <f t="shared" ref="M37:M68" si="5">SUM(H37:J37,K37/1.12)</f>
        <v>560.14285714285711</v>
      </c>
      <c r="N37" s="25">
        <f t="shared" ref="N37:N68" si="6">K37/1.12*0.12</f>
        <v>67.217142857142846</v>
      </c>
      <c r="O37" s="25">
        <f t="shared" ref="O37:O68" si="7">-SUM(I37:J37,K37/1.12)*L37</f>
        <v>-5.6014285714285714</v>
      </c>
      <c r="P37" s="25">
        <v>560.14</v>
      </c>
      <c r="Q37" s="25"/>
      <c r="R37" s="25"/>
      <c r="S37" s="25"/>
      <c r="T37" s="26"/>
      <c r="U37" s="26"/>
      <c r="V37" s="26"/>
      <c r="W37" s="26"/>
      <c r="X37" s="26"/>
      <c r="Y37" s="31"/>
      <c r="Z37" s="25"/>
      <c r="AA37" s="25"/>
      <c r="AB37" s="25"/>
      <c r="AC37" s="26"/>
      <c r="AD37" s="26"/>
      <c r="AE37" s="27"/>
      <c r="AF37" s="27"/>
      <c r="AG37" s="28">
        <f t="shared" ref="AG37:AG68" si="8">-SUM(N37:AF37)</f>
        <v>-621.75571428571425</v>
      </c>
      <c r="AH37" s="29">
        <f t="shared" ref="AH37:AH68" si="9">SUM(H37:K37)+AG37+O37</f>
        <v>2.8571428571941837E-3</v>
      </c>
    </row>
    <row r="38" spans="1:34" s="30" customFormat="1" ht="19.5" customHeight="1" x14ac:dyDescent="0.2">
      <c r="A38" s="18">
        <v>43110</v>
      </c>
      <c r="B38" s="19"/>
      <c r="C38" s="20" t="s">
        <v>51</v>
      </c>
      <c r="D38" s="20" t="s">
        <v>52</v>
      </c>
      <c r="E38" s="20" t="s">
        <v>39</v>
      </c>
      <c r="F38" s="21">
        <v>27368</v>
      </c>
      <c r="G38" s="22" t="s">
        <v>108</v>
      </c>
      <c r="H38" s="23"/>
      <c r="I38" s="23"/>
      <c r="J38" s="23"/>
      <c r="K38" s="23">
        <v>119</v>
      </c>
      <c r="L38" s="24"/>
      <c r="M38" s="25">
        <f t="shared" si="5"/>
        <v>106.24999999999999</v>
      </c>
      <c r="N38" s="25">
        <f t="shared" si="6"/>
        <v>12.749999999999998</v>
      </c>
      <c r="O38" s="25">
        <f t="shared" si="7"/>
        <v>0</v>
      </c>
      <c r="P38" s="25">
        <v>106.25</v>
      </c>
      <c r="Q38" s="25"/>
      <c r="R38" s="25"/>
      <c r="S38" s="25"/>
      <c r="T38" s="26"/>
      <c r="U38" s="26"/>
      <c r="V38" s="26"/>
      <c r="W38" s="26"/>
      <c r="X38" s="26"/>
      <c r="Y38" s="31"/>
      <c r="Z38" s="25"/>
      <c r="AA38" s="25"/>
      <c r="AB38" s="25"/>
      <c r="AC38" s="26"/>
      <c r="AD38" s="26"/>
      <c r="AE38" s="27"/>
      <c r="AF38" s="27"/>
      <c r="AG38" s="28">
        <f t="shared" si="8"/>
        <v>-119</v>
      </c>
      <c r="AH38" s="29">
        <f t="shared" si="9"/>
        <v>0</v>
      </c>
    </row>
    <row r="39" spans="1:34" s="30" customFormat="1" ht="19.5" customHeight="1" x14ac:dyDescent="0.2">
      <c r="A39" s="18">
        <v>43110</v>
      </c>
      <c r="B39" s="19"/>
      <c r="C39" s="20" t="s">
        <v>63</v>
      </c>
      <c r="D39" s="20" t="s">
        <v>64</v>
      </c>
      <c r="E39" s="20" t="s">
        <v>65</v>
      </c>
      <c r="F39" s="21">
        <v>89069</v>
      </c>
      <c r="G39" s="22" t="s">
        <v>109</v>
      </c>
      <c r="H39" s="23"/>
      <c r="I39" s="23"/>
      <c r="J39" s="23">
        <v>1467.75</v>
      </c>
      <c r="K39" s="23"/>
      <c r="L39" s="24"/>
      <c r="M39" s="25">
        <f t="shared" si="5"/>
        <v>1467.75</v>
      </c>
      <c r="N39" s="25">
        <f t="shared" si="6"/>
        <v>0</v>
      </c>
      <c r="O39" s="25">
        <f t="shared" si="7"/>
        <v>0</v>
      </c>
      <c r="P39" s="25">
        <v>1467.75</v>
      </c>
      <c r="Q39" s="25"/>
      <c r="R39" s="25"/>
      <c r="S39" s="25"/>
      <c r="T39" s="26"/>
      <c r="U39" s="26"/>
      <c r="V39" s="26"/>
      <c r="W39" s="26"/>
      <c r="X39" s="26"/>
      <c r="Y39" s="31"/>
      <c r="Z39" s="25"/>
      <c r="AA39" s="25"/>
      <c r="AB39" s="25"/>
      <c r="AC39" s="26"/>
      <c r="AD39" s="26"/>
      <c r="AE39" s="27"/>
      <c r="AF39" s="27"/>
      <c r="AG39" s="28">
        <f t="shared" si="8"/>
        <v>-1467.75</v>
      </c>
      <c r="AH39" s="29">
        <f t="shared" si="9"/>
        <v>0</v>
      </c>
    </row>
    <row r="40" spans="1:34" s="30" customFormat="1" ht="19.5" customHeight="1" x14ac:dyDescent="0.2">
      <c r="A40" s="18">
        <v>43110</v>
      </c>
      <c r="B40" s="19"/>
      <c r="C40" s="20" t="s">
        <v>63</v>
      </c>
      <c r="D40" s="20" t="s">
        <v>64</v>
      </c>
      <c r="E40" s="20" t="s">
        <v>65</v>
      </c>
      <c r="F40" s="21">
        <v>89069</v>
      </c>
      <c r="G40" s="22" t="s">
        <v>110</v>
      </c>
      <c r="H40" s="23"/>
      <c r="I40" s="23"/>
      <c r="J40" s="23"/>
      <c r="K40" s="23">
        <f>1346.92+161.63</f>
        <v>1508.5500000000002</v>
      </c>
      <c r="L40" s="24"/>
      <c r="M40" s="25">
        <f t="shared" si="5"/>
        <v>1346.9196428571429</v>
      </c>
      <c r="N40" s="25">
        <f t="shared" si="6"/>
        <v>161.63035714285715</v>
      </c>
      <c r="O40" s="25">
        <f t="shared" si="7"/>
        <v>0</v>
      </c>
      <c r="P40" s="25">
        <v>1346.92</v>
      </c>
      <c r="Q40" s="25"/>
      <c r="R40" s="25"/>
      <c r="S40" s="25"/>
      <c r="T40" s="26"/>
      <c r="U40" s="26"/>
      <c r="V40" s="26"/>
      <c r="W40" s="26"/>
      <c r="X40" s="26"/>
      <c r="Y40" s="31"/>
      <c r="Z40" s="25"/>
      <c r="AA40" s="25"/>
      <c r="AB40" s="25"/>
      <c r="AC40" s="26"/>
      <c r="AD40" s="26"/>
      <c r="AE40" s="27"/>
      <c r="AF40" s="27"/>
      <c r="AG40" s="28">
        <f t="shared" si="8"/>
        <v>-1508.5503571428571</v>
      </c>
      <c r="AH40" s="29">
        <f t="shared" si="9"/>
        <v>-3.5714285695576109E-4</v>
      </c>
    </row>
    <row r="41" spans="1:34" s="30" customFormat="1" ht="19.5" customHeight="1" x14ac:dyDescent="0.2">
      <c r="A41" s="18">
        <v>43111</v>
      </c>
      <c r="B41" s="19"/>
      <c r="C41" s="20" t="s">
        <v>111</v>
      </c>
      <c r="D41" s="20" t="s">
        <v>55</v>
      </c>
      <c r="E41" s="20" t="s">
        <v>56</v>
      </c>
      <c r="F41" s="21">
        <v>112</v>
      </c>
      <c r="G41" s="22" t="s">
        <v>112</v>
      </c>
      <c r="H41" s="23"/>
      <c r="I41" s="23"/>
      <c r="J41" s="23">
        <v>1100</v>
      </c>
      <c r="K41" s="23"/>
      <c r="L41" s="24">
        <v>0.01</v>
      </c>
      <c r="M41" s="25">
        <f t="shared" si="5"/>
        <v>1100</v>
      </c>
      <c r="N41" s="25">
        <f t="shared" si="6"/>
        <v>0</v>
      </c>
      <c r="O41" s="25">
        <f t="shared" si="7"/>
        <v>-11</v>
      </c>
      <c r="P41" s="25">
        <v>1100</v>
      </c>
      <c r="Q41" s="25"/>
      <c r="R41" s="25"/>
      <c r="S41" s="25"/>
      <c r="T41" s="26"/>
      <c r="U41" s="26"/>
      <c r="V41" s="26"/>
      <c r="W41" s="26"/>
      <c r="X41" s="26"/>
      <c r="Y41" s="31"/>
      <c r="Z41" s="25"/>
      <c r="AA41" s="25"/>
      <c r="AB41" s="25"/>
      <c r="AC41" s="26"/>
      <c r="AD41" s="26"/>
      <c r="AE41" s="27"/>
      <c r="AF41" s="27"/>
      <c r="AG41" s="28">
        <f t="shared" si="8"/>
        <v>-1089</v>
      </c>
      <c r="AH41" s="29">
        <f t="shared" si="9"/>
        <v>0</v>
      </c>
    </row>
    <row r="42" spans="1:34" s="30" customFormat="1" ht="19.5" customHeight="1" x14ac:dyDescent="0.2">
      <c r="A42" s="18">
        <v>43111</v>
      </c>
      <c r="B42" s="19"/>
      <c r="C42" s="20" t="s">
        <v>51</v>
      </c>
      <c r="D42" s="20" t="s">
        <v>52</v>
      </c>
      <c r="E42" s="20" t="s">
        <v>39</v>
      </c>
      <c r="F42" s="21">
        <v>210341</v>
      </c>
      <c r="G42" s="22" t="s">
        <v>113</v>
      </c>
      <c r="H42" s="23"/>
      <c r="I42" s="23"/>
      <c r="J42" s="23">
        <v>2723.04</v>
      </c>
      <c r="K42" s="23"/>
      <c r="L42" s="24"/>
      <c r="M42" s="25">
        <f t="shared" si="5"/>
        <v>2723.04</v>
      </c>
      <c r="N42" s="25">
        <f t="shared" si="6"/>
        <v>0</v>
      </c>
      <c r="O42" s="25">
        <f t="shared" si="7"/>
        <v>0</v>
      </c>
      <c r="P42" s="25">
        <v>2723.04</v>
      </c>
      <c r="Q42" s="25"/>
      <c r="R42" s="25"/>
      <c r="S42" s="25"/>
      <c r="T42" s="26"/>
      <c r="U42" s="26"/>
      <c r="V42" s="26"/>
      <c r="W42" s="26"/>
      <c r="X42" s="26"/>
      <c r="Y42" s="31"/>
      <c r="Z42" s="25"/>
      <c r="AA42" s="25"/>
      <c r="AB42" s="25"/>
      <c r="AC42" s="26"/>
      <c r="AD42" s="26"/>
      <c r="AE42" s="27"/>
      <c r="AF42" s="27"/>
      <c r="AG42" s="28">
        <f t="shared" si="8"/>
        <v>-2723.04</v>
      </c>
      <c r="AH42" s="29">
        <f t="shared" si="9"/>
        <v>0</v>
      </c>
    </row>
    <row r="43" spans="1:34" s="30" customFormat="1" ht="19.5" customHeight="1" x14ac:dyDescent="0.2">
      <c r="A43" s="18">
        <v>43111</v>
      </c>
      <c r="B43" s="19"/>
      <c r="C43" s="20" t="s">
        <v>51</v>
      </c>
      <c r="D43" s="20" t="s">
        <v>52</v>
      </c>
      <c r="E43" s="20" t="s">
        <v>39</v>
      </c>
      <c r="F43" s="21">
        <v>210341</v>
      </c>
      <c r="G43" s="22" t="s">
        <v>114</v>
      </c>
      <c r="H43" s="23"/>
      <c r="I43" s="23"/>
      <c r="J43" s="23"/>
      <c r="K43" s="23">
        <v>413.25</v>
      </c>
      <c r="L43" s="24"/>
      <c r="M43" s="25">
        <f t="shared" si="5"/>
        <v>368.97321428571428</v>
      </c>
      <c r="N43" s="25">
        <f t="shared" si="6"/>
        <v>44.276785714285708</v>
      </c>
      <c r="O43" s="25">
        <f t="shared" si="7"/>
        <v>0</v>
      </c>
      <c r="P43" s="25">
        <v>368.97</v>
      </c>
      <c r="Q43" s="25"/>
      <c r="R43" s="25"/>
      <c r="S43" s="25"/>
      <c r="T43" s="26"/>
      <c r="U43" s="26"/>
      <c r="V43" s="26"/>
      <c r="W43" s="26"/>
      <c r="X43" s="26"/>
      <c r="Y43" s="31"/>
      <c r="Z43" s="25"/>
      <c r="AA43" s="25"/>
      <c r="AB43" s="25"/>
      <c r="AC43" s="26"/>
      <c r="AD43" s="26"/>
      <c r="AE43" s="27"/>
      <c r="AF43" s="27"/>
      <c r="AG43" s="28">
        <f t="shared" si="8"/>
        <v>-413.24678571428575</v>
      </c>
      <c r="AH43" s="29">
        <f t="shared" si="9"/>
        <v>3.214285714250309E-3</v>
      </c>
    </row>
    <row r="44" spans="1:34" s="30" customFormat="1" ht="19.5" customHeight="1" x14ac:dyDescent="0.2">
      <c r="A44" s="18">
        <v>43111</v>
      </c>
      <c r="B44" s="19"/>
      <c r="C44" s="20" t="s">
        <v>51</v>
      </c>
      <c r="D44" s="20" t="s">
        <v>52</v>
      </c>
      <c r="E44" s="20" t="s">
        <v>39</v>
      </c>
      <c r="F44" s="21">
        <v>210341</v>
      </c>
      <c r="G44" s="22" t="s">
        <v>115</v>
      </c>
      <c r="H44" s="23"/>
      <c r="I44" s="23"/>
      <c r="J44" s="23"/>
      <c r="K44" s="23">
        <v>167.25</v>
      </c>
      <c r="L44" s="24"/>
      <c r="M44" s="25">
        <f t="shared" si="5"/>
        <v>149.33035714285714</v>
      </c>
      <c r="N44" s="25">
        <f t="shared" si="6"/>
        <v>17.919642857142858</v>
      </c>
      <c r="O44" s="25">
        <f t="shared" si="7"/>
        <v>0</v>
      </c>
      <c r="P44" s="25"/>
      <c r="Q44" s="25"/>
      <c r="R44" s="25">
        <v>149.33000000000001</v>
      </c>
      <c r="S44" s="25"/>
      <c r="T44" s="26"/>
      <c r="U44" s="26"/>
      <c r="V44" s="26"/>
      <c r="W44" s="26"/>
      <c r="X44" s="26"/>
      <c r="Y44" s="31"/>
      <c r="Z44" s="25"/>
      <c r="AA44" s="25"/>
      <c r="AB44" s="25"/>
      <c r="AC44" s="26"/>
      <c r="AD44" s="26"/>
      <c r="AE44" s="27"/>
      <c r="AF44" s="27"/>
      <c r="AG44" s="28">
        <f t="shared" si="8"/>
        <v>-167.24964285714287</v>
      </c>
      <c r="AH44" s="29">
        <f t="shared" si="9"/>
        <v>3.5714285712629135E-4</v>
      </c>
    </row>
    <row r="45" spans="1:34" s="30" customFormat="1" ht="19.5" customHeight="1" x14ac:dyDescent="0.2">
      <c r="A45" s="18">
        <v>43111</v>
      </c>
      <c r="B45" s="19"/>
      <c r="C45" s="20" t="s">
        <v>116</v>
      </c>
      <c r="D45" s="20" t="s">
        <v>38</v>
      </c>
      <c r="E45" s="20" t="s">
        <v>39</v>
      </c>
      <c r="F45" s="21">
        <v>22967</v>
      </c>
      <c r="G45" s="22" t="s">
        <v>40</v>
      </c>
      <c r="H45" s="23"/>
      <c r="I45" s="23"/>
      <c r="J45" s="23"/>
      <c r="K45" s="23">
        <v>35</v>
      </c>
      <c r="L45" s="24"/>
      <c r="M45" s="25">
        <f t="shared" si="5"/>
        <v>31.249999999999996</v>
      </c>
      <c r="N45" s="25">
        <f t="shared" si="6"/>
        <v>3.7499999999999996</v>
      </c>
      <c r="O45" s="25">
        <f t="shared" si="7"/>
        <v>0</v>
      </c>
      <c r="P45" s="25"/>
      <c r="Q45" s="25">
        <v>31.25</v>
      </c>
      <c r="R45" s="25"/>
      <c r="S45" s="25"/>
      <c r="T45" s="26"/>
      <c r="U45" s="26"/>
      <c r="V45" s="26"/>
      <c r="W45" s="26"/>
      <c r="X45" s="26"/>
      <c r="Y45" s="31"/>
      <c r="Z45" s="25"/>
      <c r="AA45" s="25"/>
      <c r="AB45" s="25"/>
      <c r="AC45" s="26"/>
      <c r="AD45" s="26"/>
      <c r="AE45" s="27"/>
      <c r="AF45" s="27"/>
      <c r="AG45" s="28">
        <f t="shared" si="8"/>
        <v>-35</v>
      </c>
      <c r="AH45" s="29">
        <f t="shared" si="9"/>
        <v>0</v>
      </c>
    </row>
    <row r="46" spans="1:34" s="30" customFormat="1" ht="19.5" customHeight="1" x14ac:dyDescent="0.2">
      <c r="A46" s="18">
        <v>43111</v>
      </c>
      <c r="B46" s="19"/>
      <c r="C46" s="20" t="s">
        <v>45</v>
      </c>
      <c r="D46" s="20"/>
      <c r="E46" s="20"/>
      <c r="F46" s="21"/>
      <c r="G46" s="22" t="s">
        <v>117</v>
      </c>
      <c r="H46" s="23">
        <v>50</v>
      </c>
      <c r="I46" s="23"/>
      <c r="J46" s="23"/>
      <c r="K46" s="23"/>
      <c r="L46" s="24"/>
      <c r="M46" s="25">
        <f t="shared" si="5"/>
        <v>50</v>
      </c>
      <c r="N46" s="25">
        <f t="shared" si="6"/>
        <v>0</v>
      </c>
      <c r="O46" s="25">
        <f t="shared" si="7"/>
        <v>0</v>
      </c>
      <c r="P46" s="25"/>
      <c r="Q46" s="25"/>
      <c r="R46" s="25"/>
      <c r="S46" s="25"/>
      <c r="T46" s="26"/>
      <c r="U46" s="26"/>
      <c r="V46" s="26"/>
      <c r="W46" s="26"/>
      <c r="X46" s="26"/>
      <c r="Y46" s="31"/>
      <c r="Z46" s="25"/>
      <c r="AA46" s="25">
        <v>50</v>
      </c>
      <c r="AB46" s="25"/>
      <c r="AC46" s="26"/>
      <c r="AD46" s="26"/>
      <c r="AE46" s="27"/>
      <c r="AF46" s="27"/>
      <c r="AG46" s="28">
        <f t="shared" si="8"/>
        <v>-50</v>
      </c>
      <c r="AH46" s="29">
        <f t="shared" si="9"/>
        <v>0</v>
      </c>
    </row>
    <row r="47" spans="1:34" s="46" customFormat="1" ht="19.5" customHeight="1" x14ac:dyDescent="0.2">
      <c r="A47" s="33">
        <v>43112</v>
      </c>
      <c r="B47" s="34"/>
      <c r="C47" s="35" t="s">
        <v>118</v>
      </c>
      <c r="D47" s="36" t="s">
        <v>119</v>
      </c>
      <c r="E47" s="36" t="s">
        <v>120</v>
      </c>
      <c r="F47" s="37">
        <v>5019</v>
      </c>
      <c r="G47" s="38" t="s">
        <v>121</v>
      </c>
      <c r="H47" s="39"/>
      <c r="I47" s="39"/>
      <c r="J47" s="39"/>
      <c r="K47" s="39">
        <v>1250</v>
      </c>
      <c r="L47" s="40">
        <v>0.02</v>
      </c>
      <c r="M47" s="41">
        <f t="shared" si="5"/>
        <v>1116.0714285714284</v>
      </c>
      <c r="N47" s="41">
        <f t="shared" si="6"/>
        <v>133.92857142857142</v>
      </c>
      <c r="O47" s="41">
        <f t="shared" si="7"/>
        <v>-22.321428571428569</v>
      </c>
      <c r="P47" s="41"/>
      <c r="Q47" s="41"/>
      <c r="R47" s="41"/>
      <c r="S47" s="41"/>
      <c r="T47" s="42"/>
      <c r="U47" s="42"/>
      <c r="V47" s="42"/>
      <c r="W47" s="42"/>
      <c r="X47" s="42"/>
      <c r="Y47" s="41">
        <v>1116.07</v>
      </c>
      <c r="Z47" s="41"/>
      <c r="AA47" s="41"/>
      <c r="AB47" s="41"/>
      <c r="AC47" s="42"/>
      <c r="AD47" s="42"/>
      <c r="AE47" s="43"/>
      <c r="AF47" s="43"/>
      <c r="AG47" s="44">
        <f t="shared" si="8"/>
        <v>-1227.6771428571428</v>
      </c>
      <c r="AH47" s="45">
        <f t="shared" si="9"/>
        <v>1.4285714286046414E-3</v>
      </c>
    </row>
    <row r="48" spans="1:34" s="30" customFormat="1" ht="19.5" customHeight="1" x14ac:dyDescent="0.2">
      <c r="A48" s="18">
        <v>43112</v>
      </c>
      <c r="B48" s="19"/>
      <c r="C48" s="20" t="s">
        <v>51</v>
      </c>
      <c r="D48" s="20" t="s">
        <v>52</v>
      </c>
      <c r="E48" s="20" t="s">
        <v>39</v>
      </c>
      <c r="F48" s="21">
        <v>26943</v>
      </c>
      <c r="G48" s="21" t="s">
        <v>122</v>
      </c>
      <c r="H48" s="23"/>
      <c r="I48" s="23"/>
      <c r="J48" s="23"/>
      <c r="K48" s="23">
        <v>299.68</v>
      </c>
      <c r="L48" s="24"/>
      <c r="M48" s="25">
        <f t="shared" si="5"/>
        <v>267.57142857142856</v>
      </c>
      <c r="N48" s="25">
        <f t="shared" si="6"/>
        <v>32.108571428571423</v>
      </c>
      <c r="O48" s="25">
        <f t="shared" si="7"/>
        <v>0</v>
      </c>
      <c r="P48" s="25">
        <v>267.57</v>
      </c>
      <c r="Q48" s="25"/>
      <c r="R48" s="25"/>
      <c r="S48" s="25"/>
      <c r="T48" s="26"/>
      <c r="U48" s="26"/>
      <c r="V48" s="26"/>
      <c r="W48" s="26"/>
      <c r="X48" s="26"/>
      <c r="Y48" s="25"/>
      <c r="Z48" s="25"/>
      <c r="AA48" s="25"/>
      <c r="AB48" s="25"/>
      <c r="AC48" s="26"/>
      <c r="AD48" s="26"/>
      <c r="AE48" s="27"/>
      <c r="AF48" s="27"/>
      <c r="AG48" s="28">
        <f t="shared" si="8"/>
        <v>-299.67857142857144</v>
      </c>
      <c r="AH48" s="29">
        <f t="shared" si="9"/>
        <v>1.4285714285620088E-3</v>
      </c>
    </row>
    <row r="49" spans="1:34" s="30" customFormat="1" ht="19.5" customHeight="1" x14ac:dyDescent="0.2">
      <c r="A49" s="18">
        <v>43112</v>
      </c>
      <c r="B49" s="19"/>
      <c r="C49" s="20" t="s">
        <v>123</v>
      </c>
      <c r="D49" s="20" t="s">
        <v>124</v>
      </c>
      <c r="E49" s="20" t="s">
        <v>125</v>
      </c>
      <c r="F49" s="21">
        <v>141950</v>
      </c>
      <c r="G49" s="22" t="s">
        <v>126</v>
      </c>
      <c r="H49" s="23"/>
      <c r="I49" s="23"/>
      <c r="J49" s="23"/>
      <c r="K49" s="23">
        <v>580</v>
      </c>
      <c r="L49" s="24"/>
      <c r="M49" s="25">
        <f t="shared" si="5"/>
        <v>517.85714285714278</v>
      </c>
      <c r="N49" s="25">
        <f t="shared" si="6"/>
        <v>62.142857142857132</v>
      </c>
      <c r="O49" s="25">
        <f t="shared" si="7"/>
        <v>0</v>
      </c>
      <c r="P49" s="25"/>
      <c r="Q49" s="25"/>
      <c r="R49" s="25"/>
      <c r="S49" s="25">
        <v>517.86</v>
      </c>
      <c r="T49" s="26"/>
      <c r="U49" s="26"/>
      <c r="V49" s="26"/>
      <c r="W49" s="26"/>
      <c r="X49" s="26"/>
      <c r="Y49" s="31"/>
      <c r="Z49" s="25"/>
      <c r="AA49" s="25"/>
      <c r="AB49" s="25"/>
      <c r="AC49" s="26"/>
      <c r="AD49" s="26"/>
      <c r="AE49" s="27"/>
      <c r="AF49" s="27"/>
      <c r="AG49" s="28">
        <f t="shared" si="8"/>
        <v>-580.00285714285712</v>
      </c>
      <c r="AH49" s="29">
        <f t="shared" si="9"/>
        <v>-2.8571428571240176E-3</v>
      </c>
    </row>
    <row r="50" spans="1:34" s="30" customFormat="1" ht="19.5" customHeight="1" x14ac:dyDescent="0.2">
      <c r="A50" s="18">
        <v>43112</v>
      </c>
      <c r="B50" s="19"/>
      <c r="C50" s="20" t="s">
        <v>127</v>
      </c>
      <c r="D50" s="20" t="s">
        <v>38</v>
      </c>
      <c r="E50" s="20" t="s">
        <v>39</v>
      </c>
      <c r="F50" s="21">
        <v>22978</v>
      </c>
      <c r="G50" s="22" t="s">
        <v>128</v>
      </c>
      <c r="H50" s="23"/>
      <c r="I50" s="23"/>
      <c r="J50" s="23"/>
      <c r="K50" s="23">
        <v>70</v>
      </c>
      <c r="L50" s="24"/>
      <c r="M50" s="25">
        <f t="shared" si="5"/>
        <v>62.499999999999993</v>
      </c>
      <c r="N50" s="25">
        <f t="shared" si="6"/>
        <v>7.4999999999999991</v>
      </c>
      <c r="O50" s="25">
        <f t="shared" si="7"/>
        <v>0</v>
      </c>
      <c r="P50" s="25"/>
      <c r="Q50" s="25">
        <v>62.5</v>
      </c>
      <c r="R50" s="25"/>
      <c r="S50" s="25"/>
      <c r="T50" s="26"/>
      <c r="U50" s="26"/>
      <c r="V50" s="26"/>
      <c r="W50" s="26"/>
      <c r="X50" s="26"/>
      <c r="Y50" s="31"/>
      <c r="Z50" s="25"/>
      <c r="AA50" s="25"/>
      <c r="AB50" s="25"/>
      <c r="AC50" s="26"/>
      <c r="AD50" s="26"/>
      <c r="AE50" s="27"/>
      <c r="AF50" s="27"/>
      <c r="AG50" s="28">
        <f t="shared" si="8"/>
        <v>-70</v>
      </c>
      <c r="AH50" s="29">
        <f t="shared" si="9"/>
        <v>0</v>
      </c>
    </row>
    <row r="51" spans="1:34" s="30" customFormat="1" ht="19.5" customHeight="1" x14ac:dyDescent="0.2">
      <c r="A51" s="18">
        <v>43115</v>
      </c>
      <c r="B51" s="19"/>
      <c r="C51" s="20" t="s">
        <v>63</v>
      </c>
      <c r="D51" s="20" t="s">
        <v>64</v>
      </c>
      <c r="E51" s="20" t="s">
        <v>65</v>
      </c>
      <c r="F51" s="21">
        <v>59396</v>
      </c>
      <c r="G51" s="22" t="s">
        <v>129</v>
      </c>
      <c r="H51" s="23"/>
      <c r="I51" s="23"/>
      <c r="J51" s="23">
        <v>74.400000000000006</v>
      </c>
      <c r="K51" s="23"/>
      <c r="L51" s="24">
        <v>0.01</v>
      </c>
      <c r="M51" s="25">
        <f t="shared" si="5"/>
        <v>74.400000000000006</v>
      </c>
      <c r="N51" s="25">
        <f t="shared" si="6"/>
        <v>0</v>
      </c>
      <c r="O51" s="25">
        <f t="shared" si="7"/>
        <v>-0.74400000000000011</v>
      </c>
      <c r="P51" s="25">
        <v>74.400000000000006</v>
      </c>
      <c r="Q51" s="25"/>
      <c r="R51" s="25"/>
      <c r="S51" s="25"/>
      <c r="T51" s="26"/>
      <c r="U51" s="26"/>
      <c r="V51" s="26"/>
      <c r="W51" s="26"/>
      <c r="X51" s="26"/>
      <c r="Y51" s="31"/>
      <c r="Z51" s="25"/>
      <c r="AA51" s="25"/>
      <c r="AB51" s="25"/>
      <c r="AC51" s="26"/>
      <c r="AD51" s="26"/>
      <c r="AE51" s="27"/>
      <c r="AF51" s="27"/>
      <c r="AG51" s="28">
        <f t="shared" si="8"/>
        <v>-73.656000000000006</v>
      </c>
      <c r="AH51" s="29">
        <f t="shared" si="9"/>
        <v>0</v>
      </c>
    </row>
    <row r="52" spans="1:34" s="30" customFormat="1" ht="19.5" customHeight="1" x14ac:dyDescent="0.2">
      <c r="A52" s="18">
        <v>43115</v>
      </c>
      <c r="B52" s="19"/>
      <c r="C52" s="20" t="s">
        <v>63</v>
      </c>
      <c r="D52" s="20" t="s">
        <v>64</v>
      </c>
      <c r="E52" s="20" t="s">
        <v>65</v>
      </c>
      <c r="F52" s="21">
        <v>59396</v>
      </c>
      <c r="G52" s="22" t="s">
        <v>130</v>
      </c>
      <c r="H52" s="23"/>
      <c r="I52" s="23"/>
      <c r="J52" s="23"/>
      <c r="K52" s="23">
        <v>937</v>
      </c>
      <c r="L52" s="24">
        <v>0.01</v>
      </c>
      <c r="M52" s="25">
        <f t="shared" si="5"/>
        <v>836.60714285714278</v>
      </c>
      <c r="N52" s="25">
        <f t="shared" si="6"/>
        <v>100.39285714285712</v>
      </c>
      <c r="O52" s="25">
        <f t="shared" si="7"/>
        <v>-8.366071428571427</v>
      </c>
      <c r="P52" s="25">
        <v>836.61</v>
      </c>
      <c r="Q52" s="25"/>
      <c r="R52" s="25"/>
      <c r="S52" s="25"/>
      <c r="T52" s="26"/>
      <c r="U52" s="26"/>
      <c r="V52" s="26"/>
      <c r="W52" s="26"/>
      <c r="X52" s="26"/>
      <c r="Y52" s="31"/>
      <c r="Z52" s="25"/>
      <c r="AA52" s="25"/>
      <c r="AB52" s="25"/>
      <c r="AC52" s="26"/>
      <c r="AD52" s="26"/>
      <c r="AE52" s="27"/>
      <c r="AF52" s="27"/>
      <c r="AG52" s="28">
        <f t="shared" si="8"/>
        <v>-928.63678571428568</v>
      </c>
      <c r="AH52" s="29">
        <f t="shared" si="9"/>
        <v>-2.857142857106254E-3</v>
      </c>
    </row>
    <row r="53" spans="1:34" s="30" customFormat="1" ht="19.5" customHeight="1" x14ac:dyDescent="0.2">
      <c r="A53" s="18">
        <v>43115</v>
      </c>
      <c r="B53" s="19"/>
      <c r="C53" s="20" t="s">
        <v>63</v>
      </c>
      <c r="D53" s="20" t="s">
        <v>64</v>
      </c>
      <c r="E53" s="20" t="s">
        <v>65</v>
      </c>
      <c r="F53" s="21">
        <v>59396</v>
      </c>
      <c r="G53" s="22" t="s">
        <v>131</v>
      </c>
      <c r="H53" s="23"/>
      <c r="I53" s="23"/>
      <c r="J53" s="23"/>
      <c r="K53" s="23">
        <v>99</v>
      </c>
      <c r="L53" s="24">
        <v>0.01</v>
      </c>
      <c r="M53" s="25">
        <f t="shared" si="5"/>
        <v>88.392857142857139</v>
      </c>
      <c r="N53" s="25">
        <f t="shared" si="6"/>
        <v>10.607142857142856</v>
      </c>
      <c r="O53" s="25">
        <f t="shared" si="7"/>
        <v>-0.8839285714285714</v>
      </c>
      <c r="P53" s="25"/>
      <c r="Q53" s="25"/>
      <c r="R53" s="25">
        <v>88.39</v>
      </c>
      <c r="S53" s="25"/>
      <c r="T53" s="26"/>
      <c r="U53" s="26"/>
      <c r="V53" s="26"/>
      <c r="W53" s="26"/>
      <c r="X53" s="26"/>
      <c r="Y53" s="31"/>
      <c r="Z53" s="25"/>
      <c r="AA53" s="25"/>
      <c r="AB53" s="25"/>
      <c r="AC53" s="26"/>
      <c r="AD53" s="26"/>
      <c r="AE53" s="27"/>
      <c r="AF53" s="27"/>
      <c r="AG53" s="28">
        <f t="shared" si="8"/>
        <v>-98.113214285714292</v>
      </c>
      <c r="AH53" s="29">
        <f t="shared" si="9"/>
        <v>2.8571428571362301E-3</v>
      </c>
    </row>
    <row r="54" spans="1:34" s="30" customFormat="1" ht="19.5" customHeight="1" x14ac:dyDescent="0.2">
      <c r="A54" s="18">
        <v>43116</v>
      </c>
      <c r="B54" s="19"/>
      <c r="C54" s="20" t="s">
        <v>41</v>
      </c>
      <c r="D54" s="20" t="s">
        <v>88</v>
      </c>
      <c r="E54" s="20" t="s">
        <v>43</v>
      </c>
      <c r="F54" s="21">
        <v>2232</v>
      </c>
      <c r="G54" s="22" t="s">
        <v>132</v>
      </c>
      <c r="H54" s="23"/>
      <c r="I54" s="23"/>
      <c r="J54" s="23">
        <v>2435</v>
      </c>
      <c r="K54" s="23"/>
      <c r="L54" s="24"/>
      <c r="M54" s="25">
        <f t="shared" si="5"/>
        <v>2435</v>
      </c>
      <c r="N54" s="25">
        <f t="shared" si="6"/>
        <v>0</v>
      </c>
      <c r="O54" s="25">
        <f t="shared" si="7"/>
        <v>0</v>
      </c>
      <c r="P54" s="25">
        <v>2435</v>
      </c>
      <c r="Q54" s="25"/>
      <c r="R54" s="25"/>
      <c r="S54" s="25"/>
      <c r="T54" s="26"/>
      <c r="U54" s="26"/>
      <c r="V54" s="26"/>
      <c r="W54" s="26"/>
      <c r="X54" s="26"/>
      <c r="Y54" s="31"/>
      <c r="Z54" s="25"/>
      <c r="AA54" s="25"/>
      <c r="AB54" s="25"/>
      <c r="AC54" s="26"/>
      <c r="AD54" s="26"/>
      <c r="AE54" s="27"/>
      <c r="AF54" s="27"/>
      <c r="AG54" s="28">
        <f t="shared" si="8"/>
        <v>-2435</v>
      </c>
      <c r="AH54" s="29">
        <f t="shared" si="9"/>
        <v>0</v>
      </c>
    </row>
    <row r="55" spans="1:34" s="30" customFormat="1" ht="19.5" customHeight="1" x14ac:dyDescent="0.2">
      <c r="A55" s="18">
        <v>43116</v>
      </c>
      <c r="B55" s="19"/>
      <c r="C55" s="20" t="s">
        <v>133</v>
      </c>
      <c r="D55" s="20" t="s">
        <v>134</v>
      </c>
      <c r="E55" s="20" t="s">
        <v>120</v>
      </c>
      <c r="F55" s="21">
        <v>4604</v>
      </c>
      <c r="G55" s="22" t="s">
        <v>135</v>
      </c>
      <c r="H55" s="23"/>
      <c r="I55" s="23"/>
      <c r="J55" s="23"/>
      <c r="K55" s="23">
        <v>1400</v>
      </c>
      <c r="L55" s="24"/>
      <c r="M55" s="25">
        <f t="shared" si="5"/>
        <v>1249.9999999999998</v>
      </c>
      <c r="N55" s="25">
        <f t="shared" si="6"/>
        <v>149.99999999999997</v>
      </c>
      <c r="O55" s="25">
        <f t="shared" si="7"/>
        <v>0</v>
      </c>
      <c r="P55" s="25"/>
      <c r="Q55" s="25"/>
      <c r="R55" s="25"/>
      <c r="S55" s="25"/>
      <c r="T55" s="26"/>
      <c r="U55" s="26"/>
      <c r="V55" s="26"/>
      <c r="W55" s="26"/>
      <c r="X55" s="26"/>
      <c r="Y55" s="31">
        <v>1250</v>
      </c>
      <c r="Z55" s="25"/>
      <c r="AA55" s="25"/>
      <c r="AB55" s="25"/>
      <c r="AC55" s="26"/>
      <c r="AD55" s="26"/>
      <c r="AE55" s="27"/>
      <c r="AF55" s="27"/>
      <c r="AG55" s="28">
        <f t="shared" si="8"/>
        <v>-1400</v>
      </c>
      <c r="AH55" s="29">
        <f t="shared" si="9"/>
        <v>0</v>
      </c>
    </row>
    <row r="56" spans="1:34" s="30" customFormat="1" ht="19.5" customHeight="1" x14ac:dyDescent="0.2">
      <c r="A56" s="18">
        <v>43106</v>
      </c>
      <c r="B56" s="19"/>
      <c r="C56" s="20" t="s">
        <v>68</v>
      </c>
      <c r="D56" s="20"/>
      <c r="E56" s="20"/>
      <c r="F56" s="21"/>
      <c r="G56" s="22" t="s">
        <v>136</v>
      </c>
      <c r="H56" s="23">
        <v>100</v>
      </c>
      <c r="I56" s="23"/>
      <c r="J56" s="23"/>
      <c r="K56" s="23"/>
      <c r="L56" s="24"/>
      <c r="M56" s="25">
        <f t="shared" si="5"/>
        <v>100</v>
      </c>
      <c r="N56" s="25">
        <f t="shared" si="6"/>
        <v>0</v>
      </c>
      <c r="O56" s="25">
        <f t="shared" si="7"/>
        <v>0</v>
      </c>
      <c r="P56" s="25"/>
      <c r="Q56" s="25"/>
      <c r="R56" s="25"/>
      <c r="S56" s="25"/>
      <c r="T56" s="26"/>
      <c r="U56" s="26"/>
      <c r="V56" s="26"/>
      <c r="W56" s="26"/>
      <c r="X56" s="26"/>
      <c r="Y56" s="31"/>
      <c r="Z56" s="25"/>
      <c r="AA56" s="25">
        <v>100</v>
      </c>
      <c r="AB56" s="25"/>
      <c r="AC56" s="26"/>
      <c r="AD56" s="26"/>
      <c r="AE56" s="27"/>
      <c r="AF56" s="27"/>
      <c r="AG56" s="28">
        <f t="shared" si="8"/>
        <v>-100</v>
      </c>
      <c r="AH56" s="29">
        <f t="shared" si="9"/>
        <v>0</v>
      </c>
    </row>
    <row r="57" spans="1:34" s="30" customFormat="1" ht="19.5" customHeight="1" x14ac:dyDescent="0.2">
      <c r="A57" s="18">
        <v>43107</v>
      </c>
      <c r="B57" s="19"/>
      <c r="C57" s="20" t="s">
        <v>59</v>
      </c>
      <c r="D57" s="20" t="s">
        <v>137</v>
      </c>
      <c r="E57" s="20" t="s">
        <v>120</v>
      </c>
      <c r="F57" s="21">
        <v>652765</v>
      </c>
      <c r="G57" s="22" t="s">
        <v>138</v>
      </c>
      <c r="H57" s="23"/>
      <c r="I57" s="23"/>
      <c r="J57" s="23"/>
      <c r="K57" s="23">
        <v>48</v>
      </c>
      <c r="L57" s="24"/>
      <c r="M57" s="25">
        <f t="shared" si="5"/>
        <v>42.857142857142854</v>
      </c>
      <c r="N57" s="25">
        <f t="shared" si="6"/>
        <v>5.1428571428571423</v>
      </c>
      <c r="O57" s="25">
        <f t="shared" si="7"/>
        <v>0</v>
      </c>
      <c r="P57" s="25"/>
      <c r="Q57" s="25"/>
      <c r="R57" s="25"/>
      <c r="S57" s="25"/>
      <c r="T57" s="26">
        <v>42.86</v>
      </c>
      <c r="U57" s="26"/>
      <c r="V57" s="26"/>
      <c r="W57" s="26"/>
      <c r="X57" s="26"/>
      <c r="Y57" s="31"/>
      <c r="Z57" s="25"/>
      <c r="AA57" s="25"/>
      <c r="AB57" s="25"/>
      <c r="AC57" s="26"/>
      <c r="AD57" s="26"/>
      <c r="AE57" s="27"/>
      <c r="AF57" s="27"/>
      <c r="AG57" s="28">
        <f t="shared" si="8"/>
        <v>-48.002857142857138</v>
      </c>
      <c r="AH57" s="29">
        <f t="shared" si="9"/>
        <v>-2.8571428571382285E-3</v>
      </c>
    </row>
    <row r="58" spans="1:34" s="30" customFormat="1" ht="19.5" customHeight="1" x14ac:dyDescent="0.2">
      <c r="A58" s="18">
        <v>43118</v>
      </c>
      <c r="B58" s="19"/>
      <c r="C58" s="20" t="s">
        <v>63</v>
      </c>
      <c r="D58" s="20" t="s">
        <v>64</v>
      </c>
      <c r="E58" s="20" t="s">
        <v>65</v>
      </c>
      <c r="F58" s="21">
        <v>61992</v>
      </c>
      <c r="G58" s="22" t="s">
        <v>139</v>
      </c>
      <c r="H58" s="23"/>
      <c r="I58" s="23"/>
      <c r="J58" s="23">
        <v>875.25</v>
      </c>
      <c r="K58" s="23"/>
      <c r="L58" s="24">
        <v>0.01</v>
      </c>
      <c r="M58" s="25">
        <f t="shared" si="5"/>
        <v>875.25</v>
      </c>
      <c r="N58" s="25">
        <f t="shared" si="6"/>
        <v>0</v>
      </c>
      <c r="O58" s="25">
        <f t="shared" si="7"/>
        <v>-8.7524999999999995</v>
      </c>
      <c r="P58" s="25">
        <v>875.25</v>
      </c>
      <c r="Q58" s="25"/>
      <c r="R58" s="25"/>
      <c r="S58" s="25"/>
      <c r="T58" s="26"/>
      <c r="U58" s="26"/>
      <c r="V58" s="26"/>
      <c r="W58" s="26"/>
      <c r="X58" s="26"/>
      <c r="Y58" s="31"/>
      <c r="Z58" s="25"/>
      <c r="AA58" s="25"/>
      <c r="AB58" s="25"/>
      <c r="AC58" s="26"/>
      <c r="AD58" s="26"/>
      <c r="AE58" s="27"/>
      <c r="AF58" s="27"/>
      <c r="AG58" s="28">
        <f t="shared" si="8"/>
        <v>-866.49749999999995</v>
      </c>
      <c r="AH58" s="29">
        <f t="shared" si="9"/>
        <v>5.5067062021407764E-14</v>
      </c>
    </row>
    <row r="59" spans="1:34" s="30" customFormat="1" ht="19.5" customHeight="1" x14ac:dyDescent="0.2">
      <c r="A59" s="18">
        <v>43118</v>
      </c>
      <c r="B59" s="19"/>
      <c r="C59" s="20" t="s">
        <v>63</v>
      </c>
      <c r="D59" s="20" t="s">
        <v>64</v>
      </c>
      <c r="E59" s="20" t="s">
        <v>65</v>
      </c>
      <c r="F59" s="21">
        <v>61992</v>
      </c>
      <c r="G59" s="22" t="s">
        <v>140</v>
      </c>
      <c r="H59" s="23"/>
      <c r="I59" s="23"/>
      <c r="J59" s="23"/>
      <c r="K59" s="23">
        <v>1529.2</v>
      </c>
      <c r="L59" s="24">
        <v>0.01</v>
      </c>
      <c r="M59" s="25">
        <f t="shared" si="5"/>
        <v>1365.3571428571427</v>
      </c>
      <c r="N59" s="25">
        <f t="shared" si="6"/>
        <v>163.84285714285713</v>
      </c>
      <c r="O59" s="25">
        <f t="shared" si="7"/>
        <v>-13.653571428571427</v>
      </c>
      <c r="P59" s="25">
        <v>1365.36</v>
      </c>
      <c r="Q59" s="25"/>
      <c r="R59" s="25"/>
      <c r="S59" s="25"/>
      <c r="T59" s="26"/>
      <c r="U59" s="26"/>
      <c r="V59" s="26"/>
      <c r="W59" s="26"/>
      <c r="X59" s="26"/>
      <c r="Y59" s="31"/>
      <c r="Z59" s="25"/>
      <c r="AA59" s="25"/>
      <c r="AB59" s="25"/>
      <c r="AC59" s="26"/>
      <c r="AD59" s="26"/>
      <c r="AE59" s="27"/>
      <c r="AF59" s="27"/>
      <c r="AG59" s="28">
        <f t="shared" si="8"/>
        <v>-1515.5492857142856</v>
      </c>
      <c r="AH59" s="29">
        <f t="shared" si="9"/>
        <v>-2.8571428569694746E-3</v>
      </c>
    </row>
    <row r="60" spans="1:34" s="30" customFormat="1" ht="19.5" customHeight="1" x14ac:dyDescent="0.2">
      <c r="A60" s="18">
        <v>43118</v>
      </c>
      <c r="B60" s="19"/>
      <c r="C60" s="20" t="s">
        <v>141</v>
      </c>
      <c r="D60" s="20" t="s">
        <v>142</v>
      </c>
      <c r="E60" s="20" t="s">
        <v>143</v>
      </c>
      <c r="F60" s="21">
        <v>44602</v>
      </c>
      <c r="G60" s="22" t="s">
        <v>144</v>
      </c>
      <c r="H60" s="23"/>
      <c r="I60" s="23"/>
      <c r="J60" s="23"/>
      <c r="K60" s="23">
        <v>680</v>
      </c>
      <c r="L60" s="24"/>
      <c r="M60" s="25">
        <f t="shared" si="5"/>
        <v>607.14285714285711</v>
      </c>
      <c r="N60" s="25">
        <f t="shared" si="6"/>
        <v>72.857142857142847</v>
      </c>
      <c r="O60" s="25">
        <f t="shared" si="7"/>
        <v>0</v>
      </c>
      <c r="P60" s="25"/>
      <c r="Q60" s="25"/>
      <c r="R60" s="25"/>
      <c r="S60" s="25"/>
      <c r="T60" s="26"/>
      <c r="U60" s="26"/>
      <c r="V60" s="26"/>
      <c r="W60" s="26"/>
      <c r="X60" s="26"/>
      <c r="Y60" s="31">
        <v>607.14</v>
      </c>
      <c r="Z60" s="25"/>
      <c r="AA60" s="25"/>
      <c r="AB60" s="25"/>
      <c r="AC60" s="26"/>
      <c r="AD60" s="26"/>
      <c r="AE60" s="27"/>
      <c r="AF60" s="27"/>
      <c r="AG60" s="28">
        <f t="shared" si="8"/>
        <v>-679.99714285714288</v>
      </c>
      <c r="AH60" s="29">
        <f t="shared" si="9"/>
        <v>2.8571428571240176E-3</v>
      </c>
    </row>
    <row r="61" spans="1:34" s="30" customFormat="1" ht="19.5" customHeight="1" x14ac:dyDescent="0.2">
      <c r="A61" s="18">
        <v>43118</v>
      </c>
      <c r="B61" s="19"/>
      <c r="C61" s="20" t="s">
        <v>96</v>
      </c>
      <c r="D61" s="20"/>
      <c r="E61" s="20"/>
      <c r="F61" s="21"/>
      <c r="G61" s="22" t="s">
        <v>145</v>
      </c>
      <c r="H61" s="23">
        <v>68</v>
      </c>
      <c r="I61" s="23"/>
      <c r="J61" s="23"/>
      <c r="K61" s="23"/>
      <c r="L61" s="24"/>
      <c r="M61" s="25">
        <f t="shared" si="5"/>
        <v>68</v>
      </c>
      <c r="N61" s="25">
        <f t="shared" si="6"/>
        <v>0</v>
      </c>
      <c r="O61" s="25">
        <f t="shared" si="7"/>
        <v>0</v>
      </c>
      <c r="P61" s="25"/>
      <c r="Q61" s="25"/>
      <c r="R61" s="25"/>
      <c r="S61" s="25"/>
      <c r="T61" s="26"/>
      <c r="U61" s="26"/>
      <c r="V61" s="26"/>
      <c r="W61" s="26"/>
      <c r="X61" s="26"/>
      <c r="Y61" s="31"/>
      <c r="Z61" s="25"/>
      <c r="AA61" s="25">
        <v>68</v>
      </c>
      <c r="AB61" s="25"/>
      <c r="AC61" s="26"/>
      <c r="AD61" s="26"/>
      <c r="AE61" s="27"/>
      <c r="AF61" s="27"/>
      <c r="AG61" s="28">
        <f t="shared" si="8"/>
        <v>-68</v>
      </c>
      <c r="AH61" s="29">
        <f t="shared" si="9"/>
        <v>0</v>
      </c>
    </row>
    <row r="62" spans="1:34" s="30" customFormat="1" ht="19.5" customHeight="1" x14ac:dyDescent="0.2">
      <c r="A62" s="18">
        <v>43118</v>
      </c>
      <c r="B62" s="19"/>
      <c r="C62" s="20" t="s">
        <v>104</v>
      </c>
      <c r="D62" s="20" t="s">
        <v>105</v>
      </c>
      <c r="E62" s="20" t="s">
        <v>146</v>
      </c>
      <c r="F62" s="21">
        <v>85314</v>
      </c>
      <c r="G62" s="22" t="s">
        <v>147</v>
      </c>
      <c r="H62" s="23"/>
      <c r="I62" s="23"/>
      <c r="J62" s="23"/>
      <c r="K62" s="23">
        <v>1896.05</v>
      </c>
      <c r="L62" s="24">
        <v>0.01</v>
      </c>
      <c r="M62" s="25">
        <f t="shared" si="5"/>
        <v>1692.9017857142856</v>
      </c>
      <c r="N62" s="25">
        <f t="shared" si="6"/>
        <v>203.14821428571426</v>
      </c>
      <c r="O62" s="25">
        <f t="shared" si="7"/>
        <v>-16.929017857142856</v>
      </c>
      <c r="P62" s="25">
        <v>1692.9</v>
      </c>
      <c r="Q62" s="25"/>
      <c r="R62" s="25"/>
      <c r="S62" s="25"/>
      <c r="T62" s="26"/>
      <c r="U62" s="26"/>
      <c r="V62" s="26"/>
      <c r="W62" s="26"/>
      <c r="X62" s="26"/>
      <c r="Y62" s="31"/>
      <c r="Z62" s="25"/>
      <c r="AA62" s="25"/>
      <c r="AB62" s="25"/>
      <c r="AC62" s="26"/>
      <c r="AD62" s="26"/>
      <c r="AE62" s="27"/>
      <c r="AF62" s="27"/>
      <c r="AG62" s="28">
        <f t="shared" si="8"/>
        <v>-1879.1191964285715</v>
      </c>
      <c r="AH62" s="29">
        <f t="shared" si="9"/>
        <v>1.7857142855852715E-3</v>
      </c>
    </row>
    <row r="63" spans="1:34" s="30" customFormat="1" ht="19.5" customHeight="1" x14ac:dyDescent="0.2">
      <c r="A63" s="18">
        <v>43118</v>
      </c>
      <c r="B63" s="19"/>
      <c r="C63" s="20" t="s">
        <v>68</v>
      </c>
      <c r="D63" s="20"/>
      <c r="E63" s="20"/>
      <c r="F63" s="21"/>
      <c r="G63" s="22" t="s">
        <v>103</v>
      </c>
      <c r="H63" s="23">
        <v>40</v>
      </c>
      <c r="I63" s="23"/>
      <c r="J63" s="23"/>
      <c r="K63" s="23"/>
      <c r="L63" s="24"/>
      <c r="M63" s="25">
        <f t="shared" si="5"/>
        <v>40</v>
      </c>
      <c r="N63" s="25">
        <f t="shared" si="6"/>
        <v>0</v>
      </c>
      <c r="O63" s="25">
        <f t="shared" si="7"/>
        <v>0</v>
      </c>
      <c r="P63" s="25"/>
      <c r="Q63" s="25"/>
      <c r="R63" s="25"/>
      <c r="S63" s="25"/>
      <c r="T63" s="26"/>
      <c r="U63" s="26"/>
      <c r="V63" s="26"/>
      <c r="W63" s="26"/>
      <c r="X63" s="26"/>
      <c r="Y63" s="31"/>
      <c r="Z63" s="25"/>
      <c r="AA63" s="25">
        <v>40</v>
      </c>
      <c r="AB63" s="25"/>
      <c r="AC63" s="26"/>
      <c r="AD63" s="26"/>
      <c r="AE63" s="27"/>
      <c r="AF63" s="27"/>
      <c r="AG63" s="28">
        <f t="shared" si="8"/>
        <v>-40</v>
      </c>
      <c r="AH63" s="29">
        <f t="shared" si="9"/>
        <v>0</v>
      </c>
    </row>
    <row r="64" spans="1:34" s="30" customFormat="1" ht="19.5" customHeight="1" x14ac:dyDescent="0.2">
      <c r="A64" s="18">
        <v>43118</v>
      </c>
      <c r="B64" s="19"/>
      <c r="C64" s="20" t="s">
        <v>51</v>
      </c>
      <c r="D64" s="20" t="s">
        <v>52</v>
      </c>
      <c r="E64" s="20" t="s">
        <v>39</v>
      </c>
      <c r="F64" s="21">
        <v>29505</v>
      </c>
      <c r="G64" s="22" t="s">
        <v>148</v>
      </c>
      <c r="H64" s="23"/>
      <c r="I64" s="23"/>
      <c r="J64" s="23"/>
      <c r="K64" s="23">
        <v>170</v>
      </c>
      <c r="L64" s="24"/>
      <c r="M64" s="25">
        <f t="shared" si="5"/>
        <v>151.78571428571428</v>
      </c>
      <c r="N64" s="25">
        <f t="shared" si="6"/>
        <v>18.214285714285712</v>
      </c>
      <c r="O64" s="25">
        <f t="shared" si="7"/>
        <v>0</v>
      </c>
      <c r="P64" s="25">
        <v>151.79</v>
      </c>
      <c r="Q64" s="25"/>
      <c r="R64" s="25"/>
      <c r="S64" s="25"/>
      <c r="T64" s="26"/>
      <c r="U64" s="26"/>
      <c r="V64" s="26"/>
      <c r="W64" s="26"/>
      <c r="X64" s="26"/>
      <c r="Y64" s="31"/>
      <c r="Z64" s="25"/>
      <c r="AA64" s="25"/>
      <c r="AB64" s="25"/>
      <c r="AC64" s="26"/>
      <c r="AD64" s="26"/>
      <c r="AE64" s="27"/>
      <c r="AF64" s="27"/>
      <c r="AG64" s="28">
        <f t="shared" si="8"/>
        <v>-170.00428571428571</v>
      </c>
      <c r="AH64" s="29">
        <f t="shared" si="9"/>
        <v>-4.2857142857144481E-3</v>
      </c>
    </row>
    <row r="65" spans="1:34" s="46" customFormat="1" ht="19.5" customHeight="1" x14ac:dyDescent="0.2">
      <c r="A65" s="33">
        <v>43120</v>
      </c>
      <c r="B65" s="34"/>
      <c r="C65" s="36" t="s">
        <v>51</v>
      </c>
      <c r="D65" s="36" t="s">
        <v>52</v>
      </c>
      <c r="E65" s="36" t="s">
        <v>39</v>
      </c>
      <c r="F65" s="37">
        <v>29529</v>
      </c>
      <c r="G65" s="38" t="s">
        <v>149</v>
      </c>
      <c r="H65" s="39"/>
      <c r="I65" s="39"/>
      <c r="J65" s="39"/>
      <c r="K65" s="39">
        <v>187.9</v>
      </c>
      <c r="L65" s="40"/>
      <c r="M65" s="41">
        <f t="shared" si="5"/>
        <v>167.76785714285714</v>
      </c>
      <c r="N65" s="41">
        <f t="shared" si="6"/>
        <v>20.132142857142856</v>
      </c>
      <c r="O65" s="41">
        <f t="shared" si="7"/>
        <v>0</v>
      </c>
      <c r="P65" s="41">
        <v>167.77</v>
      </c>
      <c r="Q65" s="41"/>
      <c r="R65" s="41"/>
      <c r="S65" s="41"/>
      <c r="T65" s="42"/>
      <c r="U65" s="42"/>
      <c r="V65" s="42"/>
      <c r="W65" s="42"/>
      <c r="X65" s="42"/>
      <c r="Y65" s="41"/>
      <c r="Z65" s="41"/>
      <c r="AA65" s="41"/>
      <c r="AB65" s="41"/>
      <c r="AC65" s="42"/>
      <c r="AD65" s="42"/>
      <c r="AE65" s="43"/>
      <c r="AF65" s="43"/>
      <c r="AG65" s="44">
        <f t="shared" si="8"/>
        <v>-187.90214285714288</v>
      </c>
      <c r="AH65" s="45">
        <f t="shared" si="9"/>
        <v>-2.1428571428714349E-3</v>
      </c>
    </row>
    <row r="66" spans="1:34" s="30" customFormat="1" ht="19.5" customHeight="1" x14ac:dyDescent="0.2">
      <c r="A66" s="18">
        <v>43123</v>
      </c>
      <c r="B66" s="19"/>
      <c r="C66" s="20" t="s">
        <v>150</v>
      </c>
      <c r="D66" s="20" t="s">
        <v>151</v>
      </c>
      <c r="E66" s="20" t="s">
        <v>152</v>
      </c>
      <c r="F66" s="21">
        <v>7591</v>
      </c>
      <c r="G66" s="21" t="s">
        <v>153</v>
      </c>
      <c r="H66" s="23"/>
      <c r="I66" s="23"/>
      <c r="J66" s="23">
        <v>114</v>
      </c>
      <c r="K66" s="23"/>
      <c r="L66" s="24"/>
      <c r="M66" s="25">
        <f t="shared" si="5"/>
        <v>114</v>
      </c>
      <c r="N66" s="25">
        <f t="shared" si="6"/>
        <v>0</v>
      </c>
      <c r="O66" s="25">
        <f t="shared" si="7"/>
        <v>0</v>
      </c>
      <c r="P66" s="25"/>
      <c r="Q66" s="25"/>
      <c r="R66" s="25"/>
      <c r="S66" s="25">
        <v>114</v>
      </c>
      <c r="T66" s="26"/>
      <c r="U66" s="26"/>
      <c r="V66" s="26"/>
      <c r="W66" s="26"/>
      <c r="X66" s="26"/>
      <c r="Y66" s="25"/>
      <c r="Z66" s="25"/>
      <c r="AA66" s="25"/>
      <c r="AB66" s="25"/>
      <c r="AC66" s="26"/>
      <c r="AD66" s="26"/>
      <c r="AE66" s="27"/>
      <c r="AF66" s="27"/>
      <c r="AG66" s="28">
        <f t="shared" si="8"/>
        <v>-114</v>
      </c>
      <c r="AH66" s="29">
        <f t="shared" si="9"/>
        <v>0</v>
      </c>
    </row>
    <row r="67" spans="1:34" s="30" customFormat="1" ht="19.5" customHeight="1" x14ac:dyDescent="0.2">
      <c r="A67" s="18">
        <v>43123</v>
      </c>
      <c r="B67" s="19"/>
      <c r="C67" s="20" t="s">
        <v>154</v>
      </c>
      <c r="D67" s="20" t="s">
        <v>155</v>
      </c>
      <c r="E67" s="20" t="s">
        <v>156</v>
      </c>
      <c r="F67" s="21">
        <v>105543</v>
      </c>
      <c r="G67" s="22" t="s">
        <v>157</v>
      </c>
      <c r="H67" s="23"/>
      <c r="I67" s="23"/>
      <c r="J67" s="23">
        <v>930</v>
      </c>
      <c r="K67" s="23"/>
      <c r="L67" s="24"/>
      <c r="M67" s="25">
        <f t="shared" si="5"/>
        <v>930</v>
      </c>
      <c r="N67" s="25">
        <f t="shared" si="6"/>
        <v>0</v>
      </c>
      <c r="O67" s="25">
        <f t="shared" si="7"/>
        <v>0</v>
      </c>
      <c r="P67" s="25"/>
      <c r="Q67" s="25"/>
      <c r="R67" s="25"/>
      <c r="S67" s="25">
        <v>930</v>
      </c>
      <c r="T67" s="26"/>
      <c r="U67" s="26"/>
      <c r="V67" s="26"/>
      <c r="W67" s="26"/>
      <c r="X67" s="26"/>
      <c r="Y67" s="31"/>
      <c r="Z67" s="25"/>
      <c r="AA67" s="25"/>
      <c r="AB67" s="25"/>
      <c r="AC67" s="26"/>
      <c r="AD67" s="26"/>
      <c r="AE67" s="27"/>
      <c r="AF67" s="27"/>
      <c r="AG67" s="28">
        <f t="shared" si="8"/>
        <v>-930</v>
      </c>
      <c r="AH67" s="29">
        <f t="shared" si="9"/>
        <v>0</v>
      </c>
    </row>
    <row r="68" spans="1:34" s="30" customFormat="1" ht="19.5" customHeight="1" x14ac:dyDescent="0.2">
      <c r="A68" s="18">
        <v>43123</v>
      </c>
      <c r="B68" s="19"/>
      <c r="C68" s="20" t="s">
        <v>154</v>
      </c>
      <c r="D68" s="20" t="s">
        <v>155</v>
      </c>
      <c r="E68" s="20" t="s">
        <v>156</v>
      </c>
      <c r="F68" s="21">
        <v>105543</v>
      </c>
      <c r="G68" s="22" t="s">
        <v>158</v>
      </c>
      <c r="H68" s="23"/>
      <c r="I68" s="23"/>
      <c r="J68" s="23">
        <v>34</v>
      </c>
      <c r="K68" s="23"/>
      <c r="L68" s="24"/>
      <c r="M68" s="25">
        <f t="shared" si="5"/>
        <v>34</v>
      </c>
      <c r="N68" s="25">
        <f t="shared" si="6"/>
        <v>0</v>
      </c>
      <c r="O68" s="25">
        <f t="shared" si="7"/>
        <v>0</v>
      </c>
      <c r="P68" s="25"/>
      <c r="Q68" s="25"/>
      <c r="R68" s="25"/>
      <c r="S68" s="25"/>
      <c r="T68" s="26"/>
      <c r="U68" s="26"/>
      <c r="V68" s="26">
        <v>34</v>
      </c>
      <c r="W68" s="26"/>
      <c r="X68" s="26"/>
      <c r="Y68" s="31"/>
      <c r="Z68" s="25"/>
      <c r="AA68" s="25"/>
      <c r="AB68" s="25"/>
      <c r="AC68" s="26"/>
      <c r="AD68" s="26"/>
      <c r="AE68" s="27"/>
      <c r="AF68" s="27"/>
      <c r="AG68" s="28">
        <f t="shared" si="8"/>
        <v>-34</v>
      </c>
      <c r="AH68" s="29">
        <f t="shared" si="9"/>
        <v>0</v>
      </c>
    </row>
    <row r="69" spans="1:34" s="30" customFormat="1" ht="19.5" customHeight="1" x14ac:dyDescent="0.2">
      <c r="A69" s="18">
        <v>43123</v>
      </c>
      <c r="B69" s="19"/>
      <c r="C69" s="20" t="s">
        <v>154</v>
      </c>
      <c r="D69" s="20" t="s">
        <v>155</v>
      </c>
      <c r="E69" s="20" t="s">
        <v>156</v>
      </c>
      <c r="F69" s="21">
        <v>105543</v>
      </c>
      <c r="G69" s="22" t="s">
        <v>159</v>
      </c>
      <c r="H69" s="23"/>
      <c r="I69" s="23"/>
      <c r="J69" s="23"/>
      <c r="K69" s="23">
        <v>480</v>
      </c>
      <c r="L69" s="24"/>
      <c r="M69" s="25">
        <f t="shared" ref="M69:M94" si="10">SUM(H69:J69,K69/1.12)</f>
        <v>428.57142857142856</v>
      </c>
      <c r="N69" s="25">
        <f t="shared" ref="N69:N94" si="11">K69/1.12*0.12</f>
        <v>51.428571428571423</v>
      </c>
      <c r="O69" s="25">
        <f t="shared" ref="O69:O94" si="12">-SUM(I69:J69,K69/1.12)*L69</f>
        <v>0</v>
      </c>
      <c r="P69" s="25">
        <v>428.57</v>
      </c>
      <c r="Q69" s="25"/>
      <c r="R69" s="25"/>
      <c r="S69" s="25"/>
      <c r="T69" s="26"/>
      <c r="U69" s="26"/>
      <c r="V69" s="26" t="s">
        <v>160</v>
      </c>
      <c r="W69" s="26"/>
      <c r="X69" s="26"/>
      <c r="Y69" s="31"/>
      <c r="Z69" s="25"/>
      <c r="AA69" s="25"/>
      <c r="AB69" s="25"/>
      <c r="AC69" s="26"/>
      <c r="AD69" s="26"/>
      <c r="AE69" s="27"/>
      <c r="AF69" s="27"/>
      <c r="AG69" s="28">
        <f t="shared" ref="AG69:AG94" si="13">-SUM(N69:AF69)</f>
        <v>-479.99857142857144</v>
      </c>
      <c r="AH69" s="29">
        <f t="shared" ref="AH69:AH94" si="14">SUM(H69:K69)+AG69+O69</f>
        <v>1.4285714285620088E-3</v>
      </c>
    </row>
    <row r="70" spans="1:34" s="30" customFormat="1" ht="19.5" customHeight="1" x14ac:dyDescent="0.2">
      <c r="A70" s="18">
        <v>43123</v>
      </c>
      <c r="B70" s="19"/>
      <c r="C70" s="20" t="s">
        <v>96</v>
      </c>
      <c r="D70" s="20"/>
      <c r="E70" s="20"/>
      <c r="F70" s="21"/>
      <c r="G70" s="22" t="s">
        <v>161</v>
      </c>
      <c r="H70" s="23">
        <v>105</v>
      </c>
      <c r="I70" s="23"/>
      <c r="J70" s="23"/>
      <c r="K70" s="23"/>
      <c r="L70" s="24"/>
      <c r="M70" s="25">
        <f t="shared" si="10"/>
        <v>105</v>
      </c>
      <c r="N70" s="25">
        <f t="shared" si="11"/>
        <v>0</v>
      </c>
      <c r="O70" s="25">
        <f t="shared" si="12"/>
        <v>0</v>
      </c>
      <c r="P70" s="25"/>
      <c r="Q70" s="25"/>
      <c r="R70" s="25"/>
      <c r="S70" s="25"/>
      <c r="T70" s="26"/>
      <c r="U70" s="26"/>
      <c r="V70" s="26"/>
      <c r="W70" s="26"/>
      <c r="X70" s="26"/>
      <c r="Y70" s="31"/>
      <c r="Z70" s="25"/>
      <c r="AA70" s="25">
        <v>105</v>
      </c>
      <c r="AB70" s="25"/>
      <c r="AC70" s="26"/>
      <c r="AD70" s="26"/>
      <c r="AE70" s="27"/>
      <c r="AF70" s="27"/>
      <c r="AG70" s="28">
        <f t="shared" si="13"/>
        <v>-105</v>
      </c>
      <c r="AH70" s="29">
        <f t="shared" si="14"/>
        <v>0</v>
      </c>
    </row>
    <row r="71" spans="1:34" s="30" customFormat="1" ht="19.5" customHeight="1" x14ac:dyDescent="0.2">
      <c r="A71" s="18">
        <v>43123</v>
      </c>
      <c r="B71" s="19"/>
      <c r="C71" s="20" t="s">
        <v>162</v>
      </c>
      <c r="D71" s="20" t="s">
        <v>55</v>
      </c>
      <c r="E71" s="20" t="s">
        <v>56</v>
      </c>
      <c r="F71" s="21">
        <v>121</v>
      </c>
      <c r="G71" s="20" t="s">
        <v>163</v>
      </c>
      <c r="H71" s="23"/>
      <c r="I71" s="23"/>
      <c r="J71" s="23">
        <v>2411.92</v>
      </c>
      <c r="K71" s="23"/>
      <c r="L71" s="24">
        <v>0.01</v>
      </c>
      <c r="M71" s="25">
        <f t="shared" si="10"/>
        <v>2411.92</v>
      </c>
      <c r="N71" s="25">
        <f t="shared" si="11"/>
        <v>0</v>
      </c>
      <c r="O71" s="25">
        <f t="shared" si="12"/>
        <v>-24.119200000000003</v>
      </c>
      <c r="P71" s="25">
        <v>2411.92</v>
      </c>
      <c r="Q71" s="25"/>
      <c r="R71" s="25"/>
      <c r="S71" s="25"/>
      <c r="T71" s="26"/>
      <c r="U71" s="26"/>
      <c r="V71" s="26"/>
      <c r="W71" s="26"/>
      <c r="X71" s="26"/>
      <c r="Y71" s="31"/>
      <c r="Z71" s="25"/>
      <c r="AA71" s="25"/>
      <c r="AB71" s="25"/>
      <c r="AC71" s="26"/>
      <c r="AD71" s="26"/>
      <c r="AE71" s="27"/>
      <c r="AF71" s="27"/>
      <c r="AG71" s="28">
        <f t="shared" si="13"/>
        <v>-2387.8008</v>
      </c>
      <c r="AH71" s="29">
        <f t="shared" si="14"/>
        <v>8.8817841970012523E-14</v>
      </c>
    </row>
    <row r="72" spans="1:34" s="30" customFormat="1" ht="19.5" customHeight="1" x14ac:dyDescent="0.2">
      <c r="A72" s="18">
        <v>43123</v>
      </c>
      <c r="B72" s="19"/>
      <c r="C72" s="20" t="s">
        <v>59</v>
      </c>
      <c r="D72" s="20" t="s">
        <v>137</v>
      </c>
      <c r="E72" s="20" t="s">
        <v>120</v>
      </c>
      <c r="F72" s="21">
        <v>624221</v>
      </c>
      <c r="G72" s="22" t="s">
        <v>164</v>
      </c>
      <c r="H72" s="23"/>
      <c r="I72" s="23"/>
      <c r="J72" s="23"/>
      <c r="K72" s="23">
        <v>230</v>
      </c>
      <c r="L72" s="24"/>
      <c r="M72" s="25">
        <f t="shared" si="10"/>
        <v>205.35714285714283</v>
      </c>
      <c r="N72" s="25">
        <f t="shared" si="11"/>
        <v>24.642857142857139</v>
      </c>
      <c r="O72" s="25">
        <f t="shared" si="12"/>
        <v>0</v>
      </c>
      <c r="P72" s="25"/>
      <c r="Q72" s="25"/>
      <c r="R72" s="25"/>
      <c r="S72" s="25"/>
      <c r="T72" s="26">
        <v>205.36</v>
      </c>
      <c r="U72" s="26"/>
      <c r="V72" s="26"/>
      <c r="W72" s="26"/>
      <c r="X72" s="26"/>
      <c r="Y72" s="31"/>
      <c r="Z72" s="25"/>
      <c r="AA72" s="25"/>
      <c r="AB72" s="25"/>
      <c r="AC72" s="26"/>
      <c r="AD72" s="26"/>
      <c r="AE72" s="27"/>
      <c r="AF72" s="27"/>
      <c r="AG72" s="28">
        <f t="shared" si="13"/>
        <v>-230.00285714285715</v>
      </c>
      <c r="AH72" s="29">
        <f t="shared" si="14"/>
        <v>-2.8571428571524393E-3</v>
      </c>
    </row>
    <row r="73" spans="1:34" s="30" customFormat="1" ht="19.5" customHeight="1" x14ac:dyDescent="0.2">
      <c r="A73" s="18">
        <v>43123</v>
      </c>
      <c r="B73" s="19"/>
      <c r="C73" s="20" t="s">
        <v>63</v>
      </c>
      <c r="D73" s="20" t="s">
        <v>64</v>
      </c>
      <c r="E73" s="20" t="s">
        <v>65</v>
      </c>
      <c r="F73" s="21">
        <v>91488</v>
      </c>
      <c r="G73" s="22" t="s">
        <v>165</v>
      </c>
      <c r="H73" s="23"/>
      <c r="I73" s="23"/>
      <c r="J73" s="23">
        <v>1309.7</v>
      </c>
      <c r="K73" s="23"/>
      <c r="L73" s="24">
        <v>0.01</v>
      </c>
      <c r="M73" s="25">
        <f t="shared" si="10"/>
        <v>1309.7</v>
      </c>
      <c r="N73" s="25">
        <f t="shared" si="11"/>
        <v>0</v>
      </c>
      <c r="O73" s="25">
        <f t="shared" si="12"/>
        <v>-13.097000000000001</v>
      </c>
      <c r="P73" s="25">
        <v>1309.7</v>
      </c>
      <c r="Q73" s="25"/>
      <c r="R73" s="25"/>
      <c r="S73" s="25"/>
      <c r="T73" s="26"/>
      <c r="U73" s="26"/>
      <c r="V73" s="26"/>
      <c r="W73" s="26"/>
      <c r="X73" s="26"/>
      <c r="Y73" s="31"/>
      <c r="Z73" s="25"/>
      <c r="AA73" s="25"/>
      <c r="AB73" s="25"/>
      <c r="AC73" s="26"/>
      <c r="AD73" s="26"/>
      <c r="AE73" s="27"/>
      <c r="AF73" s="27"/>
      <c r="AG73" s="28">
        <f t="shared" si="13"/>
        <v>-1296.6030000000001</v>
      </c>
      <c r="AH73" s="29">
        <f t="shared" si="14"/>
        <v>-2.1316282072803006E-14</v>
      </c>
    </row>
    <row r="74" spans="1:34" s="30" customFormat="1" ht="19.5" customHeight="1" x14ac:dyDescent="0.2">
      <c r="A74" s="18">
        <v>43123</v>
      </c>
      <c r="B74" s="19"/>
      <c r="C74" s="20" t="s">
        <v>63</v>
      </c>
      <c r="D74" s="20" t="s">
        <v>64</v>
      </c>
      <c r="E74" s="20" t="s">
        <v>65</v>
      </c>
      <c r="F74" s="21">
        <v>91488</v>
      </c>
      <c r="G74" s="22" t="s">
        <v>166</v>
      </c>
      <c r="H74" s="23"/>
      <c r="I74" s="23"/>
      <c r="J74" s="23"/>
      <c r="K74" s="23">
        <f>2113.75+253.65</f>
        <v>2367.4</v>
      </c>
      <c r="L74" s="24">
        <v>0.01</v>
      </c>
      <c r="M74" s="25">
        <f t="shared" si="10"/>
        <v>2113.75</v>
      </c>
      <c r="N74" s="25">
        <f t="shared" si="11"/>
        <v>253.64999999999998</v>
      </c>
      <c r="O74" s="25">
        <f t="shared" si="12"/>
        <v>-21.137499999999999</v>
      </c>
      <c r="P74" s="25">
        <v>2113.75</v>
      </c>
      <c r="Q74" s="25"/>
      <c r="R74" s="25"/>
      <c r="S74" s="25"/>
      <c r="T74" s="26"/>
      <c r="U74" s="26"/>
      <c r="V74" s="26"/>
      <c r="W74" s="26"/>
      <c r="X74" s="26"/>
      <c r="Y74" s="31"/>
      <c r="Z74" s="25"/>
      <c r="AA74" s="25"/>
      <c r="AB74" s="25"/>
      <c r="AC74" s="26"/>
      <c r="AD74" s="26"/>
      <c r="AE74" s="27"/>
      <c r="AF74" s="27"/>
      <c r="AG74" s="28">
        <f t="shared" si="13"/>
        <v>-2346.2624999999998</v>
      </c>
      <c r="AH74" s="29">
        <f t="shared" si="14"/>
        <v>2.7355895326763857E-13</v>
      </c>
    </row>
    <row r="75" spans="1:34" s="30" customFormat="1" ht="19.5" customHeight="1" x14ac:dyDescent="0.2">
      <c r="A75" s="18">
        <v>43124</v>
      </c>
      <c r="B75" s="19"/>
      <c r="C75" s="20" t="s">
        <v>167</v>
      </c>
      <c r="D75" s="20" t="s">
        <v>168</v>
      </c>
      <c r="E75" s="20" t="s">
        <v>125</v>
      </c>
      <c r="F75" s="21">
        <v>55227</v>
      </c>
      <c r="G75" s="22" t="s">
        <v>169</v>
      </c>
      <c r="H75" s="23"/>
      <c r="I75" s="23"/>
      <c r="J75" s="23"/>
      <c r="K75" s="23">
        <v>824</v>
      </c>
      <c r="L75" s="24"/>
      <c r="M75" s="25">
        <f t="shared" si="10"/>
        <v>735.71428571428567</v>
      </c>
      <c r="N75" s="25">
        <f t="shared" si="11"/>
        <v>88.285714285714278</v>
      </c>
      <c r="O75" s="25">
        <f t="shared" si="12"/>
        <v>0</v>
      </c>
      <c r="P75" s="25"/>
      <c r="Q75" s="25"/>
      <c r="R75" s="25"/>
      <c r="S75" s="25">
        <v>735.71</v>
      </c>
      <c r="T75" s="26"/>
      <c r="U75" s="26"/>
      <c r="V75" s="26"/>
      <c r="W75" s="26"/>
      <c r="X75" s="26"/>
      <c r="Y75" s="31"/>
      <c r="Z75" s="25"/>
      <c r="AA75" s="25"/>
      <c r="AB75" s="25"/>
      <c r="AC75" s="26"/>
      <c r="AD75" s="26"/>
      <c r="AE75" s="27"/>
      <c r="AF75" s="27"/>
      <c r="AG75" s="28">
        <f t="shared" si="13"/>
        <v>-823.99571428571426</v>
      </c>
      <c r="AH75" s="29">
        <f t="shared" si="14"/>
        <v>4.2857142857428698E-3</v>
      </c>
    </row>
    <row r="76" spans="1:34" s="30" customFormat="1" ht="19.5" customHeight="1" x14ac:dyDescent="0.2">
      <c r="A76" s="18">
        <v>43124</v>
      </c>
      <c r="B76" s="19"/>
      <c r="C76" s="20" t="s">
        <v>68</v>
      </c>
      <c r="D76" s="20"/>
      <c r="E76" s="20"/>
      <c r="F76" s="21"/>
      <c r="G76" s="22" t="s">
        <v>170</v>
      </c>
      <c r="H76" s="23">
        <v>40</v>
      </c>
      <c r="I76" s="23"/>
      <c r="J76" s="23"/>
      <c r="K76" s="23"/>
      <c r="L76" s="24"/>
      <c r="M76" s="25">
        <f t="shared" si="10"/>
        <v>40</v>
      </c>
      <c r="N76" s="25">
        <f t="shared" si="11"/>
        <v>0</v>
      </c>
      <c r="O76" s="25">
        <f t="shared" si="12"/>
        <v>0</v>
      </c>
      <c r="P76" s="25"/>
      <c r="Q76" s="25"/>
      <c r="R76" s="25"/>
      <c r="S76" s="25"/>
      <c r="T76" s="26"/>
      <c r="U76" s="26"/>
      <c r="V76" s="26"/>
      <c r="W76" s="26"/>
      <c r="X76" s="26"/>
      <c r="Y76" s="31"/>
      <c r="Z76" s="25"/>
      <c r="AA76" s="25">
        <v>40</v>
      </c>
      <c r="AB76" s="25"/>
      <c r="AC76" s="26"/>
      <c r="AD76" s="26"/>
      <c r="AE76" s="27"/>
      <c r="AF76" s="27"/>
      <c r="AG76" s="28">
        <f t="shared" si="13"/>
        <v>-40</v>
      </c>
      <c r="AH76" s="29">
        <f t="shared" si="14"/>
        <v>0</v>
      </c>
    </row>
    <row r="77" spans="1:34" s="30" customFormat="1" ht="19.5" customHeight="1" x14ac:dyDescent="0.2">
      <c r="A77" s="18">
        <v>43125</v>
      </c>
      <c r="B77" s="19"/>
      <c r="C77" s="20" t="s">
        <v>51</v>
      </c>
      <c r="D77" s="20" t="s">
        <v>52</v>
      </c>
      <c r="E77" s="20" t="s">
        <v>39</v>
      </c>
      <c r="F77" s="21">
        <v>29579</v>
      </c>
      <c r="G77" s="22" t="s">
        <v>171</v>
      </c>
      <c r="H77" s="23"/>
      <c r="I77" s="23"/>
      <c r="J77" s="23"/>
      <c r="K77" s="23">
        <v>355.5</v>
      </c>
      <c r="L77" s="24"/>
      <c r="M77" s="25">
        <f t="shared" si="10"/>
        <v>317.41071428571428</v>
      </c>
      <c r="N77" s="25">
        <f t="shared" si="11"/>
        <v>38.089285714285715</v>
      </c>
      <c r="O77" s="25">
        <f t="shared" si="12"/>
        <v>0</v>
      </c>
      <c r="P77" s="25">
        <v>317.41000000000003</v>
      </c>
      <c r="Q77" s="25"/>
      <c r="R77" s="25"/>
      <c r="S77" s="25"/>
      <c r="T77" s="26"/>
      <c r="U77" s="26"/>
      <c r="V77" s="26"/>
      <c r="W77" s="26"/>
      <c r="X77" s="26"/>
      <c r="Y77" s="31"/>
      <c r="Z77" s="25"/>
      <c r="AA77" s="25"/>
      <c r="AB77" s="25"/>
      <c r="AC77" s="26"/>
      <c r="AD77" s="26"/>
      <c r="AE77" s="27"/>
      <c r="AF77" s="27"/>
      <c r="AG77" s="28">
        <f t="shared" si="13"/>
        <v>-355.49928571428575</v>
      </c>
      <c r="AH77" s="29">
        <f t="shared" si="14"/>
        <v>7.1428571425258269E-4</v>
      </c>
    </row>
    <row r="78" spans="1:34" s="30" customFormat="1" ht="19.5" customHeight="1" x14ac:dyDescent="0.2">
      <c r="A78" s="18">
        <v>43125</v>
      </c>
      <c r="B78" s="19"/>
      <c r="C78" s="20" t="s">
        <v>41</v>
      </c>
      <c r="D78" s="20" t="s">
        <v>88</v>
      </c>
      <c r="E78" s="20" t="s">
        <v>43</v>
      </c>
      <c r="F78" s="21">
        <v>2256</v>
      </c>
      <c r="G78" s="22" t="s">
        <v>172</v>
      </c>
      <c r="H78" s="23"/>
      <c r="I78" s="23"/>
      <c r="J78" s="23">
        <v>1020</v>
      </c>
      <c r="K78" s="23"/>
      <c r="L78" s="24"/>
      <c r="M78" s="25">
        <f t="shared" si="10"/>
        <v>1020</v>
      </c>
      <c r="N78" s="25">
        <f t="shared" si="11"/>
        <v>0</v>
      </c>
      <c r="O78" s="25">
        <f t="shared" si="12"/>
        <v>0</v>
      </c>
      <c r="P78" s="25">
        <v>1020</v>
      </c>
      <c r="Q78" s="25"/>
      <c r="R78" s="25"/>
      <c r="S78" s="25"/>
      <c r="T78" s="26"/>
      <c r="U78" s="26"/>
      <c r="V78" s="26"/>
      <c r="W78" s="26"/>
      <c r="X78" s="26"/>
      <c r="Y78" s="31"/>
      <c r="Z78" s="25"/>
      <c r="AA78" s="25"/>
      <c r="AB78" s="25"/>
      <c r="AC78" s="26"/>
      <c r="AD78" s="26"/>
      <c r="AE78" s="27"/>
      <c r="AF78" s="27"/>
      <c r="AG78" s="28">
        <f t="shared" si="13"/>
        <v>-1020</v>
      </c>
      <c r="AH78" s="29">
        <f t="shared" si="14"/>
        <v>0</v>
      </c>
    </row>
    <row r="79" spans="1:34" s="46" customFormat="1" ht="19.5" customHeight="1" x14ac:dyDescent="0.2">
      <c r="A79" s="33">
        <v>43125</v>
      </c>
      <c r="B79" s="34"/>
      <c r="C79" s="36" t="s">
        <v>45</v>
      </c>
      <c r="D79" s="36"/>
      <c r="E79" s="36"/>
      <c r="F79" s="37"/>
      <c r="G79" s="38" t="s">
        <v>173</v>
      </c>
      <c r="H79" s="39">
        <v>100</v>
      </c>
      <c r="I79" s="39"/>
      <c r="J79" s="39"/>
      <c r="K79" s="39"/>
      <c r="L79" s="40"/>
      <c r="M79" s="41">
        <f t="shared" si="10"/>
        <v>100</v>
      </c>
      <c r="N79" s="41">
        <f t="shared" si="11"/>
        <v>0</v>
      </c>
      <c r="O79" s="41">
        <f t="shared" si="12"/>
        <v>0</v>
      </c>
      <c r="P79" s="41"/>
      <c r="Q79" s="41"/>
      <c r="R79" s="41"/>
      <c r="S79" s="41"/>
      <c r="T79" s="42"/>
      <c r="U79" s="42"/>
      <c r="V79" s="42"/>
      <c r="W79" s="42"/>
      <c r="X79" s="42"/>
      <c r="Y79" s="41"/>
      <c r="Z79" s="41"/>
      <c r="AA79" s="41">
        <v>100</v>
      </c>
      <c r="AB79" s="41"/>
      <c r="AC79" s="42"/>
      <c r="AD79" s="42"/>
      <c r="AE79" s="43"/>
      <c r="AF79" s="43"/>
      <c r="AG79" s="44">
        <f t="shared" si="13"/>
        <v>-100</v>
      </c>
      <c r="AH79" s="45">
        <f t="shared" si="14"/>
        <v>0</v>
      </c>
    </row>
    <row r="80" spans="1:34" s="30" customFormat="1" ht="19.5" customHeight="1" x14ac:dyDescent="0.2">
      <c r="A80" s="18">
        <v>43123</v>
      </c>
      <c r="B80" s="19"/>
      <c r="C80" s="20" t="s">
        <v>174</v>
      </c>
      <c r="D80" s="20" t="s">
        <v>52</v>
      </c>
      <c r="E80" s="20" t="s">
        <v>175</v>
      </c>
      <c r="F80" s="21">
        <v>122336</v>
      </c>
      <c r="G80" s="21" t="s">
        <v>176</v>
      </c>
      <c r="H80" s="23"/>
      <c r="I80" s="23"/>
      <c r="J80" s="23"/>
      <c r="K80" s="23">
        <v>235</v>
      </c>
      <c r="L80" s="24"/>
      <c r="M80" s="25">
        <f t="shared" si="10"/>
        <v>209.82142857142856</v>
      </c>
      <c r="N80" s="25">
        <f t="shared" si="11"/>
        <v>25.178571428571427</v>
      </c>
      <c r="O80" s="25">
        <f t="shared" si="12"/>
        <v>0</v>
      </c>
      <c r="P80" s="25"/>
      <c r="Q80" s="25"/>
      <c r="R80" s="25"/>
      <c r="S80" s="25"/>
      <c r="T80" s="26"/>
      <c r="U80" s="26"/>
      <c r="V80" s="26"/>
      <c r="W80" s="26"/>
      <c r="X80" s="26"/>
      <c r="Y80" s="25">
        <v>209.82</v>
      </c>
      <c r="Z80" s="25"/>
      <c r="AA80" s="25"/>
      <c r="AB80" s="25"/>
      <c r="AC80" s="26"/>
      <c r="AD80" s="26"/>
      <c r="AE80" s="27"/>
      <c r="AF80" s="27"/>
      <c r="AG80" s="28">
        <f t="shared" si="13"/>
        <v>-234.99857142857141</v>
      </c>
      <c r="AH80" s="29">
        <f t="shared" si="14"/>
        <v>1.4285714285904305E-3</v>
      </c>
    </row>
    <row r="81" spans="1:34" s="30" customFormat="1" ht="19.5" customHeight="1" x14ac:dyDescent="0.2">
      <c r="A81" s="18">
        <v>43126</v>
      </c>
      <c r="B81" s="19"/>
      <c r="C81" s="20" t="s">
        <v>51</v>
      </c>
      <c r="D81" s="20" t="s">
        <v>52</v>
      </c>
      <c r="E81" s="20" t="s">
        <v>39</v>
      </c>
      <c r="F81" s="21">
        <v>29594</v>
      </c>
      <c r="G81" s="21" t="s">
        <v>177</v>
      </c>
      <c r="H81" s="23"/>
      <c r="I81" s="23"/>
      <c r="J81" s="23">
        <v>200.94</v>
      </c>
      <c r="K81" s="23"/>
      <c r="L81" s="24"/>
      <c r="M81" s="25">
        <f t="shared" si="10"/>
        <v>200.94</v>
      </c>
      <c r="N81" s="25">
        <f t="shared" si="11"/>
        <v>0</v>
      </c>
      <c r="O81" s="25">
        <f t="shared" si="12"/>
        <v>0</v>
      </c>
      <c r="P81" s="25">
        <v>200.94</v>
      </c>
      <c r="Q81" s="25"/>
      <c r="R81" s="25"/>
      <c r="S81" s="25"/>
      <c r="T81" s="26"/>
      <c r="U81" s="26"/>
      <c r="V81" s="26"/>
      <c r="W81" s="26"/>
      <c r="X81" s="26"/>
      <c r="Y81" s="25"/>
      <c r="Z81" s="25"/>
      <c r="AA81" s="25"/>
      <c r="AB81" s="25"/>
      <c r="AC81" s="26"/>
      <c r="AD81" s="26"/>
      <c r="AE81" s="27"/>
      <c r="AF81" s="27"/>
      <c r="AG81" s="28">
        <f t="shared" si="13"/>
        <v>-200.94</v>
      </c>
      <c r="AH81" s="29">
        <f t="shared" si="14"/>
        <v>0</v>
      </c>
    </row>
    <row r="82" spans="1:34" s="30" customFormat="1" ht="19.5" customHeight="1" x14ac:dyDescent="0.2">
      <c r="A82" s="18">
        <v>43127</v>
      </c>
      <c r="B82" s="19"/>
      <c r="C82" s="20" t="s">
        <v>59</v>
      </c>
      <c r="D82" s="20" t="s">
        <v>137</v>
      </c>
      <c r="E82" s="20" t="s">
        <v>120</v>
      </c>
      <c r="F82" s="21">
        <v>624847</v>
      </c>
      <c r="G82" s="22" t="s">
        <v>178</v>
      </c>
      <c r="H82" s="23"/>
      <c r="I82" s="23"/>
      <c r="J82" s="23"/>
      <c r="K82" s="23">
        <v>3.5</v>
      </c>
      <c r="L82" s="24"/>
      <c r="M82" s="25">
        <f t="shared" si="10"/>
        <v>3.1249999999999996</v>
      </c>
      <c r="N82" s="25">
        <f t="shared" si="11"/>
        <v>0.37499999999999994</v>
      </c>
      <c r="O82" s="25">
        <f t="shared" si="12"/>
        <v>0</v>
      </c>
      <c r="P82" s="25"/>
      <c r="Q82" s="25"/>
      <c r="R82" s="25"/>
      <c r="S82" s="25"/>
      <c r="T82" s="26"/>
      <c r="U82" s="26"/>
      <c r="V82" s="26"/>
      <c r="W82" s="26"/>
      <c r="X82" s="26"/>
      <c r="Y82" s="31"/>
      <c r="Z82" s="25">
        <v>3.13</v>
      </c>
      <c r="AA82" s="25"/>
      <c r="AB82" s="25"/>
      <c r="AC82" s="26"/>
      <c r="AD82" s="26"/>
      <c r="AE82" s="27"/>
      <c r="AF82" s="27"/>
      <c r="AG82" s="28">
        <f t="shared" si="13"/>
        <v>-3.5049999999999999</v>
      </c>
      <c r="AH82" s="29">
        <f t="shared" si="14"/>
        <v>-4.9999999999998934E-3</v>
      </c>
    </row>
    <row r="83" spans="1:34" s="30" customFormat="1" ht="19.5" customHeight="1" x14ac:dyDescent="0.2">
      <c r="A83" s="18">
        <v>43127</v>
      </c>
      <c r="B83" s="19"/>
      <c r="C83" s="20" t="s">
        <v>51</v>
      </c>
      <c r="D83" s="20" t="s">
        <v>52</v>
      </c>
      <c r="E83" s="20" t="s">
        <v>39</v>
      </c>
      <c r="F83" s="21">
        <v>29607</v>
      </c>
      <c r="G83" s="22" t="s">
        <v>179</v>
      </c>
      <c r="H83" s="23"/>
      <c r="I83" s="23"/>
      <c r="J83" s="23"/>
      <c r="K83" s="23">
        <v>228.25</v>
      </c>
      <c r="L83" s="24"/>
      <c r="M83" s="25">
        <f t="shared" si="10"/>
        <v>203.79464285714283</v>
      </c>
      <c r="N83" s="25">
        <f t="shared" si="11"/>
        <v>24.455357142857139</v>
      </c>
      <c r="O83" s="25">
        <f t="shared" si="12"/>
        <v>0</v>
      </c>
      <c r="P83" s="25">
        <v>203.79</v>
      </c>
      <c r="Q83" s="25"/>
      <c r="R83" s="25"/>
      <c r="S83" s="25"/>
      <c r="T83" s="26"/>
      <c r="U83" s="26"/>
      <c r="V83" s="26"/>
      <c r="W83" s="26"/>
      <c r="X83" s="26"/>
      <c r="Y83" s="31"/>
      <c r="Z83" s="25"/>
      <c r="AA83" s="25"/>
      <c r="AB83" s="25"/>
      <c r="AC83" s="26"/>
      <c r="AD83" s="26"/>
      <c r="AE83" s="27"/>
      <c r="AF83" s="27"/>
      <c r="AG83" s="28">
        <f t="shared" si="13"/>
        <v>-228.24535714285713</v>
      </c>
      <c r="AH83" s="29">
        <f t="shared" si="14"/>
        <v>4.6428571428691612E-3</v>
      </c>
    </row>
    <row r="84" spans="1:34" s="30" customFormat="1" ht="19.5" customHeight="1" x14ac:dyDescent="0.2">
      <c r="A84" s="18">
        <v>43127</v>
      </c>
      <c r="B84" s="19"/>
      <c r="C84" s="20" t="s">
        <v>180</v>
      </c>
      <c r="D84" s="20" t="s">
        <v>71</v>
      </c>
      <c r="E84" s="20" t="s">
        <v>72</v>
      </c>
      <c r="F84" s="21">
        <v>5606</v>
      </c>
      <c r="G84" s="22" t="s">
        <v>181</v>
      </c>
      <c r="H84" s="23"/>
      <c r="I84" s="23"/>
      <c r="J84" s="23"/>
      <c r="K84" s="23">
        <v>2283.25</v>
      </c>
      <c r="L84" s="24">
        <v>0.01</v>
      </c>
      <c r="M84" s="25">
        <f t="shared" si="10"/>
        <v>2038.6160714285713</v>
      </c>
      <c r="N84" s="25">
        <f t="shared" si="11"/>
        <v>244.63392857142856</v>
      </c>
      <c r="O84" s="25">
        <f t="shared" si="12"/>
        <v>-20.386160714285715</v>
      </c>
      <c r="P84" s="25">
        <v>2038.62</v>
      </c>
      <c r="Q84" s="25"/>
      <c r="R84" s="25"/>
      <c r="S84" s="25"/>
      <c r="T84" s="26"/>
      <c r="U84" s="26"/>
      <c r="V84" s="26"/>
      <c r="W84" s="26"/>
      <c r="X84" s="26"/>
      <c r="Y84" s="31"/>
      <c r="Z84" s="25"/>
      <c r="AA84" s="25"/>
      <c r="AB84" s="25"/>
      <c r="AC84" s="26"/>
      <c r="AD84" s="26"/>
      <c r="AE84" s="27"/>
      <c r="AF84" s="27"/>
      <c r="AG84" s="28">
        <f t="shared" si="13"/>
        <v>-2262.8677678571426</v>
      </c>
      <c r="AH84" s="29">
        <f t="shared" si="14"/>
        <v>-3.9285714282684125E-3</v>
      </c>
    </row>
    <row r="85" spans="1:34" s="30" customFormat="1" ht="19.5" customHeight="1" x14ac:dyDescent="0.2">
      <c r="A85" s="18">
        <v>43127</v>
      </c>
      <c r="B85" s="19"/>
      <c r="C85" s="20" t="s">
        <v>68</v>
      </c>
      <c r="D85" s="20"/>
      <c r="E85" s="20"/>
      <c r="F85" s="21"/>
      <c r="G85" s="22" t="s">
        <v>182</v>
      </c>
      <c r="H85" s="23">
        <v>120</v>
      </c>
      <c r="I85" s="23"/>
      <c r="J85" s="23"/>
      <c r="K85" s="23"/>
      <c r="L85" s="24"/>
      <c r="M85" s="25">
        <f t="shared" si="10"/>
        <v>120</v>
      </c>
      <c r="N85" s="25">
        <f t="shared" si="11"/>
        <v>0</v>
      </c>
      <c r="O85" s="25">
        <f t="shared" si="12"/>
        <v>0</v>
      </c>
      <c r="P85" s="25"/>
      <c r="Q85" s="25"/>
      <c r="R85" s="25"/>
      <c r="S85" s="25"/>
      <c r="T85" s="26"/>
      <c r="U85" s="26"/>
      <c r="V85" s="26"/>
      <c r="W85" s="26"/>
      <c r="X85" s="26"/>
      <c r="Y85" s="31"/>
      <c r="Z85" s="25"/>
      <c r="AA85" s="25">
        <v>120</v>
      </c>
      <c r="AB85" s="25"/>
      <c r="AC85" s="26"/>
      <c r="AD85" s="26"/>
      <c r="AE85" s="27"/>
      <c r="AF85" s="27"/>
      <c r="AG85" s="28">
        <f t="shared" si="13"/>
        <v>-120</v>
      </c>
      <c r="AH85" s="29">
        <f t="shared" si="14"/>
        <v>0</v>
      </c>
    </row>
    <row r="86" spans="1:34" s="30" customFormat="1" ht="19.5" customHeight="1" x14ac:dyDescent="0.2">
      <c r="A86" s="18">
        <v>43130</v>
      </c>
      <c r="B86" s="19"/>
      <c r="C86" s="20" t="s">
        <v>183</v>
      </c>
      <c r="D86" s="20" t="s">
        <v>184</v>
      </c>
      <c r="E86" s="20" t="s">
        <v>65</v>
      </c>
      <c r="F86" s="21">
        <v>156708</v>
      </c>
      <c r="G86" s="22" t="s">
        <v>185</v>
      </c>
      <c r="H86" s="23"/>
      <c r="I86" s="23"/>
      <c r="J86" s="23"/>
      <c r="K86" s="23">
        <v>240</v>
      </c>
      <c r="L86" s="24"/>
      <c r="M86" s="25">
        <f t="shared" si="10"/>
        <v>214.28571428571428</v>
      </c>
      <c r="N86" s="25">
        <f t="shared" si="11"/>
        <v>25.714285714285712</v>
      </c>
      <c r="O86" s="25">
        <f t="shared" si="12"/>
        <v>0</v>
      </c>
      <c r="P86" s="25"/>
      <c r="Q86" s="25"/>
      <c r="R86" s="25"/>
      <c r="S86" s="25"/>
      <c r="T86" s="26"/>
      <c r="U86" s="26"/>
      <c r="V86" s="26"/>
      <c r="W86" s="26"/>
      <c r="X86" s="26"/>
      <c r="Y86" s="31"/>
      <c r="Z86" s="25">
        <v>214.29</v>
      </c>
      <c r="AA86" s="25"/>
      <c r="AB86" s="25"/>
      <c r="AC86" s="26"/>
      <c r="AD86" s="26"/>
      <c r="AE86" s="27"/>
      <c r="AF86" s="27"/>
      <c r="AG86" s="28">
        <f t="shared" si="13"/>
        <v>-240.00428571428571</v>
      </c>
      <c r="AH86" s="29">
        <f t="shared" si="14"/>
        <v>-4.2857142857144481E-3</v>
      </c>
    </row>
    <row r="87" spans="1:34" s="30" customFormat="1" ht="19.5" customHeight="1" x14ac:dyDescent="0.2">
      <c r="A87" s="18">
        <v>43130</v>
      </c>
      <c r="B87" s="19"/>
      <c r="C87" s="20" t="s">
        <v>63</v>
      </c>
      <c r="D87" s="20" t="s">
        <v>64</v>
      </c>
      <c r="E87" s="20" t="s">
        <v>65</v>
      </c>
      <c r="F87" s="21">
        <v>69715</v>
      </c>
      <c r="G87" s="20" t="s">
        <v>186</v>
      </c>
      <c r="H87" s="23"/>
      <c r="I87" s="23"/>
      <c r="J87" s="23">
        <v>190.55</v>
      </c>
      <c r="K87" s="23"/>
      <c r="L87" s="24"/>
      <c r="M87" s="25">
        <f t="shared" si="10"/>
        <v>190.55</v>
      </c>
      <c r="N87" s="25">
        <f t="shared" si="11"/>
        <v>0</v>
      </c>
      <c r="O87" s="25">
        <f t="shared" si="12"/>
        <v>0</v>
      </c>
      <c r="P87" s="25">
        <v>190.55</v>
      </c>
      <c r="Q87" s="25"/>
      <c r="R87" s="25"/>
      <c r="S87" s="25"/>
      <c r="T87" s="26"/>
      <c r="U87" s="26"/>
      <c r="V87" s="26"/>
      <c r="W87" s="26"/>
      <c r="X87" s="26"/>
      <c r="Y87" s="31"/>
      <c r="Z87" s="25"/>
      <c r="AA87" s="25"/>
      <c r="AB87" s="25"/>
      <c r="AC87" s="26"/>
      <c r="AD87" s="26"/>
      <c r="AE87" s="27"/>
      <c r="AF87" s="27"/>
      <c r="AG87" s="28">
        <f t="shared" si="13"/>
        <v>-190.55</v>
      </c>
      <c r="AH87" s="29">
        <f t="shared" si="14"/>
        <v>0</v>
      </c>
    </row>
    <row r="88" spans="1:34" s="30" customFormat="1" ht="19.5" customHeight="1" x14ac:dyDescent="0.2">
      <c r="A88" s="18">
        <v>43130</v>
      </c>
      <c r="B88" s="19"/>
      <c r="C88" s="20" t="s">
        <v>63</v>
      </c>
      <c r="D88" s="20" t="s">
        <v>64</v>
      </c>
      <c r="E88" s="20" t="s">
        <v>65</v>
      </c>
      <c r="F88" s="21">
        <v>69715</v>
      </c>
      <c r="G88" s="22" t="s">
        <v>115</v>
      </c>
      <c r="H88" s="23"/>
      <c r="I88" s="23"/>
      <c r="J88" s="23"/>
      <c r="K88" s="23">
        <v>206.25</v>
      </c>
      <c r="L88" s="24"/>
      <c r="M88" s="25">
        <f t="shared" si="10"/>
        <v>184.15178571428569</v>
      </c>
      <c r="N88" s="25">
        <f t="shared" si="11"/>
        <v>22.098214285714281</v>
      </c>
      <c r="O88" s="25">
        <f t="shared" si="12"/>
        <v>0</v>
      </c>
      <c r="P88" s="25"/>
      <c r="Q88" s="25"/>
      <c r="R88" s="25">
        <v>184.15</v>
      </c>
      <c r="S88" s="25"/>
      <c r="T88" s="26"/>
      <c r="U88" s="26"/>
      <c r="V88" s="26"/>
      <c r="W88" s="26"/>
      <c r="X88" s="26"/>
      <c r="Y88" s="31"/>
      <c r="Z88" s="25"/>
      <c r="AA88" s="25"/>
      <c r="AB88" s="25"/>
      <c r="AC88" s="26"/>
      <c r="AD88" s="26"/>
      <c r="AE88" s="27"/>
      <c r="AF88" s="27"/>
      <c r="AG88" s="28">
        <f t="shared" si="13"/>
        <v>-206.24821428571428</v>
      </c>
      <c r="AH88" s="29">
        <f t="shared" si="14"/>
        <v>1.7857142857167219E-3</v>
      </c>
    </row>
    <row r="89" spans="1:34" s="30" customFormat="1" ht="19.5" customHeight="1" x14ac:dyDescent="0.2">
      <c r="A89" s="18">
        <v>43130</v>
      </c>
      <c r="B89" s="19"/>
      <c r="C89" s="20" t="s">
        <v>63</v>
      </c>
      <c r="D89" s="20" t="s">
        <v>64</v>
      </c>
      <c r="E89" s="20" t="s">
        <v>65</v>
      </c>
      <c r="F89" s="21">
        <v>69715</v>
      </c>
      <c r="G89" s="22" t="s">
        <v>187</v>
      </c>
      <c r="H89" s="23"/>
      <c r="I89" s="23"/>
      <c r="J89" s="23"/>
      <c r="K89" s="23">
        <v>35</v>
      </c>
      <c r="L89" s="24"/>
      <c r="M89" s="25">
        <f t="shared" si="10"/>
        <v>31.249999999999996</v>
      </c>
      <c r="N89" s="25">
        <f t="shared" si="11"/>
        <v>3.7499999999999996</v>
      </c>
      <c r="O89" s="25">
        <f t="shared" si="12"/>
        <v>0</v>
      </c>
      <c r="P89" s="25">
        <v>31.25</v>
      </c>
      <c r="Q89" s="25"/>
      <c r="R89" s="25"/>
      <c r="S89" s="25"/>
      <c r="T89" s="26"/>
      <c r="U89" s="26"/>
      <c r="V89" s="26"/>
      <c r="W89" s="26"/>
      <c r="X89" s="26"/>
      <c r="Y89" s="31"/>
      <c r="Z89" s="25"/>
      <c r="AA89" s="25"/>
      <c r="AB89" s="25"/>
      <c r="AC89" s="26"/>
      <c r="AD89" s="26"/>
      <c r="AE89" s="27"/>
      <c r="AF89" s="27"/>
      <c r="AG89" s="28">
        <f t="shared" si="13"/>
        <v>-35</v>
      </c>
      <c r="AH89" s="29">
        <f t="shared" si="14"/>
        <v>0</v>
      </c>
    </row>
    <row r="90" spans="1:34" s="30" customFormat="1" ht="19.5" customHeight="1" x14ac:dyDescent="0.2">
      <c r="A90" s="18">
        <v>43130</v>
      </c>
      <c r="B90" s="19"/>
      <c r="C90" s="20" t="s">
        <v>188</v>
      </c>
      <c r="D90" s="20"/>
      <c r="E90" s="20"/>
      <c r="F90" s="21"/>
      <c r="G90" s="22" t="s">
        <v>189</v>
      </c>
      <c r="H90" s="23">
        <v>500</v>
      </c>
      <c r="I90" s="23"/>
      <c r="J90" s="23"/>
      <c r="K90" s="23"/>
      <c r="L90" s="24"/>
      <c r="M90" s="25">
        <f t="shared" si="10"/>
        <v>500</v>
      </c>
      <c r="N90" s="25">
        <f t="shared" si="11"/>
        <v>0</v>
      </c>
      <c r="O90" s="25">
        <f t="shared" si="12"/>
        <v>0</v>
      </c>
      <c r="P90" s="25"/>
      <c r="Q90" s="25"/>
      <c r="R90" s="25"/>
      <c r="S90" s="25"/>
      <c r="T90" s="26"/>
      <c r="U90" s="26"/>
      <c r="V90" s="26"/>
      <c r="W90" s="26"/>
      <c r="X90" s="26"/>
      <c r="Y90" s="31"/>
      <c r="Z90" s="25"/>
      <c r="AA90" s="25"/>
      <c r="AB90" s="25"/>
      <c r="AC90" s="26"/>
      <c r="AD90" s="26">
        <v>500</v>
      </c>
      <c r="AE90" s="27"/>
      <c r="AF90" s="27"/>
      <c r="AG90" s="28">
        <f t="shared" si="13"/>
        <v>-500</v>
      </c>
      <c r="AH90" s="29">
        <f t="shared" si="14"/>
        <v>0</v>
      </c>
    </row>
    <row r="91" spans="1:34" s="30" customFormat="1" ht="19.5" customHeight="1" x14ac:dyDescent="0.2">
      <c r="A91" s="18">
        <v>43130</v>
      </c>
      <c r="B91" s="19"/>
      <c r="C91" s="20" t="s">
        <v>96</v>
      </c>
      <c r="D91" s="20"/>
      <c r="E91" s="20"/>
      <c r="F91" s="21"/>
      <c r="G91" s="22" t="s">
        <v>190</v>
      </c>
      <c r="H91" s="23">
        <v>114</v>
      </c>
      <c r="I91" s="23"/>
      <c r="J91" s="23"/>
      <c r="K91" s="23"/>
      <c r="L91" s="24"/>
      <c r="M91" s="25">
        <f t="shared" si="10"/>
        <v>114</v>
      </c>
      <c r="N91" s="25">
        <f t="shared" si="11"/>
        <v>0</v>
      </c>
      <c r="O91" s="25">
        <f t="shared" si="12"/>
        <v>0</v>
      </c>
      <c r="P91" s="25"/>
      <c r="Q91" s="25"/>
      <c r="R91" s="25"/>
      <c r="S91" s="25"/>
      <c r="T91" s="26"/>
      <c r="U91" s="26"/>
      <c r="V91" s="26"/>
      <c r="W91" s="26"/>
      <c r="X91" s="26"/>
      <c r="Y91" s="31"/>
      <c r="Z91" s="25">
        <v>114</v>
      </c>
      <c r="AA91" s="25"/>
      <c r="AB91" s="25"/>
      <c r="AC91" s="26"/>
      <c r="AD91" s="26"/>
      <c r="AE91" s="27"/>
      <c r="AF91" s="27"/>
      <c r="AG91" s="28">
        <f t="shared" si="13"/>
        <v>-114</v>
      </c>
      <c r="AH91" s="29">
        <f t="shared" si="14"/>
        <v>0</v>
      </c>
    </row>
    <row r="92" spans="1:34" s="30" customFormat="1" ht="19.5" customHeight="1" x14ac:dyDescent="0.2">
      <c r="A92" s="18">
        <v>43131</v>
      </c>
      <c r="B92" s="19"/>
      <c r="C92" s="20" t="s">
        <v>63</v>
      </c>
      <c r="D92" s="20" t="s">
        <v>64</v>
      </c>
      <c r="E92" s="20" t="s">
        <v>65</v>
      </c>
      <c r="F92" s="21">
        <v>68691</v>
      </c>
      <c r="G92" s="22" t="s">
        <v>191</v>
      </c>
      <c r="H92" s="23"/>
      <c r="I92" s="23"/>
      <c r="J92" s="23">
        <v>968.3</v>
      </c>
      <c r="K92" s="23"/>
      <c r="L92" s="24"/>
      <c r="M92" s="25">
        <f t="shared" si="10"/>
        <v>968.3</v>
      </c>
      <c r="N92" s="25">
        <f t="shared" si="11"/>
        <v>0</v>
      </c>
      <c r="O92" s="25">
        <f t="shared" si="12"/>
        <v>0</v>
      </c>
      <c r="P92" s="25">
        <v>968.3</v>
      </c>
      <c r="Q92" s="25"/>
      <c r="R92" s="25"/>
      <c r="S92" s="25"/>
      <c r="T92" s="26"/>
      <c r="U92" s="26"/>
      <c r="V92" s="26"/>
      <c r="W92" s="26"/>
      <c r="X92" s="26"/>
      <c r="Y92" s="31"/>
      <c r="Z92" s="25"/>
      <c r="AA92" s="25"/>
      <c r="AB92" s="25"/>
      <c r="AC92" s="26"/>
      <c r="AD92" s="26"/>
      <c r="AE92" s="27"/>
      <c r="AF92" s="27"/>
      <c r="AG92" s="28">
        <f t="shared" si="13"/>
        <v>-968.3</v>
      </c>
      <c r="AH92" s="29">
        <f t="shared" si="14"/>
        <v>0</v>
      </c>
    </row>
    <row r="93" spans="1:34" s="30" customFormat="1" ht="19.5" customHeight="1" x14ac:dyDescent="0.2">
      <c r="A93" s="18">
        <v>43131</v>
      </c>
      <c r="B93" s="19"/>
      <c r="C93" s="20" t="s">
        <v>63</v>
      </c>
      <c r="D93" s="20" t="s">
        <v>64</v>
      </c>
      <c r="E93" s="20" t="s">
        <v>65</v>
      </c>
      <c r="F93" s="21">
        <v>68691</v>
      </c>
      <c r="G93" s="22" t="s">
        <v>192</v>
      </c>
      <c r="H93" s="23"/>
      <c r="I93" s="23"/>
      <c r="J93" s="23"/>
      <c r="K93" s="23">
        <f>747.9+89.75</f>
        <v>837.65</v>
      </c>
      <c r="L93" s="24"/>
      <c r="M93" s="25">
        <f t="shared" si="10"/>
        <v>747.90178571428567</v>
      </c>
      <c r="N93" s="25">
        <f t="shared" si="11"/>
        <v>89.748214285714283</v>
      </c>
      <c r="O93" s="25">
        <f t="shared" si="12"/>
        <v>0</v>
      </c>
      <c r="P93" s="25">
        <v>747.9</v>
      </c>
      <c r="Q93" s="25"/>
      <c r="R93" s="25"/>
      <c r="S93" s="25"/>
      <c r="T93" s="26"/>
      <c r="U93" s="26"/>
      <c r="V93" s="26"/>
      <c r="W93" s="26"/>
      <c r="X93" s="26"/>
      <c r="Y93" s="31"/>
      <c r="Z93" s="25"/>
      <c r="AA93" s="25"/>
      <c r="AB93" s="25"/>
      <c r="AC93" s="26"/>
      <c r="AD93" s="26"/>
      <c r="AE93" s="27"/>
      <c r="AF93" s="27"/>
      <c r="AG93" s="28">
        <f t="shared" si="13"/>
        <v>-837.64821428571429</v>
      </c>
      <c r="AH93" s="29">
        <f t="shared" si="14"/>
        <v>1.7857142856883002E-3</v>
      </c>
    </row>
    <row r="94" spans="1:34" s="30" customFormat="1" ht="19.5" customHeight="1" x14ac:dyDescent="0.2">
      <c r="A94" s="18"/>
      <c r="B94" s="19"/>
      <c r="C94" s="47"/>
      <c r="D94" s="47"/>
      <c r="E94" s="47"/>
      <c r="F94" s="21"/>
      <c r="G94" s="22"/>
      <c r="H94" s="23"/>
      <c r="I94" s="23"/>
      <c r="J94" s="23"/>
      <c r="K94" s="23"/>
      <c r="L94" s="24"/>
      <c r="M94" s="25">
        <f t="shared" si="10"/>
        <v>0</v>
      </c>
      <c r="N94" s="25">
        <f t="shared" si="11"/>
        <v>0</v>
      </c>
      <c r="O94" s="25">
        <f t="shared" si="12"/>
        <v>0</v>
      </c>
      <c r="P94" s="25"/>
      <c r="Q94" s="25"/>
      <c r="R94" s="25"/>
      <c r="S94" s="25"/>
      <c r="T94" s="26"/>
      <c r="U94" s="26"/>
      <c r="V94" s="26"/>
      <c r="W94" s="26"/>
      <c r="X94" s="26"/>
      <c r="Y94" s="31"/>
      <c r="Z94" s="25"/>
      <c r="AA94" s="25"/>
      <c r="AB94" s="25"/>
      <c r="AC94" s="26"/>
      <c r="AD94" s="26"/>
      <c r="AE94" s="27"/>
      <c r="AF94" s="27"/>
      <c r="AG94" s="28">
        <f t="shared" si="13"/>
        <v>0</v>
      </c>
      <c r="AH94" s="29">
        <f t="shared" si="14"/>
        <v>0</v>
      </c>
    </row>
    <row r="95" spans="1:34" s="55" customFormat="1" ht="12" customHeight="1" x14ac:dyDescent="0.2">
      <c r="A95" s="48"/>
      <c r="B95" s="49"/>
      <c r="C95" s="50"/>
      <c r="D95" s="51"/>
      <c r="E95" s="51"/>
      <c r="F95" s="52"/>
      <c r="G95" s="50"/>
      <c r="H95" s="53">
        <f t="shared" ref="H95:AH95" si="15">SUM(H5:H94)</f>
        <v>2877</v>
      </c>
      <c r="I95" s="53">
        <f t="shared" si="15"/>
        <v>0</v>
      </c>
      <c r="J95" s="53">
        <f t="shared" si="15"/>
        <v>26013.909999999996</v>
      </c>
      <c r="K95" s="53">
        <f t="shared" si="15"/>
        <v>31123.450000000004</v>
      </c>
      <c r="L95" s="53">
        <f t="shared" si="15"/>
        <v>0.18000000000000002</v>
      </c>
      <c r="M95" s="53">
        <f t="shared" si="15"/>
        <v>56679.704642857141</v>
      </c>
      <c r="N95" s="53">
        <f t="shared" si="15"/>
        <v>3334.6553571428567</v>
      </c>
      <c r="O95" s="53">
        <f t="shared" si="15"/>
        <v>-224.52274285714287</v>
      </c>
      <c r="P95" s="53">
        <f t="shared" si="15"/>
        <v>44796.080000000016</v>
      </c>
      <c r="Q95" s="53">
        <f t="shared" si="15"/>
        <v>684.29</v>
      </c>
      <c r="R95" s="53">
        <f t="shared" si="15"/>
        <v>458.15999999999997</v>
      </c>
      <c r="S95" s="53">
        <f t="shared" si="15"/>
        <v>2297.5700000000002</v>
      </c>
      <c r="T95" s="53">
        <f t="shared" si="15"/>
        <v>632.15000000000009</v>
      </c>
      <c r="U95" s="53">
        <f t="shared" si="15"/>
        <v>0</v>
      </c>
      <c r="V95" s="53">
        <f t="shared" si="15"/>
        <v>34</v>
      </c>
      <c r="W95" s="53">
        <f t="shared" si="15"/>
        <v>0</v>
      </c>
      <c r="X95" s="53">
        <f t="shared" si="15"/>
        <v>0</v>
      </c>
      <c r="Y95" s="53">
        <f t="shared" si="15"/>
        <v>3183.0299999999997</v>
      </c>
      <c r="Z95" s="53">
        <f t="shared" si="15"/>
        <v>331.41999999999996</v>
      </c>
      <c r="AA95" s="53">
        <f t="shared" si="15"/>
        <v>963</v>
      </c>
      <c r="AB95" s="53">
        <f t="shared" si="15"/>
        <v>0</v>
      </c>
      <c r="AC95" s="53">
        <f t="shared" si="15"/>
        <v>0</v>
      </c>
      <c r="AD95" s="53">
        <f t="shared" si="15"/>
        <v>500</v>
      </c>
      <c r="AE95" s="53">
        <f t="shared" si="15"/>
        <v>2300</v>
      </c>
      <c r="AF95" s="54">
        <f t="shared" si="15"/>
        <v>500</v>
      </c>
      <c r="AG95" s="53">
        <f t="shared" si="15"/>
        <v>-59789.832614285704</v>
      </c>
      <c r="AH95" s="53">
        <f t="shared" si="15"/>
        <v>4.6428571443104527E-3</v>
      </c>
    </row>
    <row r="96" spans="1:34" ht="12" customHeight="1" x14ac:dyDescent="0.25"/>
    <row r="97" spans="17:17" ht="12" customHeight="1" x14ac:dyDescent="0.25"/>
    <row r="98" spans="17:17" ht="12" customHeight="1" x14ac:dyDescent="0.25"/>
    <row r="99" spans="17:17" ht="12" customHeight="1" x14ac:dyDescent="0.25"/>
    <row r="100" spans="17:17" ht="12" customHeight="1" x14ac:dyDescent="0.25"/>
    <row r="101" spans="17:17" ht="12" customHeight="1" x14ac:dyDescent="0.25"/>
    <row r="102" spans="17:17" ht="12" customHeight="1" x14ac:dyDescent="0.25">
      <c r="Q102" s="5">
        <v>0</v>
      </c>
    </row>
    <row r="103" spans="17:17" ht="12" customHeight="1" x14ac:dyDescent="0.25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87"/>
  <sheetViews>
    <sheetView topLeftCell="A70" zoomScale="90" zoomScaleNormal="90" workbookViewId="0">
      <selection activeCell="G79" sqref="A79:XFD83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28.44140625" style="3" customWidth="1"/>
    <col min="4" max="4" width="17.6640625" style="4" customWidth="1"/>
    <col min="5" max="5" width="28.6640625" style="4" customWidth="1"/>
    <col min="6" max="6" width="9.88671875" style="2" customWidth="1"/>
    <col min="7" max="7" width="39.77734375" style="3" customWidth="1"/>
    <col min="8" max="8" width="10.10937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9.6640625" style="5" customWidth="1"/>
    <col min="19" max="19" width="10.21875" style="5" customWidth="1"/>
    <col min="20" max="21" width="11.5546875" style="5"/>
    <col min="22" max="24" width="8.6640625" style="5" customWidth="1"/>
    <col min="25" max="25" width="11.6640625" style="5" customWidth="1"/>
    <col min="26" max="26" width="10.44140625" style="5" customWidth="1"/>
    <col min="27" max="27" width="8.44140625" style="5" customWidth="1"/>
    <col min="28" max="28" width="12.109375" style="5" customWidth="1"/>
    <col min="29" max="30" width="10.109375" style="5" customWidth="1"/>
    <col min="31" max="31" width="12.77734375" style="5" customWidth="1"/>
    <col min="32" max="32" width="0.21875" style="5" customWidth="1"/>
    <col min="33" max="33" width="13.44140625" style="5" customWidth="1"/>
    <col min="34" max="34" width="9.554687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548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72" customFormat="1" ht="24" customHeight="1" x14ac:dyDescent="0.2">
      <c r="A5" s="65">
        <v>43253</v>
      </c>
      <c r="B5" s="66"/>
      <c r="C5" s="58" t="s">
        <v>41</v>
      </c>
      <c r="D5" s="58" t="s">
        <v>88</v>
      </c>
      <c r="E5" s="58" t="s">
        <v>43</v>
      </c>
      <c r="F5" s="21">
        <v>2448</v>
      </c>
      <c r="G5" s="21" t="s">
        <v>549</v>
      </c>
      <c r="H5" s="67"/>
      <c r="I5" s="67"/>
      <c r="J5" s="67">
        <v>2460</v>
      </c>
      <c r="K5" s="67"/>
      <c r="L5" s="68"/>
      <c r="M5" s="69">
        <f t="shared" ref="M5:M36" si="0">SUM(H5:J5,K5/1.12)</f>
        <v>2460</v>
      </c>
      <c r="N5" s="69">
        <f t="shared" ref="N5:N36" si="1">K5/1.12*0.12</f>
        <v>0</v>
      </c>
      <c r="O5" s="69">
        <f t="shared" ref="O5:O36" si="2">-SUM(I5:J5,K5/1.12)*L5</f>
        <v>0</v>
      </c>
      <c r="P5" s="69">
        <v>2460</v>
      </c>
      <c r="Q5" s="69"/>
      <c r="R5" s="69"/>
      <c r="S5" s="69"/>
      <c r="T5" s="70"/>
      <c r="U5" s="70"/>
      <c r="V5" s="70"/>
      <c r="W5" s="70"/>
      <c r="X5" s="70"/>
      <c r="Y5" s="69"/>
      <c r="Z5" s="69"/>
      <c r="AA5" s="69"/>
      <c r="AB5" s="69"/>
      <c r="AC5" s="70"/>
      <c r="AD5" s="70"/>
      <c r="AE5" s="71"/>
      <c r="AF5" s="71"/>
      <c r="AG5" s="69">
        <f t="shared" ref="AG5:AG36" si="3">-SUM(N5:AF5)</f>
        <v>-2460</v>
      </c>
      <c r="AH5" s="29">
        <f t="shared" ref="AH5:AH36" si="4">SUM(H5:K5)+AG5+O5</f>
        <v>0</v>
      </c>
    </row>
    <row r="6" spans="1:34" s="30" customFormat="1" ht="19.5" customHeight="1" x14ac:dyDescent="0.2">
      <c r="A6" s="18">
        <v>43253</v>
      </c>
      <c r="B6" s="19"/>
      <c r="C6" s="20" t="s">
        <v>45</v>
      </c>
      <c r="D6" s="20"/>
      <c r="E6" s="20"/>
      <c r="F6" s="21"/>
      <c r="G6" s="22" t="s">
        <v>196</v>
      </c>
      <c r="H6" s="23">
        <v>100</v>
      </c>
      <c r="I6" s="23"/>
      <c r="J6" s="23"/>
      <c r="K6" s="23"/>
      <c r="L6" s="24"/>
      <c r="M6" s="25">
        <f t="shared" si="0"/>
        <v>100</v>
      </c>
      <c r="N6" s="25">
        <f t="shared" si="1"/>
        <v>0</v>
      </c>
      <c r="O6" s="25">
        <f t="shared" si="2"/>
        <v>0</v>
      </c>
      <c r="P6" s="25"/>
      <c r="Q6" s="25"/>
      <c r="R6" s="25"/>
      <c r="S6" s="25"/>
      <c r="T6" s="26"/>
      <c r="U6" s="26"/>
      <c r="V6" s="26"/>
      <c r="W6" s="26"/>
      <c r="X6" s="26"/>
      <c r="Y6" s="25"/>
      <c r="Z6" s="25"/>
      <c r="AA6" s="25">
        <v>100</v>
      </c>
      <c r="AB6" s="25"/>
      <c r="AC6" s="26"/>
      <c r="AD6" s="26"/>
      <c r="AE6" s="27"/>
      <c r="AF6" s="27"/>
      <c r="AG6" s="25">
        <f t="shared" si="3"/>
        <v>-100</v>
      </c>
      <c r="AH6" s="29">
        <f t="shared" si="4"/>
        <v>0</v>
      </c>
    </row>
    <row r="7" spans="1:34" s="30" customFormat="1" ht="20.399999999999999" x14ac:dyDescent="0.2">
      <c r="A7" s="18">
        <v>43253</v>
      </c>
      <c r="B7" s="19"/>
      <c r="C7" s="20" t="s">
        <v>63</v>
      </c>
      <c r="D7" s="20" t="s">
        <v>64</v>
      </c>
      <c r="E7" s="20" t="s">
        <v>65</v>
      </c>
      <c r="F7" s="21">
        <v>83215</v>
      </c>
      <c r="G7" s="22" t="s">
        <v>550</v>
      </c>
      <c r="H7" s="23"/>
      <c r="I7" s="23"/>
      <c r="J7" s="23"/>
      <c r="K7" s="23">
        <v>1137.45</v>
      </c>
      <c r="L7" s="24"/>
      <c r="M7" s="25">
        <f t="shared" si="0"/>
        <v>1015.5803571428571</v>
      </c>
      <c r="N7" s="25">
        <f t="shared" si="1"/>
        <v>121.86964285714285</v>
      </c>
      <c r="O7" s="25">
        <f t="shared" si="2"/>
        <v>0</v>
      </c>
      <c r="P7" s="25">
        <v>1015.58</v>
      </c>
      <c r="Q7" s="25"/>
      <c r="R7" s="25"/>
      <c r="S7" s="25"/>
      <c r="T7" s="26"/>
      <c r="U7" s="26"/>
      <c r="V7" s="26"/>
      <c r="W7" s="26"/>
      <c r="X7" s="26"/>
      <c r="Y7" s="25"/>
      <c r="Z7" s="25"/>
      <c r="AA7" s="25"/>
      <c r="AB7" s="25"/>
      <c r="AC7" s="26"/>
      <c r="AD7" s="26"/>
      <c r="AE7" s="27"/>
      <c r="AF7" s="27"/>
      <c r="AG7" s="25">
        <f t="shared" si="3"/>
        <v>-1137.4496428571429</v>
      </c>
      <c r="AH7" s="29">
        <f t="shared" si="4"/>
        <v>3.5714285718313477E-4</v>
      </c>
    </row>
    <row r="8" spans="1:34" s="30" customFormat="1" ht="19.5" customHeight="1" x14ac:dyDescent="0.2">
      <c r="A8" s="18">
        <v>43253</v>
      </c>
      <c r="B8" s="19"/>
      <c r="C8" s="20" t="s">
        <v>63</v>
      </c>
      <c r="D8" s="20" t="s">
        <v>64</v>
      </c>
      <c r="E8" s="20" t="s">
        <v>65</v>
      </c>
      <c r="F8" s="21">
        <v>83215</v>
      </c>
      <c r="G8" s="22" t="s">
        <v>551</v>
      </c>
      <c r="H8" s="23"/>
      <c r="I8" s="23"/>
      <c r="J8" s="23">
        <v>748.25</v>
      </c>
      <c r="K8" s="23"/>
      <c r="L8" s="24"/>
      <c r="M8" s="25">
        <f t="shared" si="0"/>
        <v>748.25</v>
      </c>
      <c r="N8" s="25">
        <f t="shared" si="1"/>
        <v>0</v>
      </c>
      <c r="O8" s="25">
        <f t="shared" si="2"/>
        <v>0</v>
      </c>
      <c r="P8" s="25">
        <v>748.25</v>
      </c>
      <c r="Q8" s="25"/>
      <c r="R8" s="25"/>
      <c r="S8" s="25"/>
      <c r="T8" s="26"/>
      <c r="U8" s="26"/>
      <c r="V8" s="26"/>
      <c r="W8" s="26"/>
      <c r="X8" s="26"/>
      <c r="Y8" s="25"/>
      <c r="Z8" s="25"/>
      <c r="AA8" s="25"/>
      <c r="AB8" s="25"/>
      <c r="AC8" s="26"/>
      <c r="AD8" s="26"/>
      <c r="AE8" s="27"/>
      <c r="AF8" s="27"/>
      <c r="AG8" s="25">
        <f t="shared" si="3"/>
        <v>-748.25</v>
      </c>
      <c r="AH8" s="29">
        <f t="shared" si="4"/>
        <v>0</v>
      </c>
    </row>
    <row r="9" spans="1:34" s="30" customFormat="1" ht="22.5" customHeight="1" x14ac:dyDescent="0.2">
      <c r="A9" s="56">
        <v>43255</v>
      </c>
      <c r="B9" s="57"/>
      <c r="C9" s="20" t="s">
        <v>276</v>
      </c>
      <c r="D9" s="20" t="s">
        <v>52</v>
      </c>
      <c r="E9" s="20" t="s">
        <v>277</v>
      </c>
      <c r="F9" s="58">
        <v>25831</v>
      </c>
      <c r="G9" s="59" t="s">
        <v>232</v>
      </c>
      <c r="H9" s="23"/>
      <c r="I9" s="23"/>
      <c r="J9" s="23"/>
      <c r="K9" s="23">
        <v>92</v>
      </c>
      <c r="L9" s="24"/>
      <c r="M9" s="25">
        <f t="shared" si="0"/>
        <v>82.142857142857139</v>
      </c>
      <c r="N9" s="25">
        <f t="shared" si="1"/>
        <v>9.8571428571428559</v>
      </c>
      <c r="O9" s="25">
        <f t="shared" si="2"/>
        <v>0</v>
      </c>
      <c r="P9" s="25">
        <v>82.14</v>
      </c>
      <c r="Q9" s="25"/>
      <c r="R9" s="25"/>
      <c r="S9" s="25"/>
      <c r="T9" s="26"/>
      <c r="U9" s="26"/>
      <c r="V9" s="26"/>
      <c r="W9" s="26"/>
      <c r="X9" s="26"/>
      <c r="Y9" s="25"/>
      <c r="Z9" s="25"/>
      <c r="AA9" s="25"/>
      <c r="AB9" s="25"/>
      <c r="AC9" s="25"/>
      <c r="AD9" s="25"/>
      <c r="AE9" s="25"/>
      <c r="AF9" s="25"/>
      <c r="AG9" s="25">
        <f t="shared" si="3"/>
        <v>-91.997142857142862</v>
      </c>
      <c r="AH9" s="29">
        <f t="shared" si="4"/>
        <v>2.8571428571382285E-3</v>
      </c>
    </row>
    <row r="10" spans="1:34" s="30" customFormat="1" ht="21.75" customHeight="1" x14ac:dyDescent="0.2">
      <c r="A10" s="56">
        <v>43256</v>
      </c>
      <c r="B10" s="57"/>
      <c r="C10" s="20" t="s">
        <v>396</v>
      </c>
      <c r="D10" s="20" t="s">
        <v>60</v>
      </c>
      <c r="E10" s="20" t="s">
        <v>397</v>
      </c>
      <c r="F10" s="58">
        <v>678530</v>
      </c>
      <c r="G10" s="21" t="s">
        <v>213</v>
      </c>
      <c r="H10" s="23"/>
      <c r="I10" s="23"/>
      <c r="J10" s="23"/>
      <c r="K10" s="23">
        <v>92.5</v>
      </c>
      <c r="L10" s="24"/>
      <c r="M10" s="25">
        <f t="shared" si="0"/>
        <v>82.589285714285708</v>
      </c>
      <c r="N10" s="25">
        <f t="shared" si="1"/>
        <v>9.9107142857142847</v>
      </c>
      <c r="O10" s="25">
        <f t="shared" si="2"/>
        <v>0</v>
      </c>
      <c r="P10" s="25"/>
      <c r="Q10" s="25"/>
      <c r="R10" s="25"/>
      <c r="S10" s="25"/>
      <c r="T10" s="26"/>
      <c r="U10" s="26"/>
      <c r="V10" s="26"/>
      <c r="W10" s="26"/>
      <c r="X10" s="26"/>
      <c r="Y10" s="25"/>
      <c r="Z10" s="25">
        <v>82.59</v>
      </c>
      <c r="AA10" s="25"/>
      <c r="AB10" s="25"/>
      <c r="AC10" s="25"/>
      <c r="AD10" s="25"/>
      <c r="AE10" s="25"/>
      <c r="AF10" s="25"/>
      <c r="AG10" s="25">
        <f t="shared" si="3"/>
        <v>-92.500714285714281</v>
      </c>
      <c r="AH10" s="29">
        <f t="shared" si="4"/>
        <v>-7.142857142810044E-4</v>
      </c>
    </row>
    <row r="11" spans="1:34" s="30" customFormat="1" ht="21.75" customHeight="1" x14ac:dyDescent="0.2">
      <c r="A11" s="18">
        <v>43257</v>
      </c>
      <c r="B11" s="19"/>
      <c r="C11" s="20" t="s">
        <v>63</v>
      </c>
      <c r="D11" s="20" t="s">
        <v>64</v>
      </c>
      <c r="E11" s="20" t="s">
        <v>65</v>
      </c>
      <c r="F11" s="21">
        <v>130529</v>
      </c>
      <c r="G11" s="22" t="s">
        <v>552</v>
      </c>
      <c r="H11" s="23"/>
      <c r="I11" s="23"/>
      <c r="J11" s="23"/>
      <c r="K11" s="23">
        <v>1316</v>
      </c>
      <c r="L11" s="24"/>
      <c r="M11" s="25">
        <f t="shared" si="0"/>
        <v>1175</v>
      </c>
      <c r="N11" s="25">
        <f t="shared" si="1"/>
        <v>141</v>
      </c>
      <c r="O11" s="25">
        <f t="shared" si="2"/>
        <v>0</v>
      </c>
      <c r="P11" s="25">
        <v>1175</v>
      </c>
      <c r="Q11" s="25"/>
      <c r="R11" s="25"/>
      <c r="S11" s="25"/>
      <c r="T11" s="26"/>
      <c r="U11" s="26"/>
      <c r="V11" s="26"/>
      <c r="W11" s="26"/>
      <c r="X11" s="26"/>
      <c r="Y11" s="25"/>
      <c r="Z11" s="25"/>
      <c r="AA11" s="25"/>
      <c r="AB11" s="25"/>
      <c r="AC11" s="25"/>
      <c r="AD11" s="25"/>
      <c r="AE11" s="25"/>
      <c r="AF11" s="25"/>
      <c r="AG11" s="25">
        <f t="shared" si="3"/>
        <v>-1316</v>
      </c>
      <c r="AH11" s="29">
        <f t="shared" si="4"/>
        <v>0</v>
      </c>
    </row>
    <row r="12" spans="1:34" s="30" customFormat="1" ht="21.75" customHeight="1" x14ac:dyDescent="0.2">
      <c r="A12" s="18">
        <v>43257</v>
      </c>
      <c r="B12" s="19"/>
      <c r="C12" s="20" t="s">
        <v>68</v>
      </c>
      <c r="D12" s="20"/>
      <c r="E12" s="20"/>
      <c r="F12" s="21"/>
      <c r="G12" s="22" t="s">
        <v>553</v>
      </c>
      <c r="H12" s="23">
        <v>40</v>
      </c>
      <c r="I12" s="23"/>
      <c r="J12" s="23"/>
      <c r="K12" s="23"/>
      <c r="L12" s="24"/>
      <c r="M12" s="25">
        <f t="shared" si="0"/>
        <v>40</v>
      </c>
      <c r="N12" s="25">
        <f t="shared" si="1"/>
        <v>0</v>
      </c>
      <c r="O12" s="25">
        <f t="shared" si="2"/>
        <v>0</v>
      </c>
      <c r="P12" s="25"/>
      <c r="Q12" s="25"/>
      <c r="R12" s="25"/>
      <c r="S12" s="25"/>
      <c r="T12" s="26"/>
      <c r="U12" s="26"/>
      <c r="V12" s="26"/>
      <c r="W12" s="26"/>
      <c r="X12" s="26"/>
      <c r="Y12" s="25"/>
      <c r="Z12" s="25"/>
      <c r="AA12" s="25">
        <v>40</v>
      </c>
      <c r="AB12" s="25"/>
      <c r="AC12" s="25"/>
      <c r="AD12" s="25"/>
      <c r="AE12" s="25"/>
      <c r="AF12" s="25"/>
      <c r="AG12" s="25">
        <f t="shared" si="3"/>
        <v>-40</v>
      </c>
      <c r="AH12" s="29">
        <f t="shared" si="4"/>
        <v>0</v>
      </c>
    </row>
    <row r="13" spans="1:34" s="30" customFormat="1" ht="21.75" customHeight="1" x14ac:dyDescent="0.2">
      <c r="A13" s="18">
        <v>43257</v>
      </c>
      <c r="B13" s="19"/>
      <c r="C13" s="20" t="s">
        <v>276</v>
      </c>
      <c r="D13" s="20" t="s">
        <v>52</v>
      </c>
      <c r="E13" s="20" t="s">
        <v>277</v>
      </c>
      <c r="F13" s="21">
        <v>30472</v>
      </c>
      <c r="G13" s="22" t="s">
        <v>433</v>
      </c>
      <c r="H13" s="23"/>
      <c r="I13" s="23"/>
      <c r="J13" s="23"/>
      <c r="K13" s="23">
        <v>195</v>
      </c>
      <c r="L13" s="24"/>
      <c r="M13" s="25">
        <f t="shared" si="0"/>
        <v>174.10714285714283</v>
      </c>
      <c r="N13" s="25">
        <f t="shared" si="1"/>
        <v>20.892857142857139</v>
      </c>
      <c r="O13" s="25">
        <f t="shared" si="2"/>
        <v>0</v>
      </c>
      <c r="P13" s="25">
        <v>174.11</v>
      </c>
      <c r="Q13" s="25"/>
      <c r="R13" s="25"/>
      <c r="S13" s="25"/>
      <c r="T13" s="26"/>
      <c r="U13" s="26"/>
      <c r="V13" s="26"/>
      <c r="W13" s="26"/>
      <c r="X13" s="26"/>
      <c r="Y13" s="25"/>
      <c r="Z13" s="25"/>
      <c r="AA13" s="25"/>
      <c r="AB13" s="25"/>
      <c r="AC13" s="25"/>
      <c r="AD13" s="25"/>
      <c r="AE13" s="25"/>
      <c r="AF13" s="25"/>
      <c r="AG13" s="25">
        <f t="shared" si="3"/>
        <v>-195.00285714285715</v>
      </c>
      <c r="AH13" s="29">
        <f t="shared" si="4"/>
        <v>-2.8571428571524393E-3</v>
      </c>
    </row>
    <row r="14" spans="1:34" s="30" customFormat="1" ht="21.75" customHeight="1" x14ac:dyDescent="0.2">
      <c r="A14" s="18">
        <v>43197</v>
      </c>
      <c r="B14" s="19"/>
      <c r="C14" s="20" t="s">
        <v>518</v>
      </c>
      <c r="D14" s="20" t="s">
        <v>519</v>
      </c>
      <c r="E14" s="20" t="s">
        <v>554</v>
      </c>
      <c r="F14" s="21">
        <v>1352</v>
      </c>
      <c r="G14" s="22" t="s">
        <v>555</v>
      </c>
      <c r="H14" s="23"/>
      <c r="I14" s="23"/>
      <c r="J14" s="23"/>
      <c r="K14" s="23">
        <v>265</v>
      </c>
      <c r="L14" s="24">
        <v>0.01</v>
      </c>
      <c r="M14" s="25">
        <f t="shared" si="0"/>
        <v>236.60714285714283</v>
      </c>
      <c r="N14" s="25">
        <f t="shared" si="1"/>
        <v>28.392857142857139</v>
      </c>
      <c r="O14" s="25">
        <f t="shared" si="2"/>
        <v>-2.3660714285714284</v>
      </c>
      <c r="P14" s="25">
        <v>236.61</v>
      </c>
      <c r="Q14" s="25"/>
      <c r="R14" s="25"/>
      <c r="S14" s="25"/>
      <c r="T14" s="26"/>
      <c r="U14" s="26"/>
      <c r="V14" s="26"/>
      <c r="W14" s="26"/>
      <c r="X14" s="26"/>
      <c r="Y14" s="25"/>
      <c r="Z14" s="25"/>
      <c r="AA14" s="25"/>
      <c r="AB14" s="25"/>
      <c r="AC14" s="25"/>
      <c r="AD14" s="25"/>
      <c r="AE14" s="25"/>
      <c r="AF14" s="25"/>
      <c r="AG14" s="25">
        <f t="shared" si="3"/>
        <v>-262.63678571428574</v>
      </c>
      <c r="AH14" s="29">
        <f t="shared" si="4"/>
        <v>-2.8571428571644297E-3</v>
      </c>
    </row>
    <row r="15" spans="1:34" s="30" customFormat="1" ht="21.75" customHeight="1" x14ac:dyDescent="0.2">
      <c r="A15" s="18">
        <v>43258</v>
      </c>
      <c r="B15" s="19"/>
      <c r="C15" s="20" t="s">
        <v>518</v>
      </c>
      <c r="D15" s="20" t="s">
        <v>519</v>
      </c>
      <c r="E15" s="20" t="s">
        <v>554</v>
      </c>
      <c r="F15" s="21">
        <v>1351</v>
      </c>
      <c r="G15" s="22" t="s">
        <v>556</v>
      </c>
      <c r="H15" s="23"/>
      <c r="I15" s="23"/>
      <c r="J15" s="23"/>
      <c r="K15" s="23">
        <v>1800</v>
      </c>
      <c r="L15" s="24">
        <v>0.01</v>
      </c>
      <c r="M15" s="25">
        <f t="shared" si="0"/>
        <v>1607.1428571428569</v>
      </c>
      <c r="N15" s="25">
        <f t="shared" si="1"/>
        <v>192.85714285714283</v>
      </c>
      <c r="O15" s="25">
        <f t="shared" si="2"/>
        <v>-16.071428571428569</v>
      </c>
      <c r="P15" s="25">
        <v>1607.14</v>
      </c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/>
      <c r="AC15" s="25"/>
      <c r="AD15" s="25"/>
      <c r="AE15" s="25"/>
      <c r="AF15" s="25"/>
      <c r="AG15" s="25">
        <f t="shared" si="3"/>
        <v>-1783.9257142857143</v>
      </c>
      <c r="AH15" s="29">
        <f t="shared" si="4"/>
        <v>2.8571428571098068E-3</v>
      </c>
    </row>
    <row r="16" spans="1:34" s="30" customFormat="1" ht="21.75" customHeight="1" x14ac:dyDescent="0.2">
      <c r="A16" s="18">
        <v>43258</v>
      </c>
      <c r="B16" s="19"/>
      <c r="C16" s="20" t="s">
        <v>557</v>
      </c>
      <c r="D16" s="20" t="s">
        <v>558</v>
      </c>
      <c r="E16" s="20" t="s">
        <v>443</v>
      </c>
      <c r="F16" s="21">
        <v>8687</v>
      </c>
      <c r="G16" s="22" t="s">
        <v>559</v>
      </c>
      <c r="H16" s="23"/>
      <c r="I16" s="23"/>
      <c r="J16" s="23"/>
      <c r="K16" s="23">
        <v>1800</v>
      </c>
      <c r="L16" s="24"/>
      <c r="M16" s="25">
        <f t="shared" si="0"/>
        <v>1607.1428571428569</v>
      </c>
      <c r="N16" s="25">
        <f t="shared" si="1"/>
        <v>192.85714285714283</v>
      </c>
      <c r="O16" s="25">
        <f t="shared" si="2"/>
        <v>0</v>
      </c>
      <c r="P16" s="25"/>
      <c r="Q16" s="25">
        <v>1607.14</v>
      </c>
      <c r="R16" s="25"/>
      <c r="S16" s="25"/>
      <c r="T16" s="26"/>
      <c r="U16" s="26"/>
      <c r="V16" s="26"/>
      <c r="W16" s="26"/>
      <c r="X16" s="26"/>
      <c r="Y16" s="25"/>
      <c r="Z16" s="25"/>
      <c r="AA16" s="25"/>
      <c r="AB16" s="25"/>
      <c r="AC16" s="25"/>
      <c r="AD16" s="25"/>
      <c r="AE16" s="25"/>
      <c r="AF16" s="25"/>
      <c r="AG16" s="25">
        <f t="shared" si="3"/>
        <v>-1799.997142857143</v>
      </c>
      <c r="AH16" s="29">
        <f t="shared" si="4"/>
        <v>2.8571428570103308E-3</v>
      </c>
    </row>
    <row r="17" spans="1:34" s="30" customFormat="1" ht="21.75" customHeight="1" x14ac:dyDescent="0.2">
      <c r="A17" s="18">
        <v>43258</v>
      </c>
      <c r="B17" s="19"/>
      <c r="C17" s="20" t="s">
        <v>560</v>
      </c>
      <c r="D17" s="20" t="s">
        <v>76</v>
      </c>
      <c r="E17" s="20" t="s">
        <v>484</v>
      </c>
      <c r="F17" s="21">
        <v>29106</v>
      </c>
      <c r="G17" s="22" t="s">
        <v>451</v>
      </c>
      <c r="H17" s="23"/>
      <c r="I17" s="23"/>
      <c r="J17" s="23"/>
      <c r="K17" s="23">
        <v>450.04</v>
      </c>
      <c r="L17" s="24"/>
      <c r="M17" s="25">
        <f t="shared" si="0"/>
        <v>401.82142857142856</v>
      </c>
      <c r="N17" s="25">
        <f t="shared" si="1"/>
        <v>48.218571428571423</v>
      </c>
      <c r="O17" s="25">
        <f t="shared" si="2"/>
        <v>0</v>
      </c>
      <c r="P17" s="25">
        <v>401.82</v>
      </c>
      <c r="Q17" s="25"/>
      <c r="R17" s="25"/>
      <c r="S17" s="25"/>
      <c r="T17" s="26"/>
      <c r="U17" s="26"/>
      <c r="V17" s="26"/>
      <c r="W17" s="26"/>
      <c r="X17" s="26"/>
      <c r="Y17" s="25"/>
      <c r="Z17" s="25"/>
      <c r="AA17" s="25"/>
      <c r="AB17" s="25"/>
      <c r="AC17" s="25"/>
      <c r="AD17" s="25"/>
      <c r="AE17" s="25"/>
      <c r="AF17" s="25"/>
      <c r="AG17" s="25">
        <f t="shared" si="3"/>
        <v>-450.0385714285714</v>
      </c>
      <c r="AH17" s="29">
        <f t="shared" si="4"/>
        <v>1.4285714286188522E-3</v>
      </c>
    </row>
    <row r="18" spans="1:34" s="30" customFormat="1" ht="21.75" customHeight="1" x14ac:dyDescent="0.2">
      <c r="A18" s="18">
        <v>43258</v>
      </c>
      <c r="B18" s="19"/>
      <c r="C18" s="20" t="s">
        <v>68</v>
      </c>
      <c r="D18" s="20"/>
      <c r="E18" s="20"/>
      <c r="F18" s="21"/>
      <c r="G18" s="22" t="s">
        <v>561</v>
      </c>
      <c r="H18" s="23">
        <v>120</v>
      </c>
      <c r="I18" s="23"/>
      <c r="J18" s="23"/>
      <c r="K18" s="23"/>
      <c r="L18" s="24"/>
      <c r="M18" s="25">
        <f t="shared" si="0"/>
        <v>120</v>
      </c>
      <c r="N18" s="25">
        <f t="shared" si="1"/>
        <v>0</v>
      </c>
      <c r="O18" s="25">
        <f t="shared" si="2"/>
        <v>0</v>
      </c>
      <c r="P18" s="25"/>
      <c r="Q18" s="25"/>
      <c r="R18" s="25"/>
      <c r="S18" s="25"/>
      <c r="T18" s="26"/>
      <c r="U18" s="26"/>
      <c r="V18" s="26"/>
      <c r="W18" s="26"/>
      <c r="X18" s="26"/>
      <c r="Y18" s="25"/>
      <c r="Z18" s="25"/>
      <c r="AA18" s="25">
        <v>120</v>
      </c>
      <c r="AB18" s="25"/>
      <c r="AC18" s="25"/>
      <c r="AD18" s="25"/>
      <c r="AE18" s="25"/>
      <c r="AF18" s="25"/>
      <c r="AG18" s="25">
        <f t="shared" si="3"/>
        <v>-120</v>
      </c>
      <c r="AH18" s="29">
        <f t="shared" si="4"/>
        <v>0</v>
      </c>
    </row>
    <row r="19" spans="1:34" s="30" customFormat="1" ht="21.75" customHeight="1" x14ac:dyDescent="0.2">
      <c r="A19" s="18">
        <v>43258</v>
      </c>
      <c r="B19" s="19"/>
      <c r="C19" s="20" t="s">
        <v>276</v>
      </c>
      <c r="D19" s="20" t="s">
        <v>52</v>
      </c>
      <c r="E19" s="20" t="s">
        <v>277</v>
      </c>
      <c r="F19" s="21">
        <v>30488</v>
      </c>
      <c r="G19" s="22" t="s">
        <v>562</v>
      </c>
      <c r="H19" s="23"/>
      <c r="I19" s="23"/>
      <c r="J19" s="23"/>
      <c r="K19" s="23">
        <v>54</v>
      </c>
      <c r="L19" s="24"/>
      <c r="M19" s="25">
        <f t="shared" si="0"/>
        <v>48.214285714285708</v>
      </c>
      <c r="N19" s="25">
        <f t="shared" si="1"/>
        <v>5.7857142857142847</v>
      </c>
      <c r="O19" s="25">
        <f t="shared" si="2"/>
        <v>0</v>
      </c>
      <c r="P19" s="25">
        <v>48.21</v>
      </c>
      <c r="Q19" s="25"/>
      <c r="R19" s="25"/>
      <c r="S19" s="25"/>
      <c r="T19" s="26"/>
      <c r="U19" s="26"/>
      <c r="V19" s="26"/>
      <c r="W19" s="26"/>
      <c r="X19" s="26"/>
      <c r="Y19" s="25"/>
      <c r="Z19" s="25"/>
      <c r="AA19" s="25"/>
      <c r="AB19" s="25"/>
      <c r="AC19" s="25"/>
      <c r="AD19" s="25"/>
      <c r="AE19" s="25"/>
      <c r="AF19" s="25"/>
      <c r="AG19" s="25">
        <f t="shared" si="3"/>
        <v>-53.995714285714286</v>
      </c>
      <c r="AH19" s="29">
        <f t="shared" si="4"/>
        <v>4.2857142857144481E-3</v>
      </c>
    </row>
    <row r="20" spans="1:34" s="30" customFormat="1" ht="21.75" customHeight="1" x14ac:dyDescent="0.2">
      <c r="A20" s="18">
        <v>43258</v>
      </c>
      <c r="B20" s="19"/>
      <c r="C20" s="20" t="s">
        <v>563</v>
      </c>
      <c r="D20" s="20" t="s">
        <v>564</v>
      </c>
      <c r="E20" s="20" t="s">
        <v>565</v>
      </c>
      <c r="F20" s="21">
        <v>1000249</v>
      </c>
      <c r="G20" s="22" t="s">
        <v>566</v>
      </c>
      <c r="H20" s="23"/>
      <c r="I20" s="23"/>
      <c r="J20" s="23"/>
      <c r="K20" s="23">
        <v>1864.35</v>
      </c>
      <c r="L20" s="24"/>
      <c r="M20" s="25">
        <f t="shared" si="0"/>
        <v>1664.598214285714</v>
      </c>
      <c r="N20" s="25">
        <f t="shared" si="1"/>
        <v>199.75178571428566</v>
      </c>
      <c r="O20" s="25">
        <f t="shared" si="2"/>
        <v>0</v>
      </c>
      <c r="P20" s="25">
        <v>1664.6</v>
      </c>
      <c r="Q20" s="25"/>
      <c r="R20" s="25"/>
      <c r="S20" s="25"/>
      <c r="T20" s="26"/>
      <c r="U20" s="26"/>
      <c r="V20" s="26"/>
      <c r="W20" s="26"/>
      <c r="X20" s="26"/>
      <c r="Y20" s="25"/>
      <c r="Z20" s="25"/>
      <c r="AA20" s="25"/>
      <c r="AB20" s="25"/>
      <c r="AC20" s="25"/>
      <c r="AD20" s="25"/>
      <c r="AE20" s="25"/>
      <c r="AF20" s="25"/>
      <c r="AG20" s="25">
        <f t="shared" si="3"/>
        <v>-1864.3517857142856</v>
      </c>
      <c r="AH20" s="29">
        <f t="shared" si="4"/>
        <v>-1.7857142856883002E-3</v>
      </c>
    </row>
    <row r="21" spans="1:34" s="30" customFormat="1" ht="21.75" customHeight="1" x14ac:dyDescent="0.2">
      <c r="A21" s="18">
        <v>43259</v>
      </c>
      <c r="B21" s="19"/>
      <c r="C21" s="20" t="s">
        <v>276</v>
      </c>
      <c r="D21" s="20" t="s">
        <v>52</v>
      </c>
      <c r="E21" s="20" t="s">
        <v>277</v>
      </c>
      <c r="F21" s="21">
        <v>31467</v>
      </c>
      <c r="G21" s="22" t="s">
        <v>567</v>
      </c>
      <c r="H21" s="23"/>
      <c r="I21" s="23"/>
      <c r="J21" s="23"/>
      <c r="K21" s="23">
        <v>118.5</v>
      </c>
      <c r="L21" s="24"/>
      <c r="M21" s="25">
        <f t="shared" si="0"/>
        <v>105.80357142857142</v>
      </c>
      <c r="N21" s="25">
        <f t="shared" si="1"/>
        <v>12.696428571428569</v>
      </c>
      <c r="O21" s="25">
        <f t="shared" si="2"/>
        <v>0</v>
      </c>
      <c r="P21" s="25">
        <v>105.8</v>
      </c>
      <c r="Q21" s="25"/>
      <c r="R21" s="25"/>
      <c r="S21" s="25"/>
      <c r="T21" s="26"/>
      <c r="U21" s="26"/>
      <c r="V21" s="26"/>
      <c r="W21" s="26"/>
      <c r="X21" s="26"/>
      <c r="Y21" s="25"/>
      <c r="Z21" s="25"/>
      <c r="AA21" s="25"/>
      <c r="AB21" s="25"/>
      <c r="AC21" s="25"/>
      <c r="AD21" s="25"/>
      <c r="AE21" s="25"/>
      <c r="AF21" s="25"/>
      <c r="AG21" s="25">
        <f t="shared" si="3"/>
        <v>-118.49642857142857</v>
      </c>
      <c r="AH21" s="29">
        <f t="shared" si="4"/>
        <v>3.5714285714334437E-3</v>
      </c>
    </row>
    <row r="22" spans="1:34" s="46" customFormat="1" ht="21.75" customHeight="1" x14ac:dyDescent="0.2">
      <c r="A22" s="33">
        <v>43259</v>
      </c>
      <c r="B22" s="34"/>
      <c r="C22" s="36" t="s">
        <v>276</v>
      </c>
      <c r="D22" s="36" t="s">
        <v>52</v>
      </c>
      <c r="E22" s="36" t="s">
        <v>277</v>
      </c>
      <c r="F22" s="37">
        <v>31463</v>
      </c>
      <c r="G22" s="38" t="s">
        <v>568</v>
      </c>
      <c r="H22" s="39"/>
      <c r="I22" s="39"/>
      <c r="J22" s="39"/>
      <c r="K22" s="39">
        <v>388.42</v>
      </c>
      <c r="L22" s="40"/>
      <c r="M22" s="41">
        <f t="shared" si="0"/>
        <v>346.80357142857139</v>
      </c>
      <c r="N22" s="41">
        <f t="shared" si="1"/>
        <v>41.616428571428564</v>
      </c>
      <c r="O22" s="41">
        <f t="shared" si="2"/>
        <v>0</v>
      </c>
      <c r="P22" s="41">
        <v>346.8</v>
      </c>
      <c r="Q22" s="41"/>
      <c r="R22" s="41"/>
      <c r="S22" s="41"/>
      <c r="T22" s="42"/>
      <c r="U22" s="42"/>
      <c r="V22" s="42"/>
      <c r="W22" s="42"/>
      <c r="X22" s="42"/>
      <c r="Y22" s="41"/>
      <c r="Z22" s="41"/>
      <c r="AA22" s="41"/>
      <c r="AB22" s="41"/>
      <c r="AC22" s="41"/>
      <c r="AD22" s="41"/>
      <c r="AE22" s="41"/>
      <c r="AF22" s="41"/>
      <c r="AG22" s="41">
        <f t="shared" si="3"/>
        <v>-388.41642857142858</v>
      </c>
      <c r="AH22" s="45">
        <f t="shared" si="4"/>
        <v>3.5714285714334437E-3</v>
      </c>
    </row>
    <row r="23" spans="1:34" s="72" customFormat="1" ht="21" customHeight="1" x14ac:dyDescent="0.2">
      <c r="A23" s="65">
        <v>43262</v>
      </c>
      <c r="B23" s="66"/>
      <c r="C23" s="20" t="s">
        <v>63</v>
      </c>
      <c r="D23" s="20" t="s">
        <v>64</v>
      </c>
      <c r="E23" s="20" t="s">
        <v>65</v>
      </c>
      <c r="F23" s="21">
        <v>95937</v>
      </c>
      <c r="G23" s="21" t="s">
        <v>569</v>
      </c>
      <c r="H23" s="67"/>
      <c r="I23" s="67"/>
      <c r="J23" s="67">
        <v>273.25</v>
      </c>
      <c r="K23" s="67"/>
      <c r="L23" s="68"/>
      <c r="M23" s="69">
        <f t="shared" si="0"/>
        <v>273.25</v>
      </c>
      <c r="N23" s="69">
        <f t="shared" si="1"/>
        <v>0</v>
      </c>
      <c r="O23" s="69">
        <f t="shared" si="2"/>
        <v>0</v>
      </c>
      <c r="P23" s="69">
        <v>273.25</v>
      </c>
      <c r="Q23" s="69"/>
      <c r="R23" s="69"/>
      <c r="S23" s="69"/>
      <c r="T23" s="70"/>
      <c r="U23" s="70"/>
      <c r="V23" s="70"/>
      <c r="W23" s="70"/>
      <c r="X23" s="70"/>
      <c r="Y23" s="69"/>
      <c r="Z23" s="69"/>
      <c r="AA23" s="69"/>
      <c r="AB23" s="69"/>
      <c r="AC23" s="70"/>
      <c r="AD23" s="70"/>
      <c r="AE23" s="71"/>
      <c r="AF23" s="71"/>
      <c r="AG23" s="69">
        <f t="shared" si="3"/>
        <v>-273.25</v>
      </c>
      <c r="AH23" s="29">
        <f t="shared" si="4"/>
        <v>0</v>
      </c>
    </row>
    <row r="24" spans="1:34" s="72" customFormat="1" ht="24" customHeight="1" x14ac:dyDescent="0.2">
      <c r="A24" s="65">
        <v>43262</v>
      </c>
      <c r="B24" s="66"/>
      <c r="C24" s="20" t="s">
        <v>276</v>
      </c>
      <c r="D24" s="20" t="s">
        <v>52</v>
      </c>
      <c r="E24" s="20" t="s">
        <v>277</v>
      </c>
      <c r="F24" s="21">
        <v>95937</v>
      </c>
      <c r="G24" s="22" t="s">
        <v>570</v>
      </c>
      <c r="H24" s="67"/>
      <c r="I24" s="67"/>
      <c r="J24" s="67"/>
      <c r="K24" s="67">
        <f>1531.61+183.79</f>
        <v>1715.3999999999999</v>
      </c>
      <c r="L24" s="68"/>
      <c r="M24" s="69">
        <f t="shared" si="0"/>
        <v>1531.6071428571427</v>
      </c>
      <c r="N24" s="69">
        <f t="shared" si="1"/>
        <v>183.79285714285712</v>
      </c>
      <c r="O24" s="69">
        <f t="shared" si="2"/>
        <v>0</v>
      </c>
      <c r="P24" s="69">
        <v>1531.61</v>
      </c>
      <c r="Q24" s="69"/>
      <c r="R24" s="69"/>
      <c r="S24" s="69"/>
      <c r="T24" s="70"/>
      <c r="U24" s="70"/>
      <c r="V24" s="70"/>
      <c r="W24" s="70"/>
      <c r="X24" s="70"/>
      <c r="Y24" s="69"/>
      <c r="Z24" s="69"/>
      <c r="AA24" s="69"/>
      <c r="AB24" s="69"/>
      <c r="AC24" s="70"/>
      <c r="AD24" s="70"/>
      <c r="AE24" s="71"/>
      <c r="AF24" s="71"/>
      <c r="AG24" s="69">
        <f t="shared" si="3"/>
        <v>-1715.4028571428571</v>
      </c>
      <c r="AH24" s="29">
        <f t="shared" si="4"/>
        <v>-2.8571428572377044E-3</v>
      </c>
    </row>
    <row r="25" spans="1:34" s="72" customFormat="1" ht="21" customHeight="1" x14ac:dyDescent="0.2">
      <c r="A25" s="65">
        <v>43265</v>
      </c>
      <c r="B25" s="66"/>
      <c r="C25" s="20" t="s">
        <v>63</v>
      </c>
      <c r="D25" s="20" t="s">
        <v>64</v>
      </c>
      <c r="E25" s="20" t="s">
        <v>65</v>
      </c>
      <c r="F25" s="21">
        <v>109530</v>
      </c>
      <c r="G25" s="21" t="s">
        <v>571</v>
      </c>
      <c r="H25" s="67"/>
      <c r="I25" s="67"/>
      <c r="J25" s="67"/>
      <c r="K25" s="67">
        <v>274.5</v>
      </c>
      <c r="L25" s="68"/>
      <c r="M25" s="69">
        <f t="shared" si="0"/>
        <v>245.08928571428569</v>
      </c>
      <c r="N25" s="69">
        <f t="shared" si="1"/>
        <v>29.410714285714281</v>
      </c>
      <c r="O25" s="69">
        <f t="shared" si="2"/>
        <v>0</v>
      </c>
      <c r="P25" s="69"/>
      <c r="Q25" s="69"/>
      <c r="R25" s="69"/>
      <c r="S25" s="69">
        <v>245.09</v>
      </c>
      <c r="T25" s="70"/>
      <c r="U25" s="70"/>
      <c r="V25" s="70"/>
      <c r="W25" s="70"/>
      <c r="X25" s="70"/>
      <c r="Y25" s="69"/>
      <c r="Z25" s="69"/>
      <c r="AA25" s="69"/>
      <c r="AB25" s="69"/>
      <c r="AC25" s="70"/>
      <c r="AD25" s="70"/>
      <c r="AE25" s="71"/>
      <c r="AF25" s="71"/>
      <c r="AG25" s="69">
        <f t="shared" si="3"/>
        <v>-274.50071428571431</v>
      </c>
      <c r="AH25" s="29">
        <f t="shared" si="4"/>
        <v>-7.1428571430942611E-4</v>
      </c>
    </row>
    <row r="26" spans="1:34" s="72" customFormat="1" ht="24" customHeight="1" x14ac:dyDescent="0.2">
      <c r="A26" s="65">
        <v>43265</v>
      </c>
      <c r="B26" s="66"/>
      <c r="C26" s="20" t="s">
        <v>276</v>
      </c>
      <c r="D26" s="20" t="s">
        <v>52</v>
      </c>
      <c r="E26" s="20" t="s">
        <v>277</v>
      </c>
      <c r="F26" s="21">
        <v>27955</v>
      </c>
      <c r="G26" s="22" t="s">
        <v>572</v>
      </c>
      <c r="H26" s="67"/>
      <c r="I26" s="67"/>
      <c r="J26" s="67"/>
      <c r="K26" s="67">
        <v>553.5</v>
      </c>
      <c r="L26" s="68"/>
      <c r="M26" s="69">
        <f t="shared" si="0"/>
        <v>494.1964285714285</v>
      </c>
      <c r="N26" s="69">
        <f t="shared" si="1"/>
        <v>59.303571428571416</v>
      </c>
      <c r="O26" s="69">
        <f t="shared" si="2"/>
        <v>0</v>
      </c>
      <c r="P26" s="69">
        <v>494.2</v>
      </c>
      <c r="Q26" s="69"/>
      <c r="R26" s="69"/>
      <c r="S26" s="69"/>
      <c r="T26" s="70"/>
      <c r="U26" s="70"/>
      <c r="V26" s="70"/>
      <c r="W26" s="70"/>
      <c r="X26" s="70"/>
      <c r="Y26" s="69"/>
      <c r="Z26" s="69"/>
      <c r="AA26" s="69"/>
      <c r="AB26" s="69"/>
      <c r="AC26" s="70"/>
      <c r="AD26" s="70"/>
      <c r="AE26" s="71"/>
      <c r="AF26" s="71"/>
      <c r="AG26" s="69">
        <f t="shared" si="3"/>
        <v>-553.50357142857138</v>
      </c>
      <c r="AH26" s="29">
        <f t="shared" si="4"/>
        <v>-3.5714285713766003E-3</v>
      </c>
    </row>
    <row r="27" spans="1:34" s="72" customFormat="1" ht="24" customHeight="1" x14ac:dyDescent="0.2">
      <c r="A27" s="65">
        <v>43265</v>
      </c>
      <c r="B27" s="66"/>
      <c r="C27" s="20" t="s">
        <v>396</v>
      </c>
      <c r="D27" s="20" t="s">
        <v>60</v>
      </c>
      <c r="E27" s="20" t="s">
        <v>397</v>
      </c>
      <c r="F27" s="21">
        <v>680269</v>
      </c>
      <c r="G27" s="22" t="s">
        <v>573</v>
      </c>
      <c r="H27" s="67"/>
      <c r="I27" s="67"/>
      <c r="J27" s="67"/>
      <c r="K27" s="67">
        <v>84</v>
      </c>
      <c r="L27" s="68"/>
      <c r="M27" s="69">
        <f t="shared" si="0"/>
        <v>74.999999999999986</v>
      </c>
      <c r="N27" s="69">
        <f t="shared" si="1"/>
        <v>8.9999999999999982</v>
      </c>
      <c r="O27" s="69">
        <f t="shared" si="2"/>
        <v>0</v>
      </c>
      <c r="P27" s="69"/>
      <c r="Q27" s="69"/>
      <c r="R27" s="69"/>
      <c r="S27" s="69"/>
      <c r="T27" s="70">
        <v>75</v>
      </c>
      <c r="U27" s="70"/>
      <c r="V27" s="70"/>
      <c r="W27" s="70"/>
      <c r="X27" s="70"/>
      <c r="Y27" s="69"/>
      <c r="Z27" s="69"/>
      <c r="AA27" s="69"/>
      <c r="AB27" s="69"/>
      <c r="AC27" s="70"/>
      <c r="AD27" s="70"/>
      <c r="AE27" s="71"/>
      <c r="AF27" s="71"/>
      <c r="AG27" s="69">
        <f t="shared" si="3"/>
        <v>-84</v>
      </c>
      <c r="AH27" s="29">
        <f t="shared" si="4"/>
        <v>0</v>
      </c>
    </row>
    <row r="28" spans="1:34" s="72" customFormat="1" ht="24" customHeight="1" x14ac:dyDescent="0.2">
      <c r="A28" s="65">
        <v>43266</v>
      </c>
      <c r="B28" s="66"/>
      <c r="C28" s="20" t="s">
        <v>276</v>
      </c>
      <c r="D28" s="20" t="s">
        <v>52</v>
      </c>
      <c r="E28" s="20" t="s">
        <v>277</v>
      </c>
      <c r="F28" s="21">
        <v>27970</v>
      </c>
      <c r="G28" s="22" t="s">
        <v>574</v>
      </c>
      <c r="H28" s="67"/>
      <c r="I28" s="67"/>
      <c r="J28" s="67"/>
      <c r="K28" s="67">
        <v>213.75</v>
      </c>
      <c r="L28" s="68"/>
      <c r="M28" s="69">
        <f t="shared" si="0"/>
        <v>190.84821428571428</v>
      </c>
      <c r="N28" s="69">
        <f t="shared" si="1"/>
        <v>22.901785714285712</v>
      </c>
      <c r="O28" s="69">
        <f t="shared" si="2"/>
        <v>0</v>
      </c>
      <c r="P28" s="69">
        <v>190.85</v>
      </c>
      <c r="Q28" s="69"/>
      <c r="R28" s="69"/>
      <c r="S28" s="69"/>
      <c r="T28" s="70"/>
      <c r="U28" s="70"/>
      <c r="V28" s="70"/>
      <c r="W28" s="70"/>
      <c r="X28" s="70"/>
      <c r="Y28" s="69"/>
      <c r="Z28" s="69"/>
      <c r="AA28" s="69"/>
      <c r="AB28" s="69"/>
      <c r="AC28" s="70"/>
      <c r="AD28" s="70"/>
      <c r="AE28" s="71"/>
      <c r="AF28" s="71"/>
      <c r="AG28" s="69">
        <f t="shared" si="3"/>
        <v>-213.75178571428572</v>
      </c>
      <c r="AH28" s="29">
        <f t="shared" si="4"/>
        <v>-1.7857142857167219E-3</v>
      </c>
    </row>
    <row r="29" spans="1:34" s="72" customFormat="1" ht="19.5" customHeight="1" x14ac:dyDescent="0.2">
      <c r="A29" s="65">
        <v>43265</v>
      </c>
      <c r="B29" s="66"/>
      <c r="C29" s="20" t="s">
        <v>396</v>
      </c>
      <c r="D29" s="20" t="s">
        <v>60</v>
      </c>
      <c r="E29" s="20" t="s">
        <v>397</v>
      </c>
      <c r="F29" s="21">
        <v>680319</v>
      </c>
      <c r="G29" s="22" t="s">
        <v>575</v>
      </c>
      <c r="H29" s="67"/>
      <c r="I29" s="67"/>
      <c r="J29" s="67"/>
      <c r="K29" s="67">
        <v>49</v>
      </c>
      <c r="L29" s="68"/>
      <c r="M29" s="69">
        <f t="shared" si="0"/>
        <v>43.749999999999993</v>
      </c>
      <c r="N29" s="69">
        <f t="shared" si="1"/>
        <v>5.2499999999999991</v>
      </c>
      <c r="O29" s="69">
        <f t="shared" si="2"/>
        <v>0</v>
      </c>
      <c r="P29" s="69"/>
      <c r="Q29" s="69"/>
      <c r="R29" s="69"/>
      <c r="S29" s="69"/>
      <c r="T29" s="70"/>
      <c r="U29" s="70"/>
      <c r="V29" s="70"/>
      <c r="W29" s="70"/>
      <c r="X29" s="70"/>
      <c r="Y29" s="69"/>
      <c r="Z29" s="69">
        <v>43.75</v>
      </c>
      <c r="AA29" s="69"/>
      <c r="AB29" s="69"/>
      <c r="AC29" s="70"/>
      <c r="AD29" s="70"/>
      <c r="AE29" s="71"/>
      <c r="AF29" s="71"/>
      <c r="AG29" s="69">
        <f t="shared" si="3"/>
        <v>-49</v>
      </c>
      <c r="AH29" s="29">
        <f t="shared" si="4"/>
        <v>0</v>
      </c>
    </row>
    <row r="30" spans="1:34" s="30" customFormat="1" ht="19.5" customHeight="1" x14ac:dyDescent="0.2">
      <c r="A30" s="18">
        <v>43267</v>
      </c>
      <c r="B30" s="19"/>
      <c r="C30" s="20" t="s">
        <v>576</v>
      </c>
      <c r="D30" s="20" t="s">
        <v>467</v>
      </c>
      <c r="E30" s="20" t="s">
        <v>120</v>
      </c>
      <c r="F30" s="21">
        <v>123</v>
      </c>
      <c r="G30" s="22" t="s">
        <v>40</v>
      </c>
      <c r="H30" s="23"/>
      <c r="I30" s="23"/>
      <c r="J30" s="23"/>
      <c r="K30" s="23">
        <v>38</v>
      </c>
      <c r="L30" s="24"/>
      <c r="M30" s="25">
        <f t="shared" si="0"/>
        <v>33.928571428571423</v>
      </c>
      <c r="N30" s="25">
        <f t="shared" si="1"/>
        <v>4.0714285714285703</v>
      </c>
      <c r="O30" s="25">
        <f t="shared" si="2"/>
        <v>0</v>
      </c>
      <c r="P30" s="25"/>
      <c r="Q30" s="25">
        <v>33.93</v>
      </c>
      <c r="R30" s="25"/>
      <c r="S30" s="25"/>
      <c r="T30" s="26"/>
      <c r="U30" s="26"/>
      <c r="V30" s="26"/>
      <c r="W30" s="26"/>
      <c r="X30" s="26"/>
      <c r="Y30" s="25"/>
      <c r="Z30" s="25"/>
      <c r="AA30" s="25"/>
      <c r="AB30" s="25"/>
      <c r="AC30" s="26"/>
      <c r="AD30" s="26"/>
      <c r="AE30" s="27"/>
      <c r="AF30" s="27"/>
      <c r="AG30" s="25">
        <f t="shared" si="3"/>
        <v>-38.001428571428569</v>
      </c>
      <c r="AH30" s="29">
        <f t="shared" si="4"/>
        <v>-1.4285714285691142E-3</v>
      </c>
    </row>
    <row r="31" spans="1:34" s="30" customFormat="1" ht="18" customHeight="1" x14ac:dyDescent="0.2">
      <c r="A31" s="18">
        <v>43269</v>
      </c>
      <c r="B31" s="19"/>
      <c r="C31" s="20" t="s">
        <v>41</v>
      </c>
      <c r="D31" s="20" t="s">
        <v>88</v>
      </c>
      <c r="E31" s="20" t="s">
        <v>43</v>
      </c>
      <c r="F31" s="21">
        <v>2473</v>
      </c>
      <c r="G31" s="22" t="s">
        <v>533</v>
      </c>
      <c r="H31" s="23"/>
      <c r="I31" s="23"/>
      <c r="J31" s="23">
        <v>1930</v>
      </c>
      <c r="K31" s="23"/>
      <c r="L31" s="24"/>
      <c r="M31" s="25">
        <f t="shared" si="0"/>
        <v>1930</v>
      </c>
      <c r="N31" s="25">
        <f t="shared" si="1"/>
        <v>0</v>
      </c>
      <c r="O31" s="25">
        <f t="shared" si="2"/>
        <v>0</v>
      </c>
      <c r="P31" s="25">
        <v>1930</v>
      </c>
      <c r="Q31" s="25"/>
      <c r="R31" s="25"/>
      <c r="S31" s="25"/>
      <c r="T31" s="26"/>
      <c r="U31" s="26"/>
      <c r="V31" s="26"/>
      <c r="W31" s="26"/>
      <c r="X31" s="26"/>
      <c r="Y31" s="25"/>
      <c r="Z31" s="25"/>
      <c r="AA31" s="25"/>
      <c r="AB31" s="25"/>
      <c r="AC31" s="26"/>
      <c r="AD31" s="26"/>
      <c r="AE31" s="27"/>
      <c r="AF31" s="27"/>
      <c r="AG31" s="25">
        <f t="shared" si="3"/>
        <v>-1930</v>
      </c>
      <c r="AH31" s="29">
        <f t="shared" si="4"/>
        <v>0</v>
      </c>
    </row>
    <row r="32" spans="1:34" s="30" customFormat="1" ht="19.5" customHeight="1" x14ac:dyDescent="0.2">
      <c r="A32" s="18">
        <v>43269</v>
      </c>
      <c r="B32" s="19"/>
      <c r="C32" s="20" t="s">
        <v>45</v>
      </c>
      <c r="D32" s="20"/>
      <c r="E32" s="20"/>
      <c r="F32" s="21"/>
      <c r="G32" s="22" t="s">
        <v>337</v>
      </c>
      <c r="H32" s="23"/>
      <c r="I32" s="23">
        <v>100</v>
      </c>
      <c r="J32" s="23"/>
      <c r="K32" s="23"/>
      <c r="L32" s="24"/>
      <c r="M32" s="25">
        <f t="shared" si="0"/>
        <v>100</v>
      </c>
      <c r="N32" s="25">
        <f t="shared" si="1"/>
        <v>0</v>
      </c>
      <c r="O32" s="25">
        <f t="shared" si="2"/>
        <v>0</v>
      </c>
      <c r="P32" s="25"/>
      <c r="Q32" s="25"/>
      <c r="R32" s="25"/>
      <c r="S32" s="25"/>
      <c r="T32" s="26"/>
      <c r="U32" s="26"/>
      <c r="V32" s="26"/>
      <c r="W32" s="26"/>
      <c r="X32" s="26"/>
      <c r="Y32" s="25"/>
      <c r="Z32" s="25"/>
      <c r="AA32" s="25">
        <v>100</v>
      </c>
      <c r="AB32" s="25"/>
      <c r="AC32" s="26"/>
      <c r="AD32" s="26"/>
      <c r="AE32" s="27"/>
      <c r="AF32" s="27"/>
      <c r="AG32" s="25">
        <f t="shared" si="3"/>
        <v>-100</v>
      </c>
      <c r="AH32" s="29">
        <f t="shared" si="4"/>
        <v>0</v>
      </c>
    </row>
    <row r="33" spans="1:34" s="30" customFormat="1" ht="22.5" customHeight="1" x14ac:dyDescent="0.2">
      <c r="A33" s="56">
        <v>43269</v>
      </c>
      <c r="B33" s="57"/>
      <c r="C33" s="20" t="s">
        <v>63</v>
      </c>
      <c r="D33" s="20" t="s">
        <v>64</v>
      </c>
      <c r="E33" s="20" t="s">
        <v>65</v>
      </c>
      <c r="F33" s="58">
        <v>93626</v>
      </c>
      <c r="G33" s="59" t="s">
        <v>577</v>
      </c>
      <c r="H33" s="23"/>
      <c r="I33" s="23"/>
      <c r="J33" s="23"/>
      <c r="K33" s="23">
        <v>62.77</v>
      </c>
      <c r="L33" s="24"/>
      <c r="M33" s="25">
        <f t="shared" si="0"/>
        <v>56.044642857142854</v>
      </c>
      <c r="N33" s="25">
        <f t="shared" si="1"/>
        <v>6.7253571428571419</v>
      </c>
      <c r="O33" s="25">
        <f t="shared" si="2"/>
        <v>0</v>
      </c>
      <c r="P33" s="25"/>
      <c r="Q33" s="25"/>
      <c r="R33" s="25"/>
      <c r="S33" s="25"/>
      <c r="T33" s="26"/>
      <c r="U33" s="26"/>
      <c r="V33" s="26"/>
      <c r="W33" s="26"/>
      <c r="X33" s="26"/>
      <c r="Y33" s="25">
        <v>56.04</v>
      </c>
      <c r="Z33" s="25"/>
      <c r="AA33" s="25"/>
      <c r="AB33" s="25"/>
      <c r="AC33" s="25"/>
      <c r="AD33" s="25"/>
      <c r="AE33" s="25"/>
      <c r="AF33" s="25"/>
      <c r="AG33" s="25">
        <f t="shared" si="3"/>
        <v>-62.765357142857141</v>
      </c>
      <c r="AH33" s="29">
        <f t="shared" si="4"/>
        <v>4.6428571428620558E-3</v>
      </c>
    </row>
    <row r="34" spans="1:34" s="30" customFormat="1" ht="21.75" customHeight="1" x14ac:dyDescent="0.2">
      <c r="A34" s="56">
        <v>43269</v>
      </c>
      <c r="B34" s="57"/>
      <c r="C34" s="20" t="s">
        <v>63</v>
      </c>
      <c r="D34" s="20" t="s">
        <v>64</v>
      </c>
      <c r="E34" s="20" t="s">
        <v>65</v>
      </c>
      <c r="F34" s="58">
        <v>96257</v>
      </c>
      <c r="G34" s="21" t="s">
        <v>578</v>
      </c>
      <c r="H34" s="23"/>
      <c r="I34" s="23"/>
      <c r="J34" s="23"/>
      <c r="K34" s="23">
        <f>2857.32+342.88</f>
        <v>3200.2000000000003</v>
      </c>
      <c r="L34" s="24"/>
      <c r="M34" s="25">
        <f t="shared" si="0"/>
        <v>2857.3214285714284</v>
      </c>
      <c r="N34" s="25">
        <f t="shared" si="1"/>
        <v>342.87857142857138</v>
      </c>
      <c r="O34" s="25">
        <f t="shared" si="2"/>
        <v>0</v>
      </c>
      <c r="P34" s="25">
        <v>2857.32</v>
      </c>
      <c r="Q34" s="25"/>
      <c r="R34" s="25"/>
      <c r="S34" s="25"/>
      <c r="T34" s="26"/>
      <c r="U34" s="26"/>
      <c r="V34" s="26"/>
      <c r="W34" s="26"/>
      <c r="X34" s="26"/>
      <c r="Y34" s="25"/>
      <c r="Z34" s="25"/>
      <c r="AA34" s="25"/>
      <c r="AB34" s="25"/>
      <c r="AC34" s="25"/>
      <c r="AD34" s="25"/>
      <c r="AE34" s="25"/>
      <c r="AF34" s="25"/>
      <c r="AG34" s="25">
        <f t="shared" si="3"/>
        <v>-3200.1985714285715</v>
      </c>
      <c r="AH34" s="29">
        <f t="shared" si="4"/>
        <v>1.4285714287325391E-3</v>
      </c>
    </row>
    <row r="35" spans="1:34" s="30" customFormat="1" ht="21.75" customHeight="1" x14ac:dyDescent="0.2">
      <c r="A35" s="18">
        <v>43269</v>
      </c>
      <c r="B35" s="19"/>
      <c r="C35" s="20" t="s">
        <v>63</v>
      </c>
      <c r="D35" s="20" t="s">
        <v>64</v>
      </c>
      <c r="E35" s="20" t="s">
        <v>65</v>
      </c>
      <c r="F35" s="21">
        <v>96257</v>
      </c>
      <c r="G35" s="22" t="s">
        <v>579</v>
      </c>
      <c r="H35" s="23"/>
      <c r="I35" s="23"/>
      <c r="J35" s="23">
        <v>356.35</v>
      </c>
      <c r="K35" s="23"/>
      <c r="L35" s="24"/>
      <c r="M35" s="25">
        <f t="shared" si="0"/>
        <v>356.35</v>
      </c>
      <c r="N35" s="25">
        <f t="shared" si="1"/>
        <v>0</v>
      </c>
      <c r="O35" s="25">
        <f t="shared" si="2"/>
        <v>0</v>
      </c>
      <c r="P35" s="25">
        <v>356.35</v>
      </c>
      <c r="Q35" s="25"/>
      <c r="R35" s="25"/>
      <c r="S35" s="25"/>
      <c r="T35" s="26"/>
      <c r="U35" s="26"/>
      <c r="V35" s="26"/>
      <c r="W35" s="26"/>
      <c r="X35" s="26"/>
      <c r="Y35" s="25"/>
      <c r="Z35" s="25"/>
      <c r="AA35" s="25"/>
      <c r="AB35" s="25"/>
      <c r="AC35" s="25"/>
      <c r="AD35" s="25"/>
      <c r="AE35" s="25"/>
      <c r="AF35" s="25"/>
      <c r="AG35" s="25">
        <f t="shared" si="3"/>
        <v>-356.35</v>
      </c>
      <c r="AH35" s="29">
        <f t="shared" si="4"/>
        <v>0</v>
      </c>
    </row>
    <row r="36" spans="1:34" s="30" customFormat="1" ht="21.75" customHeight="1" x14ac:dyDescent="0.2">
      <c r="A36" s="18">
        <v>43270</v>
      </c>
      <c r="B36" s="19"/>
      <c r="C36" s="20" t="s">
        <v>180</v>
      </c>
      <c r="D36" s="20" t="s">
        <v>71</v>
      </c>
      <c r="E36" s="20" t="s">
        <v>72</v>
      </c>
      <c r="F36" s="21">
        <v>6598</v>
      </c>
      <c r="G36" s="22" t="s">
        <v>181</v>
      </c>
      <c r="H36" s="23"/>
      <c r="I36" s="23"/>
      <c r="J36" s="23"/>
      <c r="K36" s="23">
        <v>5493</v>
      </c>
      <c r="L36" s="24"/>
      <c r="M36" s="25">
        <f t="shared" si="0"/>
        <v>4904.4642857142853</v>
      </c>
      <c r="N36" s="25">
        <f t="shared" si="1"/>
        <v>588.53571428571422</v>
      </c>
      <c r="O36" s="25">
        <f t="shared" si="2"/>
        <v>0</v>
      </c>
      <c r="P36" s="25">
        <v>4904.46</v>
      </c>
      <c r="Q36" s="25"/>
      <c r="R36" s="25"/>
      <c r="S36" s="25"/>
      <c r="T36" s="26"/>
      <c r="U36" s="26"/>
      <c r="V36" s="26"/>
      <c r="W36" s="26"/>
      <c r="X36" s="26"/>
      <c r="Y36" s="25"/>
      <c r="Z36" s="25"/>
      <c r="AA36" s="25"/>
      <c r="AB36" s="25"/>
      <c r="AC36" s="25"/>
      <c r="AD36" s="25"/>
      <c r="AE36" s="25"/>
      <c r="AF36" s="25"/>
      <c r="AG36" s="25">
        <f t="shared" si="3"/>
        <v>-5492.9957142857147</v>
      </c>
      <c r="AH36" s="29">
        <f t="shared" si="4"/>
        <v>4.2857142852881225E-3</v>
      </c>
    </row>
    <row r="37" spans="1:34" s="30" customFormat="1" ht="21.75" customHeight="1" x14ac:dyDescent="0.2">
      <c r="A37" s="18">
        <v>43270</v>
      </c>
      <c r="B37" s="19"/>
      <c r="C37" s="20" t="s">
        <v>68</v>
      </c>
      <c r="D37" s="20"/>
      <c r="E37" s="20"/>
      <c r="F37" s="21"/>
      <c r="G37" s="22" t="s">
        <v>182</v>
      </c>
      <c r="H37" s="23">
        <v>100</v>
      </c>
      <c r="I37" s="23"/>
      <c r="J37" s="23"/>
      <c r="K37" s="23"/>
      <c r="L37" s="24"/>
      <c r="M37" s="25">
        <f t="shared" ref="M37:M68" si="5">SUM(H37:J37,K37/1.12)</f>
        <v>100</v>
      </c>
      <c r="N37" s="25">
        <f t="shared" ref="N37:N68" si="6">K37/1.12*0.12</f>
        <v>0</v>
      </c>
      <c r="O37" s="25">
        <f t="shared" ref="O37:O60" si="7">-SUM(I37:J37,K37/1.12)*L37</f>
        <v>0</v>
      </c>
      <c r="P37" s="25"/>
      <c r="Q37" s="25"/>
      <c r="R37" s="25"/>
      <c r="S37" s="25"/>
      <c r="T37" s="26"/>
      <c r="U37" s="26"/>
      <c r="V37" s="26"/>
      <c r="W37" s="26"/>
      <c r="X37" s="26"/>
      <c r="Y37" s="25"/>
      <c r="Z37" s="25"/>
      <c r="AA37" s="25">
        <v>100</v>
      </c>
      <c r="AB37" s="25"/>
      <c r="AC37" s="25"/>
      <c r="AD37" s="25"/>
      <c r="AE37" s="25"/>
      <c r="AF37" s="25"/>
      <c r="AG37" s="25">
        <f t="shared" ref="AG37:AG68" si="8">-SUM(N37:AF37)</f>
        <v>-100</v>
      </c>
      <c r="AH37" s="29">
        <f t="shared" ref="AH37:AH68" si="9">SUM(H37:K37)+AG37+O37</f>
        <v>0</v>
      </c>
    </row>
    <row r="38" spans="1:34" s="30" customFormat="1" ht="21.75" customHeight="1" x14ac:dyDescent="0.2">
      <c r="A38" s="18">
        <v>43270</v>
      </c>
      <c r="B38" s="19"/>
      <c r="C38" s="20" t="s">
        <v>396</v>
      </c>
      <c r="D38" s="20" t="s">
        <v>60</v>
      </c>
      <c r="E38" s="20" t="s">
        <v>397</v>
      </c>
      <c r="F38" s="21">
        <v>648683</v>
      </c>
      <c r="G38" s="22" t="s">
        <v>580</v>
      </c>
      <c r="H38" s="23"/>
      <c r="I38" s="23"/>
      <c r="J38" s="23"/>
      <c r="K38" s="23">
        <v>502.75</v>
      </c>
      <c r="L38" s="24"/>
      <c r="M38" s="25">
        <f t="shared" si="5"/>
        <v>448.88392857142856</v>
      </c>
      <c r="N38" s="25">
        <f t="shared" si="6"/>
        <v>53.866071428571423</v>
      </c>
      <c r="O38" s="25">
        <f t="shared" si="7"/>
        <v>0</v>
      </c>
      <c r="P38" s="25"/>
      <c r="Q38" s="25"/>
      <c r="R38" s="25"/>
      <c r="S38" s="25"/>
      <c r="T38" s="26">
        <v>448.88</v>
      </c>
      <c r="U38" s="26"/>
      <c r="V38" s="26"/>
      <c r="W38" s="26"/>
      <c r="X38" s="26"/>
      <c r="Y38" s="25"/>
      <c r="Z38" s="25"/>
      <c r="AA38" s="25"/>
      <c r="AB38" s="25"/>
      <c r="AC38" s="25"/>
      <c r="AD38" s="25"/>
      <c r="AE38" s="25"/>
      <c r="AF38" s="25"/>
      <c r="AG38" s="25">
        <f t="shared" si="8"/>
        <v>-502.74607142857144</v>
      </c>
      <c r="AH38" s="29">
        <f t="shared" si="9"/>
        <v>3.9285714285597351E-3</v>
      </c>
    </row>
    <row r="39" spans="1:34" s="30" customFormat="1" ht="21.75" customHeight="1" x14ac:dyDescent="0.2">
      <c r="A39" s="18">
        <v>43270</v>
      </c>
      <c r="B39" s="19"/>
      <c r="C39" s="20" t="s">
        <v>396</v>
      </c>
      <c r="D39" s="20" t="s">
        <v>60</v>
      </c>
      <c r="E39" s="20" t="s">
        <v>397</v>
      </c>
      <c r="F39" s="21">
        <v>648683</v>
      </c>
      <c r="G39" s="22" t="s">
        <v>581</v>
      </c>
      <c r="H39" s="23"/>
      <c r="I39" s="23"/>
      <c r="J39" s="23"/>
      <c r="K39" s="23">
        <v>26.25</v>
      </c>
      <c r="L39" s="24"/>
      <c r="M39" s="25">
        <f t="shared" si="5"/>
        <v>23.437499999999996</v>
      </c>
      <c r="N39" s="25">
        <f t="shared" si="6"/>
        <v>2.8124999999999996</v>
      </c>
      <c r="O39" s="25">
        <f t="shared" si="7"/>
        <v>0</v>
      </c>
      <c r="P39" s="25"/>
      <c r="Q39" s="25"/>
      <c r="R39" s="25"/>
      <c r="S39" s="25"/>
      <c r="T39" s="26"/>
      <c r="U39" s="26"/>
      <c r="V39" s="26"/>
      <c r="W39" s="26"/>
      <c r="X39" s="26"/>
      <c r="Y39" s="25"/>
      <c r="Z39" s="25">
        <v>23.44</v>
      </c>
      <c r="AA39" s="25"/>
      <c r="AB39" s="25"/>
      <c r="AC39" s="25"/>
      <c r="AD39" s="25"/>
      <c r="AE39" s="25"/>
      <c r="AF39" s="25"/>
      <c r="AG39" s="25">
        <f t="shared" si="8"/>
        <v>-26.252500000000001</v>
      </c>
      <c r="AH39" s="29">
        <f t="shared" si="9"/>
        <v>-2.500000000001279E-3</v>
      </c>
    </row>
    <row r="40" spans="1:34" s="30" customFormat="1" ht="21.75" customHeight="1" x14ac:dyDescent="0.2">
      <c r="A40" s="18">
        <v>43272</v>
      </c>
      <c r="B40" s="19"/>
      <c r="C40" s="20" t="s">
        <v>276</v>
      </c>
      <c r="D40" s="20" t="s">
        <v>52</v>
      </c>
      <c r="E40" s="20" t="s">
        <v>277</v>
      </c>
      <c r="F40" s="21">
        <v>28007</v>
      </c>
      <c r="G40" s="22" t="s">
        <v>582</v>
      </c>
      <c r="H40" s="23"/>
      <c r="I40" s="23"/>
      <c r="J40" s="23"/>
      <c r="K40" s="23">
        <v>132</v>
      </c>
      <c r="L40" s="24"/>
      <c r="M40" s="25">
        <f t="shared" si="5"/>
        <v>117.85714285714285</v>
      </c>
      <c r="N40" s="25">
        <f t="shared" si="6"/>
        <v>14.142857142857141</v>
      </c>
      <c r="O40" s="25">
        <f t="shared" si="7"/>
        <v>0</v>
      </c>
      <c r="P40" s="25">
        <v>117.86</v>
      </c>
      <c r="Q40" s="25"/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5"/>
      <c r="AD40" s="25"/>
      <c r="AE40" s="25"/>
      <c r="AF40" s="25"/>
      <c r="AG40" s="25">
        <f t="shared" si="8"/>
        <v>-132.00285714285715</v>
      </c>
      <c r="AH40" s="29">
        <f t="shared" si="9"/>
        <v>-2.8571428571524393E-3</v>
      </c>
    </row>
    <row r="41" spans="1:34" s="30" customFormat="1" ht="21.75" customHeight="1" x14ac:dyDescent="0.2">
      <c r="A41" s="18">
        <v>43272</v>
      </c>
      <c r="B41" s="19"/>
      <c r="C41" s="20" t="s">
        <v>396</v>
      </c>
      <c r="D41" s="20" t="s">
        <v>60</v>
      </c>
      <c r="E41" s="20" t="s">
        <v>397</v>
      </c>
      <c r="F41" s="21">
        <v>648977</v>
      </c>
      <c r="G41" s="22" t="s">
        <v>243</v>
      </c>
      <c r="H41" s="23"/>
      <c r="I41" s="23"/>
      <c r="J41" s="23"/>
      <c r="K41" s="23">
        <v>860</v>
      </c>
      <c r="L41" s="24"/>
      <c r="M41" s="25">
        <f t="shared" si="5"/>
        <v>767.85714285714278</v>
      </c>
      <c r="N41" s="25">
        <f t="shared" si="6"/>
        <v>92.142857142857125</v>
      </c>
      <c r="O41" s="25">
        <f t="shared" si="7"/>
        <v>0</v>
      </c>
      <c r="P41" s="25"/>
      <c r="Q41" s="25"/>
      <c r="R41" s="25"/>
      <c r="S41" s="25"/>
      <c r="T41" s="26">
        <v>767.86</v>
      </c>
      <c r="U41" s="26"/>
      <c r="V41" s="26"/>
      <c r="W41" s="26"/>
      <c r="X41" s="26"/>
      <c r="Y41" s="25"/>
      <c r="Z41" s="25"/>
      <c r="AA41" s="25"/>
      <c r="AB41" s="25"/>
      <c r="AC41" s="25"/>
      <c r="AD41" s="25"/>
      <c r="AE41" s="25"/>
      <c r="AF41" s="25"/>
      <c r="AG41" s="25">
        <f t="shared" si="8"/>
        <v>-860.00285714285712</v>
      </c>
      <c r="AH41" s="29">
        <f t="shared" si="9"/>
        <v>-2.8571428571240176E-3</v>
      </c>
    </row>
    <row r="42" spans="1:34" s="30" customFormat="1" ht="21.75" customHeight="1" x14ac:dyDescent="0.2">
      <c r="A42" s="18">
        <v>43273</v>
      </c>
      <c r="B42" s="19"/>
      <c r="C42" s="20" t="s">
        <v>583</v>
      </c>
      <c r="D42" s="20" t="s">
        <v>76</v>
      </c>
      <c r="E42" s="20" t="s">
        <v>120</v>
      </c>
      <c r="F42" s="21">
        <v>29128</v>
      </c>
      <c r="G42" s="22" t="s">
        <v>451</v>
      </c>
      <c r="H42" s="23"/>
      <c r="I42" s="23"/>
      <c r="J42" s="23"/>
      <c r="K42" s="23">
        <v>454.52</v>
      </c>
      <c r="L42" s="24"/>
      <c r="M42" s="25">
        <f t="shared" si="5"/>
        <v>405.8214285714285</v>
      </c>
      <c r="N42" s="25">
        <f t="shared" si="6"/>
        <v>48.69857142857142</v>
      </c>
      <c r="O42" s="25">
        <f t="shared" si="7"/>
        <v>0</v>
      </c>
      <c r="P42" s="25">
        <v>405.82</v>
      </c>
      <c r="Q42" s="25"/>
      <c r="R42" s="25"/>
      <c r="S42" s="25"/>
      <c r="T42" s="26"/>
      <c r="U42" s="26"/>
      <c r="V42" s="26"/>
      <c r="W42" s="26"/>
      <c r="X42" s="26"/>
      <c r="Y42" s="25"/>
      <c r="Z42" s="25"/>
      <c r="AA42" s="25"/>
      <c r="AB42" s="25"/>
      <c r="AC42" s="25"/>
      <c r="AD42" s="25"/>
      <c r="AE42" s="25"/>
      <c r="AF42" s="25"/>
      <c r="AG42" s="25">
        <f t="shared" si="8"/>
        <v>-454.51857142857142</v>
      </c>
      <c r="AH42" s="29">
        <f t="shared" si="9"/>
        <v>1.4285714285620088E-3</v>
      </c>
    </row>
    <row r="43" spans="1:34" s="30" customFormat="1" ht="21.75" customHeight="1" x14ac:dyDescent="0.2">
      <c r="A43" s="18">
        <v>43273</v>
      </c>
      <c r="B43" s="19"/>
      <c r="C43" s="20" t="s">
        <v>63</v>
      </c>
      <c r="D43" s="20" t="s">
        <v>64</v>
      </c>
      <c r="E43" s="20" t="s">
        <v>65</v>
      </c>
      <c r="F43" s="21">
        <v>111939</v>
      </c>
      <c r="G43" s="22" t="s">
        <v>584</v>
      </c>
      <c r="H43" s="23"/>
      <c r="I43" s="23"/>
      <c r="J43" s="23"/>
      <c r="K43" s="23">
        <f>587.72+70.53</f>
        <v>658.25</v>
      </c>
      <c r="L43" s="24"/>
      <c r="M43" s="25">
        <f t="shared" si="5"/>
        <v>587.72321428571422</v>
      </c>
      <c r="N43" s="25">
        <f t="shared" si="6"/>
        <v>70.526785714285708</v>
      </c>
      <c r="O43" s="25">
        <f t="shared" si="7"/>
        <v>0</v>
      </c>
      <c r="P43" s="25">
        <v>587.72</v>
      </c>
      <c r="Q43" s="25"/>
      <c r="R43" s="25"/>
      <c r="S43" s="25"/>
      <c r="T43" s="26"/>
      <c r="U43" s="26"/>
      <c r="V43" s="26"/>
      <c r="W43" s="26"/>
      <c r="X43" s="26"/>
      <c r="Y43" s="25"/>
      <c r="Z43" s="25"/>
      <c r="AA43" s="25"/>
      <c r="AB43" s="25"/>
      <c r="AC43" s="25"/>
      <c r="AD43" s="25"/>
      <c r="AE43" s="25"/>
      <c r="AF43" s="25"/>
      <c r="AG43" s="25">
        <f t="shared" si="8"/>
        <v>-658.24678571428569</v>
      </c>
      <c r="AH43" s="29">
        <f t="shared" si="9"/>
        <v>3.2142857143071524E-3</v>
      </c>
    </row>
    <row r="44" spans="1:34" s="30" customFormat="1" ht="21.75" customHeight="1" x14ac:dyDescent="0.2">
      <c r="A44" s="18">
        <v>43273</v>
      </c>
      <c r="B44" s="19"/>
      <c r="C44" s="20" t="s">
        <v>63</v>
      </c>
      <c r="D44" s="20" t="s">
        <v>64</v>
      </c>
      <c r="E44" s="20" t="s">
        <v>65</v>
      </c>
      <c r="F44" s="21">
        <v>111939</v>
      </c>
      <c r="G44" s="22" t="s">
        <v>585</v>
      </c>
      <c r="H44" s="23"/>
      <c r="I44" s="23"/>
      <c r="J44" s="23">
        <v>671.5</v>
      </c>
      <c r="K44" s="23"/>
      <c r="L44" s="24"/>
      <c r="M44" s="25">
        <f t="shared" si="5"/>
        <v>671.5</v>
      </c>
      <c r="N44" s="25">
        <f t="shared" si="6"/>
        <v>0</v>
      </c>
      <c r="O44" s="25">
        <f t="shared" si="7"/>
        <v>0</v>
      </c>
      <c r="P44" s="25">
        <v>671.5</v>
      </c>
      <c r="Q44" s="25"/>
      <c r="R44" s="25"/>
      <c r="S44" s="25"/>
      <c r="T44" s="26"/>
      <c r="U44" s="26"/>
      <c r="V44" s="26"/>
      <c r="W44" s="26"/>
      <c r="X44" s="26"/>
      <c r="Y44" s="25"/>
      <c r="Z44" s="25"/>
      <c r="AA44" s="25"/>
      <c r="AB44" s="25"/>
      <c r="AC44" s="25"/>
      <c r="AD44" s="25"/>
      <c r="AE44" s="25"/>
      <c r="AF44" s="25"/>
      <c r="AG44" s="25">
        <f t="shared" si="8"/>
        <v>-671.5</v>
      </c>
      <c r="AH44" s="29">
        <f t="shared" si="9"/>
        <v>0</v>
      </c>
    </row>
    <row r="45" spans="1:34" s="30" customFormat="1" ht="21.75" customHeight="1" x14ac:dyDescent="0.2">
      <c r="A45" s="18">
        <v>43273</v>
      </c>
      <c r="B45" s="19"/>
      <c r="C45" s="20" t="s">
        <v>276</v>
      </c>
      <c r="D45" s="20" t="s">
        <v>52</v>
      </c>
      <c r="E45" s="20" t="s">
        <v>277</v>
      </c>
      <c r="F45" s="21">
        <v>28036</v>
      </c>
      <c r="G45" s="22" t="s">
        <v>586</v>
      </c>
      <c r="H45" s="23"/>
      <c r="I45" s="23"/>
      <c r="J45" s="23"/>
      <c r="K45" s="23">
        <v>265.2</v>
      </c>
      <c r="L45" s="24"/>
      <c r="M45" s="25">
        <f t="shared" si="5"/>
        <v>236.78571428571425</v>
      </c>
      <c r="N45" s="25">
        <f t="shared" si="6"/>
        <v>28.414285714285707</v>
      </c>
      <c r="O45" s="25">
        <f t="shared" si="7"/>
        <v>0</v>
      </c>
      <c r="P45" s="25">
        <v>236.79</v>
      </c>
      <c r="Q45" s="25"/>
      <c r="R45" s="25"/>
      <c r="S45" s="25"/>
      <c r="T45" s="26"/>
      <c r="U45" s="26"/>
      <c r="V45" s="26"/>
      <c r="W45" s="26"/>
      <c r="X45" s="26"/>
      <c r="Y45" s="25"/>
      <c r="Z45" s="25"/>
      <c r="AA45" s="25"/>
      <c r="AB45" s="25"/>
      <c r="AC45" s="25"/>
      <c r="AD45" s="25"/>
      <c r="AE45" s="25"/>
      <c r="AF45" s="25"/>
      <c r="AG45" s="25">
        <f t="shared" si="8"/>
        <v>-265.20428571428567</v>
      </c>
      <c r="AH45" s="29">
        <f t="shared" si="9"/>
        <v>-4.2857142856860264E-3</v>
      </c>
    </row>
    <row r="46" spans="1:34" s="30" customFormat="1" ht="21.75" customHeight="1" x14ac:dyDescent="0.2">
      <c r="A46" s="18">
        <v>43273</v>
      </c>
      <c r="B46" s="19"/>
      <c r="C46" s="20" t="s">
        <v>276</v>
      </c>
      <c r="D46" s="20" t="s">
        <v>52</v>
      </c>
      <c r="E46" s="20" t="s">
        <v>277</v>
      </c>
      <c r="F46" s="21">
        <v>28057</v>
      </c>
      <c r="G46" s="22" t="s">
        <v>587</v>
      </c>
      <c r="H46" s="23"/>
      <c r="I46" s="23"/>
      <c r="J46" s="23"/>
      <c r="K46" s="23">
        <v>77.75</v>
      </c>
      <c r="L46" s="24"/>
      <c r="M46" s="25">
        <f t="shared" si="5"/>
        <v>69.419642857142847</v>
      </c>
      <c r="N46" s="25">
        <f t="shared" si="6"/>
        <v>8.3303571428571406</v>
      </c>
      <c r="O46" s="25">
        <f t="shared" si="7"/>
        <v>0</v>
      </c>
      <c r="P46" s="25">
        <v>69.42</v>
      </c>
      <c r="Q46" s="25"/>
      <c r="R46" s="25"/>
      <c r="S46" s="25"/>
      <c r="T46" s="26"/>
      <c r="U46" s="26"/>
      <c r="V46" s="26"/>
      <c r="W46" s="26"/>
      <c r="X46" s="26"/>
      <c r="Y46" s="25"/>
      <c r="Z46" s="25"/>
      <c r="AA46" s="25"/>
      <c r="AB46" s="25"/>
      <c r="AC46" s="25"/>
      <c r="AD46" s="25"/>
      <c r="AE46" s="25"/>
      <c r="AF46" s="25"/>
      <c r="AG46" s="25">
        <f t="shared" si="8"/>
        <v>-77.750357142857141</v>
      </c>
      <c r="AH46" s="29">
        <f t="shared" si="9"/>
        <v>-3.571428571405022E-4</v>
      </c>
    </row>
    <row r="47" spans="1:34" s="30" customFormat="1" ht="21.75" customHeight="1" x14ac:dyDescent="0.2">
      <c r="A47" s="18">
        <v>43273</v>
      </c>
      <c r="B47" s="19"/>
      <c r="C47" s="20" t="s">
        <v>588</v>
      </c>
      <c r="D47" s="20"/>
      <c r="E47" s="20"/>
      <c r="F47" s="21"/>
      <c r="G47" s="22" t="s">
        <v>189</v>
      </c>
      <c r="H47" s="23">
        <v>500</v>
      </c>
      <c r="I47" s="23"/>
      <c r="J47" s="23"/>
      <c r="K47" s="23"/>
      <c r="L47" s="24"/>
      <c r="M47" s="25">
        <f t="shared" si="5"/>
        <v>500</v>
      </c>
      <c r="N47" s="25">
        <f t="shared" si="6"/>
        <v>0</v>
      </c>
      <c r="O47" s="25">
        <f t="shared" si="7"/>
        <v>0</v>
      </c>
      <c r="P47" s="25"/>
      <c r="Q47" s="25"/>
      <c r="R47" s="25"/>
      <c r="S47" s="25"/>
      <c r="T47" s="26"/>
      <c r="U47" s="26"/>
      <c r="V47" s="26"/>
      <c r="W47" s="26"/>
      <c r="X47" s="26"/>
      <c r="Y47" s="25"/>
      <c r="Z47" s="25"/>
      <c r="AA47" s="25"/>
      <c r="AB47" s="25"/>
      <c r="AC47" s="25"/>
      <c r="AD47" s="25">
        <v>500</v>
      </c>
      <c r="AE47" s="25"/>
      <c r="AF47" s="25"/>
      <c r="AG47" s="25">
        <f t="shared" si="8"/>
        <v>-500</v>
      </c>
      <c r="AH47" s="29">
        <f t="shared" si="9"/>
        <v>0</v>
      </c>
    </row>
    <row r="48" spans="1:34" s="30" customFormat="1" ht="21.75" customHeight="1" x14ac:dyDescent="0.2">
      <c r="A48" s="18">
        <v>43273</v>
      </c>
      <c r="B48" s="19"/>
      <c r="C48" s="20" t="s">
        <v>349</v>
      </c>
      <c r="D48" s="20" t="s">
        <v>589</v>
      </c>
      <c r="E48" s="20" t="s">
        <v>56</v>
      </c>
      <c r="F48" s="21">
        <v>1168</v>
      </c>
      <c r="G48" s="22" t="s">
        <v>590</v>
      </c>
      <c r="H48" s="23"/>
      <c r="I48" s="23"/>
      <c r="J48" s="23"/>
      <c r="K48" s="23">
        <v>740</v>
      </c>
      <c r="L48" s="24"/>
      <c r="M48" s="25">
        <f t="shared" si="5"/>
        <v>660.71428571428567</v>
      </c>
      <c r="N48" s="25">
        <f t="shared" si="6"/>
        <v>79.285714285714278</v>
      </c>
      <c r="O48" s="25">
        <f t="shared" si="7"/>
        <v>0</v>
      </c>
      <c r="P48" s="25"/>
      <c r="Q48" s="25"/>
      <c r="R48" s="25"/>
      <c r="S48" s="25"/>
      <c r="T48" s="26"/>
      <c r="U48" s="26"/>
      <c r="V48" s="26"/>
      <c r="W48" s="26"/>
      <c r="X48" s="26"/>
      <c r="Y48" s="25"/>
      <c r="Z48" s="25">
        <v>660.71</v>
      </c>
      <c r="AA48" s="25"/>
      <c r="AB48" s="25"/>
      <c r="AC48" s="25"/>
      <c r="AD48" s="25"/>
      <c r="AE48" s="25"/>
      <c r="AF48" s="25"/>
      <c r="AG48" s="25">
        <f t="shared" si="8"/>
        <v>-739.99571428571426</v>
      </c>
      <c r="AH48" s="29">
        <f t="shared" si="9"/>
        <v>4.2857142857428698E-3</v>
      </c>
    </row>
    <row r="49" spans="1:34" s="46" customFormat="1" ht="21.75" customHeight="1" x14ac:dyDescent="0.2">
      <c r="A49" s="33">
        <v>43273</v>
      </c>
      <c r="B49" s="34"/>
      <c r="C49" s="36" t="s">
        <v>96</v>
      </c>
      <c r="D49" s="36"/>
      <c r="E49" s="36"/>
      <c r="F49" s="37"/>
      <c r="G49" s="38" t="s">
        <v>591</v>
      </c>
      <c r="H49" s="39">
        <v>25</v>
      </c>
      <c r="I49" s="39"/>
      <c r="J49" s="39"/>
      <c r="K49" s="39"/>
      <c r="L49" s="40"/>
      <c r="M49" s="41">
        <f t="shared" si="5"/>
        <v>25</v>
      </c>
      <c r="N49" s="41">
        <f t="shared" si="6"/>
        <v>0</v>
      </c>
      <c r="O49" s="41">
        <f t="shared" si="7"/>
        <v>0</v>
      </c>
      <c r="P49" s="41"/>
      <c r="Q49" s="41"/>
      <c r="R49" s="41"/>
      <c r="S49" s="41"/>
      <c r="T49" s="42"/>
      <c r="U49" s="42"/>
      <c r="V49" s="42"/>
      <c r="W49" s="42"/>
      <c r="X49" s="42"/>
      <c r="Y49" s="41"/>
      <c r="Z49" s="41"/>
      <c r="AA49" s="41">
        <v>25</v>
      </c>
      <c r="AB49" s="41"/>
      <c r="AC49" s="41"/>
      <c r="AD49" s="41"/>
      <c r="AE49" s="41"/>
      <c r="AF49" s="41"/>
      <c r="AG49" s="41">
        <f t="shared" si="8"/>
        <v>-25</v>
      </c>
      <c r="AH49" s="45">
        <f t="shared" si="9"/>
        <v>0</v>
      </c>
    </row>
    <row r="50" spans="1:34" s="72" customFormat="1" ht="21" customHeight="1" x14ac:dyDescent="0.2">
      <c r="A50" s="65">
        <v>43273</v>
      </c>
      <c r="B50" s="66"/>
      <c r="C50" s="20" t="s">
        <v>276</v>
      </c>
      <c r="D50" s="20" t="s">
        <v>52</v>
      </c>
      <c r="E50" s="20" t="s">
        <v>277</v>
      </c>
      <c r="F50" s="21">
        <v>28063</v>
      </c>
      <c r="G50" s="21" t="s">
        <v>592</v>
      </c>
      <c r="H50" s="67"/>
      <c r="I50" s="67"/>
      <c r="J50" s="67"/>
      <c r="K50" s="67">
        <v>105</v>
      </c>
      <c r="L50" s="68"/>
      <c r="M50" s="69">
        <f t="shared" si="5"/>
        <v>93.749999999999986</v>
      </c>
      <c r="N50" s="69">
        <f t="shared" si="6"/>
        <v>11.249999999999998</v>
      </c>
      <c r="O50" s="69">
        <f t="shared" si="7"/>
        <v>0</v>
      </c>
      <c r="P50" s="69">
        <v>93.75</v>
      </c>
      <c r="Q50" s="69"/>
      <c r="R50" s="69"/>
      <c r="S50" s="69"/>
      <c r="T50" s="70"/>
      <c r="U50" s="70"/>
      <c r="V50" s="70"/>
      <c r="W50" s="70"/>
      <c r="X50" s="70"/>
      <c r="Y50" s="69"/>
      <c r="Z50" s="69"/>
      <c r="AA50" s="69"/>
      <c r="AB50" s="69"/>
      <c r="AC50" s="70"/>
      <c r="AD50" s="70"/>
      <c r="AE50" s="71"/>
      <c r="AF50" s="71"/>
      <c r="AG50" s="69">
        <f t="shared" si="8"/>
        <v>-105</v>
      </c>
      <c r="AH50" s="29">
        <f t="shared" si="9"/>
        <v>0</v>
      </c>
    </row>
    <row r="51" spans="1:34" s="72" customFormat="1" ht="21" customHeight="1" x14ac:dyDescent="0.2">
      <c r="A51" s="65">
        <v>43276</v>
      </c>
      <c r="B51" s="66"/>
      <c r="C51" s="20" t="s">
        <v>276</v>
      </c>
      <c r="D51" s="20" t="s">
        <v>52</v>
      </c>
      <c r="E51" s="20" t="s">
        <v>277</v>
      </c>
      <c r="F51" s="21">
        <v>28090</v>
      </c>
      <c r="G51" s="22" t="s">
        <v>593</v>
      </c>
      <c r="H51" s="67"/>
      <c r="I51" s="67"/>
      <c r="J51" s="67"/>
      <c r="K51" s="67">
        <v>280</v>
      </c>
      <c r="L51" s="68"/>
      <c r="M51" s="69">
        <f t="shared" si="5"/>
        <v>249.99999999999997</v>
      </c>
      <c r="N51" s="69">
        <f t="shared" si="6"/>
        <v>29.999999999999996</v>
      </c>
      <c r="O51" s="69">
        <f t="shared" si="7"/>
        <v>0</v>
      </c>
      <c r="P51" s="69">
        <v>250</v>
      </c>
      <c r="Q51" s="69"/>
      <c r="R51" s="69"/>
      <c r="S51" s="69"/>
      <c r="T51" s="70"/>
      <c r="U51" s="70"/>
      <c r="V51" s="70"/>
      <c r="W51" s="70"/>
      <c r="X51" s="70"/>
      <c r="Y51" s="69"/>
      <c r="Z51" s="69"/>
      <c r="AA51" s="69"/>
      <c r="AB51" s="69"/>
      <c r="AC51" s="70"/>
      <c r="AD51" s="70"/>
      <c r="AE51" s="71"/>
      <c r="AF51" s="71"/>
      <c r="AG51" s="69">
        <f t="shared" si="8"/>
        <v>-280</v>
      </c>
      <c r="AH51" s="29">
        <f t="shared" si="9"/>
        <v>0</v>
      </c>
    </row>
    <row r="52" spans="1:34" s="72" customFormat="1" ht="21" customHeight="1" x14ac:dyDescent="0.2">
      <c r="A52" s="65">
        <v>43276</v>
      </c>
      <c r="B52" s="66"/>
      <c r="C52" s="20" t="s">
        <v>41</v>
      </c>
      <c r="D52" s="20" t="s">
        <v>88</v>
      </c>
      <c r="E52" s="20" t="s">
        <v>43</v>
      </c>
      <c r="F52" s="21">
        <v>2485</v>
      </c>
      <c r="G52" s="22" t="s">
        <v>594</v>
      </c>
      <c r="H52" s="67"/>
      <c r="I52" s="67"/>
      <c r="J52" s="67">
        <v>905</v>
      </c>
      <c r="K52" s="67"/>
      <c r="L52" s="68"/>
      <c r="M52" s="69">
        <f t="shared" si="5"/>
        <v>905</v>
      </c>
      <c r="N52" s="69">
        <f t="shared" si="6"/>
        <v>0</v>
      </c>
      <c r="O52" s="69">
        <f t="shared" si="7"/>
        <v>0</v>
      </c>
      <c r="P52" s="69">
        <v>905</v>
      </c>
      <c r="Q52" s="69"/>
      <c r="R52" s="69"/>
      <c r="S52" s="69"/>
      <c r="T52" s="70"/>
      <c r="U52" s="70"/>
      <c r="V52" s="70"/>
      <c r="W52" s="70"/>
      <c r="X52" s="70"/>
      <c r="Y52" s="69"/>
      <c r="Z52" s="69"/>
      <c r="AA52" s="69"/>
      <c r="AB52" s="69"/>
      <c r="AC52" s="70"/>
      <c r="AD52" s="70"/>
      <c r="AE52" s="71"/>
      <c r="AF52" s="71"/>
      <c r="AG52" s="69">
        <f t="shared" si="8"/>
        <v>-905</v>
      </c>
      <c r="AH52" s="29">
        <f t="shared" si="9"/>
        <v>0</v>
      </c>
    </row>
    <row r="53" spans="1:34" s="72" customFormat="1" ht="21" customHeight="1" x14ac:dyDescent="0.2">
      <c r="A53" s="65">
        <v>43277</v>
      </c>
      <c r="B53" s="66"/>
      <c r="C53" s="20" t="s">
        <v>104</v>
      </c>
      <c r="D53" s="20" t="s">
        <v>105</v>
      </c>
      <c r="E53" s="20" t="s">
        <v>146</v>
      </c>
      <c r="F53" s="21">
        <v>202234</v>
      </c>
      <c r="G53" s="22" t="s">
        <v>107</v>
      </c>
      <c r="H53" s="67"/>
      <c r="I53" s="67"/>
      <c r="J53" s="67"/>
      <c r="K53" s="67">
        <v>627.35</v>
      </c>
      <c r="L53" s="68"/>
      <c r="M53" s="69">
        <f t="shared" si="5"/>
        <v>560.13392857142856</v>
      </c>
      <c r="N53" s="69">
        <f t="shared" si="6"/>
        <v>67.216071428571425</v>
      </c>
      <c r="O53" s="69">
        <f t="shared" si="7"/>
        <v>0</v>
      </c>
      <c r="P53" s="69">
        <v>560.13</v>
      </c>
      <c r="Q53" s="69"/>
      <c r="R53" s="69"/>
      <c r="S53" s="69"/>
      <c r="T53" s="70"/>
      <c r="U53" s="70"/>
      <c r="V53" s="70"/>
      <c r="W53" s="70"/>
      <c r="X53" s="70"/>
      <c r="Y53" s="69"/>
      <c r="Z53" s="69"/>
      <c r="AA53" s="69"/>
      <c r="AB53" s="69"/>
      <c r="AC53" s="70"/>
      <c r="AD53" s="70"/>
      <c r="AE53" s="71"/>
      <c r="AF53" s="71"/>
      <c r="AG53" s="69">
        <f t="shared" si="8"/>
        <v>-627.34607142857146</v>
      </c>
      <c r="AH53" s="29">
        <f t="shared" si="9"/>
        <v>3.9285714285597351E-3</v>
      </c>
    </row>
    <row r="54" spans="1:34" s="72" customFormat="1" ht="21" customHeight="1" x14ac:dyDescent="0.2">
      <c r="A54" s="65">
        <v>43277</v>
      </c>
      <c r="B54" s="66"/>
      <c r="C54" s="20" t="s">
        <v>68</v>
      </c>
      <c r="D54" s="20"/>
      <c r="E54" s="20"/>
      <c r="F54" s="21"/>
      <c r="G54" s="22" t="s">
        <v>595</v>
      </c>
      <c r="H54" s="67">
        <v>40</v>
      </c>
      <c r="I54" s="67"/>
      <c r="J54" s="67"/>
      <c r="K54" s="67"/>
      <c r="L54" s="68"/>
      <c r="M54" s="69">
        <f t="shared" si="5"/>
        <v>40</v>
      </c>
      <c r="N54" s="69">
        <f t="shared" si="6"/>
        <v>0</v>
      </c>
      <c r="O54" s="69">
        <f t="shared" si="7"/>
        <v>0</v>
      </c>
      <c r="P54" s="69"/>
      <c r="Q54" s="69"/>
      <c r="R54" s="69"/>
      <c r="S54" s="69"/>
      <c r="T54" s="70"/>
      <c r="U54" s="70"/>
      <c r="V54" s="70"/>
      <c r="W54" s="70"/>
      <c r="X54" s="70"/>
      <c r="Y54" s="69"/>
      <c r="Z54" s="69"/>
      <c r="AA54" s="69">
        <v>40</v>
      </c>
      <c r="AB54" s="69"/>
      <c r="AC54" s="70"/>
      <c r="AD54" s="70"/>
      <c r="AE54" s="71"/>
      <c r="AF54" s="71"/>
      <c r="AG54" s="69">
        <f t="shared" si="8"/>
        <v>-40</v>
      </c>
      <c r="AH54" s="29">
        <f t="shared" si="9"/>
        <v>0</v>
      </c>
    </row>
    <row r="55" spans="1:34" s="72" customFormat="1" ht="21" customHeight="1" x14ac:dyDescent="0.2">
      <c r="A55" s="65">
        <v>43278</v>
      </c>
      <c r="B55" s="66"/>
      <c r="C55" s="20" t="s">
        <v>276</v>
      </c>
      <c r="D55" s="20" t="s">
        <v>52</v>
      </c>
      <c r="E55" s="20" t="s">
        <v>277</v>
      </c>
      <c r="F55" s="21">
        <v>30586</v>
      </c>
      <c r="G55" s="22" t="s">
        <v>567</v>
      </c>
      <c r="H55" s="67"/>
      <c r="I55" s="67"/>
      <c r="J55" s="67"/>
      <c r="K55" s="67">
        <v>132</v>
      </c>
      <c r="L55" s="68"/>
      <c r="M55" s="69">
        <f t="shared" si="5"/>
        <v>117.85714285714285</v>
      </c>
      <c r="N55" s="69">
        <f t="shared" si="6"/>
        <v>14.142857142857141</v>
      </c>
      <c r="O55" s="69">
        <f t="shared" si="7"/>
        <v>0</v>
      </c>
      <c r="P55" s="69"/>
      <c r="Q55" s="69"/>
      <c r="R55" s="69">
        <v>117.86</v>
      </c>
      <c r="S55" s="69"/>
      <c r="T55" s="70"/>
      <c r="U55" s="70"/>
      <c r="V55" s="70"/>
      <c r="W55" s="70"/>
      <c r="X55" s="70"/>
      <c r="Y55" s="69"/>
      <c r="Z55" s="69"/>
      <c r="AA55" s="69"/>
      <c r="AB55" s="69"/>
      <c r="AC55" s="70"/>
      <c r="AD55" s="70"/>
      <c r="AE55" s="71"/>
      <c r="AF55" s="71"/>
      <c r="AG55" s="69">
        <f t="shared" si="8"/>
        <v>-132.00285714285715</v>
      </c>
      <c r="AH55" s="29">
        <f t="shared" si="9"/>
        <v>-2.8571428571524393E-3</v>
      </c>
    </row>
    <row r="56" spans="1:34" s="72" customFormat="1" ht="21" customHeight="1" x14ac:dyDescent="0.2">
      <c r="A56" s="65">
        <v>43278</v>
      </c>
      <c r="B56" s="66"/>
      <c r="C56" s="20" t="s">
        <v>276</v>
      </c>
      <c r="D56" s="20" t="s">
        <v>52</v>
      </c>
      <c r="E56" s="20" t="s">
        <v>277</v>
      </c>
      <c r="F56" s="21">
        <v>30567</v>
      </c>
      <c r="G56" s="22" t="s">
        <v>596</v>
      </c>
      <c r="H56" s="67"/>
      <c r="I56" s="67"/>
      <c r="J56" s="67"/>
      <c r="K56" s="67">
        <v>217.75</v>
      </c>
      <c r="L56" s="68"/>
      <c r="M56" s="69">
        <f t="shared" si="5"/>
        <v>194.41964285714283</v>
      </c>
      <c r="N56" s="69">
        <f t="shared" si="6"/>
        <v>23.330357142857139</v>
      </c>
      <c r="O56" s="69">
        <f t="shared" si="7"/>
        <v>0</v>
      </c>
      <c r="P56" s="69">
        <v>194.42</v>
      </c>
      <c r="Q56" s="69"/>
      <c r="R56" s="69"/>
      <c r="S56" s="69"/>
      <c r="T56" s="70"/>
      <c r="U56" s="70"/>
      <c r="V56" s="70"/>
      <c r="W56" s="70"/>
      <c r="X56" s="70"/>
      <c r="Y56" s="69"/>
      <c r="Z56" s="69"/>
      <c r="AA56" s="69"/>
      <c r="AB56" s="69"/>
      <c r="AC56" s="70"/>
      <c r="AD56" s="70"/>
      <c r="AE56" s="71"/>
      <c r="AF56" s="71"/>
      <c r="AG56" s="69">
        <f t="shared" si="8"/>
        <v>-217.75035714285713</v>
      </c>
      <c r="AH56" s="29">
        <f t="shared" si="9"/>
        <v>-3.5714285712629135E-4</v>
      </c>
    </row>
    <row r="57" spans="1:34" s="72" customFormat="1" ht="21" customHeight="1" x14ac:dyDescent="0.2">
      <c r="A57" s="65">
        <v>43278</v>
      </c>
      <c r="B57" s="66"/>
      <c r="C57" s="20" t="s">
        <v>284</v>
      </c>
      <c r="D57" s="20" t="s">
        <v>184</v>
      </c>
      <c r="E57" s="20" t="s">
        <v>120</v>
      </c>
      <c r="F57" s="21">
        <v>161318</v>
      </c>
      <c r="G57" s="22" t="s">
        <v>597</v>
      </c>
      <c r="H57" s="67"/>
      <c r="I57" s="67"/>
      <c r="J57" s="67"/>
      <c r="K57" s="67">
        <v>120</v>
      </c>
      <c r="L57" s="68"/>
      <c r="M57" s="69">
        <f t="shared" si="5"/>
        <v>107.14285714285714</v>
      </c>
      <c r="N57" s="69">
        <f t="shared" si="6"/>
        <v>12.857142857142856</v>
      </c>
      <c r="O57" s="69">
        <f t="shared" si="7"/>
        <v>0</v>
      </c>
      <c r="P57" s="69"/>
      <c r="Q57" s="69"/>
      <c r="R57" s="69"/>
      <c r="S57" s="69"/>
      <c r="T57" s="70"/>
      <c r="U57" s="70"/>
      <c r="V57" s="70"/>
      <c r="W57" s="70"/>
      <c r="X57" s="70"/>
      <c r="Y57" s="69"/>
      <c r="Z57" s="69">
        <v>107.14</v>
      </c>
      <c r="AA57" s="69"/>
      <c r="AB57" s="69"/>
      <c r="AC57" s="70"/>
      <c r="AD57" s="70"/>
      <c r="AE57" s="71"/>
      <c r="AF57" s="71"/>
      <c r="AG57" s="69">
        <f t="shared" si="8"/>
        <v>-119.99714285714286</v>
      </c>
      <c r="AH57" s="29">
        <f t="shared" si="9"/>
        <v>2.8571428571382285E-3</v>
      </c>
    </row>
    <row r="58" spans="1:34" s="72" customFormat="1" ht="21" customHeight="1" x14ac:dyDescent="0.2">
      <c r="A58" s="65">
        <v>43279</v>
      </c>
      <c r="B58" s="66"/>
      <c r="C58" s="20" t="s">
        <v>41</v>
      </c>
      <c r="D58" s="20" t="s">
        <v>88</v>
      </c>
      <c r="E58" s="20" t="s">
        <v>43</v>
      </c>
      <c r="F58" s="73">
        <v>2490</v>
      </c>
      <c r="G58" s="22" t="s">
        <v>598</v>
      </c>
      <c r="H58" s="67"/>
      <c r="I58" s="67"/>
      <c r="J58" s="67">
        <v>980</v>
      </c>
      <c r="K58" s="67"/>
      <c r="L58" s="68"/>
      <c r="M58" s="69">
        <f t="shared" si="5"/>
        <v>980</v>
      </c>
      <c r="N58" s="69">
        <f t="shared" si="6"/>
        <v>0</v>
      </c>
      <c r="O58" s="69">
        <f t="shared" si="7"/>
        <v>0</v>
      </c>
      <c r="P58" s="69">
        <v>980</v>
      </c>
      <c r="Q58" s="69"/>
      <c r="R58" s="69"/>
      <c r="S58" s="69"/>
      <c r="T58" s="70"/>
      <c r="U58" s="70"/>
      <c r="V58" s="70"/>
      <c r="W58" s="70"/>
      <c r="X58" s="70"/>
      <c r="Y58" s="69"/>
      <c r="Z58" s="69"/>
      <c r="AA58" s="69"/>
      <c r="AB58" s="69"/>
      <c r="AC58" s="70"/>
      <c r="AD58" s="70"/>
      <c r="AE58" s="71"/>
      <c r="AF58" s="71"/>
      <c r="AG58" s="69">
        <f t="shared" si="8"/>
        <v>-980</v>
      </c>
      <c r="AH58" s="29">
        <f t="shared" si="9"/>
        <v>0</v>
      </c>
    </row>
    <row r="59" spans="1:34" s="72" customFormat="1" ht="24" customHeight="1" x14ac:dyDescent="0.2">
      <c r="A59" s="65">
        <v>43279</v>
      </c>
      <c r="B59" s="66"/>
      <c r="C59" s="20" t="s">
        <v>45</v>
      </c>
      <c r="D59" s="20"/>
      <c r="E59" s="20"/>
      <c r="F59" s="21"/>
      <c r="G59" s="22" t="s">
        <v>599</v>
      </c>
      <c r="H59" s="67">
        <v>100</v>
      </c>
      <c r="I59" s="67"/>
      <c r="J59" s="67"/>
      <c r="K59" s="67"/>
      <c r="L59" s="68"/>
      <c r="M59" s="69">
        <f t="shared" si="5"/>
        <v>100</v>
      </c>
      <c r="N59" s="69">
        <f t="shared" si="6"/>
        <v>0</v>
      </c>
      <c r="O59" s="69">
        <f t="shared" si="7"/>
        <v>0</v>
      </c>
      <c r="P59" s="69"/>
      <c r="Q59" s="69"/>
      <c r="R59" s="69"/>
      <c r="S59" s="69"/>
      <c r="T59" s="70"/>
      <c r="U59" s="70"/>
      <c r="V59" s="70"/>
      <c r="W59" s="70"/>
      <c r="X59" s="70"/>
      <c r="Y59" s="69"/>
      <c r="Z59" s="69"/>
      <c r="AA59" s="69">
        <v>100</v>
      </c>
      <c r="AB59" s="69"/>
      <c r="AC59" s="70"/>
      <c r="AD59" s="70"/>
      <c r="AE59" s="71"/>
      <c r="AF59" s="71"/>
      <c r="AG59" s="69">
        <f t="shared" si="8"/>
        <v>-100</v>
      </c>
      <c r="AH59" s="29">
        <f t="shared" si="9"/>
        <v>0</v>
      </c>
    </row>
    <row r="60" spans="1:34" s="72" customFormat="1" ht="21" customHeight="1" x14ac:dyDescent="0.2">
      <c r="A60" s="65">
        <v>43279</v>
      </c>
      <c r="B60" s="66"/>
      <c r="C60" s="20" t="s">
        <v>63</v>
      </c>
      <c r="D60" s="20" t="s">
        <v>64</v>
      </c>
      <c r="E60" s="20" t="s">
        <v>65</v>
      </c>
      <c r="F60" s="21">
        <v>101759</v>
      </c>
      <c r="G60" s="21" t="s">
        <v>600</v>
      </c>
      <c r="H60" s="67"/>
      <c r="I60" s="67"/>
      <c r="J60" s="67"/>
      <c r="K60" s="67">
        <f>2337.46+280.49</f>
        <v>2617.9499999999998</v>
      </c>
      <c r="L60" s="68"/>
      <c r="M60" s="69">
        <f t="shared" si="5"/>
        <v>2337.4553571428569</v>
      </c>
      <c r="N60" s="69">
        <f t="shared" si="6"/>
        <v>280.49464285714282</v>
      </c>
      <c r="O60" s="69">
        <f t="shared" si="7"/>
        <v>0</v>
      </c>
      <c r="P60" s="69">
        <v>2337.46</v>
      </c>
      <c r="Q60" s="69"/>
      <c r="R60" s="69"/>
      <c r="S60" s="69"/>
      <c r="T60" s="70"/>
      <c r="U60" s="70"/>
      <c r="V60" s="70"/>
      <c r="W60" s="70"/>
      <c r="X60" s="70"/>
      <c r="Y60" s="69"/>
      <c r="Z60" s="69"/>
      <c r="AA60" s="69"/>
      <c r="AB60" s="69"/>
      <c r="AC60" s="70"/>
      <c r="AD60" s="70"/>
      <c r="AE60" s="71"/>
      <c r="AF60" s="71"/>
      <c r="AG60" s="69">
        <f t="shared" si="8"/>
        <v>-2617.954642857143</v>
      </c>
      <c r="AH60" s="29">
        <f t="shared" si="9"/>
        <v>-4.6428571431533783E-3</v>
      </c>
    </row>
    <row r="61" spans="1:34" s="72" customFormat="1" ht="24" customHeight="1" x14ac:dyDescent="0.2">
      <c r="A61" s="65">
        <v>43279</v>
      </c>
      <c r="B61" s="66"/>
      <c r="C61" s="20" t="s">
        <v>63</v>
      </c>
      <c r="D61" s="20" t="s">
        <v>64</v>
      </c>
      <c r="E61" s="20" t="s">
        <v>65</v>
      </c>
      <c r="F61" s="21">
        <v>101759</v>
      </c>
      <c r="G61" s="22" t="s">
        <v>601</v>
      </c>
      <c r="H61" s="67"/>
      <c r="I61" s="67"/>
      <c r="J61" s="67">
        <v>334.6</v>
      </c>
      <c r="K61" s="67"/>
      <c r="L61" s="68"/>
      <c r="M61" s="69">
        <f t="shared" si="5"/>
        <v>334.6</v>
      </c>
      <c r="N61" s="69">
        <f t="shared" si="6"/>
        <v>0</v>
      </c>
      <c r="O61" s="69">
        <v>0</v>
      </c>
      <c r="P61" s="69">
        <v>334.6</v>
      </c>
      <c r="Q61" s="69"/>
      <c r="R61" s="69"/>
      <c r="S61" s="69"/>
      <c r="T61" s="70"/>
      <c r="U61" s="70"/>
      <c r="V61" s="70"/>
      <c r="W61" s="70"/>
      <c r="X61" s="70"/>
      <c r="Y61" s="69"/>
      <c r="Z61" s="69"/>
      <c r="AA61" s="69"/>
      <c r="AB61" s="69"/>
      <c r="AC61" s="70"/>
      <c r="AD61" s="70"/>
      <c r="AE61" s="71"/>
      <c r="AF61" s="71"/>
      <c r="AG61" s="69">
        <f t="shared" si="8"/>
        <v>-334.6</v>
      </c>
      <c r="AH61" s="29">
        <f t="shared" si="9"/>
        <v>0</v>
      </c>
    </row>
    <row r="62" spans="1:34" s="72" customFormat="1" ht="24" customHeight="1" x14ac:dyDescent="0.2">
      <c r="A62" s="65">
        <v>43279</v>
      </c>
      <c r="B62" s="66"/>
      <c r="C62" s="20" t="s">
        <v>276</v>
      </c>
      <c r="D62" s="20" t="s">
        <v>52</v>
      </c>
      <c r="E62" s="20" t="s">
        <v>277</v>
      </c>
      <c r="F62" s="21">
        <v>30611</v>
      </c>
      <c r="G62" s="22" t="s">
        <v>327</v>
      </c>
      <c r="H62" s="67"/>
      <c r="I62" s="67"/>
      <c r="J62" s="67"/>
      <c r="K62" s="67">
        <v>195</v>
      </c>
      <c r="L62" s="68"/>
      <c r="M62" s="69">
        <f t="shared" si="5"/>
        <v>174.10714285714283</v>
      </c>
      <c r="N62" s="69">
        <f t="shared" si="6"/>
        <v>20.892857142857139</v>
      </c>
      <c r="O62" s="69">
        <f t="shared" ref="O62:O70" si="10">-SUM(I62:J62,K62/1.12)*L62</f>
        <v>0</v>
      </c>
      <c r="P62" s="69">
        <v>174.11</v>
      </c>
      <c r="Q62" s="69"/>
      <c r="R62" s="69"/>
      <c r="S62" s="69"/>
      <c r="T62" s="70"/>
      <c r="U62" s="70"/>
      <c r="V62" s="70"/>
      <c r="W62" s="70"/>
      <c r="X62" s="70"/>
      <c r="Y62" s="69"/>
      <c r="Z62" s="69"/>
      <c r="AA62" s="69"/>
      <c r="AB62" s="69"/>
      <c r="AC62" s="70"/>
      <c r="AD62" s="70"/>
      <c r="AE62" s="71"/>
      <c r="AF62" s="71"/>
      <c r="AG62" s="69">
        <f t="shared" si="8"/>
        <v>-195.00285714285715</v>
      </c>
      <c r="AH62" s="29">
        <f t="shared" si="9"/>
        <v>-2.8571428571524393E-3</v>
      </c>
    </row>
    <row r="63" spans="1:34" s="72" customFormat="1" ht="24" customHeight="1" x14ac:dyDescent="0.2">
      <c r="A63" s="65">
        <v>43279</v>
      </c>
      <c r="B63" s="66"/>
      <c r="C63" s="20" t="s">
        <v>276</v>
      </c>
      <c r="D63" s="20" t="s">
        <v>52</v>
      </c>
      <c r="E63" s="20" t="s">
        <v>277</v>
      </c>
      <c r="F63" s="21">
        <v>30594</v>
      </c>
      <c r="G63" s="22" t="s">
        <v>485</v>
      </c>
      <c r="H63" s="67"/>
      <c r="I63" s="67"/>
      <c r="J63" s="67"/>
      <c r="K63" s="67">
        <v>240</v>
      </c>
      <c r="L63" s="68"/>
      <c r="M63" s="69">
        <f t="shared" si="5"/>
        <v>214.28571428571428</v>
      </c>
      <c r="N63" s="69">
        <f t="shared" si="6"/>
        <v>25.714285714285712</v>
      </c>
      <c r="O63" s="69">
        <f t="shared" si="10"/>
        <v>0</v>
      </c>
      <c r="P63" s="69">
        <v>214.29</v>
      </c>
      <c r="Q63" s="69"/>
      <c r="R63" s="69"/>
      <c r="S63" s="69"/>
      <c r="T63" s="70"/>
      <c r="U63" s="70"/>
      <c r="V63" s="70"/>
      <c r="W63" s="70"/>
      <c r="X63" s="70"/>
      <c r="Y63" s="69"/>
      <c r="Z63" s="69"/>
      <c r="AA63" s="69"/>
      <c r="AB63" s="69"/>
      <c r="AC63" s="70"/>
      <c r="AD63" s="70"/>
      <c r="AE63" s="71"/>
      <c r="AF63" s="71"/>
      <c r="AG63" s="69">
        <f t="shared" si="8"/>
        <v>-240.00428571428571</v>
      </c>
      <c r="AH63" s="29">
        <f t="shared" si="9"/>
        <v>-4.2857142857144481E-3</v>
      </c>
    </row>
    <row r="64" spans="1:34" s="72" customFormat="1" ht="19.5" customHeight="1" x14ac:dyDescent="0.2">
      <c r="A64" s="65">
        <v>43279</v>
      </c>
      <c r="B64" s="66"/>
      <c r="C64" s="20" t="s">
        <v>518</v>
      </c>
      <c r="D64" s="20" t="s">
        <v>519</v>
      </c>
      <c r="E64" s="20" t="s">
        <v>175</v>
      </c>
      <c r="F64" s="21">
        <v>1353</v>
      </c>
      <c r="G64" s="22" t="s">
        <v>602</v>
      </c>
      <c r="H64" s="67"/>
      <c r="I64" s="67"/>
      <c r="J64" s="67"/>
      <c r="K64" s="67">
        <v>3768</v>
      </c>
      <c r="L64" s="68">
        <v>0.01</v>
      </c>
      <c r="M64" s="69">
        <f t="shared" si="5"/>
        <v>3364.2857142857138</v>
      </c>
      <c r="N64" s="69">
        <f t="shared" si="6"/>
        <v>403.71428571428561</v>
      </c>
      <c r="O64" s="69">
        <f t="shared" si="10"/>
        <v>-33.642857142857139</v>
      </c>
      <c r="P64" s="69">
        <v>3364.29</v>
      </c>
      <c r="Q64" s="69"/>
      <c r="R64" s="69"/>
      <c r="S64" s="69"/>
      <c r="T64" s="70"/>
      <c r="U64" s="70"/>
      <c r="V64" s="70"/>
      <c r="W64" s="70"/>
      <c r="X64" s="70"/>
      <c r="Y64" s="69"/>
      <c r="Z64" s="69"/>
      <c r="AA64" s="69"/>
      <c r="AB64" s="69"/>
      <c r="AC64" s="70"/>
      <c r="AD64" s="70"/>
      <c r="AE64" s="71"/>
      <c r="AF64" s="71"/>
      <c r="AG64" s="69">
        <f t="shared" si="8"/>
        <v>-3734.3614285714284</v>
      </c>
      <c r="AH64" s="29">
        <f t="shared" si="9"/>
        <v>-4.2857142855439179E-3</v>
      </c>
    </row>
    <row r="65" spans="1:34" s="30" customFormat="1" ht="19.5" customHeight="1" x14ac:dyDescent="0.2">
      <c r="A65" s="18">
        <v>43279</v>
      </c>
      <c r="B65" s="19"/>
      <c r="C65" s="20" t="s">
        <v>518</v>
      </c>
      <c r="D65" s="20" t="s">
        <v>519</v>
      </c>
      <c r="E65" s="20" t="s">
        <v>175</v>
      </c>
      <c r="F65" s="21">
        <v>1354</v>
      </c>
      <c r="G65" s="22" t="s">
        <v>603</v>
      </c>
      <c r="H65" s="23"/>
      <c r="I65" s="23"/>
      <c r="J65" s="23"/>
      <c r="K65" s="23">
        <v>215</v>
      </c>
      <c r="L65" s="24">
        <v>0.01</v>
      </c>
      <c r="M65" s="25">
        <f t="shared" si="5"/>
        <v>191.96428571428569</v>
      </c>
      <c r="N65" s="25">
        <f t="shared" si="6"/>
        <v>23.035714285714281</v>
      </c>
      <c r="O65" s="25">
        <f t="shared" si="10"/>
        <v>-1.919642857142857</v>
      </c>
      <c r="P65" s="25">
        <v>191.96</v>
      </c>
      <c r="Q65" s="25"/>
      <c r="R65" s="25"/>
      <c r="S65" s="25"/>
      <c r="T65" s="26"/>
      <c r="U65" s="26"/>
      <c r="V65" s="26"/>
      <c r="W65" s="26"/>
      <c r="X65" s="26"/>
      <c r="Y65" s="25"/>
      <c r="Z65" s="25"/>
      <c r="AA65" s="25"/>
      <c r="AB65" s="25"/>
      <c r="AC65" s="26"/>
      <c r="AD65" s="26"/>
      <c r="AE65" s="27"/>
      <c r="AF65" s="27"/>
      <c r="AG65" s="25">
        <f t="shared" si="8"/>
        <v>-213.07607142857142</v>
      </c>
      <c r="AH65" s="29">
        <f t="shared" si="9"/>
        <v>4.285714285718667E-3</v>
      </c>
    </row>
    <row r="66" spans="1:34" s="30" customFormat="1" ht="18" customHeight="1" x14ac:dyDescent="0.2">
      <c r="A66" s="18">
        <v>43280</v>
      </c>
      <c r="B66" s="19"/>
      <c r="C66" s="20" t="s">
        <v>276</v>
      </c>
      <c r="D66" s="20" t="s">
        <v>52</v>
      </c>
      <c r="E66" s="20" t="s">
        <v>277</v>
      </c>
      <c r="F66" s="21">
        <v>30620</v>
      </c>
      <c r="G66" s="22" t="s">
        <v>355</v>
      </c>
      <c r="H66" s="23"/>
      <c r="I66" s="23"/>
      <c r="J66" s="23"/>
      <c r="K66" s="23">
        <v>239</v>
      </c>
      <c r="L66" s="24"/>
      <c r="M66" s="25">
        <f t="shared" si="5"/>
        <v>213.39285714285711</v>
      </c>
      <c r="N66" s="25">
        <f t="shared" si="6"/>
        <v>25.607142857142851</v>
      </c>
      <c r="O66" s="25">
        <f t="shared" si="10"/>
        <v>0</v>
      </c>
      <c r="P66" s="25"/>
      <c r="Q66" s="25"/>
      <c r="R66" s="25">
        <v>213.39</v>
      </c>
      <c r="S66" s="25"/>
      <c r="T66" s="26"/>
      <c r="U66" s="26"/>
      <c r="V66" s="26"/>
      <c r="W66" s="26"/>
      <c r="X66" s="26"/>
      <c r="Y66" s="25"/>
      <c r="Z66" s="25"/>
      <c r="AA66" s="25"/>
      <c r="AB66" s="25"/>
      <c r="AC66" s="26"/>
      <c r="AD66" s="26"/>
      <c r="AE66" s="27"/>
      <c r="AF66" s="27"/>
      <c r="AG66" s="25">
        <f t="shared" si="8"/>
        <v>-238.99714285714285</v>
      </c>
      <c r="AH66" s="29">
        <f t="shared" si="9"/>
        <v>2.8571428571524393E-3</v>
      </c>
    </row>
    <row r="67" spans="1:34" s="30" customFormat="1" ht="19.5" customHeight="1" x14ac:dyDescent="0.2">
      <c r="A67" s="18">
        <v>43280</v>
      </c>
      <c r="B67" s="19"/>
      <c r="C67" s="20" t="s">
        <v>276</v>
      </c>
      <c r="D67" s="20" t="s">
        <v>52</v>
      </c>
      <c r="E67" s="20" t="s">
        <v>277</v>
      </c>
      <c r="F67" s="21">
        <v>30621</v>
      </c>
      <c r="G67" s="22" t="s">
        <v>604</v>
      </c>
      <c r="H67" s="23"/>
      <c r="I67" s="23"/>
      <c r="J67" s="23"/>
      <c r="K67" s="23">
        <v>175</v>
      </c>
      <c r="L67" s="24"/>
      <c r="M67" s="25">
        <f t="shared" si="5"/>
        <v>156.24999999999997</v>
      </c>
      <c r="N67" s="25">
        <f t="shared" si="6"/>
        <v>18.749999999999996</v>
      </c>
      <c r="O67" s="25">
        <f t="shared" si="10"/>
        <v>0</v>
      </c>
      <c r="P67" s="25">
        <v>156.25</v>
      </c>
      <c r="Q67" s="25"/>
      <c r="R67" s="25"/>
      <c r="S67" s="25"/>
      <c r="T67" s="26"/>
      <c r="U67" s="26"/>
      <c r="V67" s="26"/>
      <c r="W67" s="26"/>
      <c r="X67" s="26"/>
      <c r="Y67" s="25"/>
      <c r="Z67" s="25"/>
      <c r="AA67" s="25"/>
      <c r="AB67" s="25"/>
      <c r="AC67" s="26"/>
      <c r="AD67" s="26"/>
      <c r="AE67" s="27"/>
      <c r="AF67" s="27"/>
      <c r="AG67" s="25">
        <f t="shared" si="8"/>
        <v>-175</v>
      </c>
      <c r="AH67" s="29">
        <f t="shared" si="9"/>
        <v>0</v>
      </c>
    </row>
    <row r="68" spans="1:34" s="30" customFormat="1" ht="22.5" customHeight="1" x14ac:dyDescent="0.2">
      <c r="A68" s="56">
        <v>43280</v>
      </c>
      <c r="B68" s="57"/>
      <c r="C68" s="20" t="s">
        <v>59</v>
      </c>
      <c r="D68" s="20" t="s">
        <v>60</v>
      </c>
      <c r="E68" s="20" t="s">
        <v>277</v>
      </c>
      <c r="F68" s="58">
        <v>683507</v>
      </c>
      <c r="G68" s="59" t="s">
        <v>605</v>
      </c>
      <c r="H68" s="23"/>
      <c r="I68" s="23"/>
      <c r="J68" s="23"/>
      <c r="K68" s="23">
        <v>33.75</v>
      </c>
      <c r="L68" s="24"/>
      <c r="M68" s="25">
        <f t="shared" si="5"/>
        <v>30.133928571428569</v>
      </c>
      <c r="N68" s="25">
        <f t="shared" si="6"/>
        <v>3.6160714285714284</v>
      </c>
      <c r="O68" s="25">
        <f t="shared" si="10"/>
        <v>0</v>
      </c>
      <c r="P68" s="25"/>
      <c r="Q68" s="25"/>
      <c r="R68" s="25"/>
      <c r="S68" s="25"/>
      <c r="T68" s="26">
        <v>30.13</v>
      </c>
      <c r="U68" s="26"/>
      <c r="V68" s="26"/>
      <c r="W68" s="26"/>
      <c r="X68" s="26"/>
      <c r="Y68" s="25"/>
      <c r="Z68" s="25"/>
      <c r="AA68" s="25"/>
      <c r="AB68" s="25"/>
      <c r="AC68" s="25"/>
      <c r="AD68" s="25"/>
      <c r="AE68" s="25"/>
      <c r="AF68" s="25"/>
      <c r="AG68" s="25">
        <f t="shared" si="8"/>
        <v>-33.746071428571426</v>
      </c>
      <c r="AH68" s="29">
        <f t="shared" si="9"/>
        <v>3.9285714285739459E-3</v>
      </c>
    </row>
    <row r="69" spans="1:34" s="30" customFormat="1" ht="21.75" customHeight="1" x14ac:dyDescent="0.2">
      <c r="A69" s="56">
        <v>43280</v>
      </c>
      <c r="B69" s="57"/>
      <c r="C69" s="20" t="s">
        <v>321</v>
      </c>
      <c r="D69" s="20" t="s">
        <v>606</v>
      </c>
      <c r="E69" s="20" t="s">
        <v>120</v>
      </c>
      <c r="F69" s="58">
        <v>30496</v>
      </c>
      <c r="G69" s="21" t="s">
        <v>607</v>
      </c>
      <c r="H69" s="23"/>
      <c r="I69" s="23"/>
      <c r="J69" s="23"/>
      <c r="K69" s="23">
        <v>25.25</v>
      </c>
      <c r="L69" s="24"/>
      <c r="M69" s="25">
        <f t="shared" ref="M69:M76" si="11">SUM(H69:J69,K69/1.12)</f>
        <v>22.544642857142854</v>
      </c>
      <c r="N69" s="25">
        <f t="shared" ref="N69:N76" si="12">K69/1.12*0.12</f>
        <v>2.7053571428571423</v>
      </c>
      <c r="O69" s="25">
        <f t="shared" si="10"/>
        <v>0</v>
      </c>
      <c r="P69" s="25">
        <v>22.54</v>
      </c>
      <c r="Q69" s="25"/>
      <c r="R69" s="25"/>
      <c r="S69" s="25"/>
      <c r="T69" s="26"/>
      <c r="U69" s="26"/>
      <c r="V69" s="26"/>
      <c r="W69" s="26"/>
      <c r="X69" s="26"/>
      <c r="Y69" s="25"/>
      <c r="Z69" s="25"/>
      <c r="AA69" s="25"/>
      <c r="AB69" s="25"/>
      <c r="AC69" s="25"/>
      <c r="AD69" s="25"/>
      <c r="AE69" s="25"/>
      <c r="AF69" s="25"/>
      <c r="AG69" s="25">
        <f t="shared" ref="AG69:AG76" si="13">-SUM(N69:AF69)</f>
        <v>-25.245357142857141</v>
      </c>
      <c r="AH69" s="29">
        <f t="shared" ref="AH69:AH76" si="14">SUM(H69:K69)+AG69+O69</f>
        <v>4.642857142858503E-3</v>
      </c>
    </row>
    <row r="70" spans="1:34" s="30" customFormat="1" ht="19.5" customHeight="1" x14ac:dyDescent="0.2">
      <c r="A70" s="18">
        <v>43280</v>
      </c>
      <c r="B70" s="19"/>
      <c r="C70" s="20" t="s">
        <v>63</v>
      </c>
      <c r="D70" s="20" t="s">
        <v>64</v>
      </c>
      <c r="E70" s="20" t="s">
        <v>65</v>
      </c>
      <c r="F70" s="21">
        <v>104136</v>
      </c>
      <c r="G70" s="22" t="s">
        <v>608</v>
      </c>
      <c r="H70" s="23"/>
      <c r="I70" s="23"/>
      <c r="J70" s="23"/>
      <c r="K70" s="23">
        <f>1620.22+194.43</f>
        <v>1814.65</v>
      </c>
      <c r="L70" s="24"/>
      <c r="M70" s="25">
        <f t="shared" si="11"/>
        <v>1620.2232142857142</v>
      </c>
      <c r="N70" s="25">
        <f t="shared" si="12"/>
        <v>194.4267857142857</v>
      </c>
      <c r="O70" s="25">
        <f t="shared" si="10"/>
        <v>0</v>
      </c>
      <c r="P70" s="25">
        <v>1620.22</v>
      </c>
      <c r="Q70" s="25"/>
      <c r="R70" s="25"/>
      <c r="S70" s="25"/>
      <c r="T70" s="26"/>
      <c r="U70" s="26"/>
      <c r="V70" s="26"/>
      <c r="W70" s="26"/>
      <c r="X70" s="26"/>
      <c r="Y70" s="25"/>
      <c r="Z70" s="25"/>
      <c r="AA70" s="25"/>
      <c r="AB70" s="25"/>
      <c r="AC70" s="26"/>
      <c r="AD70" s="26"/>
      <c r="AE70" s="27"/>
      <c r="AF70" s="27"/>
      <c r="AG70" s="25">
        <f t="shared" si="13"/>
        <v>-1814.6467857142857</v>
      </c>
      <c r="AH70" s="29">
        <f t="shared" si="14"/>
        <v>3.2142857144208392E-3</v>
      </c>
    </row>
    <row r="71" spans="1:34" s="30" customFormat="1" ht="19.5" customHeight="1" x14ac:dyDescent="0.2">
      <c r="A71" s="18">
        <v>43280</v>
      </c>
      <c r="B71" s="19"/>
      <c r="C71" s="20" t="s">
        <v>63</v>
      </c>
      <c r="D71" s="20" t="s">
        <v>64</v>
      </c>
      <c r="E71" s="20" t="s">
        <v>65</v>
      </c>
      <c r="F71" s="21">
        <v>104136</v>
      </c>
      <c r="G71" s="22" t="s">
        <v>609</v>
      </c>
      <c r="H71" s="23"/>
      <c r="I71" s="23"/>
      <c r="J71" s="23">
        <v>352.1</v>
      </c>
      <c r="K71" s="23"/>
      <c r="L71" s="24"/>
      <c r="M71" s="25">
        <f t="shared" si="11"/>
        <v>352.1</v>
      </c>
      <c r="N71" s="25">
        <f t="shared" si="12"/>
        <v>0</v>
      </c>
      <c r="O71" s="25">
        <v>352.1</v>
      </c>
      <c r="P71" s="25">
        <v>352.1</v>
      </c>
      <c r="Q71" s="25"/>
      <c r="R71" s="25"/>
      <c r="S71" s="25"/>
      <c r="T71" s="26"/>
      <c r="U71" s="26"/>
      <c r="V71" s="26"/>
      <c r="W71" s="26"/>
      <c r="X71" s="26"/>
      <c r="Y71" s="25"/>
      <c r="Z71" s="25"/>
      <c r="AA71" s="25"/>
      <c r="AB71" s="25"/>
      <c r="AC71" s="26"/>
      <c r="AD71" s="26"/>
      <c r="AE71" s="27"/>
      <c r="AF71" s="27"/>
      <c r="AG71" s="25">
        <f t="shared" si="13"/>
        <v>-704.2</v>
      </c>
      <c r="AH71" s="29">
        <f t="shared" si="14"/>
        <v>0</v>
      </c>
    </row>
    <row r="72" spans="1:34" s="30" customFormat="1" ht="19.5" customHeight="1" x14ac:dyDescent="0.2">
      <c r="A72" s="18">
        <v>43280</v>
      </c>
      <c r="B72" s="19"/>
      <c r="C72" s="20" t="s">
        <v>276</v>
      </c>
      <c r="D72" s="20" t="s">
        <v>52</v>
      </c>
      <c r="E72" s="20" t="s">
        <v>277</v>
      </c>
      <c r="F72" s="21">
        <v>30632</v>
      </c>
      <c r="G72" s="22" t="s">
        <v>567</v>
      </c>
      <c r="H72" s="23"/>
      <c r="I72" s="23"/>
      <c r="J72" s="23"/>
      <c r="K72" s="23">
        <v>147</v>
      </c>
      <c r="L72" s="24"/>
      <c r="M72" s="25">
        <f t="shared" si="11"/>
        <v>131.25</v>
      </c>
      <c r="N72" s="25">
        <f t="shared" si="12"/>
        <v>15.75</v>
      </c>
      <c r="O72" s="25">
        <f>-SUM(I72:J72,K72/1.12)*L72</f>
        <v>0</v>
      </c>
      <c r="P72" s="25">
        <v>131.25</v>
      </c>
      <c r="Q72" s="25"/>
      <c r="R72" s="25"/>
      <c r="S72" s="25"/>
      <c r="T72" s="26"/>
      <c r="U72" s="26"/>
      <c r="V72" s="26"/>
      <c r="W72" s="26"/>
      <c r="X72" s="26"/>
      <c r="Y72" s="25"/>
      <c r="Z72" s="25"/>
      <c r="AA72" s="25"/>
      <c r="AB72" s="25"/>
      <c r="AC72" s="26"/>
      <c r="AD72" s="26"/>
      <c r="AE72" s="27"/>
      <c r="AF72" s="27"/>
      <c r="AG72" s="25">
        <f t="shared" si="13"/>
        <v>-147</v>
      </c>
      <c r="AH72" s="29">
        <f t="shared" si="14"/>
        <v>0</v>
      </c>
    </row>
    <row r="73" spans="1:34" s="30" customFormat="1" ht="21.75" customHeight="1" x14ac:dyDescent="0.2">
      <c r="A73" s="18">
        <v>43280</v>
      </c>
      <c r="B73" s="19"/>
      <c r="C73" s="20" t="s">
        <v>276</v>
      </c>
      <c r="D73" s="20" t="s">
        <v>52</v>
      </c>
      <c r="E73" s="20" t="s">
        <v>277</v>
      </c>
      <c r="F73" s="21">
        <v>30633</v>
      </c>
      <c r="G73" s="22" t="s">
        <v>610</v>
      </c>
      <c r="H73" s="23"/>
      <c r="I73" s="23"/>
      <c r="J73" s="23"/>
      <c r="K73" s="23">
        <v>873.29</v>
      </c>
      <c r="L73" s="24"/>
      <c r="M73" s="25">
        <f t="shared" si="11"/>
        <v>779.72321428571422</v>
      </c>
      <c r="N73" s="25">
        <f t="shared" si="12"/>
        <v>93.5667857142857</v>
      </c>
      <c r="O73" s="25">
        <f>-SUM(I73:J73,K73/1.12)*L73</f>
        <v>0</v>
      </c>
      <c r="P73" s="25">
        <v>779.72</v>
      </c>
      <c r="Q73" s="25"/>
      <c r="R73" s="25"/>
      <c r="S73" s="25"/>
      <c r="T73" s="26"/>
      <c r="U73" s="26"/>
      <c r="V73" s="26"/>
      <c r="W73" s="26"/>
      <c r="X73" s="26"/>
      <c r="Y73" s="25"/>
      <c r="Z73" s="25"/>
      <c r="AA73" s="25"/>
      <c r="AB73" s="25"/>
      <c r="AC73" s="26"/>
      <c r="AD73" s="26"/>
      <c r="AE73" s="27"/>
      <c r="AF73" s="27"/>
      <c r="AG73" s="25">
        <f t="shared" si="13"/>
        <v>-873.28678571428577</v>
      </c>
      <c r="AH73" s="29">
        <f t="shared" si="14"/>
        <v>3.2142857141934655E-3</v>
      </c>
    </row>
    <row r="74" spans="1:34" s="30" customFormat="1" ht="19.5" customHeight="1" x14ac:dyDescent="0.2">
      <c r="A74" s="18">
        <v>43281</v>
      </c>
      <c r="B74" s="19"/>
      <c r="C74" s="20" t="s">
        <v>276</v>
      </c>
      <c r="D74" s="20" t="s">
        <v>52</v>
      </c>
      <c r="E74" s="20" t="s">
        <v>277</v>
      </c>
      <c r="F74" s="21">
        <v>30641</v>
      </c>
      <c r="G74" s="22" t="s">
        <v>611</v>
      </c>
      <c r="H74" s="23"/>
      <c r="I74" s="23"/>
      <c r="J74" s="23"/>
      <c r="K74" s="23">
        <v>172.5</v>
      </c>
      <c r="L74" s="24"/>
      <c r="M74" s="25">
        <f t="shared" si="11"/>
        <v>154.01785714285714</v>
      </c>
      <c r="N74" s="25">
        <f t="shared" si="12"/>
        <v>18.482142857142858</v>
      </c>
      <c r="O74" s="25">
        <f>-SUM(I74:J74,K74/1.12)*L74</f>
        <v>0</v>
      </c>
      <c r="P74" s="25">
        <v>154.02000000000001</v>
      </c>
      <c r="Q74" s="25"/>
      <c r="R74" s="25"/>
      <c r="S74" s="25"/>
      <c r="T74" s="26"/>
      <c r="U74" s="26"/>
      <c r="V74" s="26"/>
      <c r="W74" s="26"/>
      <c r="X74" s="26"/>
      <c r="Y74" s="25"/>
      <c r="Z74" s="25"/>
      <c r="AA74" s="25"/>
      <c r="AB74" s="25"/>
      <c r="AC74" s="26"/>
      <c r="AD74" s="26"/>
      <c r="AE74" s="27"/>
      <c r="AF74" s="27"/>
      <c r="AG74" s="25">
        <f t="shared" si="13"/>
        <v>-172.50214285714287</v>
      </c>
      <c r="AH74" s="29">
        <f t="shared" si="14"/>
        <v>-2.1428571428714349E-3</v>
      </c>
    </row>
    <row r="75" spans="1:34" s="30" customFormat="1" ht="18.75" customHeight="1" x14ac:dyDescent="0.2">
      <c r="A75" s="18"/>
      <c r="B75" s="19"/>
      <c r="C75" s="20"/>
      <c r="D75" s="20"/>
      <c r="E75" s="20"/>
      <c r="F75" s="21"/>
      <c r="G75" s="22"/>
      <c r="H75" s="23"/>
      <c r="I75" s="23"/>
      <c r="J75" s="23"/>
      <c r="K75" s="23"/>
      <c r="L75" s="24"/>
      <c r="M75" s="25">
        <f t="shared" si="11"/>
        <v>0</v>
      </c>
      <c r="N75" s="25">
        <f t="shared" si="12"/>
        <v>0</v>
      </c>
      <c r="O75" s="25">
        <f>-SUM(I75:J75,K75/1.12)*L75</f>
        <v>0</v>
      </c>
      <c r="P75" s="25"/>
      <c r="Q75" s="25"/>
      <c r="R75" s="25"/>
      <c r="S75" s="25"/>
      <c r="T75" s="26"/>
      <c r="U75" s="26"/>
      <c r="V75" s="26"/>
      <c r="W75" s="26"/>
      <c r="X75" s="26"/>
      <c r="Y75" s="25"/>
      <c r="Z75" s="25"/>
      <c r="AA75" s="25"/>
      <c r="AB75" s="25"/>
      <c r="AC75" s="25"/>
      <c r="AD75" s="25"/>
      <c r="AE75" s="25"/>
      <c r="AF75" s="25"/>
      <c r="AG75" s="25">
        <f t="shared" si="13"/>
        <v>0</v>
      </c>
      <c r="AH75" s="29">
        <f t="shared" si="14"/>
        <v>0</v>
      </c>
    </row>
    <row r="76" spans="1:34" s="30" customFormat="1" ht="19.5" customHeight="1" x14ac:dyDescent="0.2">
      <c r="A76" s="18"/>
      <c r="B76" s="19"/>
      <c r="C76" s="47"/>
      <c r="D76" s="47"/>
      <c r="E76" s="47"/>
      <c r="F76" s="21"/>
      <c r="G76" s="22"/>
      <c r="H76" s="23"/>
      <c r="I76" s="23"/>
      <c r="J76" s="23"/>
      <c r="K76" s="23"/>
      <c r="L76" s="24"/>
      <c r="M76" s="25">
        <f t="shared" si="11"/>
        <v>0</v>
      </c>
      <c r="N76" s="25">
        <f t="shared" si="12"/>
        <v>0</v>
      </c>
      <c r="O76" s="25">
        <f>-SUM(I76:J76,K76/1.12)*L76</f>
        <v>0</v>
      </c>
      <c r="P76" s="25"/>
      <c r="Q76" s="25"/>
      <c r="R76" s="25"/>
      <c r="S76" s="25"/>
      <c r="T76" s="26"/>
      <c r="U76" s="26"/>
      <c r="V76" s="26"/>
      <c r="W76" s="26"/>
      <c r="X76" s="26"/>
      <c r="Y76" s="31"/>
      <c r="Z76" s="25"/>
      <c r="AA76" s="25"/>
      <c r="AB76" s="25"/>
      <c r="AC76" s="26"/>
      <c r="AD76" s="26"/>
      <c r="AE76" s="27"/>
      <c r="AF76" s="27"/>
      <c r="AG76" s="28">
        <f t="shared" si="13"/>
        <v>0</v>
      </c>
      <c r="AH76" s="29">
        <f t="shared" si="14"/>
        <v>0</v>
      </c>
    </row>
    <row r="77" spans="1:34" s="55" customFormat="1" ht="12" customHeight="1" x14ac:dyDescent="0.2">
      <c r="A77" s="48"/>
      <c r="B77" s="49"/>
      <c r="C77" s="50"/>
      <c r="D77" s="51"/>
      <c r="E77" s="51"/>
      <c r="F77" s="52"/>
      <c r="G77" s="50"/>
      <c r="H77" s="53">
        <f t="shared" ref="H77:AH77" si="15">SUM(H5:H76)</f>
        <v>1025</v>
      </c>
      <c r="I77" s="53">
        <f t="shared" si="15"/>
        <v>100</v>
      </c>
      <c r="J77" s="53">
        <f t="shared" si="15"/>
        <v>9011.0500000000011</v>
      </c>
      <c r="K77" s="53">
        <f t="shared" si="15"/>
        <v>36972.590000000004</v>
      </c>
      <c r="L77" s="53">
        <f t="shared" si="15"/>
        <v>0.04</v>
      </c>
      <c r="M77" s="53">
        <f t="shared" si="15"/>
        <v>43147.291071428561</v>
      </c>
      <c r="N77" s="53">
        <f t="shared" si="15"/>
        <v>3961.34892857143</v>
      </c>
      <c r="O77" s="53">
        <f t="shared" si="15"/>
        <v>298.10000000000002</v>
      </c>
      <c r="P77" s="53">
        <f t="shared" si="15"/>
        <v>37509.319999999992</v>
      </c>
      <c r="Q77" s="53">
        <f t="shared" si="15"/>
        <v>1641.0700000000002</v>
      </c>
      <c r="R77" s="53">
        <f t="shared" si="15"/>
        <v>331.25</v>
      </c>
      <c r="S77" s="53">
        <f t="shared" si="15"/>
        <v>245.09</v>
      </c>
      <c r="T77" s="53">
        <f t="shared" si="15"/>
        <v>1321.8700000000001</v>
      </c>
      <c r="U77" s="53">
        <f t="shared" si="15"/>
        <v>0</v>
      </c>
      <c r="V77" s="53">
        <f t="shared" si="15"/>
        <v>0</v>
      </c>
      <c r="W77" s="53">
        <f t="shared" si="15"/>
        <v>0</v>
      </c>
      <c r="X77" s="53">
        <f t="shared" si="15"/>
        <v>0</v>
      </c>
      <c r="Y77" s="53">
        <f t="shared" si="15"/>
        <v>56.04</v>
      </c>
      <c r="Z77" s="53">
        <f t="shared" si="15"/>
        <v>917.63</v>
      </c>
      <c r="AA77" s="53">
        <f t="shared" si="15"/>
        <v>625</v>
      </c>
      <c r="AB77" s="53">
        <f t="shared" si="15"/>
        <v>0</v>
      </c>
      <c r="AC77" s="53">
        <f t="shared" si="15"/>
        <v>0</v>
      </c>
      <c r="AD77" s="53">
        <f t="shared" si="15"/>
        <v>500</v>
      </c>
      <c r="AE77" s="53">
        <f t="shared" si="15"/>
        <v>0</v>
      </c>
      <c r="AF77" s="54">
        <f t="shared" si="15"/>
        <v>0</v>
      </c>
      <c r="AG77" s="53">
        <f t="shared" si="15"/>
        <v>-47406.718928571412</v>
      </c>
      <c r="AH77" s="53">
        <f t="shared" si="15"/>
        <v>2.1071428570997641E-2</v>
      </c>
    </row>
    <row r="78" spans="1:34" ht="12" customHeight="1" x14ac:dyDescent="0.25"/>
    <row r="79" spans="1:34" s="3" customFormat="1" ht="12" customHeight="1" x14ac:dyDescent="0.2">
      <c r="K79" s="5"/>
      <c r="L79" s="6"/>
      <c r="M79" s="5"/>
      <c r="Y79" s="5"/>
    </row>
    <row r="80" spans="1:34" ht="12" customHeight="1" x14ac:dyDescent="0.25"/>
    <row r="81" spans="17:17" ht="12" customHeight="1" x14ac:dyDescent="0.25"/>
    <row r="82" spans="17:17" ht="12" customHeight="1" x14ac:dyDescent="0.25"/>
    <row r="83" spans="17:17" ht="12" customHeight="1" x14ac:dyDescent="0.25"/>
    <row r="84" spans="17:17" ht="12" customHeight="1" x14ac:dyDescent="0.25"/>
    <row r="85" spans="17:17" ht="12" customHeight="1" x14ac:dyDescent="0.25"/>
    <row r="86" spans="17:17" ht="12" customHeight="1" x14ac:dyDescent="0.25">
      <c r="Q86" s="5">
        <v>0</v>
      </c>
    </row>
    <row r="87" spans="17:17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26"/>
  <sheetViews>
    <sheetView topLeftCell="A16" zoomScale="90" zoomScaleNormal="90" workbookViewId="0">
      <selection activeCell="F19" sqref="A19:XFD23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30.21875" style="3" customWidth="1"/>
    <col min="4" max="4" width="17.6640625" style="4" customWidth="1"/>
    <col min="5" max="5" width="28.6640625" style="4" customWidth="1"/>
    <col min="6" max="6" width="9.88671875" style="2" customWidth="1"/>
    <col min="7" max="7" width="27.5546875" style="3" customWidth="1"/>
    <col min="8" max="8" width="10.10937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9.6640625" style="5" customWidth="1"/>
    <col min="19" max="19" width="10.21875" style="5" customWidth="1"/>
    <col min="20" max="21" width="11.5546875" style="5"/>
    <col min="22" max="24" width="8.6640625" style="5" customWidth="1"/>
    <col min="25" max="25" width="11.6640625" style="5" customWidth="1"/>
    <col min="26" max="26" width="10.44140625" style="5" customWidth="1"/>
    <col min="27" max="27" width="8.44140625" style="5" customWidth="1"/>
    <col min="28" max="28" width="12.109375" style="5" customWidth="1"/>
    <col min="29" max="30" width="10.109375" style="5" customWidth="1"/>
    <col min="31" max="31" width="12.77734375" style="5" customWidth="1"/>
    <col min="32" max="32" width="0.21875" style="5" customWidth="1"/>
    <col min="33" max="33" width="13.44140625" style="5" customWidth="1"/>
    <col min="34" max="34" width="9.554687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612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72" customFormat="1" ht="21" customHeight="1" x14ac:dyDescent="0.2">
      <c r="A5" s="65">
        <v>43257</v>
      </c>
      <c r="B5" s="66"/>
      <c r="C5" s="58" t="s">
        <v>613</v>
      </c>
      <c r="D5" s="58"/>
      <c r="E5" s="58"/>
      <c r="F5" s="21"/>
      <c r="G5" s="21" t="s">
        <v>593</v>
      </c>
      <c r="H5" s="67"/>
      <c r="I5" s="67"/>
      <c r="J5" s="67">
        <v>1350</v>
      </c>
      <c r="K5" s="67"/>
      <c r="L5" s="68"/>
      <c r="M5" s="69">
        <f t="shared" ref="M5:M16" si="0">SUM(H5:J5,K5/1.12)</f>
        <v>1350</v>
      </c>
      <c r="N5" s="69">
        <f t="shared" ref="N5:N16" si="1">K5/1.12*0.12</f>
        <v>0</v>
      </c>
      <c r="O5" s="69">
        <f t="shared" ref="O5:O16" si="2">-SUM(I5:J5,K5/1.12)*L5</f>
        <v>0</v>
      </c>
      <c r="P5" s="69">
        <v>1350</v>
      </c>
      <c r="Q5" s="69"/>
      <c r="R5" s="69"/>
      <c r="S5" s="69"/>
      <c r="T5" s="70"/>
      <c r="U5" s="70"/>
      <c r="V5" s="70"/>
      <c r="W5" s="70"/>
      <c r="X5" s="70"/>
      <c r="Y5" s="69"/>
      <c r="Z5" s="69"/>
      <c r="AA5" s="69"/>
      <c r="AB5" s="69"/>
      <c r="AC5" s="70"/>
      <c r="AD5" s="70"/>
      <c r="AE5" s="71"/>
      <c r="AF5" s="71"/>
      <c r="AG5" s="69">
        <f t="shared" ref="AG5:AG16" si="3">-SUM(N5:AF5)</f>
        <v>-1350</v>
      </c>
      <c r="AH5" s="29">
        <f t="shared" ref="AH5:AH16" si="4">SUM(H5:K5)+AG5+O5</f>
        <v>0</v>
      </c>
    </row>
    <row r="6" spans="1:34" s="46" customFormat="1" ht="21.75" customHeight="1" x14ac:dyDescent="0.2">
      <c r="A6" s="33">
        <v>43255</v>
      </c>
      <c r="B6" s="34"/>
      <c r="C6" s="36" t="s">
        <v>614</v>
      </c>
      <c r="D6" s="36"/>
      <c r="E6" s="36"/>
      <c r="F6" s="37"/>
      <c r="G6" s="38" t="s">
        <v>546</v>
      </c>
      <c r="H6" s="39"/>
      <c r="I6" s="39"/>
      <c r="J6" s="39">
        <v>300</v>
      </c>
      <c r="K6" s="39"/>
      <c r="L6" s="40"/>
      <c r="M6" s="41">
        <f t="shared" si="0"/>
        <v>300</v>
      </c>
      <c r="N6" s="41">
        <f t="shared" si="1"/>
        <v>0</v>
      </c>
      <c r="O6" s="41">
        <f t="shared" si="2"/>
        <v>0</v>
      </c>
      <c r="P6" s="41">
        <v>300</v>
      </c>
      <c r="Q6" s="41"/>
      <c r="R6" s="41"/>
      <c r="S6" s="41"/>
      <c r="T6" s="42"/>
      <c r="U6" s="42"/>
      <c r="V6" s="42"/>
      <c r="W6" s="42"/>
      <c r="X6" s="42"/>
      <c r="Y6" s="41"/>
      <c r="Z6" s="41"/>
      <c r="AA6" s="41"/>
      <c r="AB6" s="41"/>
      <c r="AC6" s="41"/>
      <c r="AD6" s="41"/>
      <c r="AE6" s="41"/>
      <c r="AF6" s="41"/>
      <c r="AG6" s="41">
        <f t="shared" si="3"/>
        <v>-300</v>
      </c>
      <c r="AH6" s="45">
        <f t="shared" si="4"/>
        <v>0</v>
      </c>
    </row>
    <row r="7" spans="1:34" s="72" customFormat="1" ht="21" customHeight="1" x14ac:dyDescent="0.2">
      <c r="A7" s="65">
        <v>43267</v>
      </c>
      <c r="B7" s="66"/>
      <c r="C7" s="58" t="s">
        <v>68</v>
      </c>
      <c r="D7" s="58"/>
      <c r="E7" s="58"/>
      <c r="F7" s="21"/>
      <c r="G7" s="21" t="s">
        <v>593</v>
      </c>
      <c r="H7" s="67"/>
      <c r="I7" s="67"/>
      <c r="J7" s="67">
        <v>1250</v>
      </c>
      <c r="K7" s="67"/>
      <c r="L7" s="68"/>
      <c r="M7" s="69">
        <f t="shared" si="0"/>
        <v>1250</v>
      </c>
      <c r="N7" s="69">
        <f t="shared" si="1"/>
        <v>0</v>
      </c>
      <c r="O7" s="69">
        <f t="shared" si="2"/>
        <v>0</v>
      </c>
      <c r="P7" s="69">
        <v>1250</v>
      </c>
      <c r="Q7" s="69"/>
      <c r="R7" s="69"/>
      <c r="S7" s="69"/>
      <c r="T7" s="70"/>
      <c r="U7" s="70"/>
      <c r="V7" s="70"/>
      <c r="W7" s="70"/>
      <c r="X7" s="70"/>
      <c r="Y7" s="69"/>
      <c r="Z7" s="69"/>
      <c r="AA7" s="69"/>
      <c r="AB7" s="69"/>
      <c r="AC7" s="70"/>
      <c r="AD7" s="70"/>
      <c r="AE7" s="71"/>
      <c r="AF7" s="71"/>
      <c r="AG7" s="69">
        <f t="shared" si="3"/>
        <v>-1250</v>
      </c>
      <c r="AH7" s="29">
        <f t="shared" si="4"/>
        <v>0</v>
      </c>
    </row>
    <row r="8" spans="1:34" s="72" customFormat="1" ht="21" customHeight="1" x14ac:dyDescent="0.2">
      <c r="A8" s="65">
        <v>43270</v>
      </c>
      <c r="B8" s="66"/>
      <c r="C8" s="58" t="s">
        <v>614</v>
      </c>
      <c r="D8" s="58"/>
      <c r="E8" s="58"/>
      <c r="F8" s="21"/>
      <c r="G8" s="22" t="s">
        <v>82</v>
      </c>
      <c r="H8" s="67"/>
      <c r="I8" s="67"/>
      <c r="J8" s="67">
        <v>146</v>
      </c>
      <c r="K8" s="67"/>
      <c r="L8" s="68"/>
      <c r="M8" s="69">
        <f t="shared" si="0"/>
        <v>146</v>
      </c>
      <c r="N8" s="69">
        <f t="shared" si="1"/>
        <v>0</v>
      </c>
      <c r="O8" s="69">
        <f t="shared" si="2"/>
        <v>0</v>
      </c>
      <c r="P8" s="69">
        <v>146</v>
      </c>
      <c r="Q8" s="69"/>
      <c r="R8" s="69"/>
      <c r="S8" s="69"/>
      <c r="T8" s="70"/>
      <c r="U8" s="70"/>
      <c r="V8" s="70"/>
      <c r="W8" s="70"/>
      <c r="X8" s="70"/>
      <c r="Y8" s="69"/>
      <c r="Z8" s="69"/>
      <c r="AA8" s="69"/>
      <c r="AB8" s="69"/>
      <c r="AC8" s="70"/>
      <c r="AD8" s="70"/>
      <c r="AE8" s="71"/>
      <c r="AF8" s="71"/>
      <c r="AG8" s="69">
        <f t="shared" si="3"/>
        <v>-146</v>
      </c>
      <c r="AH8" s="29">
        <f t="shared" si="4"/>
        <v>0</v>
      </c>
    </row>
    <row r="9" spans="1:34" s="72" customFormat="1" ht="21" customHeight="1" x14ac:dyDescent="0.2">
      <c r="A9" s="65">
        <v>43272</v>
      </c>
      <c r="B9" s="66"/>
      <c r="C9" s="58" t="s">
        <v>68</v>
      </c>
      <c r="D9" s="58"/>
      <c r="E9" s="58"/>
      <c r="F9" s="21"/>
      <c r="G9" s="22" t="s">
        <v>615</v>
      </c>
      <c r="H9" s="67"/>
      <c r="I9" s="67"/>
      <c r="J9" s="67">
        <v>40</v>
      </c>
      <c r="K9" s="67"/>
      <c r="L9" s="68"/>
      <c r="M9" s="69">
        <f t="shared" si="0"/>
        <v>40</v>
      </c>
      <c r="N9" s="69">
        <f t="shared" si="1"/>
        <v>0</v>
      </c>
      <c r="O9" s="69">
        <f t="shared" si="2"/>
        <v>0</v>
      </c>
      <c r="P9" s="69"/>
      <c r="Q9" s="69"/>
      <c r="R9" s="69"/>
      <c r="S9" s="69"/>
      <c r="T9" s="70"/>
      <c r="U9" s="70"/>
      <c r="V9" s="70"/>
      <c r="W9" s="70"/>
      <c r="X9" s="70"/>
      <c r="Y9" s="69"/>
      <c r="Z9" s="69"/>
      <c r="AA9" s="69">
        <v>40</v>
      </c>
      <c r="AB9" s="69"/>
      <c r="AC9" s="70"/>
      <c r="AD9" s="70"/>
      <c r="AE9" s="71"/>
      <c r="AF9" s="71"/>
      <c r="AG9" s="69">
        <f t="shared" si="3"/>
        <v>-40</v>
      </c>
      <c r="AH9" s="29">
        <f t="shared" si="4"/>
        <v>0</v>
      </c>
    </row>
    <row r="10" spans="1:34" s="81" customFormat="1" ht="21" customHeight="1" x14ac:dyDescent="0.2">
      <c r="A10" s="74">
        <v>43272</v>
      </c>
      <c r="B10" s="75"/>
      <c r="C10" s="62" t="s">
        <v>68</v>
      </c>
      <c r="D10" s="62"/>
      <c r="E10" s="62"/>
      <c r="F10" s="37"/>
      <c r="G10" s="38" t="s">
        <v>613</v>
      </c>
      <c r="H10" s="76"/>
      <c r="I10" s="76"/>
      <c r="J10" s="76">
        <v>340</v>
      </c>
      <c r="K10" s="76"/>
      <c r="L10" s="77"/>
      <c r="M10" s="78">
        <f t="shared" si="0"/>
        <v>340</v>
      </c>
      <c r="N10" s="78">
        <f t="shared" si="1"/>
        <v>0</v>
      </c>
      <c r="O10" s="78">
        <f t="shared" si="2"/>
        <v>0</v>
      </c>
      <c r="P10" s="78">
        <v>340</v>
      </c>
      <c r="Q10" s="78"/>
      <c r="R10" s="78"/>
      <c r="S10" s="78"/>
      <c r="T10" s="79"/>
      <c r="U10" s="79"/>
      <c r="V10" s="79"/>
      <c r="W10" s="79"/>
      <c r="X10" s="79"/>
      <c r="Y10" s="78"/>
      <c r="Z10" s="78"/>
      <c r="AA10" s="78"/>
      <c r="AB10" s="78"/>
      <c r="AC10" s="79"/>
      <c r="AD10" s="79"/>
      <c r="AE10" s="80"/>
      <c r="AF10" s="80"/>
      <c r="AG10" s="78">
        <f t="shared" si="3"/>
        <v>-340</v>
      </c>
      <c r="AH10" s="45">
        <f t="shared" si="4"/>
        <v>0</v>
      </c>
    </row>
    <row r="11" spans="1:34" s="72" customFormat="1" ht="21" customHeight="1" x14ac:dyDescent="0.2">
      <c r="A11" s="65">
        <v>43277</v>
      </c>
      <c r="B11" s="66"/>
      <c r="C11" s="58" t="s">
        <v>68</v>
      </c>
      <c r="D11" s="58"/>
      <c r="E11" s="58"/>
      <c r="F11" s="21"/>
      <c r="G11" s="21" t="s">
        <v>593</v>
      </c>
      <c r="H11" s="67"/>
      <c r="I11" s="67"/>
      <c r="J11" s="67">
        <v>1150</v>
      </c>
      <c r="K11" s="67"/>
      <c r="L11" s="68"/>
      <c r="M11" s="69">
        <f t="shared" si="0"/>
        <v>1150</v>
      </c>
      <c r="N11" s="69">
        <f t="shared" si="1"/>
        <v>0</v>
      </c>
      <c r="O11" s="69">
        <f t="shared" si="2"/>
        <v>0</v>
      </c>
      <c r="P11" s="69">
        <v>1150</v>
      </c>
      <c r="Q11" s="69"/>
      <c r="R11" s="69"/>
      <c r="S11" s="69"/>
      <c r="T11" s="70"/>
      <c r="U11" s="70"/>
      <c r="V11" s="70"/>
      <c r="W11" s="70"/>
      <c r="X11" s="70"/>
      <c r="Y11" s="69"/>
      <c r="Z11" s="69"/>
      <c r="AA11" s="69"/>
      <c r="AB11" s="69"/>
      <c r="AC11" s="70"/>
      <c r="AD11" s="70"/>
      <c r="AE11" s="71"/>
      <c r="AF11" s="71"/>
      <c r="AG11" s="69">
        <f t="shared" si="3"/>
        <v>-1150</v>
      </c>
      <c r="AH11" s="29">
        <f t="shared" si="4"/>
        <v>0</v>
      </c>
    </row>
    <row r="12" spans="1:34" s="72" customFormat="1" ht="21" customHeight="1" x14ac:dyDescent="0.2">
      <c r="A12" s="65">
        <v>43277</v>
      </c>
      <c r="B12" s="66"/>
      <c r="C12" s="58" t="s">
        <v>68</v>
      </c>
      <c r="D12" s="58"/>
      <c r="E12" s="58"/>
      <c r="F12" s="21"/>
      <c r="G12" s="22" t="s">
        <v>616</v>
      </c>
      <c r="H12" s="67"/>
      <c r="I12" s="67"/>
      <c r="J12" s="67">
        <v>40</v>
      </c>
      <c r="K12" s="67"/>
      <c r="L12" s="68"/>
      <c r="M12" s="69">
        <f t="shared" si="0"/>
        <v>40</v>
      </c>
      <c r="N12" s="69">
        <f t="shared" si="1"/>
        <v>0</v>
      </c>
      <c r="O12" s="69">
        <f t="shared" si="2"/>
        <v>0</v>
      </c>
      <c r="P12" s="69"/>
      <c r="Q12" s="69"/>
      <c r="R12" s="69"/>
      <c r="S12" s="69"/>
      <c r="T12" s="70"/>
      <c r="U12" s="70"/>
      <c r="V12" s="70"/>
      <c r="W12" s="70"/>
      <c r="X12" s="70"/>
      <c r="Y12" s="69"/>
      <c r="Z12" s="69"/>
      <c r="AA12" s="69">
        <v>40</v>
      </c>
      <c r="AB12" s="69"/>
      <c r="AC12" s="70"/>
      <c r="AD12" s="70"/>
      <c r="AE12" s="71"/>
      <c r="AF12" s="71"/>
      <c r="AG12" s="69">
        <f t="shared" si="3"/>
        <v>-40</v>
      </c>
      <c r="AH12" s="29">
        <f t="shared" si="4"/>
        <v>0</v>
      </c>
    </row>
    <row r="13" spans="1:34" s="72" customFormat="1" ht="21" customHeight="1" x14ac:dyDescent="0.2">
      <c r="A13" s="65">
        <v>43278</v>
      </c>
      <c r="B13" s="66"/>
      <c r="C13" s="58" t="s">
        <v>45</v>
      </c>
      <c r="D13" s="58"/>
      <c r="E13" s="58"/>
      <c r="F13" s="21"/>
      <c r="G13" s="22" t="s">
        <v>617</v>
      </c>
      <c r="H13" s="67"/>
      <c r="I13" s="67"/>
      <c r="J13" s="67">
        <v>180</v>
      </c>
      <c r="K13" s="67"/>
      <c r="L13" s="68"/>
      <c r="M13" s="69">
        <f t="shared" si="0"/>
        <v>180</v>
      </c>
      <c r="N13" s="69">
        <f t="shared" si="1"/>
        <v>0</v>
      </c>
      <c r="O13" s="69">
        <f t="shared" si="2"/>
        <v>0</v>
      </c>
      <c r="P13" s="69">
        <v>180</v>
      </c>
      <c r="Q13" s="69"/>
      <c r="R13" s="69"/>
      <c r="S13" s="69"/>
      <c r="T13" s="70"/>
      <c r="U13" s="70"/>
      <c r="V13" s="70"/>
      <c r="W13" s="70"/>
      <c r="X13" s="70"/>
      <c r="Y13" s="69"/>
      <c r="Z13" s="69"/>
      <c r="AA13" s="69"/>
      <c r="AB13" s="69"/>
      <c r="AC13" s="70"/>
      <c r="AD13" s="70"/>
      <c r="AE13" s="71"/>
      <c r="AF13" s="71"/>
      <c r="AG13" s="69">
        <f t="shared" si="3"/>
        <v>-180</v>
      </c>
      <c r="AH13" s="29">
        <f t="shared" si="4"/>
        <v>0</v>
      </c>
    </row>
    <row r="14" spans="1:34" s="72" customFormat="1" ht="21" customHeight="1" x14ac:dyDescent="0.2">
      <c r="A14" s="65">
        <v>43280</v>
      </c>
      <c r="B14" s="66"/>
      <c r="C14" s="58" t="s">
        <v>614</v>
      </c>
      <c r="D14" s="58"/>
      <c r="E14" s="58"/>
      <c r="F14" s="21"/>
      <c r="G14" s="22" t="s">
        <v>618</v>
      </c>
      <c r="H14" s="67"/>
      <c r="I14" s="67"/>
      <c r="J14" s="67">
        <v>280</v>
      </c>
      <c r="K14" s="67"/>
      <c r="L14" s="68"/>
      <c r="M14" s="69">
        <f t="shared" si="0"/>
        <v>280</v>
      </c>
      <c r="N14" s="69">
        <f t="shared" si="1"/>
        <v>0</v>
      </c>
      <c r="O14" s="69">
        <f t="shared" si="2"/>
        <v>0</v>
      </c>
      <c r="P14" s="69">
        <v>280</v>
      </c>
      <c r="Q14" s="69"/>
      <c r="R14" s="69"/>
      <c r="S14" s="69"/>
      <c r="T14" s="70"/>
      <c r="U14" s="70"/>
      <c r="V14" s="70"/>
      <c r="W14" s="70"/>
      <c r="X14" s="70"/>
      <c r="Y14" s="69"/>
      <c r="Z14" s="69"/>
      <c r="AA14" s="69"/>
      <c r="AB14" s="69"/>
      <c r="AC14" s="70"/>
      <c r="AD14" s="70"/>
      <c r="AE14" s="71"/>
      <c r="AF14" s="71"/>
      <c r="AG14" s="69">
        <f t="shared" si="3"/>
        <v>-280</v>
      </c>
      <c r="AH14" s="29">
        <f t="shared" si="4"/>
        <v>0</v>
      </c>
    </row>
    <row r="15" spans="1:34" s="30" customFormat="1" ht="21.75" customHeight="1" x14ac:dyDescent="0.2">
      <c r="A15" s="18"/>
      <c r="B15" s="19"/>
      <c r="C15" s="20"/>
      <c r="D15" s="20"/>
      <c r="E15" s="20"/>
      <c r="F15" s="21"/>
      <c r="G15" s="22"/>
      <c r="H15" s="23"/>
      <c r="I15" s="23"/>
      <c r="J15" s="23"/>
      <c r="K15" s="23"/>
      <c r="L15" s="24"/>
      <c r="M15" s="25">
        <f t="shared" si="0"/>
        <v>0</v>
      </c>
      <c r="N15" s="25">
        <f t="shared" si="1"/>
        <v>0</v>
      </c>
      <c r="O15" s="25">
        <f t="shared" si="2"/>
        <v>0</v>
      </c>
      <c r="P15" s="25"/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/>
      <c r="AC15" s="25"/>
      <c r="AD15" s="25"/>
      <c r="AE15" s="25"/>
      <c r="AF15" s="25"/>
      <c r="AG15" s="25">
        <f t="shared" si="3"/>
        <v>0</v>
      </c>
      <c r="AH15" s="29">
        <f t="shared" si="4"/>
        <v>0</v>
      </c>
    </row>
    <row r="16" spans="1:34" s="30" customFormat="1" ht="19.5" customHeight="1" x14ac:dyDescent="0.2">
      <c r="A16" s="18"/>
      <c r="B16" s="19"/>
      <c r="C16" s="47"/>
      <c r="D16" s="47"/>
      <c r="E16" s="47"/>
      <c r="F16" s="21"/>
      <c r="G16" s="22"/>
      <c r="H16" s="23"/>
      <c r="I16" s="23"/>
      <c r="J16" s="23"/>
      <c r="K16" s="23"/>
      <c r="L16" s="24"/>
      <c r="M16" s="25">
        <f t="shared" si="0"/>
        <v>0</v>
      </c>
      <c r="N16" s="25">
        <f t="shared" si="1"/>
        <v>0</v>
      </c>
      <c r="O16" s="25">
        <f t="shared" si="2"/>
        <v>0</v>
      </c>
      <c r="P16" s="25"/>
      <c r="Q16" s="25"/>
      <c r="R16" s="25"/>
      <c r="S16" s="25"/>
      <c r="T16" s="26"/>
      <c r="U16" s="26"/>
      <c r="V16" s="26"/>
      <c r="W16" s="26"/>
      <c r="X16" s="26"/>
      <c r="Y16" s="31"/>
      <c r="Z16" s="25"/>
      <c r="AA16" s="25"/>
      <c r="AB16" s="25"/>
      <c r="AC16" s="26"/>
      <c r="AD16" s="26"/>
      <c r="AE16" s="27"/>
      <c r="AF16" s="27"/>
      <c r="AG16" s="28">
        <f t="shared" si="3"/>
        <v>0</v>
      </c>
      <c r="AH16" s="29">
        <f t="shared" si="4"/>
        <v>0</v>
      </c>
    </row>
    <row r="17" spans="1:34" s="55" customFormat="1" ht="12" customHeight="1" x14ac:dyDescent="0.2">
      <c r="A17" s="48"/>
      <c r="B17" s="49"/>
      <c r="C17" s="50"/>
      <c r="D17" s="51"/>
      <c r="E17" s="51"/>
      <c r="F17" s="52"/>
      <c r="G17" s="50"/>
      <c r="H17" s="53">
        <f t="shared" ref="H17:AH17" si="5">SUM(H5:H16)</f>
        <v>0</v>
      </c>
      <c r="I17" s="53">
        <f t="shared" si="5"/>
        <v>0</v>
      </c>
      <c r="J17" s="53">
        <f t="shared" si="5"/>
        <v>5076</v>
      </c>
      <c r="K17" s="53">
        <f t="shared" si="5"/>
        <v>0</v>
      </c>
      <c r="L17" s="53">
        <f t="shared" si="5"/>
        <v>0</v>
      </c>
      <c r="M17" s="53">
        <f t="shared" si="5"/>
        <v>5076</v>
      </c>
      <c r="N17" s="53">
        <f t="shared" si="5"/>
        <v>0</v>
      </c>
      <c r="O17" s="53">
        <f t="shared" si="5"/>
        <v>0</v>
      </c>
      <c r="P17" s="53">
        <f t="shared" si="5"/>
        <v>4996</v>
      </c>
      <c r="Q17" s="53">
        <f t="shared" si="5"/>
        <v>0</v>
      </c>
      <c r="R17" s="53">
        <f t="shared" si="5"/>
        <v>0</v>
      </c>
      <c r="S17" s="53">
        <f t="shared" si="5"/>
        <v>0</v>
      </c>
      <c r="T17" s="53">
        <f t="shared" si="5"/>
        <v>0</v>
      </c>
      <c r="U17" s="53">
        <f t="shared" si="5"/>
        <v>0</v>
      </c>
      <c r="V17" s="53">
        <f t="shared" si="5"/>
        <v>0</v>
      </c>
      <c r="W17" s="53">
        <f t="shared" si="5"/>
        <v>0</v>
      </c>
      <c r="X17" s="53">
        <f t="shared" si="5"/>
        <v>0</v>
      </c>
      <c r="Y17" s="53">
        <f t="shared" si="5"/>
        <v>0</v>
      </c>
      <c r="Z17" s="53">
        <f t="shared" si="5"/>
        <v>0</v>
      </c>
      <c r="AA17" s="53">
        <f t="shared" si="5"/>
        <v>80</v>
      </c>
      <c r="AB17" s="53">
        <f t="shared" si="5"/>
        <v>0</v>
      </c>
      <c r="AC17" s="53">
        <f t="shared" si="5"/>
        <v>0</v>
      </c>
      <c r="AD17" s="53">
        <f t="shared" si="5"/>
        <v>0</v>
      </c>
      <c r="AE17" s="53">
        <f t="shared" si="5"/>
        <v>0</v>
      </c>
      <c r="AF17" s="54">
        <f t="shared" si="5"/>
        <v>0</v>
      </c>
      <c r="AG17" s="53">
        <f t="shared" si="5"/>
        <v>-5076</v>
      </c>
      <c r="AH17" s="53">
        <f t="shared" si="5"/>
        <v>0</v>
      </c>
    </row>
    <row r="18" spans="1:34" ht="12" customHeight="1" x14ac:dyDescent="0.25"/>
    <row r="19" spans="1:34" s="3" customFormat="1" ht="10.199999999999999" x14ac:dyDescent="0.2">
      <c r="K19" s="5"/>
      <c r="L19" s="6"/>
      <c r="M19" s="5"/>
      <c r="Y19" s="5"/>
    </row>
    <row r="26" spans="1:34" x14ac:dyDescent="0.25">
      <c r="Q26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90"/>
  <sheetViews>
    <sheetView topLeftCell="A76" zoomScale="90" zoomScaleNormal="90" workbookViewId="0">
      <selection activeCell="G85" sqref="A85:XFD92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30.21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9.77734375" style="3" customWidth="1"/>
    <col min="8" max="8" width="14.4414062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9.6640625" style="5" customWidth="1"/>
    <col min="19" max="19" width="10.21875" style="5" customWidth="1"/>
    <col min="20" max="21" width="11.44140625" style="5"/>
    <col min="22" max="24" width="8.6640625" style="5" customWidth="1"/>
    <col min="25" max="25" width="11.77734375" style="5" customWidth="1"/>
    <col min="26" max="26" width="10.44140625" style="5" customWidth="1"/>
    <col min="27" max="27" width="13.44140625" style="5" customWidth="1"/>
    <col min="28" max="28" width="12" style="5" customWidth="1"/>
    <col min="29" max="30" width="10.109375" style="5" customWidth="1"/>
    <col min="31" max="31" width="12.77734375" style="5" customWidth="1"/>
    <col min="32" max="32" width="0.109375" style="5" customWidth="1"/>
    <col min="33" max="33" width="13.44140625" style="5" customWidth="1"/>
    <col min="34" max="34" width="13.44140625" style="3" customWidth="1"/>
    <col min="35" max="1025" width="11.4414062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612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72" customFormat="1" ht="21" customHeight="1" x14ac:dyDescent="0.2">
      <c r="A5" s="65">
        <v>43283</v>
      </c>
      <c r="B5" s="66"/>
      <c r="C5" s="20" t="s">
        <v>180</v>
      </c>
      <c r="D5" s="20" t="s">
        <v>71</v>
      </c>
      <c r="E5" s="20" t="s">
        <v>72</v>
      </c>
      <c r="F5" s="21">
        <v>6808</v>
      </c>
      <c r="G5" s="21" t="s">
        <v>619</v>
      </c>
      <c r="H5" s="67"/>
      <c r="I5" s="67"/>
      <c r="J5" s="67"/>
      <c r="K5" s="67">
        <v>5072.25</v>
      </c>
      <c r="L5" s="68">
        <v>0.01</v>
      </c>
      <c r="M5" s="69">
        <f t="shared" ref="M5:M36" si="0">SUM(H5:J5,K5/1.12)</f>
        <v>4528.7946428571422</v>
      </c>
      <c r="N5" s="69">
        <f t="shared" ref="N5:N36" si="1">K5/1.12*0.12</f>
        <v>543.455357142857</v>
      </c>
      <c r="O5" s="69">
        <f t="shared" ref="O5:O36" si="2">-SUM(I5:J5,K5/1.12)*L5</f>
        <v>-45.287946428571423</v>
      </c>
      <c r="P5" s="69">
        <v>4528.79</v>
      </c>
      <c r="Q5" s="69"/>
      <c r="R5" s="69"/>
      <c r="S5" s="69"/>
      <c r="T5" s="70"/>
      <c r="U5" s="70"/>
      <c r="V5" s="70"/>
      <c r="W5" s="70"/>
      <c r="X5" s="70"/>
      <c r="Y5" s="69"/>
      <c r="Z5" s="69"/>
      <c r="AA5" s="69"/>
      <c r="AB5" s="69"/>
      <c r="AC5" s="70"/>
      <c r="AD5" s="70"/>
      <c r="AE5" s="71"/>
      <c r="AF5" s="71"/>
      <c r="AG5" s="69">
        <f t="shared" ref="AG5:AG36" si="3">-SUM(N5:AF5)</f>
        <v>-5026.9574107142853</v>
      </c>
      <c r="AH5" s="29">
        <f t="shared" ref="AH5:AH36" si="4">SUM(H5:K5)+AG5+O5</f>
        <v>4.6428571432883814E-3</v>
      </c>
    </row>
    <row r="6" spans="1:34" s="72" customFormat="1" ht="24" customHeight="1" x14ac:dyDescent="0.2">
      <c r="A6" s="65">
        <v>43284</v>
      </c>
      <c r="B6" s="66"/>
      <c r="C6" s="20" t="s">
        <v>41</v>
      </c>
      <c r="D6" s="20" t="s">
        <v>620</v>
      </c>
      <c r="E6" s="20" t="s">
        <v>72</v>
      </c>
      <c r="F6" s="21">
        <v>2500</v>
      </c>
      <c r="G6" s="22" t="s">
        <v>621</v>
      </c>
      <c r="H6" s="67"/>
      <c r="I6" s="67"/>
      <c r="J6" s="67">
        <v>2660</v>
      </c>
      <c r="K6" s="67"/>
      <c r="L6" s="68"/>
      <c r="M6" s="69">
        <f t="shared" si="0"/>
        <v>2660</v>
      </c>
      <c r="N6" s="69">
        <f t="shared" si="1"/>
        <v>0</v>
      </c>
      <c r="O6" s="69">
        <f t="shared" si="2"/>
        <v>0</v>
      </c>
      <c r="P6" s="69">
        <v>2660</v>
      </c>
      <c r="Q6" s="69"/>
      <c r="R6" s="69"/>
      <c r="S6" s="69"/>
      <c r="T6" s="70"/>
      <c r="U6" s="70"/>
      <c r="V6" s="70"/>
      <c r="W6" s="70"/>
      <c r="X6" s="70"/>
      <c r="Y6" s="69"/>
      <c r="Z6" s="69"/>
      <c r="AA6" s="69"/>
      <c r="AB6" s="69"/>
      <c r="AC6" s="70"/>
      <c r="AD6" s="70"/>
      <c r="AE6" s="71"/>
      <c r="AF6" s="71"/>
      <c r="AG6" s="69">
        <f t="shared" si="3"/>
        <v>-2660</v>
      </c>
      <c r="AH6" s="29">
        <f t="shared" si="4"/>
        <v>0</v>
      </c>
    </row>
    <row r="7" spans="1:34" s="72" customFormat="1" ht="24" customHeight="1" x14ac:dyDescent="0.2">
      <c r="A7" s="65">
        <v>43284</v>
      </c>
      <c r="B7" s="66"/>
      <c r="C7" s="20" t="s">
        <v>45</v>
      </c>
      <c r="D7" s="20"/>
      <c r="E7" s="20"/>
      <c r="F7" s="21"/>
      <c r="G7" s="22" t="s">
        <v>196</v>
      </c>
      <c r="H7" s="67">
        <v>100</v>
      </c>
      <c r="I7" s="67"/>
      <c r="J7" s="67"/>
      <c r="K7" s="67"/>
      <c r="L7" s="68"/>
      <c r="M7" s="69">
        <f t="shared" si="0"/>
        <v>100</v>
      </c>
      <c r="N7" s="69">
        <f t="shared" si="1"/>
        <v>0</v>
      </c>
      <c r="O7" s="69">
        <f t="shared" si="2"/>
        <v>0</v>
      </c>
      <c r="P7" s="69"/>
      <c r="Q7" s="69"/>
      <c r="R7" s="69"/>
      <c r="S7" s="69"/>
      <c r="T7" s="70"/>
      <c r="U7" s="70"/>
      <c r="V7" s="70"/>
      <c r="W7" s="70"/>
      <c r="X7" s="70"/>
      <c r="Y7" s="69"/>
      <c r="Z7" s="69"/>
      <c r="AA7" s="69">
        <v>100</v>
      </c>
      <c r="AB7" s="69"/>
      <c r="AC7" s="70"/>
      <c r="AD7" s="70"/>
      <c r="AE7" s="71"/>
      <c r="AF7" s="71"/>
      <c r="AG7" s="69">
        <f t="shared" si="3"/>
        <v>-100</v>
      </c>
      <c r="AH7" s="29">
        <f t="shared" si="4"/>
        <v>0</v>
      </c>
    </row>
    <row r="8" spans="1:34" s="81" customFormat="1" ht="24" customHeight="1" x14ac:dyDescent="0.2">
      <c r="A8" s="74">
        <v>43285</v>
      </c>
      <c r="B8" s="75"/>
      <c r="C8" s="36" t="s">
        <v>104</v>
      </c>
      <c r="D8" s="36" t="s">
        <v>105</v>
      </c>
      <c r="E8" s="36" t="s">
        <v>146</v>
      </c>
      <c r="F8" s="37">
        <v>93004</v>
      </c>
      <c r="G8" s="38" t="s">
        <v>147</v>
      </c>
      <c r="H8" s="76"/>
      <c r="I8" s="76"/>
      <c r="J8" s="76"/>
      <c r="K8" s="76">
        <v>1896.03</v>
      </c>
      <c r="L8" s="77">
        <v>0.01</v>
      </c>
      <c r="M8" s="78">
        <f t="shared" si="0"/>
        <v>1692.8839285714284</v>
      </c>
      <c r="N8" s="78">
        <f t="shared" si="1"/>
        <v>203.14607142857142</v>
      </c>
      <c r="O8" s="78">
        <f t="shared" si="2"/>
        <v>-16.928839285714286</v>
      </c>
      <c r="P8" s="78">
        <v>1692.88</v>
      </c>
      <c r="Q8" s="78"/>
      <c r="R8" s="78"/>
      <c r="S8" s="78"/>
      <c r="T8" s="79"/>
      <c r="U8" s="79"/>
      <c r="V8" s="79"/>
      <c r="W8" s="79"/>
      <c r="X8" s="79"/>
      <c r="Y8" s="78"/>
      <c r="Z8" s="78"/>
      <c r="AA8" s="78"/>
      <c r="AB8" s="78"/>
      <c r="AC8" s="79"/>
      <c r="AD8" s="79"/>
      <c r="AE8" s="80"/>
      <c r="AF8" s="80"/>
      <c r="AG8" s="78">
        <f t="shared" si="3"/>
        <v>-1879.0972321428571</v>
      </c>
      <c r="AH8" s="45">
        <f t="shared" si="4"/>
        <v>3.9285714285490769E-3</v>
      </c>
    </row>
    <row r="9" spans="1:34" s="72" customFormat="1" ht="21" customHeight="1" x14ac:dyDescent="0.2">
      <c r="A9" s="65">
        <v>43283</v>
      </c>
      <c r="B9" s="66"/>
      <c r="C9" s="20" t="s">
        <v>68</v>
      </c>
      <c r="D9" s="20"/>
      <c r="E9" s="20"/>
      <c r="F9" s="21"/>
      <c r="G9" s="22" t="s">
        <v>622</v>
      </c>
      <c r="H9" s="67">
        <v>120</v>
      </c>
      <c r="I9" s="67"/>
      <c r="J9" s="67"/>
      <c r="K9" s="67"/>
      <c r="L9" s="68"/>
      <c r="M9" s="69">
        <f t="shared" si="0"/>
        <v>120</v>
      </c>
      <c r="N9" s="69">
        <f t="shared" si="1"/>
        <v>0</v>
      </c>
      <c r="O9" s="69">
        <f t="shared" si="2"/>
        <v>0</v>
      </c>
      <c r="P9" s="69"/>
      <c r="Q9" s="69"/>
      <c r="R9" s="69"/>
      <c r="S9" s="69"/>
      <c r="T9" s="70"/>
      <c r="U9" s="70"/>
      <c r="V9" s="70"/>
      <c r="W9" s="70"/>
      <c r="X9" s="70"/>
      <c r="Y9" s="69"/>
      <c r="Z9" s="69"/>
      <c r="AA9" s="69">
        <v>120</v>
      </c>
      <c r="AB9" s="69"/>
      <c r="AC9" s="70"/>
      <c r="AD9" s="70"/>
      <c r="AE9" s="71"/>
      <c r="AF9" s="71"/>
      <c r="AG9" s="69">
        <f t="shared" si="3"/>
        <v>-120</v>
      </c>
      <c r="AH9" s="29">
        <f t="shared" si="4"/>
        <v>0</v>
      </c>
    </row>
    <row r="10" spans="1:34" s="72" customFormat="1" ht="21" customHeight="1" x14ac:dyDescent="0.2">
      <c r="A10" s="65">
        <v>43194</v>
      </c>
      <c r="B10" s="66"/>
      <c r="C10" s="20" t="s">
        <v>68</v>
      </c>
      <c r="D10" s="20"/>
      <c r="E10" s="20"/>
      <c r="F10" s="21"/>
      <c r="G10" s="22" t="s">
        <v>623</v>
      </c>
      <c r="H10" s="67">
        <v>60</v>
      </c>
      <c r="I10" s="67"/>
      <c r="J10" s="67"/>
      <c r="K10" s="67"/>
      <c r="L10" s="68"/>
      <c r="M10" s="69">
        <f t="shared" si="0"/>
        <v>60</v>
      </c>
      <c r="N10" s="69">
        <f t="shared" si="1"/>
        <v>0</v>
      </c>
      <c r="O10" s="69">
        <f t="shared" si="2"/>
        <v>0</v>
      </c>
      <c r="P10" s="69"/>
      <c r="Q10" s="69"/>
      <c r="R10" s="69"/>
      <c r="S10" s="69"/>
      <c r="T10" s="70"/>
      <c r="U10" s="70"/>
      <c r="V10" s="70"/>
      <c r="W10" s="70"/>
      <c r="X10" s="70"/>
      <c r="Y10" s="69"/>
      <c r="Z10" s="69"/>
      <c r="AA10" s="69">
        <v>60</v>
      </c>
      <c r="AB10" s="69"/>
      <c r="AC10" s="70"/>
      <c r="AD10" s="70"/>
      <c r="AE10" s="71"/>
      <c r="AF10" s="71"/>
      <c r="AG10" s="69">
        <f t="shared" si="3"/>
        <v>-60</v>
      </c>
      <c r="AH10" s="29">
        <f t="shared" si="4"/>
        <v>0</v>
      </c>
    </row>
    <row r="11" spans="1:34" s="72" customFormat="1" ht="21" customHeight="1" x14ac:dyDescent="0.2">
      <c r="A11" s="65">
        <v>43285</v>
      </c>
      <c r="B11" s="66"/>
      <c r="C11" s="20" t="s">
        <v>276</v>
      </c>
      <c r="D11" s="20" t="s">
        <v>52</v>
      </c>
      <c r="E11" s="20" t="s">
        <v>277</v>
      </c>
      <c r="F11" s="21">
        <v>30672</v>
      </c>
      <c r="G11" s="22" t="s">
        <v>604</v>
      </c>
      <c r="H11" s="67"/>
      <c r="I11" s="67"/>
      <c r="J11" s="67"/>
      <c r="K11" s="67">
        <v>262.5</v>
      </c>
      <c r="L11" s="68"/>
      <c r="M11" s="69">
        <f t="shared" si="0"/>
        <v>234.37499999999997</v>
      </c>
      <c r="N11" s="69">
        <f t="shared" si="1"/>
        <v>28.124999999999996</v>
      </c>
      <c r="O11" s="69">
        <f t="shared" si="2"/>
        <v>0</v>
      </c>
      <c r="P11" s="69">
        <v>234.38</v>
      </c>
      <c r="Q11" s="69"/>
      <c r="R11" s="69"/>
      <c r="S11" s="69"/>
      <c r="T11" s="70"/>
      <c r="U11" s="70"/>
      <c r="V11" s="70"/>
      <c r="W11" s="70"/>
      <c r="X11" s="70"/>
      <c r="Y11" s="69"/>
      <c r="Z11" s="69"/>
      <c r="AA11" s="69"/>
      <c r="AB11" s="69"/>
      <c r="AC11" s="70"/>
      <c r="AD11" s="70"/>
      <c r="AE11" s="71"/>
      <c r="AF11" s="71"/>
      <c r="AG11" s="69">
        <f t="shared" si="3"/>
        <v>-262.505</v>
      </c>
      <c r="AH11" s="29">
        <f t="shared" si="4"/>
        <v>-4.9999999999954525E-3</v>
      </c>
    </row>
    <row r="12" spans="1:34" s="72" customFormat="1" ht="24" customHeight="1" x14ac:dyDescent="0.2">
      <c r="A12" s="65">
        <v>43286</v>
      </c>
      <c r="B12" s="66"/>
      <c r="C12" s="20" t="s">
        <v>63</v>
      </c>
      <c r="D12" s="20" t="s">
        <v>64</v>
      </c>
      <c r="E12" s="20" t="s">
        <v>65</v>
      </c>
      <c r="F12" s="21">
        <v>135757</v>
      </c>
      <c r="G12" s="22" t="s">
        <v>624</v>
      </c>
      <c r="H12" s="67"/>
      <c r="I12" s="67"/>
      <c r="J12" s="67"/>
      <c r="K12" s="67">
        <v>2699.75</v>
      </c>
      <c r="L12" s="68"/>
      <c r="M12" s="69">
        <f t="shared" si="0"/>
        <v>2410.4910714285711</v>
      </c>
      <c r="N12" s="69">
        <f t="shared" si="1"/>
        <v>289.2589285714285</v>
      </c>
      <c r="O12" s="69">
        <f t="shared" si="2"/>
        <v>0</v>
      </c>
      <c r="P12" s="69">
        <v>2410.4899999999998</v>
      </c>
      <c r="Q12" s="69"/>
      <c r="R12" s="69"/>
      <c r="S12" s="69"/>
      <c r="T12" s="70"/>
      <c r="U12" s="70"/>
      <c r="V12" s="70"/>
      <c r="W12" s="70"/>
      <c r="X12" s="70"/>
      <c r="Y12" s="69"/>
      <c r="Z12" s="69"/>
      <c r="AA12" s="69"/>
      <c r="AB12" s="69"/>
      <c r="AC12" s="70"/>
      <c r="AD12" s="70"/>
      <c r="AE12" s="71"/>
      <c r="AF12" s="71"/>
      <c r="AG12" s="69">
        <f t="shared" si="3"/>
        <v>-2699.7489285714282</v>
      </c>
      <c r="AH12" s="29">
        <f t="shared" si="4"/>
        <v>1.071428571776778E-3</v>
      </c>
    </row>
    <row r="13" spans="1:34" s="72" customFormat="1" ht="21" customHeight="1" x14ac:dyDescent="0.2">
      <c r="A13" s="65">
        <v>43286</v>
      </c>
      <c r="B13" s="66"/>
      <c r="C13" s="20" t="s">
        <v>625</v>
      </c>
      <c r="D13" s="20" t="s">
        <v>626</v>
      </c>
      <c r="E13" s="20" t="s">
        <v>56</v>
      </c>
      <c r="F13" s="21">
        <v>2934</v>
      </c>
      <c r="G13" s="21" t="s">
        <v>627</v>
      </c>
      <c r="H13" s="67"/>
      <c r="I13" s="67"/>
      <c r="J13" s="67"/>
      <c r="K13" s="67">
        <v>1783</v>
      </c>
      <c r="L13" s="68"/>
      <c r="M13" s="69">
        <f t="shared" si="0"/>
        <v>1591.9642857142856</v>
      </c>
      <c r="N13" s="69">
        <f t="shared" si="1"/>
        <v>191.03571428571425</v>
      </c>
      <c r="O13" s="69">
        <f t="shared" si="2"/>
        <v>0</v>
      </c>
      <c r="P13" s="69"/>
      <c r="Q13" s="69"/>
      <c r="R13" s="69"/>
      <c r="S13" s="69"/>
      <c r="T13" s="70"/>
      <c r="U13" s="70"/>
      <c r="V13" s="70"/>
      <c r="W13" s="70"/>
      <c r="X13" s="70"/>
      <c r="Y13" s="69">
        <v>1591.96</v>
      </c>
      <c r="Z13" s="69"/>
      <c r="AA13" s="69"/>
      <c r="AB13" s="69"/>
      <c r="AC13" s="70"/>
      <c r="AD13" s="70"/>
      <c r="AE13" s="71"/>
      <c r="AF13" s="71"/>
      <c r="AG13" s="69">
        <f t="shared" si="3"/>
        <v>-1782.9957142857143</v>
      </c>
      <c r="AH13" s="29">
        <f t="shared" si="4"/>
        <v>4.2857142857428698E-3</v>
      </c>
    </row>
    <row r="14" spans="1:34" s="72" customFormat="1" ht="24" customHeight="1" x14ac:dyDescent="0.2">
      <c r="A14" s="65">
        <v>43286</v>
      </c>
      <c r="B14" s="66"/>
      <c r="C14" s="20" t="s">
        <v>628</v>
      </c>
      <c r="D14" s="20"/>
      <c r="E14" s="20"/>
      <c r="F14" s="21"/>
      <c r="G14" s="22" t="s">
        <v>629</v>
      </c>
      <c r="H14" s="67">
        <v>25</v>
      </c>
      <c r="I14" s="67"/>
      <c r="J14" s="67"/>
      <c r="K14" s="67"/>
      <c r="L14" s="68"/>
      <c r="M14" s="69">
        <f t="shared" si="0"/>
        <v>25</v>
      </c>
      <c r="N14" s="69">
        <f t="shared" si="1"/>
        <v>0</v>
      </c>
      <c r="O14" s="69">
        <f t="shared" si="2"/>
        <v>0</v>
      </c>
      <c r="P14" s="69"/>
      <c r="Q14" s="69"/>
      <c r="R14" s="69"/>
      <c r="S14" s="69"/>
      <c r="T14" s="70"/>
      <c r="U14" s="70"/>
      <c r="V14" s="70"/>
      <c r="W14" s="70"/>
      <c r="X14" s="70"/>
      <c r="Y14" s="69"/>
      <c r="Z14" s="69"/>
      <c r="AA14" s="69">
        <v>25</v>
      </c>
      <c r="AB14" s="69"/>
      <c r="AC14" s="70"/>
      <c r="AD14" s="70"/>
      <c r="AE14" s="71"/>
      <c r="AF14" s="71"/>
      <c r="AG14" s="69">
        <f t="shared" si="3"/>
        <v>-25</v>
      </c>
      <c r="AH14" s="29">
        <f t="shared" si="4"/>
        <v>0</v>
      </c>
    </row>
    <row r="15" spans="1:34" s="72" customFormat="1" ht="24" customHeight="1" x14ac:dyDescent="0.2">
      <c r="A15" s="65">
        <v>43286</v>
      </c>
      <c r="B15" s="66"/>
      <c r="C15" s="20" t="s">
        <v>276</v>
      </c>
      <c r="D15" s="20" t="s">
        <v>52</v>
      </c>
      <c r="E15" s="20" t="s">
        <v>277</v>
      </c>
      <c r="F15" s="21">
        <v>30685</v>
      </c>
      <c r="G15" s="22" t="s">
        <v>630</v>
      </c>
      <c r="H15" s="67"/>
      <c r="I15" s="67"/>
      <c r="J15" s="67"/>
      <c r="K15" s="67">
        <v>173.5</v>
      </c>
      <c r="L15" s="68"/>
      <c r="M15" s="69">
        <f t="shared" si="0"/>
        <v>154.91071428571428</v>
      </c>
      <c r="N15" s="69">
        <f t="shared" si="1"/>
        <v>18.589285714285712</v>
      </c>
      <c r="O15" s="69">
        <f t="shared" si="2"/>
        <v>0</v>
      </c>
      <c r="P15" s="69">
        <v>154.91</v>
      </c>
      <c r="Q15" s="69"/>
      <c r="R15" s="69"/>
      <c r="S15" s="69"/>
      <c r="T15" s="70"/>
      <c r="U15" s="70"/>
      <c r="V15" s="70"/>
      <c r="W15" s="70"/>
      <c r="X15" s="70"/>
      <c r="Y15" s="69"/>
      <c r="Z15" s="69"/>
      <c r="AA15" s="69"/>
      <c r="AB15" s="69"/>
      <c r="AC15" s="70"/>
      <c r="AD15" s="70"/>
      <c r="AE15" s="71"/>
      <c r="AF15" s="71"/>
      <c r="AG15" s="69">
        <f t="shared" si="3"/>
        <v>-173.49928571428572</v>
      </c>
      <c r="AH15" s="29">
        <f t="shared" si="4"/>
        <v>7.142857142810044E-4</v>
      </c>
    </row>
    <row r="16" spans="1:34" s="72" customFormat="1" ht="24" customHeight="1" x14ac:dyDescent="0.2">
      <c r="A16" s="65">
        <v>43286</v>
      </c>
      <c r="B16" s="66"/>
      <c r="C16" s="20" t="s">
        <v>276</v>
      </c>
      <c r="D16" s="20" t="s">
        <v>52</v>
      </c>
      <c r="E16" s="20" t="s">
        <v>277</v>
      </c>
      <c r="F16" s="21">
        <v>30686</v>
      </c>
      <c r="G16" s="22" t="s">
        <v>433</v>
      </c>
      <c r="H16" s="67"/>
      <c r="I16" s="67"/>
      <c r="J16" s="67"/>
      <c r="K16" s="67">
        <v>269</v>
      </c>
      <c r="L16" s="68"/>
      <c r="M16" s="69">
        <f t="shared" si="0"/>
        <v>240.17857142857142</v>
      </c>
      <c r="N16" s="69">
        <f t="shared" si="1"/>
        <v>28.821428571428569</v>
      </c>
      <c r="O16" s="69">
        <f t="shared" si="2"/>
        <v>0</v>
      </c>
      <c r="P16" s="69">
        <v>240.18</v>
      </c>
      <c r="Q16" s="69"/>
      <c r="R16" s="69"/>
      <c r="S16" s="69"/>
      <c r="T16" s="70"/>
      <c r="U16" s="70"/>
      <c r="V16" s="70"/>
      <c r="W16" s="70"/>
      <c r="X16" s="70"/>
      <c r="Y16" s="69"/>
      <c r="Z16" s="69"/>
      <c r="AA16" s="69"/>
      <c r="AB16" s="69"/>
      <c r="AC16" s="70"/>
      <c r="AD16" s="70"/>
      <c r="AE16" s="71"/>
      <c r="AF16" s="71"/>
      <c r="AG16" s="69">
        <f t="shared" si="3"/>
        <v>-269.00142857142856</v>
      </c>
      <c r="AH16" s="29">
        <f t="shared" si="4"/>
        <v>-1.4285714285620088E-3</v>
      </c>
    </row>
    <row r="17" spans="1:34" s="72" customFormat="1" ht="19.5" customHeight="1" x14ac:dyDescent="0.2">
      <c r="A17" s="65">
        <v>43287</v>
      </c>
      <c r="B17" s="66"/>
      <c r="C17" s="20" t="s">
        <v>63</v>
      </c>
      <c r="D17" s="20" t="s">
        <v>64</v>
      </c>
      <c r="E17" s="20" t="s">
        <v>65</v>
      </c>
      <c r="F17" s="21">
        <v>93163</v>
      </c>
      <c r="G17" s="22" t="s">
        <v>631</v>
      </c>
      <c r="H17" s="67"/>
      <c r="I17" s="67"/>
      <c r="J17" s="67"/>
      <c r="K17" s="67">
        <f>1619.73+194.37</f>
        <v>1814.1</v>
      </c>
      <c r="L17" s="68"/>
      <c r="M17" s="69">
        <f t="shared" si="0"/>
        <v>1619.7321428571427</v>
      </c>
      <c r="N17" s="69">
        <f t="shared" si="1"/>
        <v>194.3678571428571</v>
      </c>
      <c r="O17" s="69">
        <f t="shared" si="2"/>
        <v>0</v>
      </c>
      <c r="P17" s="69">
        <v>1619.73</v>
      </c>
      <c r="Q17" s="69"/>
      <c r="R17" s="69"/>
      <c r="S17" s="69"/>
      <c r="T17" s="70"/>
      <c r="U17" s="70"/>
      <c r="V17" s="70"/>
      <c r="W17" s="70"/>
      <c r="X17" s="70"/>
      <c r="Y17" s="69"/>
      <c r="Z17" s="69"/>
      <c r="AA17" s="69"/>
      <c r="AB17" s="69"/>
      <c r="AC17" s="70"/>
      <c r="AD17" s="70"/>
      <c r="AE17" s="71"/>
      <c r="AF17" s="71"/>
      <c r="AG17" s="69">
        <f t="shared" si="3"/>
        <v>-1814.097857142857</v>
      </c>
      <c r="AH17" s="29">
        <f t="shared" si="4"/>
        <v>2.1428571428714349E-3</v>
      </c>
    </row>
    <row r="18" spans="1:34" s="30" customFormat="1" ht="21.75" hidden="1" customHeight="1" x14ac:dyDescent="0.2">
      <c r="A18" s="18"/>
      <c r="B18" s="19"/>
      <c r="C18" s="20"/>
      <c r="D18" s="20"/>
      <c r="E18" s="20"/>
      <c r="F18" s="21"/>
      <c r="G18" s="22"/>
      <c r="H18" s="23"/>
      <c r="I18" s="23"/>
      <c r="J18" s="23"/>
      <c r="K18" s="23"/>
      <c r="L18" s="24"/>
      <c r="M18" s="25">
        <f t="shared" si="0"/>
        <v>0</v>
      </c>
      <c r="N18" s="25">
        <f t="shared" si="1"/>
        <v>0</v>
      </c>
      <c r="O18" s="25">
        <f t="shared" si="2"/>
        <v>0</v>
      </c>
      <c r="P18" s="25"/>
      <c r="Q18" s="25"/>
      <c r="R18" s="25"/>
      <c r="S18" s="25"/>
      <c r="T18" s="26"/>
      <c r="U18" s="26"/>
      <c r="V18" s="26"/>
      <c r="W18" s="26"/>
      <c r="X18" s="26"/>
      <c r="Y18" s="25"/>
      <c r="Z18" s="25"/>
      <c r="AA18" s="25"/>
      <c r="AB18" s="25"/>
      <c r="AC18" s="25"/>
      <c r="AD18" s="25"/>
      <c r="AE18" s="25"/>
      <c r="AF18" s="25"/>
      <c r="AG18" s="25">
        <f t="shared" si="3"/>
        <v>0</v>
      </c>
      <c r="AH18" s="29">
        <f t="shared" si="4"/>
        <v>0</v>
      </c>
    </row>
    <row r="19" spans="1:34" s="30" customFormat="1" ht="21.75" customHeight="1" x14ac:dyDescent="0.2">
      <c r="A19" s="65">
        <v>43287</v>
      </c>
      <c r="B19" s="66"/>
      <c r="C19" s="20" t="s">
        <v>63</v>
      </c>
      <c r="D19" s="20" t="s">
        <v>64</v>
      </c>
      <c r="E19" s="20" t="s">
        <v>65</v>
      </c>
      <c r="F19" s="21">
        <v>93163</v>
      </c>
      <c r="G19" s="22" t="s">
        <v>632</v>
      </c>
      <c r="H19" s="23"/>
      <c r="I19" s="23"/>
      <c r="J19" s="23">
        <v>1377.5</v>
      </c>
      <c r="K19" s="23"/>
      <c r="L19" s="24"/>
      <c r="M19" s="69">
        <f t="shared" si="0"/>
        <v>1377.5</v>
      </c>
      <c r="N19" s="69">
        <f t="shared" si="1"/>
        <v>0</v>
      </c>
      <c r="O19" s="69">
        <f t="shared" si="2"/>
        <v>0</v>
      </c>
      <c r="P19" s="25">
        <v>1377.5</v>
      </c>
      <c r="Q19" s="25"/>
      <c r="R19" s="25"/>
      <c r="S19" s="25"/>
      <c r="T19" s="26"/>
      <c r="U19" s="26"/>
      <c r="V19" s="26"/>
      <c r="W19" s="26"/>
      <c r="X19" s="26"/>
      <c r="Y19" s="25"/>
      <c r="Z19" s="25"/>
      <c r="AA19" s="25"/>
      <c r="AB19" s="25"/>
      <c r="AC19" s="25"/>
      <c r="AD19" s="25"/>
      <c r="AE19" s="25"/>
      <c r="AF19" s="25"/>
      <c r="AG19" s="69">
        <f t="shared" si="3"/>
        <v>-1377.5</v>
      </c>
      <c r="AH19" s="29">
        <f t="shared" si="4"/>
        <v>0</v>
      </c>
    </row>
    <row r="20" spans="1:34" s="30" customFormat="1" ht="21.75" customHeight="1" x14ac:dyDescent="0.2">
      <c r="A20" s="18">
        <v>43287</v>
      </c>
      <c r="B20" s="19"/>
      <c r="C20" s="20" t="s">
        <v>63</v>
      </c>
      <c r="D20" s="20" t="s">
        <v>64</v>
      </c>
      <c r="E20" s="20" t="s">
        <v>65</v>
      </c>
      <c r="F20" s="21">
        <v>154089</v>
      </c>
      <c r="G20" s="22" t="s">
        <v>393</v>
      </c>
      <c r="H20" s="23"/>
      <c r="I20" s="23"/>
      <c r="J20" s="23"/>
      <c r="K20" s="23">
        <v>150</v>
      </c>
      <c r="L20" s="24"/>
      <c r="M20" s="69">
        <f t="shared" si="0"/>
        <v>133.92857142857142</v>
      </c>
      <c r="N20" s="69">
        <f t="shared" si="1"/>
        <v>16.071428571428569</v>
      </c>
      <c r="O20" s="69">
        <f t="shared" si="2"/>
        <v>0</v>
      </c>
      <c r="P20" s="25"/>
      <c r="Q20" s="25">
        <v>133.93</v>
      </c>
      <c r="R20" s="25"/>
      <c r="S20" s="25"/>
      <c r="T20" s="26"/>
      <c r="U20" s="26"/>
      <c r="V20" s="26"/>
      <c r="W20" s="26"/>
      <c r="X20" s="26"/>
      <c r="Y20" s="25"/>
      <c r="Z20" s="25"/>
      <c r="AA20" s="25"/>
      <c r="AB20" s="25"/>
      <c r="AC20" s="25"/>
      <c r="AD20" s="25"/>
      <c r="AE20" s="25"/>
      <c r="AF20" s="25"/>
      <c r="AG20" s="69">
        <f t="shared" si="3"/>
        <v>-150.00142857142856</v>
      </c>
      <c r="AH20" s="29">
        <f t="shared" si="4"/>
        <v>-1.4285714285620088E-3</v>
      </c>
    </row>
    <row r="21" spans="1:34" s="30" customFormat="1" ht="21.75" customHeight="1" x14ac:dyDescent="0.2">
      <c r="A21" s="18">
        <v>43287</v>
      </c>
      <c r="B21" s="19"/>
      <c r="C21" s="20" t="s">
        <v>583</v>
      </c>
      <c r="D21" s="20" t="s">
        <v>76</v>
      </c>
      <c r="E21" s="20" t="s">
        <v>204</v>
      </c>
      <c r="F21" s="21">
        <v>29153</v>
      </c>
      <c r="G21" s="22" t="s">
        <v>78</v>
      </c>
      <c r="H21" s="23"/>
      <c r="I21" s="23"/>
      <c r="J21" s="23"/>
      <c r="K21" s="23">
        <v>1017.99</v>
      </c>
      <c r="L21" s="24"/>
      <c r="M21" s="69">
        <f t="shared" si="0"/>
        <v>908.91964285714278</v>
      </c>
      <c r="N21" s="69">
        <f t="shared" si="1"/>
        <v>109.07035714285713</v>
      </c>
      <c r="O21" s="69">
        <f t="shared" si="2"/>
        <v>0</v>
      </c>
      <c r="P21" s="25">
        <v>908.92</v>
      </c>
      <c r="Q21" s="25"/>
      <c r="R21" s="25"/>
      <c r="S21" s="25"/>
      <c r="T21" s="26"/>
      <c r="U21" s="26"/>
      <c r="V21" s="26"/>
      <c r="W21" s="26"/>
      <c r="X21" s="26"/>
      <c r="Y21" s="25"/>
      <c r="Z21" s="25"/>
      <c r="AA21" s="25"/>
      <c r="AB21" s="25"/>
      <c r="AC21" s="25"/>
      <c r="AD21" s="25"/>
      <c r="AE21" s="25"/>
      <c r="AF21" s="25"/>
      <c r="AG21" s="69">
        <f t="shared" si="3"/>
        <v>-1017.9903571428571</v>
      </c>
      <c r="AH21" s="29">
        <f t="shared" si="4"/>
        <v>-3.5714285706944793E-4</v>
      </c>
    </row>
    <row r="22" spans="1:34" s="30" customFormat="1" ht="21.75" customHeight="1" x14ac:dyDescent="0.2">
      <c r="A22" s="18">
        <v>43287</v>
      </c>
      <c r="B22" s="19"/>
      <c r="C22" s="20" t="s">
        <v>518</v>
      </c>
      <c r="D22" s="20" t="s">
        <v>519</v>
      </c>
      <c r="E22" s="20" t="s">
        <v>633</v>
      </c>
      <c r="F22" s="21">
        <v>1185</v>
      </c>
      <c r="G22" s="22" t="s">
        <v>634</v>
      </c>
      <c r="H22" s="23"/>
      <c r="I22" s="23"/>
      <c r="J22" s="23"/>
      <c r="K22" s="23">
        <v>1800</v>
      </c>
      <c r="L22" s="24">
        <v>0.01</v>
      </c>
      <c r="M22" s="69">
        <f t="shared" si="0"/>
        <v>1607.1428571428569</v>
      </c>
      <c r="N22" s="69">
        <f t="shared" si="1"/>
        <v>192.85714285714283</v>
      </c>
      <c r="O22" s="69">
        <f t="shared" si="2"/>
        <v>-16.071428571428569</v>
      </c>
      <c r="P22" s="25">
        <v>1607.14</v>
      </c>
      <c r="Q22" s="25"/>
      <c r="R22" s="25"/>
      <c r="S22" s="25"/>
      <c r="T22" s="26"/>
      <c r="U22" s="26"/>
      <c r="V22" s="26"/>
      <c r="W22" s="26"/>
      <c r="X22" s="26"/>
      <c r="Y22" s="25"/>
      <c r="Z22" s="25"/>
      <c r="AA22" s="25"/>
      <c r="AB22" s="25"/>
      <c r="AC22" s="25"/>
      <c r="AD22" s="25"/>
      <c r="AE22" s="25"/>
      <c r="AF22" s="25"/>
      <c r="AG22" s="69">
        <f t="shared" si="3"/>
        <v>-1783.9257142857143</v>
      </c>
      <c r="AH22" s="29">
        <f t="shared" si="4"/>
        <v>2.8571428571098068E-3</v>
      </c>
    </row>
    <row r="23" spans="1:34" s="30" customFormat="1" ht="21.75" customHeight="1" x14ac:dyDescent="0.2">
      <c r="A23" s="18">
        <v>43288</v>
      </c>
      <c r="B23" s="19"/>
      <c r="C23" s="20" t="s">
        <v>41</v>
      </c>
      <c r="D23" s="20" t="s">
        <v>88</v>
      </c>
      <c r="E23" s="20" t="s">
        <v>43</v>
      </c>
      <c r="F23" s="21">
        <v>2507</v>
      </c>
      <c r="G23" s="22" t="s">
        <v>635</v>
      </c>
      <c r="H23" s="23"/>
      <c r="I23" s="23"/>
      <c r="J23" s="23">
        <v>1885</v>
      </c>
      <c r="K23" s="23"/>
      <c r="L23" s="24"/>
      <c r="M23" s="69">
        <f t="shared" si="0"/>
        <v>1885</v>
      </c>
      <c r="N23" s="69">
        <f t="shared" si="1"/>
        <v>0</v>
      </c>
      <c r="O23" s="69">
        <f t="shared" si="2"/>
        <v>0</v>
      </c>
      <c r="P23" s="25">
        <v>1885</v>
      </c>
      <c r="Q23" s="25"/>
      <c r="R23" s="25"/>
      <c r="S23" s="25"/>
      <c r="T23" s="26"/>
      <c r="U23" s="26"/>
      <c r="V23" s="26"/>
      <c r="W23" s="26"/>
      <c r="X23" s="26"/>
      <c r="Y23" s="25"/>
      <c r="Z23" s="25"/>
      <c r="AA23" s="25"/>
      <c r="AB23" s="25"/>
      <c r="AC23" s="25"/>
      <c r="AD23" s="25"/>
      <c r="AE23" s="25"/>
      <c r="AF23" s="25"/>
      <c r="AG23" s="69">
        <f t="shared" si="3"/>
        <v>-1885</v>
      </c>
      <c r="AH23" s="29">
        <f t="shared" si="4"/>
        <v>0</v>
      </c>
    </row>
    <row r="24" spans="1:34" s="30" customFormat="1" ht="21.75" customHeight="1" x14ac:dyDescent="0.2">
      <c r="A24" s="18">
        <v>43288</v>
      </c>
      <c r="B24" s="19"/>
      <c r="C24" s="20" t="s">
        <v>636</v>
      </c>
      <c r="D24" s="20" t="s">
        <v>295</v>
      </c>
      <c r="E24" s="20" t="s">
        <v>43</v>
      </c>
      <c r="F24" s="21">
        <v>10763</v>
      </c>
      <c r="G24" s="22" t="s">
        <v>637</v>
      </c>
      <c r="H24" s="23"/>
      <c r="I24" s="23"/>
      <c r="J24" s="23">
        <v>760</v>
      </c>
      <c r="K24" s="23"/>
      <c r="L24" s="24"/>
      <c r="M24" s="69">
        <f t="shared" si="0"/>
        <v>760</v>
      </c>
      <c r="N24" s="69">
        <f t="shared" si="1"/>
        <v>0</v>
      </c>
      <c r="O24" s="69">
        <f t="shared" si="2"/>
        <v>0</v>
      </c>
      <c r="P24" s="25">
        <v>760</v>
      </c>
      <c r="Q24" s="25"/>
      <c r="R24" s="25"/>
      <c r="S24" s="25"/>
      <c r="T24" s="26"/>
      <c r="U24" s="26"/>
      <c r="V24" s="26"/>
      <c r="W24" s="26"/>
      <c r="X24" s="26"/>
      <c r="Y24" s="25"/>
      <c r="Z24" s="25"/>
      <c r="AA24" s="25"/>
      <c r="AB24" s="25"/>
      <c r="AC24" s="25"/>
      <c r="AD24" s="25"/>
      <c r="AE24" s="25"/>
      <c r="AF24" s="25"/>
      <c r="AG24" s="69">
        <f t="shared" si="3"/>
        <v>-760</v>
      </c>
      <c r="AH24" s="29">
        <f t="shared" si="4"/>
        <v>0</v>
      </c>
    </row>
    <row r="25" spans="1:34" s="30" customFormat="1" ht="21.75" customHeight="1" x14ac:dyDescent="0.2">
      <c r="A25" s="18">
        <v>43288</v>
      </c>
      <c r="B25" s="19"/>
      <c r="C25" s="20" t="s">
        <v>45</v>
      </c>
      <c r="D25" s="20"/>
      <c r="E25" s="20"/>
      <c r="F25" s="21"/>
      <c r="G25" s="22" t="s">
        <v>638</v>
      </c>
      <c r="H25" s="23">
        <v>100</v>
      </c>
      <c r="I25" s="23"/>
      <c r="J25" s="23"/>
      <c r="K25" s="23"/>
      <c r="L25" s="24"/>
      <c r="M25" s="69">
        <f t="shared" si="0"/>
        <v>100</v>
      </c>
      <c r="N25" s="69">
        <f t="shared" si="1"/>
        <v>0</v>
      </c>
      <c r="O25" s="69">
        <f t="shared" si="2"/>
        <v>0</v>
      </c>
      <c r="P25" s="25"/>
      <c r="Q25" s="25"/>
      <c r="R25" s="25"/>
      <c r="S25" s="25"/>
      <c r="T25" s="26"/>
      <c r="U25" s="26"/>
      <c r="V25" s="26"/>
      <c r="W25" s="26"/>
      <c r="X25" s="26"/>
      <c r="Y25" s="25"/>
      <c r="Z25" s="25"/>
      <c r="AA25" s="25">
        <v>100</v>
      </c>
      <c r="AB25" s="25"/>
      <c r="AC25" s="25"/>
      <c r="AD25" s="25"/>
      <c r="AE25" s="25"/>
      <c r="AF25" s="25"/>
      <c r="AG25" s="69">
        <f t="shared" si="3"/>
        <v>-100</v>
      </c>
      <c r="AH25" s="29">
        <f t="shared" si="4"/>
        <v>0</v>
      </c>
    </row>
    <row r="26" spans="1:34" s="30" customFormat="1" ht="21.75" customHeight="1" x14ac:dyDescent="0.2">
      <c r="A26" s="18">
        <v>43288</v>
      </c>
      <c r="B26" s="19"/>
      <c r="C26" s="20" t="s">
        <v>276</v>
      </c>
      <c r="D26" s="20" t="s">
        <v>52</v>
      </c>
      <c r="E26" s="20" t="s">
        <v>277</v>
      </c>
      <c r="F26" s="21">
        <v>30735</v>
      </c>
      <c r="G26" s="22" t="s">
        <v>639</v>
      </c>
      <c r="H26" s="23"/>
      <c r="I26" s="23"/>
      <c r="J26" s="23"/>
      <c r="K26" s="23">
        <f>79.5+59</f>
        <v>138.5</v>
      </c>
      <c r="L26" s="24"/>
      <c r="M26" s="69">
        <f t="shared" si="0"/>
        <v>123.66071428571428</v>
      </c>
      <c r="N26" s="69">
        <f t="shared" si="1"/>
        <v>14.839285714285714</v>
      </c>
      <c r="O26" s="69">
        <f t="shared" si="2"/>
        <v>0</v>
      </c>
      <c r="P26" s="25">
        <v>123.66</v>
      </c>
      <c r="Q26" s="25"/>
      <c r="R26" s="25"/>
      <c r="S26" s="25"/>
      <c r="T26" s="26"/>
      <c r="U26" s="26"/>
      <c r="V26" s="26"/>
      <c r="W26" s="26"/>
      <c r="X26" s="26"/>
      <c r="Y26" s="25"/>
      <c r="Z26" s="25"/>
      <c r="AA26" s="25"/>
      <c r="AB26" s="25"/>
      <c r="AC26" s="25"/>
      <c r="AD26" s="25"/>
      <c r="AE26" s="25"/>
      <c r="AF26" s="25"/>
      <c r="AG26" s="69">
        <f t="shared" si="3"/>
        <v>-138.49928571428572</v>
      </c>
      <c r="AH26" s="29">
        <f t="shared" si="4"/>
        <v>7.142857142810044E-4</v>
      </c>
    </row>
    <row r="27" spans="1:34" s="46" customFormat="1" ht="21.75" customHeight="1" x14ac:dyDescent="0.2">
      <c r="A27" s="33">
        <v>43288</v>
      </c>
      <c r="B27" s="34"/>
      <c r="C27" s="36" t="s">
        <v>276</v>
      </c>
      <c r="D27" s="36" t="s">
        <v>52</v>
      </c>
      <c r="E27" s="36" t="s">
        <v>277</v>
      </c>
      <c r="F27" s="37">
        <v>30735</v>
      </c>
      <c r="G27" s="38" t="s">
        <v>640</v>
      </c>
      <c r="H27" s="39"/>
      <c r="I27" s="39"/>
      <c r="J27" s="39"/>
      <c r="K27" s="39">
        <v>76</v>
      </c>
      <c r="L27" s="40"/>
      <c r="M27" s="78">
        <f t="shared" si="0"/>
        <v>67.857142857142847</v>
      </c>
      <c r="N27" s="78">
        <f t="shared" si="1"/>
        <v>8.1428571428571406</v>
      </c>
      <c r="O27" s="78">
        <f t="shared" si="2"/>
        <v>0</v>
      </c>
      <c r="P27" s="41"/>
      <c r="Q27" s="41"/>
      <c r="R27" s="41">
        <v>67.86</v>
      </c>
      <c r="S27" s="41"/>
      <c r="T27" s="42"/>
      <c r="U27" s="42"/>
      <c r="V27" s="42"/>
      <c r="W27" s="42"/>
      <c r="X27" s="42"/>
      <c r="Y27" s="41"/>
      <c r="Z27" s="41"/>
      <c r="AA27" s="41"/>
      <c r="AB27" s="41"/>
      <c r="AC27" s="41"/>
      <c r="AD27" s="41"/>
      <c r="AE27" s="41"/>
      <c r="AF27" s="41"/>
      <c r="AG27" s="78">
        <f t="shared" si="3"/>
        <v>-76.002857142857138</v>
      </c>
      <c r="AH27" s="45">
        <f t="shared" si="4"/>
        <v>-2.8571428571382285E-3</v>
      </c>
    </row>
    <row r="28" spans="1:34" s="72" customFormat="1" ht="21" customHeight="1" x14ac:dyDescent="0.2">
      <c r="A28" s="65">
        <v>43288</v>
      </c>
      <c r="B28" s="66"/>
      <c r="C28" s="20" t="s">
        <v>641</v>
      </c>
      <c r="D28" s="20" t="s">
        <v>354</v>
      </c>
      <c r="E28" s="20" t="s">
        <v>642</v>
      </c>
      <c r="F28" s="21">
        <v>1297289</v>
      </c>
      <c r="G28" s="21" t="s">
        <v>643</v>
      </c>
      <c r="H28" s="67"/>
      <c r="I28" s="67"/>
      <c r="J28" s="67"/>
      <c r="K28" s="67">
        <v>109.75</v>
      </c>
      <c r="L28" s="68"/>
      <c r="M28" s="69">
        <f t="shared" si="0"/>
        <v>97.991071428571416</v>
      </c>
      <c r="N28" s="69">
        <f t="shared" si="1"/>
        <v>11.758928571428569</v>
      </c>
      <c r="O28" s="69">
        <f t="shared" si="2"/>
        <v>0</v>
      </c>
      <c r="P28" s="69"/>
      <c r="Q28" s="69"/>
      <c r="R28" s="69"/>
      <c r="S28" s="69"/>
      <c r="T28" s="70"/>
      <c r="U28" s="70"/>
      <c r="V28" s="70"/>
      <c r="W28" s="70"/>
      <c r="X28" s="70"/>
      <c r="Y28" s="69">
        <v>97.99</v>
      </c>
      <c r="Z28" s="69"/>
      <c r="AA28" s="69"/>
      <c r="AB28" s="69"/>
      <c r="AC28" s="70"/>
      <c r="AD28" s="70"/>
      <c r="AE28" s="71"/>
      <c r="AF28" s="71"/>
      <c r="AG28" s="69">
        <f t="shared" si="3"/>
        <v>-109.74892857142856</v>
      </c>
      <c r="AH28" s="29">
        <f t="shared" si="4"/>
        <v>1.0714285714357175E-3</v>
      </c>
    </row>
    <row r="29" spans="1:34" s="72" customFormat="1" ht="21" customHeight="1" x14ac:dyDescent="0.2">
      <c r="A29" s="65">
        <v>43290</v>
      </c>
      <c r="B29" s="66"/>
      <c r="C29" s="20" t="s">
        <v>415</v>
      </c>
      <c r="D29" s="20"/>
      <c r="E29" s="20"/>
      <c r="F29" s="21"/>
      <c r="G29" s="22" t="s">
        <v>644</v>
      </c>
      <c r="H29" s="67">
        <v>502</v>
      </c>
      <c r="I29" s="67"/>
      <c r="J29" s="67"/>
      <c r="K29" s="67"/>
      <c r="L29" s="68"/>
      <c r="M29" s="69">
        <f t="shared" si="0"/>
        <v>502</v>
      </c>
      <c r="N29" s="69">
        <f t="shared" si="1"/>
        <v>0</v>
      </c>
      <c r="O29" s="69">
        <f t="shared" si="2"/>
        <v>0</v>
      </c>
      <c r="P29" s="69"/>
      <c r="Q29" s="69"/>
      <c r="R29" s="69"/>
      <c r="S29" s="69"/>
      <c r="T29" s="70"/>
      <c r="U29" s="70"/>
      <c r="V29" s="70"/>
      <c r="W29" s="70"/>
      <c r="X29" s="70"/>
      <c r="Y29" s="69"/>
      <c r="Z29" s="69"/>
      <c r="AA29" s="69"/>
      <c r="AB29" s="69">
        <v>502</v>
      </c>
      <c r="AC29" s="70"/>
      <c r="AD29" s="70"/>
      <c r="AE29" s="71"/>
      <c r="AF29" s="71"/>
      <c r="AG29" s="69">
        <f t="shared" si="3"/>
        <v>-502</v>
      </c>
      <c r="AH29" s="29">
        <f t="shared" si="4"/>
        <v>0</v>
      </c>
    </row>
    <row r="30" spans="1:34" s="72" customFormat="1" ht="21" customHeight="1" x14ac:dyDescent="0.2">
      <c r="A30" s="65">
        <v>43291</v>
      </c>
      <c r="B30" s="66"/>
      <c r="C30" s="20" t="s">
        <v>276</v>
      </c>
      <c r="D30" s="20" t="s">
        <v>52</v>
      </c>
      <c r="E30" s="20" t="s">
        <v>277</v>
      </c>
      <c r="F30" s="21">
        <v>30771</v>
      </c>
      <c r="G30" s="21" t="s">
        <v>645</v>
      </c>
      <c r="H30" s="67"/>
      <c r="I30" s="67"/>
      <c r="J30" s="67"/>
      <c r="K30" s="67">
        <v>833.25</v>
      </c>
      <c r="L30" s="68"/>
      <c r="M30" s="69">
        <f t="shared" si="0"/>
        <v>743.97321428571422</v>
      </c>
      <c r="N30" s="69">
        <f t="shared" si="1"/>
        <v>89.276785714285708</v>
      </c>
      <c r="O30" s="69">
        <f t="shared" si="2"/>
        <v>0</v>
      </c>
      <c r="P30" s="69">
        <v>743.97</v>
      </c>
      <c r="Q30" s="69"/>
      <c r="R30" s="69"/>
      <c r="S30" s="69"/>
      <c r="T30" s="70"/>
      <c r="U30" s="70"/>
      <c r="V30" s="70"/>
      <c r="W30" s="70"/>
      <c r="X30" s="70"/>
      <c r="Y30" s="69"/>
      <c r="Z30" s="69"/>
      <c r="AA30" s="69"/>
      <c r="AB30" s="69"/>
      <c r="AC30" s="70"/>
      <c r="AD30" s="70"/>
      <c r="AE30" s="71"/>
      <c r="AF30" s="71"/>
      <c r="AG30" s="69">
        <f t="shared" si="3"/>
        <v>-833.24678571428569</v>
      </c>
      <c r="AH30" s="29">
        <f t="shared" si="4"/>
        <v>3.2142857143071524E-3</v>
      </c>
    </row>
    <row r="31" spans="1:34" s="72" customFormat="1" ht="37.5" customHeight="1" x14ac:dyDescent="0.2">
      <c r="A31" s="65">
        <v>43291</v>
      </c>
      <c r="B31" s="66"/>
      <c r="C31" s="20" t="s">
        <v>646</v>
      </c>
      <c r="D31" s="20" t="s">
        <v>71</v>
      </c>
      <c r="E31" s="20" t="s">
        <v>72</v>
      </c>
      <c r="F31" s="21">
        <v>35133</v>
      </c>
      <c r="G31" s="22" t="s">
        <v>647</v>
      </c>
      <c r="H31" s="67"/>
      <c r="I31" s="67"/>
      <c r="J31" s="67"/>
      <c r="K31" s="67">
        <v>3473</v>
      </c>
      <c r="L31" s="68">
        <v>0.01</v>
      </c>
      <c r="M31" s="69">
        <f t="shared" si="0"/>
        <v>3100.8928571428569</v>
      </c>
      <c r="N31" s="69">
        <f t="shared" si="1"/>
        <v>372.10714285714283</v>
      </c>
      <c r="O31" s="69">
        <f t="shared" si="2"/>
        <v>-31.008928571428569</v>
      </c>
      <c r="P31" s="69">
        <v>3100.89</v>
      </c>
      <c r="Q31" s="69"/>
      <c r="R31" s="69"/>
      <c r="S31" s="69"/>
      <c r="T31" s="70"/>
      <c r="U31" s="70"/>
      <c r="V31" s="70"/>
      <c r="W31" s="70"/>
      <c r="X31" s="70"/>
      <c r="Y31" s="69"/>
      <c r="Z31" s="69"/>
      <c r="AA31" s="69"/>
      <c r="AB31" s="69"/>
      <c r="AC31" s="70"/>
      <c r="AD31" s="70"/>
      <c r="AE31" s="71"/>
      <c r="AF31" s="71"/>
      <c r="AG31" s="69">
        <f t="shared" si="3"/>
        <v>-3441.9882142857141</v>
      </c>
      <c r="AH31" s="29">
        <f t="shared" si="4"/>
        <v>2.8571428573371804E-3</v>
      </c>
    </row>
    <row r="32" spans="1:34" s="72" customFormat="1" ht="21" customHeight="1" x14ac:dyDescent="0.2">
      <c r="A32" s="65">
        <v>43291</v>
      </c>
      <c r="B32" s="66"/>
      <c r="C32" s="20" t="s">
        <v>68</v>
      </c>
      <c r="D32" s="20"/>
      <c r="E32" s="20"/>
      <c r="F32" s="21"/>
      <c r="G32" s="22" t="s">
        <v>648</v>
      </c>
      <c r="H32" s="67">
        <v>120</v>
      </c>
      <c r="I32" s="67"/>
      <c r="J32" s="67"/>
      <c r="K32" s="67"/>
      <c r="L32" s="68"/>
      <c r="M32" s="69">
        <f t="shared" si="0"/>
        <v>120</v>
      </c>
      <c r="N32" s="69">
        <f t="shared" si="1"/>
        <v>0</v>
      </c>
      <c r="O32" s="69">
        <f t="shared" si="2"/>
        <v>0</v>
      </c>
      <c r="P32" s="69"/>
      <c r="Q32" s="69"/>
      <c r="R32" s="69"/>
      <c r="S32" s="69"/>
      <c r="T32" s="70"/>
      <c r="U32" s="70"/>
      <c r="V32" s="70"/>
      <c r="W32" s="70"/>
      <c r="X32" s="70"/>
      <c r="Y32" s="69"/>
      <c r="Z32" s="69"/>
      <c r="AA32" s="69">
        <v>120</v>
      </c>
      <c r="AB32" s="69"/>
      <c r="AC32" s="70"/>
      <c r="AD32" s="70"/>
      <c r="AE32" s="71"/>
      <c r="AF32" s="71"/>
      <c r="AG32" s="69">
        <f t="shared" si="3"/>
        <v>-120</v>
      </c>
      <c r="AH32" s="29">
        <f t="shared" si="4"/>
        <v>0</v>
      </c>
    </row>
    <row r="33" spans="1:34" s="72" customFormat="1" ht="21" customHeight="1" x14ac:dyDescent="0.2">
      <c r="A33" s="65">
        <v>43292</v>
      </c>
      <c r="B33" s="66"/>
      <c r="C33" s="20" t="s">
        <v>276</v>
      </c>
      <c r="D33" s="20" t="s">
        <v>52</v>
      </c>
      <c r="E33" s="20" t="s">
        <v>277</v>
      </c>
      <c r="F33" s="21">
        <v>30821</v>
      </c>
      <c r="G33" s="22" t="s">
        <v>649</v>
      </c>
      <c r="H33" s="67"/>
      <c r="I33" s="67"/>
      <c r="J33" s="67"/>
      <c r="K33" s="67">
        <v>190</v>
      </c>
      <c r="L33" s="68"/>
      <c r="M33" s="69">
        <f t="shared" si="0"/>
        <v>169.64285714285714</v>
      </c>
      <c r="N33" s="69">
        <f t="shared" si="1"/>
        <v>20.357142857142858</v>
      </c>
      <c r="O33" s="69">
        <f t="shared" si="2"/>
        <v>0</v>
      </c>
      <c r="P33" s="69">
        <v>169.64</v>
      </c>
      <c r="Q33" s="69"/>
      <c r="R33" s="69"/>
      <c r="S33" s="69"/>
      <c r="T33" s="70"/>
      <c r="U33" s="70"/>
      <c r="V33" s="70"/>
      <c r="W33" s="70"/>
      <c r="X33" s="70"/>
      <c r="Y33" s="69"/>
      <c r="Z33" s="69"/>
      <c r="AA33" s="69"/>
      <c r="AB33" s="69"/>
      <c r="AC33" s="70"/>
      <c r="AD33" s="70"/>
      <c r="AE33" s="71"/>
      <c r="AF33" s="71"/>
      <c r="AG33" s="69">
        <f t="shared" si="3"/>
        <v>-189.99714285714285</v>
      </c>
      <c r="AH33" s="29">
        <f t="shared" si="4"/>
        <v>2.8571428571524393E-3</v>
      </c>
    </row>
    <row r="34" spans="1:34" s="72" customFormat="1" ht="24" customHeight="1" x14ac:dyDescent="0.2">
      <c r="A34" s="65">
        <v>43293</v>
      </c>
      <c r="B34" s="66"/>
      <c r="C34" s="20" t="s">
        <v>276</v>
      </c>
      <c r="D34" s="20" t="s">
        <v>52</v>
      </c>
      <c r="E34" s="20" t="s">
        <v>277</v>
      </c>
      <c r="F34" s="21">
        <v>30822</v>
      </c>
      <c r="G34" s="22" t="s">
        <v>650</v>
      </c>
      <c r="H34" s="67"/>
      <c r="I34" s="67"/>
      <c r="J34" s="67"/>
      <c r="K34" s="67">
        <v>632</v>
      </c>
      <c r="L34" s="68"/>
      <c r="M34" s="69">
        <f t="shared" si="0"/>
        <v>564.28571428571422</v>
      </c>
      <c r="N34" s="69">
        <f t="shared" si="1"/>
        <v>67.714285714285708</v>
      </c>
      <c r="O34" s="69">
        <f t="shared" si="2"/>
        <v>0</v>
      </c>
      <c r="P34" s="69">
        <v>564.29</v>
      </c>
      <c r="Q34" s="69"/>
      <c r="R34" s="69"/>
      <c r="S34" s="69"/>
      <c r="T34" s="70"/>
      <c r="U34" s="70"/>
      <c r="V34" s="70"/>
      <c r="W34" s="70"/>
      <c r="X34" s="70"/>
      <c r="Y34" s="69"/>
      <c r="Z34" s="69"/>
      <c r="AA34" s="69"/>
      <c r="AB34" s="69"/>
      <c r="AC34" s="70"/>
      <c r="AD34" s="70"/>
      <c r="AE34" s="71"/>
      <c r="AF34" s="71"/>
      <c r="AG34" s="69">
        <f t="shared" si="3"/>
        <v>-632.00428571428563</v>
      </c>
      <c r="AH34" s="29">
        <f t="shared" si="4"/>
        <v>-4.285714285629183E-3</v>
      </c>
    </row>
    <row r="35" spans="1:34" s="72" customFormat="1" ht="31.5" customHeight="1" x14ac:dyDescent="0.2">
      <c r="A35" s="65">
        <v>43293</v>
      </c>
      <c r="B35" s="66"/>
      <c r="C35" s="20" t="s">
        <v>63</v>
      </c>
      <c r="D35" s="20" t="s">
        <v>64</v>
      </c>
      <c r="E35" s="20" t="s">
        <v>65</v>
      </c>
      <c r="F35" s="21">
        <v>95711</v>
      </c>
      <c r="G35" s="21" t="s">
        <v>651</v>
      </c>
      <c r="H35" s="67"/>
      <c r="I35" s="67"/>
      <c r="J35" s="67"/>
      <c r="K35" s="67">
        <f>1171.96+140.64</f>
        <v>1312.6</v>
      </c>
      <c r="L35" s="68"/>
      <c r="M35" s="69">
        <f t="shared" si="0"/>
        <v>1171.9642857142856</v>
      </c>
      <c r="N35" s="69">
        <f t="shared" si="1"/>
        <v>140.63571428571427</v>
      </c>
      <c r="O35" s="69">
        <f t="shared" si="2"/>
        <v>0</v>
      </c>
      <c r="P35" s="69">
        <v>1171.96</v>
      </c>
      <c r="Q35" s="69"/>
      <c r="R35" s="69"/>
      <c r="S35" s="69"/>
      <c r="T35" s="70"/>
      <c r="U35" s="70"/>
      <c r="V35" s="70"/>
      <c r="W35" s="70"/>
      <c r="X35" s="70"/>
      <c r="Y35" s="69"/>
      <c r="Z35" s="69"/>
      <c r="AA35" s="69"/>
      <c r="AB35" s="69"/>
      <c r="AC35" s="70"/>
      <c r="AD35" s="70"/>
      <c r="AE35" s="71"/>
      <c r="AF35" s="71"/>
      <c r="AG35" s="69">
        <f t="shared" si="3"/>
        <v>-1312.5957142857144</v>
      </c>
      <c r="AH35" s="29">
        <f t="shared" si="4"/>
        <v>4.2857142855154962E-3</v>
      </c>
    </row>
    <row r="36" spans="1:34" s="72" customFormat="1" ht="24" customHeight="1" x14ac:dyDescent="0.2">
      <c r="A36" s="65">
        <v>43293</v>
      </c>
      <c r="B36" s="66"/>
      <c r="C36" s="20" t="s">
        <v>63</v>
      </c>
      <c r="D36" s="20" t="s">
        <v>64</v>
      </c>
      <c r="E36" s="20" t="s">
        <v>65</v>
      </c>
      <c r="F36" s="21">
        <v>95711</v>
      </c>
      <c r="G36" s="22" t="s">
        <v>652</v>
      </c>
      <c r="H36" s="67"/>
      <c r="I36" s="67"/>
      <c r="J36" s="67">
        <v>31</v>
      </c>
      <c r="K36" s="67"/>
      <c r="L36" s="68"/>
      <c r="M36" s="69">
        <f t="shared" si="0"/>
        <v>31</v>
      </c>
      <c r="N36" s="69">
        <f t="shared" si="1"/>
        <v>0</v>
      </c>
      <c r="O36" s="69">
        <f t="shared" si="2"/>
        <v>0</v>
      </c>
      <c r="P36" s="69">
        <v>31</v>
      </c>
      <c r="Q36" s="69"/>
      <c r="R36" s="69"/>
      <c r="S36" s="69"/>
      <c r="T36" s="70"/>
      <c r="U36" s="70"/>
      <c r="V36" s="70"/>
      <c r="W36" s="70"/>
      <c r="X36" s="70"/>
      <c r="Y36" s="69"/>
      <c r="Z36" s="69"/>
      <c r="AA36" s="69"/>
      <c r="AB36" s="69"/>
      <c r="AC36" s="70"/>
      <c r="AD36" s="70"/>
      <c r="AE36" s="71"/>
      <c r="AF36" s="71"/>
      <c r="AG36" s="69">
        <f t="shared" si="3"/>
        <v>-31</v>
      </c>
      <c r="AH36" s="29">
        <f t="shared" si="4"/>
        <v>0</v>
      </c>
    </row>
    <row r="37" spans="1:34" s="72" customFormat="1" ht="24" customHeight="1" x14ac:dyDescent="0.2">
      <c r="A37" s="65">
        <v>43293</v>
      </c>
      <c r="B37" s="66"/>
      <c r="C37" s="20" t="s">
        <v>104</v>
      </c>
      <c r="D37" s="20" t="s">
        <v>105</v>
      </c>
      <c r="E37" s="20" t="s">
        <v>653</v>
      </c>
      <c r="F37" s="21">
        <v>203645</v>
      </c>
      <c r="G37" s="22" t="s">
        <v>654</v>
      </c>
      <c r="H37" s="67"/>
      <c r="I37" s="67"/>
      <c r="J37" s="67"/>
      <c r="K37" s="67">
        <v>2846.65</v>
      </c>
      <c r="L37" s="68"/>
      <c r="M37" s="69">
        <f t="shared" ref="M37:M68" si="5">SUM(H37:J37,K37/1.12)</f>
        <v>2541.6517857142858</v>
      </c>
      <c r="N37" s="69">
        <f t="shared" ref="N37:N68" si="6">K37/1.12*0.12</f>
        <v>304.99821428571425</v>
      </c>
      <c r="O37" s="69">
        <f t="shared" ref="O37:O68" si="7">-SUM(I37:J37,K37/1.12)*L37</f>
        <v>0</v>
      </c>
      <c r="P37" s="69">
        <v>2541.65</v>
      </c>
      <c r="Q37" s="69"/>
      <c r="R37" s="69"/>
      <c r="S37" s="69"/>
      <c r="T37" s="70"/>
      <c r="U37" s="70"/>
      <c r="V37" s="70"/>
      <c r="W37" s="70"/>
      <c r="X37" s="70"/>
      <c r="Y37" s="69"/>
      <c r="Z37" s="69"/>
      <c r="AA37" s="69"/>
      <c r="AB37" s="69"/>
      <c r="AC37" s="70"/>
      <c r="AD37" s="70"/>
      <c r="AE37" s="71"/>
      <c r="AF37" s="71"/>
      <c r="AG37" s="69">
        <f t="shared" ref="AG37:AG68" si="8">-SUM(N37:AF37)</f>
        <v>-2846.6482142857144</v>
      </c>
      <c r="AH37" s="29">
        <f t="shared" ref="AH37:AH68" si="9">SUM(H37:K37)+AG37+O37</f>
        <v>1.7857142856883002E-3</v>
      </c>
    </row>
    <row r="38" spans="1:34" s="72" customFormat="1" ht="24" customHeight="1" x14ac:dyDescent="0.2">
      <c r="A38" s="65">
        <v>43293</v>
      </c>
      <c r="B38" s="66"/>
      <c r="C38" s="20" t="s">
        <v>68</v>
      </c>
      <c r="D38" s="20"/>
      <c r="E38" s="20"/>
      <c r="F38" s="21"/>
      <c r="G38" s="22" t="s">
        <v>103</v>
      </c>
      <c r="H38" s="67">
        <v>40</v>
      </c>
      <c r="I38" s="67"/>
      <c r="J38" s="67"/>
      <c r="K38" s="67"/>
      <c r="L38" s="68"/>
      <c r="M38" s="69">
        <f t="shared" si="5"/>
        <v>40</v>
      </c>
      <c r="N38" s="69">
        <f t="shared" si="6"/>
        <v>0</v>
      </c>
      <c r="O38" s="69">
        <f t="shared" si="7"/>
        <v>0</v>
      </c>
      <c r="P38" s="69"/>
      <c r="Q38" s="69"/>
      <c r="R38" s="69"/>
      <c r="S38" s="69"/>
      <c r="T38" s="70"/>
      <c r="U38" s="70"/>
      <c r="V38" s="70"/>
      <c r="W38" s="70"/>
      <c r="X38" s="70"/>
      <c r="Y38" s="69"/>
      <c r="Z38" s="69"/>
      <c r="AA38" s="69">
        <v>40</v>
      </c>
      <c r="AB38" s="69"/>
      <c r="AC38" s="70"/>
      <c r="AD38" s="70"/>
      <c r="AE38" s="71"/>
      <c r="AF38" s="71"/>
      <c r="AG38" s="69">
        <f t="shared" si="8"/>
        <v>-40</v>
      </c>
      <c r="AH38" s="29">
        <f t="shared" si="9"/>
        <v>0</v>
      </c>
    </row>
    <row r="39" spans="1:34" s="72" customFormat="1" ht="19.5" customHeight="1" x14ac:dyDescent="0.2">
      <c r="A39" s="65">
        <v>43294</v>
      </c>
      <c r="B39" s="66"/>
      <c r="C39" s="20" t="s">
        <v>104</v>
      </c>
      <c r="D39" s="20" t="s">
        <v>105</v>
      </c>
      <c r="E39" s="20" t="s">
        <v>653</v>
      </c>
      <c r="F39" s="21">
        <v>203687</v>
      </c>
      <c r="G39" s="22" t="s">
        <v>107</v>
      </c>
      <c r="H39" s="67"/>
      <c r="I39" s="67"/>
      <c r="J39" s="67"/>
      <c r="K39" s="67">
        <v>786</v>
      </c>
      <c r="L39" s="68">
        <v>0.01</v>
      </c>
      <c r="M39" s="69">
        <f t="shared" si="5"/>
        <v>701.78571428571422</v>
      </c>
      <c r="N39" s="69">
        <f t="shared" si="6"/>
        <v>84.214285714285708</v>
      </c>
      <c r="O39" s="69">
        <f t="shared" si="7"/>
        <v>-7.0178571428571423</v>
      </c>
      <c r="P39" s="69">
        <v>701.79</v>
      </c>
      <c r="Q39" s="69"/>
      <c r="R39" s="69"/>
      <c r="S39" s="69"/>
      <c r="T39" s="70"/>
      <c r="U39" s="70"/>
      <c r="V39" s="70"/>
      <c r="W39" s="70"/>
      <c r="X39" s="70"/>
      <c r="Y39" s="69"/>
      <c r="Z39" s="69"/>
      <c r="AA39" s="69"/>
      <c r="AB39" s="69"/>
      <c r="AC39" s="70"/>
      <c r="AD39" s="70"/>
      <c r="AE39" s="71"/>
      <c r="AF39" s="71"/>
      <c r="AG39" s="69">
        <f t="shared" si="8"/>
        <v>-778.98642857142852</v>
      </c>
      <c r="AH39" s="29">
        <f t="shared" si="9"/>
        <v>-4.2857142856611574E-3</v>
      </c>
    </row>
    <row r="40" spans="1:34" s="30" customFormat="1" ht="21.75" hidden="1" customHeight="1" x14ac:dyDescent="0.2">
      <c r="A40" s="18"/>
      <c r="B40" s="19"/>
      <c r="C40" s="20"/>
      <c r="D40" s="20"/>
      <c r="E40" s="20"/>
      <c r="F40" s="21"/>
      <c r="G40" s="22"/>
      <c r="H40" s="23"/>
      <c r="I40" s="23"/>
      <c r="J40" s="23"/>
      <c r="K40" s="23"/>
      <c r="L40" s="24"/>
      <c r="M40" s="25">
        <f t="shared" si="5"/>
        <v>0</v>
      </c>
      <c r="N40" s="25">
        <f t="shared" si="6"/>
        <v>0</v>
      </c>
      <c r="O40" s="25">
        <f t="shared" si="7"/>
        <v>0</v>
      </c>
      <c r="P40" s="25"/>
      <c r="Q40" s="25"/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5"/>
      <c r="AD40" s="25"/>
      <c r="AE40" s="25"/>
      <c r="AF40" s="25"/>
      <c r="AG40" s="25">
        <f t="shared" si="8"/>
        <v>0</v>
      </c>
      <c r="AH40" s="29">
        <f t="shared" si="9"/>
        <v>0</v>
      </c>
    </row>
    <row r="41" spans="1:34" s="46" customFormat="1" ht="21.75" customHeight="1" x14ac:dyDescent="0.2">
      <c r="A41" s="74">
        <v>43294</v>
      </c>
      <c r="B41" s="75"/>
      <c r="C41" s="36" t="s">
        <v>215</v>
      </c>
      <c r="D41" s="36" t="s">
        <v>216</v>
      </c>
      <c r="E41" s="36" t="s">
        <v>175</v>
      </c>
      <c r="F41" s="37">
        <v>2586</v>
      </c>
      <c r="G41" s="38" t="s">
        <v>217</v>
      </c>
      <c r="H41" s="39"/>
      <c r="I41" s="39"/>
      <c r="J41" s="39"/>
      <c r="K41" s="39">
        <v>1320</v>
      </c>
      <c r="L41" s="40">
        <v>0.01</v>
      </c>
      <c r="M41" s="78">
        <f t="shared" si="5"/>
        <v>1178.5714285714284</v>
      </c>
      <c r="N41" s="78">
        <f t="shared" si="6"/>
        <v>141.42857142857142</v>
      </c>
      <c r="O41" s="78">
        <f t="shared" si="7"/>
        <v>-11.785714285714285</v>
      </c>
      <c r="P41" s="41"/>
      <c r="Q41" s="41">
        <v>1178.57</v>
      </c>
      <c r="R41" s="41"/>
      <c r="S41" s="41"/>
      <c r="T41" s="42"/>
      <c r="U41" s="42"/>
      <c r="V41" s="42"/>
      <c r="W41" s="42"/>
      <c r="X41" s="42"/>
      <c r="Y41" s="41"/>
      <c r="Z41" s="41"/>
      <c r="AA41" s="41"/>
      <c r="AB41" s="41"/>
      <c r="AC41" s="41"/>
      <c r="AD41" s="41"/>
      <c r="AE41" s="41"/>
      <c r="AF41" s="41"/>
      <c r="AG41" s="78">
        <f t="shared" si="8"/>
        <v>-1308.212857142857</v>
      </c>
      <c r="AH41" s="45">
        <f t="shared" si="9"/>
        <v>1.4285714286685902E-3</v>
      </c>
    </row>
    <row r="42" spans="1:34" s="72" customFormat="1" ht="21" customHeight="1" x14ac:dyDescent="0.2">
      <c r="A42" s="65">
        <v>43297</v>
      </c>
      <c r="B42" s="66"/>
      <c r="C42" s="20" t="s">
        <v>655</v>
      </c>
      <c r="D42" s="20" t="s">
        <v>656</v>
      </c>
      <c r="E42" s="20" t="s">
        <v>657</v>
      </c>
      <c r="F42" s="21">
        <v>147085</v>
      </c>
      <c r="G42" s="21" t="s">
        <v>658</v>
      </c>
      <c r="H42" s="67"/>
      <c r="I42" s="67"/>
      <c r="J42" s="67"/>
      <c r="K42" s="67">
        <v>170</v>
      </c>
      <c r="L42" s="68"/>
      <c r="M42" s="69">
        <f t="shared" si="5"/>
        <v>151.78571428571428</v>
      </c>
      <c r="N42" s="69">
        <f t="shared" si="6"/>
        <v>18.214285714285712</v>
      </c>
      <c r="O42" s="69">
        <f t="shared" si="7"/>
        <v>0</v>
      </c>
      <c r="P42" s="69"/>
      <c r="Q42" s="69"/>
      <c r="R42" s="69"/>
      <c r="S42" s="69"/>
      <c r="T42" s="70"/>
      <c r="U42" s="70">
        <v>151.79</v>
      </c>
      <c r="V42" s="70"/>
      <c r="W42" s="70"/>
      <c r="X42" s="70"/>
      <c r="Y42" s="69"/>
      <c r="Z42" s="69"/>
      <c r="AA42" s="69"/>
      <c r="AB42" s="69"/>
      <c r="AC42" s="70"/>
      <c r="AD42" s="70"/>
      <c r="AE42" s="71"/>
      <c r="AF42" s="71"/>
      <c r="AG42" s="69">
        <f t="shared" si="8"/>
        <v>-170.00428571428571</v>
      </c>
      <c r="AH42" s="29">
        <f t="shared" si="9"/>
        <v>-4.2857142857144481E-3</v>
      </c>
    </row>
    <row r="43" spans="1:34" s="72" customFormat="1" ht="21" customHeight="1" x14ac:dyDescent="0.2">
      <c r="A43" s="65">
        <v>43297</v>
      </c>
      <c r="B43" s="66"/>
      <c r="C43" s="20" t="s">
        <v>324</v>
      </c>
      <c r="D43" s="20"/>
      <c r="E43" s="20"/>
      <c r="F43" s="21"/>
      <c r="G43" s="22" t="s">
        <v>659</v>
      </c>
      <c r="H43" s="67">
        <v>3000</v>
      </c>
      <c r="I43" s="67"/>
      <c r="J43" s="67"/>
      <c r="K43" s="67"/>
      <c r="L43" s="68"/>
      <c r="M43" s="69">
        <f t="shared" si="5"/>
        <v>3000</v>
      </c>
      <c r="N43" s="69">
        <f t="shared" si="6"/>
        <v>0</v>
      </c>
      <c r="O43" s="69">
        <f t="shared" si="7"/>
        <v>0</v>
      </c>
      <c r="P43" s="69"/>
      <c r="Q43" s="69"/>
      <c r="R43" s="69"/>
      <c r="S43" s="69"/>
      <c r="T43" s="70"/>
      <c r="U43" s="70"/>
      <c r="V43" s="70"/>
      <c r="W43" s="70"/>
      <c r="X43" s="70"/>
      <c r="Y43" s="69"/>
      <c r="Z43" s="69"/>
      <c r="AA43" s="69"/>
      <c r="AB43" s="69"/>
      <c r="AC43" s="70"/>
      <c r="AD43" s="70">
        <v>3000</v>
      </c>
      <c r="AE43" s="71"/>
      <c r="AF43" s="71"/>
      <c r="AG43" s="69">
        <f t="shared" si="8"/>
        <v>-3000</v>
      </c>
      <c r="AH43" s="29">
        <f t="shared" si="9"/>
        <v>0</v>
      </c>
    </row>
    <row r="44" spans="1:34" s="72" customFormat="1" ht="21" customHeight="1" x14ac:dyDescent="0.2">
      <c r="A44" s="65">
        <v>43297</v>
      </c>
      <c r="B44" s="66"/>
      <c r="C44" s="20" t="s">
        <v>660</v>
      </c>
      <c r="D44" s="20"/>
      <c r="E44" s="20"/>
      <c r="F44" s="21"/>
      <c r="G44" s="21" t="s">
        <v>661</v>
      </c>
      <c r="H44" s="67">
        <v>215</v>
      </c>
      <c r="I44" s="67"/>
      <c r="J44" s="67"/>
      <c r="K44" s="67"/>
      <c r="L44" s="68"/>
      <c r="M44" s="69">
        <f t="shared" si="5"/>
        <v>215</v>
      </c>
      <c r="N44" s="69">
        <f t="shared" si="6"/>
        <v>0</v>
      </c>
      <c r="O44" s="69">
        <f t="shared" si="7"/>
        <v>0</v>
      </c>
      <c r="P44" s="69"/>
      <c r="Q44" s="69"/>
      <c r="R44" s="69"/>
      <c r="S44" s="69"/>
      <c r="T44" s="70"/>
      <c r="U44" s="70"/>
      <c r="V44" s="70"/>
      <c r="W44" s="70"/>
      <c r="X44" s="70"/>
      <c r="Y44" s="69"/>
      <c r="Z44" s="69"/>
      <c r="AA44" s="69">
        <v>215</v>
      </c>
      <c r="AB44" s="69"/>
      <c r="AC44" s="70"/>
      <c r="AD44" s="70"/>
      <c r="AE44" s="71"/>
      <c r="AF44" s="71"/>
      <c r="AG44" s="69">
        <f t="shared" si="8"/>
        <v>-215</v>
      </c>
      <c r="AH44" s="29">
        <f t="shared" si="9"/>
        <v>0</v>
      </c>
    </row>
    <row r="45" spans="1:34" s="72" customFormat="1" ht="22.5" customHeight="1" x14ac:dyDescent="0.2">
      <c r="A45" s="65">
        <v>43294</v>
      </c>
      <c r="B45" s="66"/>
      <c r="C45" s="20" t="s">
        <v>528</v>
      </c>
      <c r="D45" s="20" t="s">
        <v>467</v>
      </c>
      <c r="E45" s="20" t="s">
        <v>662</v>
      </c>
      <c r="F45" s="21">
        <v>221</v>
      </c>
      <c r="G45" s="22" t="s">
        <v>663</v>
      </c>
      <c r="H45" s="67"/>
      <c r="I45" s="67"/>
      <c r="J45" s="67"/>
      <c r="K45" s="67">
        <v>96</v>
      </c>
      <c r="L45" s="68"/>
      <c r="M45" s="69">
        <f t="shared" si="5"/>
        <v>85.714285714285708</v>
      </c>
      <c r="N45" s="69">
        <f t="shared" si="6"/>
        <v>10.285714285714285</v>
      </c>
      <c r="O45" s="69">
        <f t="shared" si="7"/>
        <v>0</v>
      </c>
      <c r="P45" s="69"/>
      <c r="Q45" s="69">
        <v>85.71</v>
      </c>
      <c r="R45" s="69"/>
      <c r="S45" s="69"/>
      <c r="T45" s="70"/>
      <c r="U45" s="70"/>
      <c r="V45" s="70"/>
      <c r="W45" s="70"/>
      <c r="X45" s="70"/>
      <c r="Y45" s="69"/>
      <c r="Z45" s="69"/>
      <c r="AA45" s="69"/>
      <c r="AB45" s="69"/>
      <c r="AC45" s="70"/>
      <c r="AD45" s="70"/>
      <c r="AE45" s="71"/>
      <c r="AF45" s="71"/>
      <c r="AG45" s="69">
        <f t="shared" si="8"/>
        <v>-95.995714285714286</v>
      </c>
      <c r="AH45" s="29">
        <f t="shared" si="9"/>
        <v>4.2857142857144481E-3</v>
      </c>
    </row>
    <row r="46" spans="1:34" s="72" customFormat="1" ht="21" customHeight="1" x14ac:dyDescent="0.2">
      <c r="A46" s="65">
        <v>43295</v>
      </c>
      <c r="B46" s="66"/>
      <c r="C46" s="20" t="s">
        <v>518</v>
      </c>
      <c r="D46" s="20" t="s">
        <v>519</v>
      </c>
      <c r="E46" s="20" t="s">
        <v>554</v>
      </c>
      <c r="F46" s="21">
        <v>1195</v>
      </c>
      <c r="G46" s="22" t="s">
        <v>664</v>
      </c>
      <c r="H46" s="67"/>
      <c r="I46" s="67"/>
      <c r="J46" s="67"/>
      <c r="K46" s="67">
        <v>2662</v>
      </c>
      <c r="L46" s="68">
        <v>0.01</v>
      </c>
      <c r="M46" s="69">
        <f t="shared" si="5"/>
        <v>2376.7857142857142</v>
      </c>
      <c r="N46" s="69">
        <f t="shared" si="6"/>
        <v>285.21428571428572</v>
      </c>
      <c r="O46" s="69">
        <f t="shared" si="7"/>
        <v>-23.767857142857142</v>
      </c>
      <c r="P46" s="69">
        <v>2376.79</v>
      </c>
      <c r="Q46" s="69"/>
      <c r="R46" s="69"/>
      <c r="S46" s="69"/>
      <c r="T46" s="70"/>
      <c r="U46" s="70"/>
      <c r="V46" s="70"/>
      <c r="W46" s="70"/>
      <c r="X46" s="70"/>
      <c r="Y46" s="69"/>
      <c r="Z46" s="69"/>
      <c r="AA46" s="69"/>
      <c r="AB46" s="69"/>
      <c r="AC46" s="70"/>
      <c r="AD46" s="70"/>
      <c r="AE46" s="71"/>
      <c r="AF46" s="71"/>
      <c r="AG46" s="69">
        <f t="shared" si="8"/>
        <v>-2638.2364285714284</v>
      </c>
      <c r="AH46" s="29">
        <f t="shared" si="9"/>
        <v>-4.2857142855474706E-3</v>
      </c>
    </row>
    <row r="47" spans="1:34" s="72" customFormat="1" ht="21" customHeight="1" x14ac:dyDescent="0.2">
      <c r="A47" s="65">
        <v>43297</v>
      </c>
      <c r="B47" s="66"/>
      <c r="C47" s="20" t="s">
        <v>276</v>
      </c>
      <c r="D47" s="20" t="s">
        <v>52</v>
      </c>
      <c r="E47" s="20" t="s">
        <v>277</v>
      </c>
      <c r="F47" s="21">
        <v>30867</v>
      </c>
      <c r="G47" s="22" t="s">
        <v>433</v>
      </c>
      <c r="H47" s="67"/>
      <c r="I47" s="67"/>
      <c r="J47" s="67"/>
      <c r="K47" s="67">
        <v>195</v>
      </c>
      <c r="L47" s="68"/>
      <c r="M47" s="69">
        <f t="shared" si="5"/>
        <v>174.10714285714283</v>
      </c>
      <c r="N47" s="69">
        <f t="shared" si="6"/>
        <v>20.892857142857139</v>
      </c>
      <c r="O47" s="69">
        <f t="shared" si="7"/>
        <v>0</v>
      </c>
      <c r="P47" s="69">
        <v>174.11</v>
      </c>
      <c r="Q47" s="69"/>
      <c r="R47" s="69"/>
      <c r="S47" s="69"/>
      <c r="T47" s="70"/>
      <c r="U47" s="70"/>
      <c r="V47" s="70"/>
      <c r="W47" s="70"/>
      <c r="X47" s="70"/>
      <c r="Y47" s="69"/>
      <c r="Z47" s="69"/>
      <c r="AA47" s="69"/>
      <c r="AB47" s="69"/>
      <c r="AC47" s="70"/>
      <c r="AD47" s="70"/>
      <c r="AE47" s="71"/>
      <c r="AF47" s="71"/>
      <c r="AG47" s="69">
        <f t="shared" si="8"/>
        <v>-195.00285714285715</v>
      </c>
      <c r="AH47" s="29">
        <f t="shared" si="9"/>
        <v>-2.8571428571524393E-3</v>
      </c>
    </row>
    <row r="48" spans="1:34" s="72" customFormat="1" ht="21.75" customHeight="1" x14ac:dyDescent="0.2">
      <c r="A48" s="65">
        <v>43297</v>
      </c>
      <c r="B48" s="66"/>
      <c r="C48" s="20" t="s">
        <v>276</v>
      </c>
      <c r="D48" s="20" t="s">
        <v>52</v>
      </c>
      <c r="E48" s="20" t="s">
        <v>277</v>
      </c>
      <c r="F48" s="21">
        <v>30859</v>
      </c>
      <c r="G48" s="22" t="s">
        <v>665</v>
      </c>
      <c r="H48" s="67"/>
      <c r="I48" s="67"/>
      <c r="J48" s="67"/>
      <c r="K48" s="67">
        <v>525</v>
      </c>
      <c r="L48" s="68"/>
      <c r="M48" s="69">
        <f t="shared" si="5"/>
        <v>468.74999999999994</v>
      </c>
      <c r="N48" s="69">
        <f t="shared" si="6"/>
        <v>56.249999999999993</v>
      </c>
      <c r="O48" s="69">
        <f t="shared" si="7"/>
        <v>0</v>
      </c>
      <c r="P48" s="69">
        <v>468.75</v>
      </c>
      <c r="Q48" s="69"/>
      <c r="R48" s="69"/>
      <c r="S48" s="69"/>
      <c r="T48" s="70"/>
      <c r="U48" s="70"/>
      <c r="V48" s="70"/>
      <c r="W48" s="70"/>
      <c r="X48" s="70"/>
      <c r="Y48" s="69"/>
      <c r="Z48" s="69"/>
      <c r="AA48" s="69"/>
      <c r="AB48" s="69"/>
      <c r="AC48" s="70"/>
      <c r="AD48" s="70"/>
      <c r="AE48" s="71"/>
      <c r="AF48" s="71"/>
      <c r="AG48" s="69">
        <f t="shared" si="8"/>
        <v>-525</v>
      </c>
      <c r="AH48" s="29">
        <f t="shared" si="9"/>
        <v>0</v>
      </c>
    </row>
    <row r="49" spans="1:34" s="72" customFormat="1" ht="22.5" customHeight="1" x14ac:dyDescent="0.2">
      <c r="A49" s="65">
        <v>43297</v>
      </c>
      <c r="B49" s="66"/>
      <c r="C49" s="20" t="s">
        <v>351</v>
      </c>
      <c r="D49" s="20"/>
      <c r="E49" s="20"/>
      <c r="F49" s="21"/>
      <c r="G49" s="21" t="s">
        <v>666</v>
      </c>
      <c r="H49" s="67">
        <v>502</v>
      </c>
      <c r="I49" s="67"/>
      <c r="J49" s="67"/>
      <c r="K49" s="67"/>
      <c r="L49" s="68"/>
      <c r="M49" s="69">
        <f t="shared" si="5"/>
        <v>502</v>
      </c>
      <c r="N49" s="69">
        <f t="shared" si="6"/>
        <v>0</v>
      </c>
      <c r="O49" s="69">
        <f t="shared" si="7"/>
        <v>0</v>
      </c>
      <c r="P49" s="69"/>
      <c r="Q49" s="69"/>
      <c r="R49" s="69"/>
      <c r="S49" s="69"/>
      <c r="T49" s="70"/>
      <c r="U49" s="70"/>
      <c r="V49" s="70"/>
      <c r="W49" s="70"/>
      <c r="X49" s="70"/>
      <c r="Y49" s="69"/>
      <c r="Z49" s="69"/>
      <c r="AA49" s="69"/>
      <c r="AB49" s="69">
        <v>502</v>
      </c>
      <c r="AC49" s="70"/>
      <c r="AD49" s="70"/>
      <c r="AE49" s="71"/>
      <c r="AF49" s="71"/>
      <c r="AG49" s="69">
        <f t="shared" si="8"/>
        <v>-502</v>
      </c>
      <c r="AH49" s="29">
        <f t="shared" si="9"/>
        <v>0</v>
      </c>
    </row>
    <row r="50" spans="1:34" s="72" customFormat="1" ht="24" customHeight="1" x14ac:dyDescent="0.2">
      <c r="A50" s="65">
        <v>43297</v>
      </c>
      <c r="B50" s="66"/>
      <c r="C50" s="20" t="s">
        <v>45</v>
      </c>
      <c r="D50" s="20"/>
      <c r="E50" s="20"/>
      <c r="F50" s="21"/>
      <c r="G50" s="22" t="s">
        <v>667</v>
      </c>
      <c r="H50" s="67">
        <v>250</v>
      </c>
      <c r="I50" s="67"/>
      <c r="J50" s="67"/>
      <c r="K50" s="67"/>
      <c r="L50" s="68"/>
      <c r="M50" s="69">
        <f t="shared" si="5"/>
        <v>250</v>
      </c>
      <c r="N50" s="69">
        <f t="shared" si="6"/>
        <v>0</v>
      </c>
      <c r="O50" s="69">
        <f t="shared" si="7"/>
        <v>0</v>
      </c>
      <c r="P50" s="69"/>
      <c r="Q50" s="69"/>
      <c r="R50" s="69"/>
      <c r="S50" s="69"/>
      <c r="T50" s="70"/>
      <c r="U50" s="70"/>
      <c r="V50" s="70"/>
      <c r="W50" s="70"/>
      <c r="X50" s="70"/>
      <c r="Y50" s="69"/>
      <c r="Z50" s="69"/>
      <c r="AA50" s="69"/>
      <c r="AB50" s="69">
        <v>250</v>
      </c>
      <c r="AC50" s="70"/>
      <c r="AD50" s="70"/>
      <c r="AE50" s="71"/>
      <c r="AF50" s="71"/>
      <c r="AG50" s="69">
        <f t="shared" si="8"/>
        <v>-250</v>
      </c>
      <c r="AH50" s="29">
        <f t="shared" si="9"/>
        <v>0</v>
      </c>
    </row>
    <row r="51" spans="1:34" s="81" customFormat="1" ht="24" customHeight="1" x14ac:dyDescent="0.2">
      <c r="A51" s="74">
        <v>43297</v>
      </c>
      <c r="B51" s="75"/>
      <c r="C51" s="36" t="s">
        <v>63</v>
      </c>
      <c r="D51" s="36" t="s">
        <v>64</v>
      </c>
      <c r="E51" s="36" t="s">
        <v>65</v>
      </c>
      <c r="F51" s="37">
        <v>102216</v>
      </c>
      <c r="G51" s="38" t="s">
        <v>668</v>
      </c>
      <c r="H51" s="76"/>
      <c r="I51" s="76"/>
      <c r="J51" s="76"/>
      <c r="K51" s="76">
        <v>1019.1</v>
      </c>
      <c r="L51" s="77"/>
      <c r="M51" s="78">
        <f t="shared" si="5"/>
        <v>909.91071428571422</v>
      </c>
      <c r="N51" s="78">
        <f t="shared" si="6"/>
        <v>109.1892857142857</v>
      </c>
      <c r="O51" s="78">
        <f t="shared" si="7"/>
        <v>0</v>
      </c>
      <c r="P51" s="78">
        <v>909.91</v>
      </c>
      <c r="Q51" s="78"/>
      <c r="R51" s="78"/>
      <c r="S51" s="78"/>
      <c r="T51" s="79"/>
      <c r="U51" s="79"/>
      <c r="V51" s="79"/>
      <c r="W51" s="79"/>
      <c r="X51" s="79"/>
      <c r="Y51" s="78"/>
      <c r="Z51" s="78"/>
      <c r="AA51" s="78"/>
      <c r="AB51" s="78"/>
      <c r="AC51" s="79"/>
      <c r="AD51" s="79"/>
      <c r="AE51" s="80"/>
      <c r="AF51" s="80"/>
      <c r="AG51" s="78">
        <f t="shared" si="8"/>
        <v>-1019.0992857142857</v>
      </c>
      <c r="AH51" s="45">
        <f t="shared" si="9"/>
        <v>7.1428571436626953E-4</v>
      </c>
    </row>
    <row r="52" spans="1:34" s="72" customFormat="1" ht="21" customHeight="1" x14ac:dyDescent="0.2">
      <c r="A52" s="65">
        <v>43299</v>
      </c>
      <c r="B52" s="66"/>
      <c r="C52" s="20" t="s">
        <v>96</v>
      </c>
      <c r="D52" s="20"/>
      <c r="E52" s="20"/>
      <c r="F52" s="21"/>
      <c r="G52" s="21" t="s">
        <v>669</v>
      </c>
      <c r="H52" s="67">
        <v>100</v>
      </c>
      <c r="I52" s="67"/>
      <c r="J52" s="67"/>
      <c r="K52" s="67"/>
      <c r="L52" s="68"/>
      <c r="M52" s="69">
        <f t="shared" si="5"/>
        <v>100</v>
      </c>
      <c r="N52" s="69">
        <f t="shared" si="6"/>
        <v>0</v>
      </c>
      <c r="O52" s="69">
        <f t="shared" si="7"/>
        <v>0</v>
      </c>
      <c r="P52" s="69"/>
      <c r="Q52" s="69"/>
      <c r="R52" s="69"/>
      <c r="S52" s="69">
        <v>100</v>
      </c>
      <c r="T52" s="70"/>
      <c r="U52" s="70"/>
      <c r="V52" s="70"/>
      <c r="W52" s="70"/>
      <c r="X52" s="70"/>
      <c r="Y52" s="69"/>
      <c r="Z52" s="69"/>
      <c r="AA52" s="69"/>
      <c r="AB52" s="69"/>
      <c r="AC52" s="70"/>
      <c r="AD52" s="70"/>
      <c r="AE52" s="71"/>
      <c r="AF52" s="71"/>
      <c r="AG52" s="69">
        <f t="shared" si="8"/>
        <v>-100</v>
      </c>
      <c r="AH52" s="29">
        <f t="shared" si="9"/>
        <v>0</v>
      </c>
    </row>
    <row r="53" spans="1:34" s="72" customFormat="1" ht="21" customHeight="1" x14ac:dyDescent="0.2">
      <c r="A53" s="65">
        <v>43299</v>
      </c>
      <c r="B53" s="66"/>
      <c r="C53" s="20" t="s">
        <v>324</v>
      </c>
      <c r="D53" s="20"/>
      <c r="E53" s="20"/>
      <c r="F53" s="21"/>
      <c r="G53" s="22" t="s">
        <v>670</v>
      </c>
      <c r="H53" s="67">
        <v>3500</v>
      </c>
      <c r="I53" s="67"/>
      <c r="J53" s="67"/>
      <c r="K53" s="67"/>
      <c r="L53" s="68"/>
      <c r="M53" s="69">
        <f t="shared" si="5"/>
        <v>3500</v>
      </c>
      <c r="N53" s="69">
        <f t="shared" si="6"/>
        <v>0</v>
      </c>
      <c r="O53" s="69">
        <f t="shared" si="7"/>
        <v>0</v>
      </c>
      <c r="P53" s="69"/>
      <c r="Q53" s="69"/>
      <c r="R53" s="69"/>
      <c r="S53" s="69"/>
      <c r="T53" s="70"/>
      <c r="U53" s="70"/>
      <c r="V53" s="70"/>
      <c r="W53" s="70"/>
      <c r="X53" s="70"/>
      <c r="Y53" s="69">
        <v>3500</v>
      </c>
      <c r="Z53" s="69"/>
      <c r="AA53" s="69"/>
      <c r="AB53" s="69"/>
      <c r="AC53" s="70"/>
      <c r="AD53" s="70"/>
      <c r="AE53" s="71"/>
      <c r="AF53" s="71"/>
      <c r="AG53" s="69">
        <f t="shared" si="8"/>
        <v>-3500</v>
      </c>
      <c r="AH53" s="29">
        <f t="shared" si="9"/>
        <v>0</v>
      </c>
    </row>
    <row r="54" spans="1:34" s="72" customFormat="1" ht="21" customHeight="1" x14ac:dyDescent="0.2">
      <c r="A54" s="65">
        <v>43300</v>
      </c>
      <c r="B54" s="66"/>
      <c r="C54" s="20" t="s">
        <v>671</v>
      </c>
      <c r="D54" s="20"/>
      <c r="E54" s="20"/>
      <c r="F54" s="21"/>
      <c r="G54" s="22" t="s">
        <v>672</v>
      </c>
      <c r="H54" s="67">
        <v>770</v>
      </c>
      <c r="I54" s="67"/>
      <c r="J54" s="67"/>
      <c r="K54" s="67"/>
      <c r="L54" s="68"/>
      <c r="M54" s="69">
        <f t="shared" si="5"/>
        <v>770</v>
      </c>
      <c r="N54" s="69">
        <f t="shared" si="6"/>
        <v>0</v>
      </c>
      <c r="O54" s="69">
        <f t="shared" si="7"/>
        <v>0</v>
      </c>
      <c r="P54" s="69"/>
      <c r="Q54" s="69"/>
      <c r="R54" s="69"/>
      <c r="S54" s="69"/>
      <c r="T54" s="70"/>
      <c r="U54" s="70"/>
      <c r="V54" s="70"/>
      <c r="W54" s="70"/>
      <c r="X54" s="70"/>
      <c r="Y54" s="69"/>
      <c r="Z54" s="69"/>
      <c r="AA54" s="69"/>
      <c r="AB54" s="69"/>
      <c r="AC54" s="70"/>
      <c r="AD54" s="70">
        <v>770</v>
      </c>
      <c r="AE54" s="71"/>
      <c r="AF54" s="71"/>
      <c r="AG54" s="69">
        <f t="shared" si="8"/>
        <v>-770</v>
      </c>
      <c r="AH54" s="29">
        <f t="shared" si="9"/>
        <v>0</v>
      </c>
    </row>
    <row r="55" spans="1:34" s="72" customFormat="1" ht="21" customHeight="1" x14ac:dyDescent="0.2">
      <c r="A55" s="65">
        <v>43299</v>
      </c>
      <c r="B55" s="66"/>
      <c r="C55" s="20" t="s">
        <v>614</v>
      </c>
      <c r="D55" s="20"/>
      <c r="E55" s="20"/>
      <c r="F55" s="21"/>
      <c r="G55" s="22" t="s">
        <v>673</v>
      </c>
      <c r="H55" s="67">
        <v>502</v>
      </c>
      <c r="I55" s="67"/>
      <c r="J55" s="67"/>
      <c r="K55" s="67"/>
      <c r="L55" s="68"/>
      <c r="M55" s="69">
        <f t="shared" si="5"/>
        <v>502</v>
      </c>
      <c r="N55" s="69">
        <f t="shared" si="6"/>
        <v>0</v>
      </c>
      <c r="O55" s="69">
        <f t="shared" si="7"/>
        <v>0</v>
      </c>
      <c r="P55" s="69"/>
      <c r="Q55" s="69"/>
      <c r="R55" s="69"/>
      <c r="S55" s="69"/>
      <c r="T55" s="70"/>
      <c r="U55" s="70"/>
      <c r="V55" s="70"/>
      <c r="W55" s="70"/>
      <c r="X55" s="70"/>
      <c r="Y55" s="69"/>
      <c r="Z55" s="69"/>
      <c r="AA55" s="69"/>
      <c r="AB55" s="69">
        <v>502</v>
      </c>
      <c r="AC55" s="70"/>
      <c r="AD55" s="70"/>
      <c r="AE55" s="71"/>
      <c r="AF55" s="71"/>
      <c r="AG55" s="69">
        <f t="shared" si="8"/>
        <v>-502</v>
      </c>
      <c r="AH55" s="29">
        <f t="shared" si="9"/>
        <v>0</v>
      </c>
    </row>
    <row r="56" spans="1:34" s="72" customFormat="1" ht="21" customHeight="1" x14ac:dyDescent="0.2">
      <c r="A56" s="65">
        <v>43299</v>
      </c>
      <c r="B56" s="66"/>
      <c r="C56" s="20" t="s">
        <v>59</v>
      </c>
      <c r="D56" s="20" t="s">
        <v>60</v>
      </c>
      <c r="E56" s="20" t="s">
        <v>120</v>
      </c>
      <c r="F56" s="21">
        <v>687322</v>
      </c>
      <c r="G56" s="22" t="s">
        <v>674</v>
      </c>
      <c r="H56" s="67"/>
      <c r="I56" s="67"/>
      <c r="J56" s="67"/>
      <c r="K56" s="67">
        <v>304.25</v>
      </c>
      <c r="L56" s="68"/>
      <c r="M56" s="69">
        <f t="shared" si="5"/>
        <v>271.65178571428567</v>
      </c>
      <c r="N56" s="69">
        <f t="shared" si="6"/>
        <v>32.598214285714278</v>
      </c>
      <c r="O56" s="69">
        <f t="shared" si="7"/>
        <v>0</v>
      </c>
      <c r="P56" s="69"/>
      <c r="Q56" s="69"/>
      <c r="R56" s="69"/>
      <c r="S56" s="69"/>
      <c r="T56" s="70">
        <v>271.64999999999998</v>
      </c>
      <c r="U56" s="70"/>
      <c r="V56" s="70"/>
      <c r="W56" s="70"/>
      <c r="X56" s="70"/>
      <c r="Y56" s="69"/>
      <c r="Z56" s="69"/>
      <c r="AA56" s="69"/>
      <c r="AB56" s="69"/>
      <c r="AC56" s="70"/>
      <c r="AD56" s="70"/>
      <c r="AE56" s="71"/>
      <c r="AF56" s="71"/>
      <c r="AG56" s="69">
        <f t="shared" si="8"/>
        <v>-304.24821428571425</v>
      </c>
      <c r="AH56" s="29">
        <f t="shared" si="9"/>
        <v>1.7857142857451436E-3</v>
      </c>
    </row>
    <row r="57" spans="1:34" s="72" customFormat="1" ht="21" customHeight="1" x14ac:dyDescent="0.2">
      <c r="A57" s="65">
        <v>43299</v>
      </c>
      <c r="B57" s="66"/>
      <c r="C57" s="20" t="s">
        <v>41</v>
      </c>
      <c r="D57" s="20" t="s">
        <v>88</v>
      </c>
      <c r="E57" s="20" t="s">
        <v>43</v>
      </c>
      <c r="F57" s="21">
        <v>2528</v>
      </c>
      <c r="G57" s="22" t="s">
        <v>675</v>
      </c>
      <c r="H57" s="67"/>
      <c r="I57" s="67"/>
      <c r="J57" s="67">
        <v>1840</v>
      </c>
      <c r="K57" s="67"/>
      <c r="L57" s="68"/>
      <c r="M57" s="69">
        <f t="shared" si="5"/>
        <v>1840</v>
      </c>
      <c r="N57" s="69">
        <f t="shared" si="6"/>
        <v>0</v>
      </c>
      <c r="O57" s="69">
        <f t="shared" si="7"/>
        <v>0</v>
      </c>
      <c r="P57" s="69">
        <v>1840</v>
      </c>
      <c r="Q57" s="69"/>
      <c r="R57" s="69"/>
      <c r="S57" s="69"/>
      <c r="T57" s="70"/>
      <c r="U57" s="70"/>
      <c r="V57" s="70"/>
      <c r="W57" s="70"/>
      <c r="X57" s="70"/>
      <c r="Y57" s="69"/>
      <c r="Z57" s="69"/>
      <c r="AA57" s="69"/>
      <c r="AB57" s="69"/>
      <c r="AC57" s="70"/>
      <c r="AD57" s="70"/>
      <c r="AE57" s="71"/>
      <c r="AF57" s="71"/>
      <c r="AG57" s="69">
        <f t="shared" si="8"/>
        <v>-1840</v>
      </c>
      <c r="AH57" s="29">
        <f t="shared" si="9"/>
        <v>0</v>
      </c>
    </row>
    <row r="58" spans="1:34" s="72" customFormat="1" ht="21" customHeight="1" x14ac:dyDescent="0.2">
      <c r="A58" s="65">
        <v>43299</v>
      </c>
      <c r="B58" s="66"/>
      <c r="C58" s="20" t="s">
        <v>45</v>
      </c>
      <c r="D58" s="20"/>
      <c r="E58" s="20"/>
      <c r="F58" s="21"/>
      <c r="G58" s="22" t="s">
        <v>676</v>
      </c>
      <c r="H58" s="67">
        <v>100</v>
      </c>
      <c r="I58" s="67"/>
      <c r="J58" s="67"/>
      <c r="K58" s="67"/>
      <c r="L58" s="68"/>
      <c r="M58" s="69">
        <f t="shared" si="5"/>
        <v>100</v>
      </c>
      <c r="N58" s="69">
        <f t="shared" si="6"/>
        <v>0</v>
      </c>
      <c r="O58" s="69">
        <f t="shared" si="7"/>
        <v>0</v>
      </c>
      <c r="P58" s="69"/>
      <c r="Q58" s="69"/>
      <c r="R58" s="69"/>
      <c r="S58" s="69"/>
      <c r="T58" s="70"/>
      <c r="U58" s="70"/>
      <c r="V58" s="70"/>
      <c r="W58" s="70"/>
      <c r="X58" s="70"/>
      <c r="Y58" s="69"/>
      <c r="Z58" s="69"/>
      <c r="AA58" s="69">
        <v>100</v>
      </c>
      <c r="AB58" s="69"/>
      <c r="AC58" s="70"/>
      <c r="AD58" s="70"/>
      <c r="AE58" s="71"/>
      <c r="AF58" s="71"/>
      <c r="AG58" s="69">
        <f t="shared" si="8"/>
        <v>-100</v>
      </c>
      <c r="AH58" s="29">
        <f t="shared" si="9"/>
        <v>0</v>
      </c>
    </row>
    <row r="59" spans="1:34" s="72" customFormat="1" ht="21" customHeight="1" x14ac:dyDescent="0.2">
      <c r="A59" s="65">
        <v>43298</v>
      </c>
      <c r="B59" s="66"/>
      <c r="C59" s="20" t="s">
        <v>276</v>
      </c>
      <c r="D59" s="20" t="s">
        <v>52</v>
      </c>
      <c r="E59" s="20" t="s">
        <v>277</v>
      </c>
      <c r="F59" s="21">
        <v>30902</v>
      </c>
      <c r="G59" s="22" t="s">
        <v>677</v>
      </c>
      <c r="H59" s="67"/>
      <c r="I59" s="67"/>
      <c r="J59" s="67"/>
      <c r="K59" s="67">
        <v>218</v>
      </c>
      <c r="L59" s="68"/>
      <c r="M59" s="69">
        <f t="shared" si="5"/>
        <v>194.64285714285711</v>
      </c>
      <c r="N59" s="69">
        <f t="shared" si="6"/>
        <v>23.357142857142854</v>
      </c>
      <c r="O59" s="69">
        <f t="shared" si="7"/>
        <v>0</v>
      </c>
      <c r="P59" s="69"/>
      <c r="Q59" s="69">
        <v>194.64</v>
      </c>
      <c r="R59" s="69"/>
      <c r="S59" s="69"/>
      <c r="T59" s="70"/>
      <c r="U59" s="70"/>
      <c r="V59" s="70"/>
      <c r="W59" s="70"/>
      <c r="X59" s="70"/>
      <c r="Y59" s="69"/>
      <c r="Z59" s="69"/>
      <c r="AA59" s="69"/>
      <c r="AB59" s="69"/>
      <c r="AC59" s="70"/>
      <c r="AD59" s="70"/>
      <c r="AE59" s="71"/>
      <c r="AF59" s="71"/>
      <c r="AG59" s="69">
        <f t="shared" si="8"/>
        <v>-217.99714285714285</v>
      </c>
      <c r="AH59" s="29">
        <f t="shared" si="9"/>
        <v>2.8571428571524393E-3</v>
      </c>
    </row>
    <row r="60" spans="1:34" s="72" customFormat="1" ht="21" customHeight="1" x14ac:dyDescent="0.2">
      <c r="A60" s="65">
        <v>43297</v>
      </c>
      <c r="B60" s="66"/>
      <c r="C60" s="20" t="s">
        <v>63</v>
      </c>
      <c r="D60" s="20" t="s">
        <v>64</v>
      </c>
      <c r="E60" s="20" t="s">
        <v>65</v>
      </c>
      <c r="F60" s="21">
        <v>58202</v>
      </c>
      <c r="G60" s="21" t="s">
        <v>678</v>
      </c>
      <c r="H60" s="67"/>
      <c r="I60" s="67"/>
      <c r="J60" s="67"/>
      <c r="K60" s="67">
        <v>99.75</v>
      </c>
      <c r="L60" s="68"/>
      <c r="M60" s="69">
        <f t="shared" si="5"/>
        <v>89.062499999999986</v>
      </c>
      <c r="N60" s="69">
        <f t="shared" si="6"/>
        <v>10.687499999999998</v>
      </c>
      <c r="O60" s="69">
        <f t="shared" si="7"/>
        <v>0</v>
      </c>
      <c r="P60" s="69"/>
      <c r="Q60" s="69"/>
      <c r="R60" s="69"/>
      <c r="S60" s="69"/>
      <c r="T60" s="70"/>
      <c r="U60" s="70"/>
      <c r="V60" s="70"/>
      <c r="W60" s="70"/>
      <c r="X60" s="70">
        <v>89.06</v>
      </c>
      <c r="Y60" s="69"/>
      <c r="Z60" s="69"/>
      <c r="AA60" s="69"/>
      <c r="AB60" s="69"/>
      <c r="AC60" s="70"/>
      <c r="AD60" s="70"/>
      <c r="AE60" s="71"/>
      <c r="AF60" s="71"/>
      <c r="AG60" s="69">
        <f t="shared" si="8"/>
        <v>-99.747500000000002</v>
      </c>
      <c r="AH60" s="29">
        <f t="shared" si="9"/>
        <v>2.4999999999977263E-3</v>
      </c>
    </row>
    <row r="61" spans="1:34" s="72" customFormat="1" ht="22.5" customHeight="1" x14ac:dyDescent="0.2">
      <c r="A61" s="65">
        <v>43301</v>
      </c>
      <c r="B61" s="66"/>
      <c r="C61" s="20" t="s">
        <v>63</v>
      </c>
      <c r="D61" s="20" t="s">
        <v>64</v>
      </c>
      <c r="E61" s="20" t="s">
        <v>65</v>
      </c>
      <c r="F61" s="21">
        <v>102903</v>
      </c>
      <c r="G61" s="22" t="s">
        <v>679</v>
      </c>
      <c r="H61" s="67"/>
      <c r="I61" s="67"/>
      <c r="J61" s="67"/>
      <c r="K61" s="67">
        <f>1043.39+125.21</f>
        <v>1168.6000000000001</v>
      </c>
      <c r="L61" s="68"/>
      <c r="M61" s="69">
        <f t="shared" si="5"/>
        <v>1043.3928571428571</v>
      </c>
      <c r="N61" s="69">
        <f t="shared" si="6"/>
        <v>125.20714285714286</v>
      </c>
      <c r="O61" s="69">
        <f t="shared" si="7"/>
        <v>0</v>
      </c>
      <c r="P61" s="69">
        <v>1043.3900000000001</v>
      </c>
      <c r="Q61" s="69"/>
      <c r="R61" s="69"/>
      <c r="S61" s="69"/>
      <c r="T61" s="70"/>
      <c r="U61" s="70"/>
      <c r="V61" s="70"/>
      <c r="W61" s="70"/>
      <c r="X61" s="70"/>
      <c r="Y61" s="69"/>
      <c r="Z61" s="69"/>
      <c r="AA61" s="69"/>
      <c r="AB61" s="69"/>
      <c r="AC61" s="70"/>
      <c r="AD61" s="70"/>
      <c r="AE61" s="71"/>
      <c r="AF61" s="71"/>
      <c r="AG61" s="69">
        <f t="shared" si="8"/>
        <v>-1168.5971428571429</v>
      </c>
      <c r="AH61" s="29">
        <f t="shared" si="9"/>
        <v>2.8571428572377044E-3</v>
      </c>
    </row>
    <row r="62" spans="1:34" s="81" customFormat="1" ht="21" customHeight="1" x14ac:dyDescent="0.2">
      <c r="A62" s="74">
        <v>43301</v>
      </c>
      <c r="B62" s="75"/>
      <c r="C62" s="36" t="s">
        <v>63</v>
      </c>
      <c r="D62" s="36" t="s">
        <v>64</v>
      </c>
      <c r="E62" s="36" t="s">
        <v>65</v>
      </c>
      <c r="F62" s="37">
        <v>102903</v>
      </c>
      <c r="G62" s="38" t="s">
        <v>680</v>
      </c>
      <c r="H62" s="76"/>
      <c r="I62" s="76"/>
      <c r="J62" s="76">
        <v>790.5</v>
      </c>
      <c r="K62" s="76"/>
      <c r="L62" s="77"/>
      <c r="M62" s="78">
        <f t="shared" si="5"/>
        <v>790.5</v>
      </c>
      <c r="N62" s="78">
        <f t="shared" si="6"/>
        <v>0</v>
      </c>
      <c r="O62" s="78">
        <f t="shared" si="7"/>
        <v>0</v>
      </c>
      <c r="P62" s="78">
        <v>790.5</v>
      </c>
      <c r="Q62" s="78"/>
      <c r="R62" s="78"/>
      <c r="S62" s="78"/>
      <c r="T62" s="79"/>
      <c r="U62" s="79"/>
      <c r="V62" s="79"/>
      <c r="W62" s="79"/>
      <c r="X62" s="79"/>
      <c r="Y62" s="78"/>
      <c r="Z62" s="78"/>
      <c r="AA62" s="78"/>
      <c r="AB62" s="78"/>
      <c r="AC62" s="79"/>
      <c r="AD62" s="79"/>
      <c r="AE62" s="80"/>
      <c r="AF62" s="80"/>
      <c r="AG62" s="78">
        <f t="shared" si="8"/>
        <v>-790.5</v>
      </c>
      <c r="AH62" s="45">
        <f t="shared" si="9"/>
        <v>0</v>
      </c>
    </row>
    <row r="63" spans="1:34" s="72" customFormat="1" ht="21" customHeight="1" x14ac:dyDescent="0.2">
      <c r="A63" s="65">
        <v>43300</v>
      </c>
      <c r="B63" s="66"/>
      <c r="C63" s="20" t="s">
        <v>681</v>
      </c>
      <c r="D63" s="20" t="s">
        <v>329</v>
      </c>
      <c r="E63" s="20" t="s">
        <v>330</v>
      </c>
      <c r="F63" s="21">
        <v>3544</v>
      </c>
      <c r="G63" s="21" t="s">
        <v>390</v>
      </c>
      <c r="H63" s="67"/>
      <c r="I63" s="67"/>
      <c r="J63" s="67"/>
      <c r="K63" s="67">
        <v>1500</v>
      </c>
      <c r="L63" s="68">
        <v>0.02</v>
      </c>
      <c r="M63" s="69">
        <f t="shared" si="5"/>
        <v>1339.2857142857142</v>
      </c>
      <c r="N63" s="69">
        <f t="shared" si="6"/>
        <v>160.71428571428569</v>
      </c>
      <c r="O63" s="69">
        <f t="shared" si="7"/>
        <v>-26.785714285714285</v>
      </c>
      <c r="P63" s="69"/>
      <c r="Q63" s="69"/>
      <c r="R63" s="69"/>
      <c r="S63" s="69"/>
      <c r="T63" s="70"/>
      <c r="U63" s="70"/>
      <c r="V63" s="70"/>
      <c r="W63" s="70"/>
      <c r="X63" s="70"/>
      <c r="Y63" s="69">
        <v>1339.29</v>
      </c>
      <c r="Z63" s="69"/>
      <c r="AA63" s="69"/>
      <c r="AB63" s="69"/>
      <c r="AC63" s="70"/>
      <c r="AD63" s="70"/>
      <c r="AE63" s="71"/>
      <c r="AF63" s="71"/>
      <c r="AG63" s="69">
        <f t="shared" si="8"/>
        <v>-1473.2185714285713</v>
      </c>
      <c r="AH63" s="29">
        <f t="shared" si="9"/>
        <v>-4.285714285579445E-3</v>
      </c>
    </row>
    <row r="64" spans="1:34" s="72" customFormat="1" ht="21" customHeight="1" x14ac:dyDescent="0.2">
      <c r="A64" s="65">
        <v>43301</v>
      </c>
      <c r="B64" s="66"/>
      <c r="C64" s="20" t="s">
        <v>474</v>
      </c>
      <c r="D64" s="20"/>
      <c r="E64" s="20"/>
      <c r="F64" s="21"/>
      <c r="G64" s="22" t="s">
        <v>682</v>
      </c>
      <c r="H64" s="67">
        <v>68</v>
      </c>
      <c r="I64" s="67"/>
      <c r="J64" s="67"/>
      <c r="K64" s="67"/>
      <c r="L64" s="68"/>
      <c r="M64" s="69">
        <f t="shared" si="5"/>
        <v>68</v>
      </c>
      <c r="N64" s="69">
        <f t="shared" si="6"/>
        <v>0</v>
      </c>
      <c r="O64" s="69">
        <f t="shared" si="7"/>
        <v>0</v>
      </c>
      <c r="P64" s="69"/>
      <c r="Q64" s="69"/>
      <c r="R64" s="69"/>
      <c r="S64" s="69"/>
      <c r="T64" s="70"/>
      <c r="U64" s="70"/>
      <c r="V64" s="70"/>
      <c r="W64" s="70"/>
      <c r="X64" s="70"/>
      <c r="Y64" s="69"/>
      <c r="Z64" s="69"/>
      <c r="AA64" s="69">
        <v>68</v>
      </c>
      <c r="AB64" s="69"/>
      <c r="AC64" s="70"/>
      <c r="AD64" s="70"/>
      <c r="AE64" s="71"/>
      <c r="AF64" s="71"/>
      <c r="AG64" s="69">
        <f t="shared" si="8"/>
        <v>-68</v>
      </c>
      <c r="AH64" s="29">
        <f t="shared" si="9"/>
        <v>0</v>
      </c>
    </row>
    <row r="65" spans="1:34" s="72" customFormat="1" ht="21" customHeight="1" x14ac:dyDescent="0.2">
      <c r="A65" s="65">
        <v>43301</v>
      </c>
      <c r="B65" s="66"/>
      <c r="C65" s="20" t="s">
        <v>45</v>
      </c>
      <c r="D65" s="20"/>
      <c r="E65" s="20"/>
      <c r="F65" s="21"/>
      <c r="G65" s="22" t="s">
        <v>683</v>
      </c>
      <c r="H65" s="67">
        <v>50</v>
      </c>
      <c r="I65" s="67"/>
      <c r="J65" s="67"/>
      <c r="K65" s="67"/>
      <c r="L65" s="68"/>
      <c r="M65" s="69">
        <f t="shared" si="5"/>
        <v>50</v>
      </c>
      <c r="N65" s="69">
        <f t="shared" si="6"/>
        <v>0</v>
      </c>
      <c r="O65" s="69">
        <f t="shared" si="7"/>
        <v>0</v>
      </c>
      <c r="P65" s="69"/>
      <c r="Q65" s="69"/>
      <c r="R65" s="69"/>
      <c r="S65" s="69"/>
      <c r="T65" s="70"/>
      <c r="U65" s="70"/>
      <c r="V65" s="70"/>
      <c r="W65" s="70"/>
      <c r="X65" s="70"/>
      <c r="Y65" s="69"/>
      <c r="Z65" s="69"/>
      <c r="AA65" s="69">
        <v>50</v>
      </c>
      <c r="AB65" s="69"/>
      <c r="AC65" s="70"/>
      <c r="AD65" s="70"/>
      <c r="AE65" s="71"/>
      <c r="AF65" s="71"/>
      <c r="AG65" s="69">
        <f t="shared" si="8"/>
        <v>-50</v>
      </c>
      <c r="AH65" s="29">
        <f t="shared" si="9"/>
        <v>0</v>
      </c>
    </row>
    <row r="66" spans="1:34" s="72" customFormat="1" ht="21" customHeight="1" x14ac:dyDescent="0.2">
      <c r="A66" s="65">
        <v>43302</v>
      </c>
      <c r="B66" s="66"/>
      <c r="C66" s="20" t="s">
        <v>96</v>
      </c>
      <c r="D66" s="20"/>
      <c r="E66" s="20"/>
      <c r="F66" s="21"/>
      <c r="G66" s="22" t="s">
        <v>684</v>
      </c>
      <c r="H66" s="67">
        <v>200</v>
      </c>
      <c r="I66" s="67"/>
      <c r="J66" s="67"/>
      <c r="K66" s="67"/>
      <c r="L66" s="68"/>
      <c r="M66" s="69">
        <f t="shared" si="5"/>
        <v>200</v>
      </c>
      <c r="N66" s="69">
        <f t="shared" si="6"/>
        <v>0</v>
      </c>
      <c r="O66" s="69">
        <f t="shared" si="7"/>
        <v>0</v>
      </c>
      <c r="P66" s="69"/>
      <c r="Q66" s="69"/>
      <c r="R66" s="69"/>
      <c r="S66" s="69"/>
      <c r="T66" s="70"/>
      <c r="U66" s="70"/>
      <c r="V66" s="70"/>
      <c r="W66" s="70"/>
      <c r="X66" s="70"/>
      <c r="Y66" s="69"/>
      <c r="Z66" s="69"/>
      <c r="AA66" s="69">
        <v>200</v>
      </c>
      <c r="AB66" s="69"/>
      <c r="AC66" s="70"/>
      <c r="AD66" s="70"/>
      <c r="AE66" s="71"/>
      <c r="AF66" s="71"/>
      <c r="AG66" s="69">
        <f t="shared" si="8"/>
        <v>-200</v>
      </c>
      <c r="AH66" s="29">
        <f t="shared" si="9"/>
        <v>0</v>
      </c>
    </row>
    <row r="67" spans="1:34" s="72" customFormat="1" ht="21" customHeight="1" x14ac:dyDescent="0.2">
      <c r="A67" s="65">
        <v>43305</v>
      </c>
      <c r="B67" s="66"/>
      <c r="C67" s="20" t="s">
        <v>276</v>
      </c>
      <c r="D67" s="20" t="s">
        <v>52</v>
      </c>
      <c r="E67" s="20" t="s">
        <v>277</v>
      </c>
      <c r="F67" s="21">
        <v>307882</v>
      </c>
      <c r="G67" s="22" t="s">
        <v>685</v>
      </c>
      <c r="H67" s="67"/>
      <c r="I67" s="67"/>
      <c r="J67" s="67"/>
      <c r="K67" s="67">
        <v>109.5</v>
      </c>
      <c r="L67" s="68"/>
      <c r="M67" s="69">
        <f t="shared" si="5"/>
        <v>97.767857142857139</v>
      </c>
      <c r="N67" s="69">
        <f t="shared" si="6"/>
        <v>11.732142857142856</v>
      </c>
      <c r="O67" s="69">
        <f t="shared" si="7"/>
        <v>0</v>
      </c>
      <c r="P67" s="69">
        <v>97.77</v>
      </c>
      <c r="Q67" s="69"/>
      <c r="R67" s="69"/>
      <c r="S67" s="69"/>
      <c r="T67" s="70"/>
      <c r="U67" s="70"/>
      <c r="V67" s="70"/>
      <c r="W67" s="70"/>
      <c r="X67" s="70"/>
      <c r="Y67" s="69"/>
      <c r="Z67" s="69"/>
      <c r="AA67" s="69"/>
      <c r="AB67" s="69"/>
      <c r="AC67" s="70"/>
      <c r="AD67" s="70"/>
      <c r="AE67" s="71"/>
      <c r="AF67" s="71"/>
      <c r="AG67" s="69">
        <f t="shared" si="8"/>
        <v>-109.50214285714286</v>
      </c>
      <c r="AH67" s="29">
        <f t="shared" si="9"/>
        <v>-2.1428571428572241E-3</v>
      </c>
    </row>
    <row r="68" spans="1:34" s="72" customFormat="1" ht="21" customHeight="1" x14ac:dyDescent="0.2">
      <c r="A68" s="65">
        <v>43305</v>
      </c>
      <c r="B68" s="66"/>
      <c r="C68" s="20" t="s">
        <v>686</v>
      </c>
      <c r="D68" s="20" t="s">
        <v>55</v>
      </c>
      <c r="E68" s="20" t="s">
        <v>56</v>
      </c>
      <c r="F68" s="21">
        <v>291</v>
      </c>
      <c r="G68" s="22" t="s">
        <v>593</v>
      </c>
      <c r="H68" s="67"/>
      <c r="I68" s="67"/>
      <c r="J68" s="67">
        <v>2500</v>
      </c>
      <c r="K68" s="67"/>
      <c r="L68" s="68">
        <v>0.01</v>
      </c>
      <c r="M68" s="69">
        <f t="shared" si="5"/>
        <v>2500</v>
      </c>
      <c r="N68" s="69">
        <f t="shared" si="6"/>
        <v>0</v>
      </c>
      <c r="O68" s="69">
        <f t="shared" si="7"/>
        <v>-25</v>
      </c>
      <c r="P68" s="69">
        <v>2500</v>
      </c>
      <c r="Q68" s="69"/>
      <c r="R68" s="69"/>
      <c r="S68" s="69"/>
      <c r="T68" s="70"/>
      <c r="U68" s="70"/>
      <c r="V68" s="70"/>
      <c r="W68" s="70"/>
      <c r="X68" s="70"/>
      <c r="Y68" s="69"/>
      <c r="Z68" s="69"/>
      <c r="AA68" s="69"/>
      <c r="AB68" s="69"/>
      <c r="AC68" s="70"/>
      <c r="AD68" s="70"/>
      <c r="AE68" s="71"/>
      <c r="AF68" s="71"/>
      <c r="AG68" s="69">
        <f t="shared" si="8"/>
        <v>-2475</v>
      </c>
      <c r="AH68" s="29">
        <f t="shared" si="9"/>
        <v>0</v>
      </c>
    </row>
    <row r="69" spans="1:34" s="72" customFormat="1" ht="21" customHeight="1" x14ac:dyDescent="0.2">
      <c r="A69" s="65">
        <v>43306</v>
      </c>
      <c r="B69" s="66"/>
      <c r="C69" s="20" t="s">
        <v>96</v>
      </c>
      <c r="D69" s="20"/>
      <c r="E69" s="20"/>
      <c r="F69" s="21"/>
      <c r="G69" s="22" t="s">
        <v>687</v>
      </c>
      <c r="H69" s="67">
        <v>250</v>
      </c>
      <c r="I69" s="67"/>
      <c r="J69" s="67"/>
      <c r="K69" s="67"/>
      <c r="L69" s="68"/>
      <c r="M69" s="69">
        <f t="shared" ref="M69:M83" si="10">SUM(H69:J69,K69/1.12)</f>
        <v>250</v>
      </c>
      <c r="N69" s="69">
        <f t="shared" ref="N69:N83" si="11">K69/1.12*0.12</f>
        <v>0</v>
      </c>
      <c r="O69" s="69">
        <f t="shared" ref="O69:O83" si="12">-SUM(I69:J69,K69/1.12)*L69</f>
        <v>0</v>
      </c>
      <c r="P69" s="69"/>
      <c r="Q69" s="69"/>
      <c r="R69" s="69"/>
      <c r="S69" s="69"/>
      <c r="T69" s="70"/>
      <c r="U69" s="70"/>
      <c r="V69" s="70"/>
      <c r="W69" s="70"/>
      <c r="X69" s="70"/>
      <c r="Y69" s="69"/>
      <c r="Z69" s="69"/>
      <c r="AA69" s="69"/>
      <c r="AB69" s="69">
        <v>250</v>
      </c>
      <c r="AC69" s="70"/>
      <c r="AD69" s="70"/>
      <c r="AE69" s="71"/>
      <c r="AF69" s="71"/>
      <c r="AG69" s="69">
        <f t="shared" ref="AG69:AG83" si="13">-SUM(N69:AF69)</f>
        <v>-250</v>
      </c>
      <c r="AH69" s="29">
        <f t="shared" ref="AH69:AH83" si="14">SUM(H69:K69)+AG69+O69</f>
        <v>0</v>
      </c>
    </row>
    <row r="70" spans="1:34" s="72" customFormat="1" ht="21" customHeight="1" x14ac:dyDescent="0.2">
      <c r="A70" s="65">
        <v>43306</v>
      </c>
      <c r="B70" s="66"/>
      <c r="C70" s="20" t="s">
        <v>636</v>
      </c>
      <c r="D70" s="20" t="s">
        <v>295</v>
      </c>
      <c r="E70" s="20" t="s">
        <v>43</v>
      </c>
      <c r="F70" s="21">
        <v>2540</v>
      </c>
      <c r="G70" s="22" t="s">
        <v>637</v>
      </c>
      <c r="H70" s="67"/>
      <c r="I70" s="67"/>
      <c r="J70" s="67">
        <v>760</v>
      </c>
      <c r="K70" s="67"/>
      <c r="L70" s="68"/>
      <c r="M70" s="69">
        <f t="shared" si="10"/>
        <v>760</v>
      </c>
      <c r="N70" s="69">
        <f t="shared" si="11"/>
        <v>0</v>
      </c>
      <c r="O70" s="69">
        <f t="shared" si="12"/>
        <v>0</v>
      </c>
      <c r="P70" s="69">
        <v>760</v>
      </c>
      <c r="Q70" s="69"/>
      <c r="R70" s="69"/>
      <c r="S70" s="69"/>
      <c r="T70" s="70"/>
      <c r="U70" s="70"/>
      <c r="V70" s="70"/>
      <c r="W70" s="70"/>
      <c r="X70" s="70"/>
      <c r="Y70" s="69"/>
      <c r="Z70" s="69"/>
      <c r="AA70" s="69"/>
      <c r="AB70" s="69"/>
      <c r="AC70" s="70"/>
      <c r="AD70" s="70"/>
      <c r="AE70" s="71"/>
      <c r="AF70" s="71"/>
      <c r="AG70" s="69">
        <f t="shared" si="13"/>
        <v>-760</v>
      </c>
      <c r="AH70" s="29">
        <f t="shared" si="14"/>
        <v>0</v>
      </c>
    </row>
    <row r="71" spans="1:34" s="72" customFormat="1" ht="21" customHeight="1" x14ac:dyDescent="0.2">
      <c r="A71" s="65">
        <v>43307</v>
      </c>
      <c r="B71" s="66"/>
      <c r="C71" s="20" t="s">
        <v>276</v>
      </c>
      <c r="D71" s="20" t="s">
        <v>52</v>
      </c>
      <c r="E71" s="20" t="s">
        <v>277</v>
      </c>
      <c r="F71" s="21">
        <v>4416</v>
      </c>
      <c r="G71" s="22" t="s">
        <v>688</v>
      </c>
      <c r="H71" s="67"/>
      <c r="I71" s="67"/>
      <c r="J71" s="67"/>
      <c r="K71" s="67">
        <v>139.5</v>
      </c>
      <c r="L71" s="68"/>
      <c r="M71" s="69">
        <f t="shared" si="10"/>
        <v>124.55357142857142</v>
      </c>
      <c r="N71" s="69">
        <f t="shared" si="11"/>
        <v>14.946428571428569</v>
      </c>
      <c r="O71" s="69">
        <f t="shared" si="12"/>
        <v>0</v>
      </c>
      <c r="P71" s="69">
        <v>124.55</v>
      </c>
      <c r="Q71" s="69"/>
      <c r="R71" s="69"/>
      <c r="S71" s="69"/>
      <c r="T71" s="70"/>
      <c r="U71" s="70"/>
      <c r="V71" s="70"/>
      <c r="W71" s="70"/>
      <c r="X71" s="70"/>
      <c r="Y71" s="69"/>
      <c r="Z71" s="69"/>
      <c r="AA71" s="69"/>
      <c r="AB71" s="69"/>
      <c r="AC71" s="70"/>
      <c r="AD71" s="70"/>
      <c r="AE71" s="71"/>
      <c r="AF71" s="71"/>
      <c r="AG71" s="69">
        <f t="shared" si="13"/>
        <v>-139.49642857142857</v>
      </c>
      <c r="AH71" s="29">
        <f t="shared" si="14"/>
        <v>3.5714285714334437E-3</v>
      </c>
    </row>
    <row r="72" spans="1:34" s="72" customFormat="1" ht="21" customHeight="1" x14ac:dyDescent="0.2">
      <c r="A72" s="65">
        <v>43307</v>
      </c>
      <c r="B72" s="66"/>
      <c r="C72" s="20" t="s">
        <v>59</v>
      </c>
      <c r="D72" s="20" t="s">
        <v>60</v>
      </c>
      <c r="E72" s="20" t="s">
        <v>120</v>
      </c>
      <c r="F72" s="21">
        <v>688797</v>
      </c>
      <c r="G72" s="22" t="s">
        <v>689</v>
      </c>
      <c r="H72" s="67"/>
      <c r="I72" s="67"/>
      <c r="J72" s="67"/>
      <c r="K72" s="67">
        <v>182.78</v>
      </c>
      <c r="L72" s="68"/>
      <c r="M72" s="69">
        <f t="shared" si="10"/>
        <v>163.19642857142856</v>
      </c>
      <c r="N72" s="69">
        <f t="shared" si="11"/>
        <v>19.583571428571425</v>
      </c>
      <c r="O72" s="69">
        <f t="shared" si="12"/>
        <v>0</v>
      </c>
      <c r="P72" s="69"/>
      <c r="Q72" s="69"/>
      <c r="R72" s="69"/>
      <c r="S72" s="69"/>
      <c r="T72" s="70">
        <v>163.19999999999999</v>
      </c>
      <c r="U72" s="70"/>
      <c r="V72" s="70"/>
      <c r="W72" s="70"/>
      <c r="X72" s="70"/>
      <c r="Y72" s="69"/>
      <c r="Z72" s="69"/>
      <c r="AA72" s="69"/>
      <c r="AB72" s="69"/>
      <c r="AC72" s="70"/>
      <c r="AD72" s="70"/>
      <c r="AE72" s="71"/>
      <c r="AF72" s="71"/>
      <c r="AG72" s="69">
        <f t="shared" si="13"/>
        <v>-182.78357142857141</v>
      </c>
      <c r="AH72" s="29">
        <f t="shared" si="14"/>
        <v>-3.571428571405022E-3</v>
      </c>
    </row>
    <row r="73" spans="1:34" s="72" customFormat="1" ht="21" customHeight="1" x14ac:dyDescent="0.2">
      <c r="A73" s="65">
        <v>43306</v>
      </c>
      <c r="B73" s="66"/>
      <c r="C73" s="20" t="s">
        <v>690</v>
      </c>
      <c r="D73" s="20" t="s">
        <v>691</v>
      </c>
      <c r="E73" s="20" t="s">
        <v>175</v>
      </c>
      <c r="F73" s="21">
        <v>95814</v>
      </c>
      <c r="G73" s="22" t="s">
        <v>692</v>
      </c>
      <c r="H73" s="67"/>
      <c r="I73" s="67"/>
      <c r="J73" s="67"/>
      <c r="K73" s="67">
        <v>183.75</v>
      </c>
      <c r="L73" s="68"/>
      <c r="M73" s="69">
        <f t="shared" si="10"/>
        <v>164.06249999999997</v>
      </c>
      <c r="N73" s="69">
        <f t="shared" si="11"/>
        <v>19.687499999999996</v>
      </c>
      <c r="O73" s="69">
        <f t="shared" si="12"/>
        <v>0</v>
      </c>
      <c r="P73" s="69"/>
      <c r="Q73" s="69"/>
      <c r="R73" s="69"/>
      <c r="S73" s="69"/>
      <c r="T73" s="70"/>
      <c r="U73" s="70"/>
      <c r="V73" s="70"/>
      <c r="W73" s="70"/>
      <c r="X73" s="70"/>
      <c r="Y73" s="69"/>
      <c r="Z73" s="69">
        <v>164.06</v>
      </c>
      <c r="AA73" s="69"/>
      <c r="AB73" s="69"/>
      <c r="AC73" s="70"/>
      <c r="AD73" s="70"/>
      <c r="AE73" s="71"/>
      <c r="AF73" s="71"/>
      <c r="AG73" s="69">
        <f t="shared" si="13"/>
        <v>-183.7475</v>
      </c>
      <c r="AH73" s="29">
        <f t="shared" si="14"/>
        <v>2.4999999999977263E-3</v>
      </c>
    </row>
    <row r="74" spans="1:34" s="72" customFormat="1" ht="21" customHeight="1" x14ac:dyDescent="0.2">
      <c r="A74" s="65">
        <v>43307</v>
      </c>
      <c r="B74" s="66"/>
      <c r="C74" s="20" t="s">
        <v>68</v>
      </c>
      <c r="D74" s="20"/>
      <c r="E74" s="20"/>
      <c r="F74" s="21"/>
      <c r="G74" s="22" t="s">
        <v>595</v>
      </c>
      <c r="H74" s="67">
        <v>40</v>
      </c>
      <c r="I74" s="67"/>
      <c r="J74" s="67"/>
      <c r="K74" s="67"/>
      <c r="L74" s="68"/>
      <c r="M74" s="69">
        <f t="shared" si="10"/>
        <v>40</v>
      </c>
      <c r="N74" s="69">
        <f t="shared" si="11"/>
        <v>0</v>
      </c>
      <c r="O74" s="69">
        <f t="shared" si="12"/>
        <v>0</v>
      </c>
      <c r="P74" s="69"/>
      <c r="Q74" s="69"/>
      <c r="R74" s="69"/>
      <c r="S74" s="69"/>
      <c r="T74" s="70"/>
      <c r="U74" s="70"/>
      <c r="V74" s="70"/>
      <c r="W74" s="70"/>
      <c r="X74" s="70"/>
      <c r="Y74" s="69"/>
      <c r="Z74" s="69"/>
      <c r="AA74" s="69">
        <v>40</v>
      </c>
      <c r="AB74" s="69"/>
      <c r="AC74" s="70"/>
      <c r="AD74" s="70"/>
      <c r="AE74" s="71"/>
      <c r="AF74" s="71"/>
      <c r="AG74" s="69">
        <f t="shared" si="13"/>
        <v>-40</v>
      </c>
      <c r="AH74" s="29">
        <f t="shared" si="14"/>
        <v>0</v>
      </c>
    </row>
    <row r="75" spans="1:34" s="72" customFormat="1" ht="21" customHeight="1" x14ac:dyDescent="0.2">
      <c r="A75" s="65">
        <v>43307</v>
      </c>
      <c r="B75" s="66"/>
      <c r="C75" s="20" t="s">
        <v>104</v>
      </c>
      <c r="D75" s="20" t="s">
        <v>105</v>
      </c>
      <c r="E75" s="20" t="s">
        <v>146</v>
      </c>
      <c r="F75" s="21">
        <v>204796</v>
      </c>
      <c r="G75" s="22" t="s">
        <v>107</v>
      </c>
      <c r="H75" s="67"/>
      <c r="I75" s="67"/>
      <c r="J75" s="67"/>
      <c r="K75" s="67">
        <v>1254.68</v>
      </c>
      <c r="L75" s="68">
        <v>0.01</v>
      </c>
      <c r="M75" s="69">
        <f t="shared" si="10"/>
        <v>1120.25</v>
      </c>
      <c r="N75" s="69">
        <f t="shared" si="11"/>
        <v>134.43</v>
      </c>
      <c r="O75" s="69">
        <f t="shared" si="12"/>
        <v>-11.202500000000001</v>
      </c>
      <c r="P75" s="69">
        <v>1120.25</v>
      </c>
      <c r="Q75" s="69"/>
      <c r="R75" s="69"/>
      <c r="S75" s="69"/>
      <c r="T75" s="70"/>
      <c r="U75" s="70"/>
      <c r="V75" s="70"/>
      <c r="W75" s="70"/>
      <c r="X75" s="70"/>
      <c r="Y75" s="69"/>
      <c r="Z75" s="69"/>
      <c r="AA75" s="69"/>
      <c r="AB75" s="69"/>
      <c r="AC75" s="70"/>
      <c r="AD75" s="70"/>
      <c r="AE75" s="71"/>
      <c r="AF75" s="71"/>
      <c r="AG75" s="69">
        <f t="shared" si="13"/>
        <v>-1243.4775</v>
      </c>
      <c r="AH75" s="29">
        <f t="shared" si="14"/>
        <v>9.9475983006414026E-14</v>
      </c>
    </row>
    <row r="76" spans="1:34" s="72" customFormat="1" ht="21" customHeight="1" x14ac:dyDescent="0.2">
      <c r="A76" s="65">
        <v>43307</v>
      </c>
      <c r="B76" s="66"/>
      <c r="C76" s="20" t="s">
        <v>614</v>
      </c>
      <c r="D76" s="20"/>
      <c r="E76" s="20"/>
      <c r="F76" s="21"/>
      <c r="G76" s="22" t="s">
        <v>693</v>
      </c>
      <c r="H76" s="67">
        <v>502</v>
      </c>
      <c r="I76" s="67"/>
      <c r="J76" s="67"/>
      <c r="K76" s="67"/>
      <c r="L76" s="68"/>
      <c r="M76" s="69">
        <f t="shared" si="10"/>
        <v>502</v>
      </c>
      <c r="N76" s="69">
        <f t="shared" si="11"/>
        <v>0</v>
      </c>
      <c r="O76" s="69">
        <f t="shared" si="12"/>
        <v>0</v>
      </c>
      <c r="P76" s="69"/>
      <c r="Q76" s="69"/>
      <c r="R76" s="69"/>
      <c r="S76" s="69"/>
      <c r="T76" s="70"/>
      <c r="U76" s="70"/>
      <c r="V76" s="70"/>
      <c r="W76" s="70"/>
      <c r="X76" s="70"/>
      <c r="Y76" s="69"/>
      <c r="Z76" s="69"/>
      <c r="AA76" s="69"/>
      <c r="AB76" s="69">
        <v>502</v>
      </c>
      <c r="AC76" s="70"/>
      <c r="AD76" s="70"/>
      <c r="AE76" s="71"/>
      <c r="AF76" s="71"/>
      <c r="AG76" s="69">
        <f t="shared" si="13"/>
        <v>-502</v>
      </c>
      <c r="AH76" s="29">
        <f t="shared" si="14"/>
        <v>0</v>
      </c>
    </row>
    <row r="77" spans="1:34" s="72" customFormat="1" ht="21" customHeight="1" x14ac:dyDescent="0.2">
      <c r="A77" s="65">
        <v>43308</v>
      </c>
      <c r="B77" s="66"/>
      <c r="C77" s="20" t="s">
        <v>276</v>
      </c>
      <c r="D77" s="20" t="s">
        <v>52</v>
      </c>
      <c r="E77" s="20" t="s">
        <v>277</v>
      </c>
      <c r="F77" s="21">
        <v>958857</v>
      </c>
      <c r="G77" s="22" t="s">
        <v>433</v>
      </c>
      <c r="H77" s="67"/>
      <c r="I77" s="67"/>
      <c r="J77" s="67"/>
      <c r="K77" s="67">
        <v>273</v>
      </c>
      <c r="L77" s="68"/>
      <c r="M77" s="69">
        <f t="shared" si="10"/>
        <v>243.74999999999997</v>
      </c>
      <c r="N77" s="69">
        <f t="shared" si="11"/>
        <v>29.249999999999996</v>
      </c>
      <c r="O77" s="69">
        <f t="shared" si="12"/>
        <v>0</v>
      </c>
      <c r="P77" s="69"/>
      <c r="Q77" s="69">
        <v>243.75</v>
      </c>
      <c r="R77" s="69"/>
      <c r="S77" s="69"/>
      <c r="T77" s="70"/>
      <c r="U77" s="70"/>
      <c r="V77" s="70"/>
      <c r="W77" s="70"/>
      <c r="X77" s="70"/>
      <c r="Y77" s="69"/>
      <c r="Z77" s="69"/>
      <c r="AA77" s="69"/>
      <c r="AB77" s="69"/>
      <c r="AC77" s="70"/>
      <c r="AD77" s="70"/>
      <c r="AE77" s="71"/>
      <c r="AF77" s="71"/>
      <c r="AG77" s="69">
        <f t="shared" si="13"/>
        <v>-273</v>
      </c>
      <c r="AH77" s="29">
        <f t="shared" si="14"/>
        <v>0</v>
      </c>
    </row>
    <row r="78" spans="1:34" s="72" customFormat="1" ht="21" customHeight="1" x14ac:dyDescent="0.2">
      <c r="A78" s="65">
        <v>43309</v>
      </c>
      <c r="B78" s="66"/>
      <c r="C78" s="20" t="s">
        <v>614</v>
      </c>
      <c r="D78" s="20"/>
      <c r="E78" s="20"/>
      <c r="F78" s="21"/>
      <c r="G78" s="22" t="s">
        <v>694</v>
      </c>
      <c r="H78" s="67">
        <v>502</v>
      </c>
      <c r="I78" s="67"/>
      <c r="J78" s="67"/>
      <c r="K78" s="67"/>
      <c r="L78" s="68"/>
      <c r="M78" s="69">
        <f t="shared" si="10"/>
        <v>502</v>
      </c>
      <c r="N78" s="69">
        <f t="shared" si="11"/>
        <v>0</v>
      </c>
      <c r="O78" s="69">
        <f t="shared" si="12"/>
        <v>0</v>
      </c>
      <c r="P78" s="69"/>
      <c r="Q78" s="69"/>
      <c r="R78" s="69"/>
      <c r="S78" s="69"/>
      <c r="T78" s="70"/>
      <c r="U78" s="70"/>
      <c r="V78" s="70"/>
      <c r="W78" s="70"/>
      <c r="X78" s="70"/>
      <c r="Y78" s="69"/>
      <c r="Z78" s="69"/>
      <c r="AA78" s="69"/>
      <c r="AB78" s="69">
        <v>502</v>
      </c>
      <c r="AC78" s="70"/>
      <c r="AD78" s="70"/>
      <c r="AE78" s="71"/>
      <c r="AF78" s="71"/>
      <c r="AG78" s="69">
        <f t="shared" si="13"/>
        <v>-502</v>
      </c>
      <c r="AH78" s="29">
        <f t="shared" si="14"/>
        <v>0</v>
      </c>
    </row>
    <row r="79" spans="1:34" s="72" customFormat="1" ht="21" customHeight="1" x14ac:dyDescent="0.2">
      <c r="A79" s="65">
        <v>43311</v>
      </c>
      <c r="B79" s="66"/>
      <c r="C79" s="20" t="s">
        <v>614</v>
      </c>
      <c r="D79" s="20"/>
      <c r="E79" s="20"/>
      <c r="F79" s="21"/>
      <c r="G79" s="22" t="s">
        <v>695</v>
      </c>
      <c r="H79" s="67">
        <v>502</v>
      </c>
      <c r="I79" s="67"/>
      <c r="J79" s="67"/>
      <c r="K79" s="67"/>
      <c r="L79" s="68"/>
      <c r="M79" s="69">
        <f t="shared" si="10"/>
        <v>502</v>
      </c>
      <c r="N79" s="69">
        <f t="shared" si="11"/>
        <v>0</v>
      </c>
      <c r="O79" s="69">
        <f t="shared" si="12"/>
        <v>0</v>
      </c>
      <c r="P79" s="69"/>
      <c r="Q79" s="69"/>
      <c r="R79" s="69"/>
      <c r="S79" s="69"/>
      <c r="T79" s="70"/>
      <c r="U79" s="70"/>
      <c r="V79" s="70"/>
      <c r="W79" s="70"/>
      <c r="X79" s="70"/>
      <c r="Y79" s="69"/>
      <c r="Z79" s="69"/>
      <c r="AA79" s="69"/>
      <c r="AB79" s="69">
        <v>502</v>
      </c>
      <c r="AC79" s="70"/>
      <c r="AD79" s="70"/>
      <c r="AE79" s="71"/>
      <c r="AF79" s="71"/>
      <c r="AG79" s="69">
        <f t="shared" si="13"/>
        <v>-502</v>
      </c>
      <c r="AH79" s="29">
        <f t="shared" si="14"/>
        <v>0</v>
      </c>
    </row>
    <row r="80" spans="1:34" s="72" customFormat="1" ht="21" customHeight="1" x14ac:dyDescent="0.2">
      <c r="A80" s="65">
        <v>43312</v>
      </c>
      <c r="B80" s="66"/>
      <c r="C80" s="20" t="s">
        <v>68</v>
      </c>
      <c r="D80" s="20"/>
      <c r="E80" s="20"/>
      <c r="F80" s="21"/>
      <c r="G80" s="22" t="s">
        <v>696</v>
      </c>
      <c r="H80" s="67">
        <v>40</v>
      </c>
      <c r="I80" s="67"/>
      <c r="J80" s="67"/>
      <c r="K80" s="67"/>
      <c r="L80" s="68"/>
      <c r="M80" s="69">
        <f t="shared" si="10"/>
        <v>40</v>
      </c>
      <c r="N80" s="69">
        <f t="shared" si="11"/>
        <v>0</v>
      </c>
      <c r="O80" s="69">
        <f t="shared" si="12"/>
        <v>0</v>
      </c>
      <c r="P80" s="69"/>
      <c r="Q80" s="69"/>
      <c r="R80" s="69"/>
      <c r="S80" s="69"/>
      <c r="T80" s="70"/>
      <c r="U80" s="70"/>
      <c r="V80" s="70"/>
      <c r="W80" s="70"/>
      <c r="X80" s="70"/>
      <c r="Y80" s="69"/>
      <c r="Z80" s="69"/>
      <c r="AA80" s="69">
        <v>40</v>
      </c>
      <c r="AB80" s="69"/>
      <c r="AC80" s="70"/>
      <c r="AD80" s="70"/>
      <c r="AE80" s="71"/>
      <c r="AF80" s="71"/>
      <c r="AG80" s="69">
        <f t="shared" si="13"/>
        <v>-40</v>
      </c>
      <c r="AH80" s="29">
        <f t="shared" si="14"/>
        <v>0</v>
      </c>
    </row>
    <row r="81" spans="1:34" s="72" customFormat="1" ht="21" customHeight="1" x14ac:dyDescent="0.2">
      <c r="A81" s="65">
        <v>43312</v>
      </c>
      <c r="B81" s="66"/>
      <c r="C81" s="20" t="s">
        <v>613</v>
      </c>
      <c r="D81" s="20"/>
      <c r="E81" s="20"/>
      <c r="F81" s="21"/>
      <c r="G81" s="22" t="s">
        <v>546</v>
      </c>
      <c r="H81" s="67"/>
      <c r="I81" s="67"/>
      <c r="J81" s="67">
        <v>180</v>
      </c>
      <c r="K81" s="67"/>
      <c r="L81" s="68"/>
      <c r="M81" s="69">
        <f t="shared" si="10"/>
        <v>180</v>
      </c>
      <c r="N81" s="69">
        <f t="shared" si="11"/>
        <v>0</v>
      </c>
      <c r="O81" s="69">
        <f t="shared" si="12"/>
        <v>0</v>
      </c>
      <c r="P81" s="69">
        <v>180</v>
      </c>
      <c r="Q81" s="69"/>
      <c r="R81" s="69"/>
      <c r="S81" s="69"/>
      <c r="T81" s="70"/>
      <c r="U81" s="70"/>
      <c r="V81" s="70"/>
      <c r="W81" s="70"/>
      <c r="X81" s="70"/>
      <c r="Y81" s="69"/>
      <c r="Z81" s="69"/>
      <c r="AA81" s="69"/>
      <c r="AB81" s="69"/>
      <c r="AC81" s="70"/>
      <c r="AD81" s="70"/>
      <c r="AE81" s="71"/>
      <c r="AF81" s="71"/>
      <c r="AG81" s="69">
        <f t="shared" si="13"/>
        <v>-180</v>
      </c>
      <c r="AH81" s="29">
        <f t="shared" si="14"/>
        <v>0</v>
      </c>
    </row>
    <row r="82" spans="1:34" s="72" customFormat="1" ht="21" customHeight="1" x14ac:dyDescent="0.2">
      <c r="A82" s="65">
        <v>43312</v>
      </c>
      <c r="B82" s="66"/>
      <c r="C82" s="20" t="s">
        <v>276</v>
      </c>
      <c r="D82" s="20" t="s">
        <v>52</v>
      </c>
      <c r="E82" s="20" t="s">
        <v>277</v>
      </c>
      <c r="F82" s="21">
        <v>309233</v>
      </c>
      <c r="G82" s="21" t="s">
        <v>546</v>
      </c>
      <c r="H82" s="67"/>
      <c r="I82" s="67"/>
      <c r="J82" s="67"/>
      <c r="K82" s="67">
        <v>401.19</v>
      </c>
      <c r="L82" s="68"/>
      <c r="M82" s="69">
        <f t="shared" si="10"/>
        <v>358.20535714285711</v>
      </c>
      <c r="N82" s="69">
        <f t="shared" si="11"/>
        <v>42.984642857142852</v>
      </c>
      <c r="O82" s="69">
        <f t="shared" si="12"/>
        <v>0</v>
      </c>
      <c r="P82" s="69">
        <v>358.21</v>
      </c>
      <c r="Q82" s="69"/>
      <c r="R82" s="69"/>
      <c r="S82" s="69"/>
      <c r="T82" s="70"/>
      <c r="U82" s="70"/>
      <c r="V82" s="70"/>
      <c r="W82" s="70"/>
      <c r="X82" s="70"/>
      <c r="Y82" s="69"/>
      <c r="Z82" s="69"/>
      <c r="AA82" s="69"/>
      <c r="AB82" s="69"/>
      <c r="AC82" s="70"/>
      <c r="AD82" s="70"/>
      <c r="AE82" s="71"/>
      <c r="AF82" s="71"/>
      <c r="AG82" s="69">
        <f t="shared" si="13"/>
        <v>-401.19464285714281</v>
      </c>
      <c r="AH82" s="29">
        <f t="shared" si="14"/>
        <v>-4.6428571428123178E-3</v>
      </c>
    </row>
    <row r="83" spans="1:34" s="30" customFormat="1" ht="19.5" customHeight="1" x14ac:dyDescent="0.2">
      <c r="A83" s="18"/>
      <c r="B83" s="19"/>
      <c r="C83" s="47"/>
      <c r="D83" s="47"/>
      <c r="E83" s="47"/>
      <c r="F83" s="21"/>
      <c r="G83" s="22"/>
      <c r="H83" s="23"/>
      <c r="I83" s="23"/>
      <c r="J83" s="23"/>
      <c r="K83" s="23"/>
      <c r="L83" s="24"/>
      <c r="M83" s="25">
        <f t="shared" si="10"/>
        <v>0</v>
      </c>
      <c r="N83" s="25">
        <f t="shared" si="11"/>
        <v>0</v>
      </c>
      <c r="O83" s="25">
        <f t="shared" si="12"/>
        <v>0</v>
      </c>
      <c r="P83" s="25"/>
      <c r="Q83" s="25"/>
      <c r="R83" s="25"/>
      <c r="S83" s="25"/>
      <c r="T83" s="26"/>
      <c r="U83" s="26"/>
      <c r="V83" s="26"/>
      <c r="W83" s="26"/>
      <c r="X83" s="26"/>
      <c r="Y83" s="31"/>
      <c r="Z83" s="25"/>
      <c r="AA83" s="25"/>
      <c r="AB83" s="25"/>
      <c r="AC83" s="26"/>
      <c r="AD83" s="26"/>
      <c r="AE83" s="27"/>
      <c r="AF83" s="27"/>
      <c r="AG83" s="28">
        <f t="shared" si="13"/>
        <v>0</v>
      </c>
      <c r="AH83" s="29">
        <f t="shared" si="14"/>
        <v>0</v>
      </c>
    </row>
    <row r="84" spans="1:34" s="55" customFormat="1" ht="12" customHeight="1" x14ac:dyDescent="0.2">
      <c r="A84" s="48"/>
      <c r="B84" s="49"/>
      <c r="C84" s="50"/>
      <c r="D84" s="51"/>
      <c r="E84" s="51"/>
      <c r="F84" s="52"/>
      <c r="G84" s="50"/>
      <c r="H84" s="53">
        <f t="shared" ref="H84:AH84" si="15">SUM(H5:H83)</f>
        <v>12160</v>
      </c>
      <c r="I84" s="53">
        <f t="shared" si="15"/>
        <v>0</v>
      </c>
      <c r="J84" s="53">
        <f t="shared" si="15"/>
        <v>12784</v>
      </c>
      <c r="K84" s="53">
        <f t="shared" si="15"/>
        <v>39157.97</v>
      </c>
      <c r="L84" s="53">
        <f t="shared" si="15"/>
        <v>0.11</v>
      </c>
      <c r="M84" s="53">
        <f t="shared" si="15"/>
        <v>59906.473214285717</v>
      </c>
      <c r="N84" s="53">
        <f t="shared" si="15"/>
        <v>4195.4967857142856</v>
      </c>
      <c r="O84" s="53">
        <f t="shared" si="15"/>
        <v>-214.85678571428571</v>
      </c>
      <c r="P84" s="53">
        <f t="shared" si="15"/>
        <v>41973</v>
      </c>
      <c r="Q84" s="53">
        <f t="shared" si="15"/>
        <v>1836.6</v>
      </c>
      <c r="R84" s="53">
        <f t="shared" si="15"/>
        <v>67.86</v>
      </c>
      <c r="S84" s="53">
        <f t="shared" si="15"/>
        <v>100</v>
      </c>
      <c r="T84" s="53">
        <f t="shared" si="15"/>
        <v>434.84999999999997</v>
      </c>
      <c r="U84" s="53">
        <f t="shared" si="15"/>
        <v>151.79</v>
      </c>
      <c r="V84" s="53">
        <f t="shared" si="15"/>
        <v>0</v>
      </c>
      <c r="W84" s="53">
        <f t="shared" si="15"/>
        <v>0</v>
      </c>
      <c r="X84" s="53">
        <f t="shared" si="15"/>
        <v>89.06</v>
      </c>
      <c r="Y84" s="53">
        <f t="shared" si="15"/>
        <v>6529.24</v>
      </c>
      <c r="Z84" s="53">
        <f t="shared" si="15"/>
        <v>164.06</v>
      </c>
      <c r="AA84" s="53">
        <f t="shared" si="15"/>
        <v>1278</v>
      </c>
      <c r="AB84" s="53">
        <f t="shared" si="15"/>
        <v>3512</v>
      </c>
      <c r="AC84" s="53">
        <f t="shared" si="15"/>
        <v>0</v>
      </c>
      <c r="AD84" s="53">
        <f t="shared" si="15"/>
        <v>3770</v>
      </c>
      <c r="AE84" s="53">
        <f t="shared" si="15"/>
        <v>0</v>
      </c>
      <c r="AF84" s="54">
        <f t="shared" si="15"/>
        <v>0</v>
      </c>
      <c r="AG84" s="53">
        <f t="shared" si="15"/>
        <v>-63887.1</v>
      </c>
      <c r="AH84" s="53">
        <f t="shared" si="15"/>
        <v>1.3214285716063756E-2</v>
      </c>
    </row>
    <row r="90" spans="1:34" x14ac:dyDescent="0.25">
      <c r="Q90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K127"/>
  <sheetViews>
    <sheetView topLeftCell="A116" zoomScale="90" zoomScaleNormal="90" workbookViewId="0">
      <selection activeCell="G121" sqref="A121:XFD127"/>
    </sheetView>
  </sheetViews>
  <sheetFormatPr defaultRowHeight="13.2" x14ac:dyDescent="0.25"/>
  <cols>
    <col min="1" max="1" width="10.21875" style="82" customWidth="1"/>
    <col min="2" max="2" width="9.21875" style="83" hidden="1" customWidth="1"/>
    <col min="3" max="3" width="30.21875" style="84" customWidth="1"/>
    <col min="4" max="4" width="17.6640625" style="85" customWidth="1"/>
    <col min="5" max="5" width="28.6640625" style="85" customWidth="1"/>
    <col min="6" max="6" width="9.88671875" style="86" customWidth="1"/>
    <col min="7" max="7" width="39.77734375" style="84" customWidth="1"/>
    <col min="8" max="8" width="10.109375" style="87" customWidth="1"/>
    <col min="9" max="9" width="10.6640625" style="87" customWidth="1"/>
    <col min="10" max="10" width="12.21875" style="87" customWidth="1"/>
    <col min="11" max="11" width="13.109375" style="87" customWidth="1"/>
    <col min="12" max="12" width="9.88671875" style="88" customWidth="1"/>
    <col min="13" max="13" width="12.21875" style="87" customWidth="1"/>
    <col min="14" max="14" width="10.77734375" style="87" customWidth="1"/>
    <col min="15" max="15" width="11.33203125" style="87" customWidth="1"/>
    <col min="16" max="16" width="12.44140625" style="87" customWidth="1"/>
    <col min="17" max="17" width="9.88671875" style="87" customWidth="1"/>
    <col min="18" max="18" width="13.44140625" style="87" customWidth="1"/>
    <col min="19" max="19" width="10.21875" style="87" customWidth="1"/>
    <col min="20" max="21" width="11.5546875" style="87"/>
    <col min="22" max="24" width="8.6640625" style="87" customWidth="1"/>
    <col min="25" max="25" width="11.6640625" style="87" customWidth="1"/>
    <col min="26" max="26" width="10.44140625" style="87" customWidth="1"/>
    <col min="27" max="27" width="11" style="87" customWidth="1"/>
    <col min="28" max="28" width="12.109375" style="87" customWidth="1"/>
    <col min="29" max="30" width="10.109375" style="87" customWidth="1"/>
    <col min="31" max="31" width="12.77734375" style="87" customWidth="1"/>
    <col min="32" max="32" width="0.21875" style="87" customWidth="1"/>
    <col min="33" max="33" width="13.44140625" style="87" customWidth="1"/>
    <col min="34" max="34" width="13.44140625" style="84" customWidth="1"/>
    <col min="35" max="1025" width="11.5546875" style="84"/>
  </cols>
  <sheetData>
    <row r="1" spans="1:34" ht="12" customHeight="1" x14ac:dyDescent="0.25">
      <c r="A1" s="89" t="s">
        <v>0</v>
      </c>
      <c r="C1" s="90"/>
    </row>
    <row r="2" spans="1:34" ht="12" customHeight="1" x14ac:dyDescent="0.25">
      <c r="A2" s="89" t="s">
        <v>1</v>
      </c>
    </row>
    <row r="3" spans="1:34" ht="12" customHeight="1" x14ac:dyDescent="0.25">
      <c r="A3" s="89" t="s">
        <v>697</v>
      </c>
      <c r="B3" s="90"/>
      <c r="C3" s="91"/>
      <c r="N3" s="92">
        <v>1301</v>
      </c>
      <c r="O3" s="92">
        <v>2402</v>
      </c>
      <c r="P3" s="92">
        <v>5001</v>
      </c>
      <c r="Q3" s="92">
        <v>5002</v>
      </c>
      <c r="R3" s="92">
        <v>6220</v>
      </c>
      <c r="S3" s="92">
        <v>6219</v>
      </c>
      <c r="T3" s="92">
        <v>6212</v>
      </c>
      <c r="U3" s="92"/>
      <c r="V3" s="92"/>
      <c r="W3" s="92"/>
      <c r="X3" s="92"/>
      <c r="Y3" s="92" t="s">
        <v>3</v>
      </c>
      <c r="Z3" s="92"/>
      <c r="AA3" s="92">
        <v>6230</v>
      </c>
      <c r="AB3" s="92" t="s">
        <v>4</v>
      </c>
      <c r="AC3" s="92">
        <v>6202</v>
      </c>
      <c r="AD3" s="92"/>
      <c r="AE3" s="92">
        <v>6109</v>
      </c>
      <c r="AF3" s="92">
        <v>6236</v>
      </c>
      <c r="AG3" s="92">
        <v>1002</v>
      </c>
    </row>
    <row r="4" spans="1:34" s="101" customFormat="1" ht="43.5" customHeight="1" x14ac:dyDescent="0.25">
      <c r="A4" s="93" t="s">
        <v>5</v>
      </c>
      <c r="B4" s="94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6" t="s">
        <v>16</v>
      </c>
      <c r="M4" s="95" t="s">
        <v>17</v>
      </c>
      <c r="N4" s="97" t="s">
        <v>18</v>
      </c>
      <c r="O4" s="97" t="s">
        <v>19</v>
      </c>
      <c r="P4" s="97" t="s">
        <v>20</v>
      </c>
      <c r="Q4" s="97" t="s">
        <v>21</v>
      </c>
      <c r="R4" s="97" t="s">
        <v>22</v>
      </c>
      <c r="S4" s="97" t="s">
        <v>23</v>
      </c>
      <c r="T4" s="97" t="s">
        <v>24</v>
      </c>
      <c r="U4" s="97" t="s">
        <v>25</v>
      </c>
      <c r="V4" s="97" t="s">
        <v>26</v>
      </c>
      <c r="W4" s="97" t="s">
        <v>27</v>
      </c>
      <c r="X4" s="97" t="s">
        <v>28</v>
      </c>
      <c r="Y4" s="97" t="s">
        <v>29</v>
      </c>
      <c r="Z4" s="97" t="s">
        <v>30</v>
      </c>
      <c r="AA4" s="97" t="s">
        <v>31</v>
      </c>
      <c r="AB4" s="97" t="s">
        <v>32</v>
      </c>
      <c r="AC4" s="98" t="s">
        <v>33</v>
      </c>
      <c r="AD4" s="97" t="s">
        <v>34</v>
      </c>
      <c r="AE4" s="99" t="s">
        <v>35</v>
      </c>
      <c r="AF4" s="99" t="s">
        <v>34</v>
      </c>
      <c r="AG4" s="100" t="s">
        <v>36</v>
      </c>
    </row>
    <row r="5" spans="1:34" s="111" customFormat="1" ht="21" customHeight="1" x14ac:dyDescent="0.2">
      <c r="A5" s="102">
        <v>43313</v>
      </c>
      <c r="B5" s="103"/>
      <c r="C5" s="20" t="s">
        <v>41</v>
      </c>
      <c r="D5" s="20" t="s">
        <v>88</v>
      </c>
      <c r="E5" s="20" t="s">
        <v>43</v>
      </c>
      <c r="F5" s="104">
        <v>2554</v>
      </c>
      <c r="G5" s="105" t="s">
        <v>698</v>
      </c>
      <c r="H5" s="67"/>
      <c r="I5" s="67"/>
      <c r="J5" s="67">
        <v>3370</v>
      </c>
      <c r="K5" s="67"/>
      <c r="L5" s="106"/>
      <c r="M5" s="107">
        <f t="shared" ref="M5:M36" si="0">SUM(H5:J5,K5/1.12)</f>
        <v>3370</v>
      </c>
      <c r="N5" s="107">
        <f t="shared" ref="N5:N36" si="1">K5/1.12*0.12</f>
        <v>0</v>
      </c>
      <c r="O5" s="107">
        <f t="shared" ref="O5:O36" si="2">-SUM(I5:J5,K5/1.12)*L5</f>
        <v>0</v>
      </c>
      <c r="P5" s="107">
        <v>3370</v>
      </c>
      <c r="Q5" s="107"/>
      <c r="R5" s="107"/>
      <c r="S5" s="107"/>
      <c r="T5" s="108"/>
      <c r="U5" s="108"/>
      <c r="V5" s="108"/>
      <c r="W5" s="108"/>
      <c r="X5" s="108"/>
      <c r="Y5" s="107"/>
      <c r="Z5" s="107"/>
      <c r="AA5" s="107"/>
      <c r="AB5" s="107"/>
      <c r="AC5" s="108"/>
      <c r="AD5" s="108"/>
      <c r="AE5" s="109"/>
      <c r="AF5" s="109"/>
      <c r="AG5" s="107">
        <f t="shared" ref="AG5:AG36" si="3">-SUM(N5:AF5)</f>
        <v>-3370</v>
      </c>
      <c r="AH5" s="110">
        <f t="shared" ref="AH5:AH36" si="4">SUM(H5:K5)+AG5+O5</f>
        <v>0</v>
      </c>
    </row>
    <row r="6" spans="1:34" s="111" customFormat="1" ht="21" customHeight="1" x14ac:dyDescent="0.2">
      <c r="A6" s="102">
        <v>43313</v>
      </c>
      <c r="B6" s="103"/>
      <c r="C6" s="20" t="s">
        <v>45</v>
      </c>
      <c r="D6" s="20"/>
      <c r="E6" s="20"/>
      <c r="F6" s="104"/>
      <c r="G6" s="105" t="s">
        <v>173</v>
      </c>
      <c r="H6" s="67">
        <v>100</v>
      </c>
      <c r="I6" s="67"/>
      <c r="J6" s="67"/>
      <c r="K6" s="67"/>
      <c r="L6" s="106"/>
      <c r="M6" s="107">
        <f t="shared" si="0"/>
        <v>100</v>
      </c>
      <c r="N6" s="107">
        <f t="shared" si="1"/>
        <v>0</v>
      </c>
      <c r="O6" s="107">
        <f t="shared" si="2"/>
        <v>0</v>
      </c>
      <c r="P6" s="107"/>
      <c r="Q6" s="107"/>
      <c r="R6" s="107"/>
      <c r="S6" s="107"/>
      <c r="T6" s="108"/>
      <c r="U6" s="108"/>
      <c r="V6" s="108"/>
      <c r="W6" s="108"/>
      <c r="X6" s="108"/>
      <c r="Y6" s="107"/>
      <c r="Z6" s="107"/>
      <c r="AA6" s="107">
        <v>100</v>
      </c>
      <c r="AB6" s="107"/>
      <c r="AC6" s="108"/>
      <c r="AD6" s="108"/>
      <c r="AE6" s="109"/>
      <c r="AF6" s="109"/>
      <c r="AG6" s="107">
        <f t="shared" si="3"/>
        <v>-100</v>
      </c>
      <c r="AH6" s="110">
        <f t="shared" si="4"/>
        <v>0</v>
      </c>
    </row>
    <row r="7" spans="1:34" s="111" customFormat="1" ht="21" customHeight="1" x14ac:dyDescent="0.2">
      <c r="A7" s="102">
        <v>43282</v>
      </c>
      <c r="B7" s="103"/>
      <c r="C7" s="20" t="s">
        <v>699</v>
      </c>
      <c r="D7" s="20"/>
      <c r="E7" s="20"/>
      <c r="F7" s="104"/>
      <c r="G7" s="105" t="s">
        <v>700</v>
      </c>
      <c r="H7" s="67">
        <v>1150</v>
      </c>
      <c r="I7" s="67"/>
      <c r="J7" s="67"/>
      <c r="K7" s="67"/>
      <c r="L7" s="106"/>
      <c r="M7" s="107">
        <f t="shared" si="0"/>
        <v>1150</v>
      </c>
      <c r="N7" s="107">
        <f t="shared" si="1"/>
        <v>0</v>
      </c>
      <c r="O7" s="107">
        <f t="shared" si="2"/>
        <v>0</v>
      </c>
      <c r="P7" s="107">
        <v>1150</v>
      </c>
      <c r="Q7" s="107"/>
      <c r="R7" s="107"/>
      <c r="S7" s="107"/>
      <c r="T7" s="108"/>
      <c r="U7" s="108"/>
      <c r="V7" s="108"/>
      <c r="W7" s="108"/>
      <c r="X7" s="108"/>
      <c r="Y7" s="107"/>
      <c r="Z7" s="107"/>
      <c r="AA7" s="107"/>
      <c r="AB7" s="107"/>
      <c r="AC7" s="108"/>
      <c r="AD7" s="108"/>
      <c r="AE7" s="109"/>
      <c r="AF7" s="109"/>
      <c r="AG7" s="107">
        <f t="shared" si="3"/>
        <v>-1150</v>
      </c>
      <c r="AH7" s="110">
        <f t="shared" si="4"/>
        <v>0</v>
      </c>
    </row>
    <row r="8" spans="1:34" s="111" customFormat="1" ht="21" customHeight="1" x14ac:dyDescent="0.2">
      <c r="A8" s="102">
        <v>43313</v>
      </c>
      <c r="B8" s="103"/>
      <c r="C8" s="20" t="s">
        <v>68</v>
      </c>
      <c r="D8" s="20"/>
      <c r="E8" s="20"/>
      <c r="F8" s="104"/>
      <c r="G8" s="105" t="s">
        <v>701</v>
      </c>
      <c r="H8" s="67">
        <v>20</v>
      </c>
      <c r="I8" s="67"/>
      <c r="J8" s="67"/>
      <c r="K8" s="67"/>
      <c r="L8" s="106"/>
      <c r="M8" s="107">
        <f t="shared" si="0"/>
        <v>20</v>
      </c>
      <c r="N8" s="107">
        <f t="shared" si="1"/>
        <v>0</v>
      </c>
      <c r="O8" s="107">
        <f t="shared" si="2"/>
        <v>0</v>
      </c>
      <c r="P8" s="107"/>
      <c r="Q8" s="107"/>
      <c r="R8" s="107"/>
      <c r="S8" s="107"/>
      <c r="T8" s="108"/>
      <c r="U8" s="108"/>
      <c r="V8" s="108"/>
      <c r="W8" s="108"/>
      <c r="X8" s="108"/>
      <c r="Y8" s="107"/>
      <c r="Z8" s="107"/>
      <c r="AA8" s="107">
        <v>20</v>
      </c>
      <c r="AB8" s="107"/>
      <c r="AC8" s="108"/>
      <c r="AD8" s="108"/>
      <c r="AE8" s="109"/>
      <c r="AF8" s="109"/>
      <c r="AG8" s="107">
        <f t="shared" si="3"/>
        <v>-20</v>
      </c>
      <c r="AH8" s="110">
        <f t="shared" si="4"/>
        <v>0</v>
      </c>
    </row>
    <row r="9" spans="1:34" s="111" customFormat="1" ht="21" customHeight="1" x14ac:dyDescent="0.2">
      <c r="A9" s="102">
        <v>43313</v>
      </c>
      <c r="B9" s="103"/>
      <c r="C9" s="20" t="s">
        <v>276</v>
      </c>
      <c r="D9" s="20" t="s">
        <v>52</v>
      </c>
      <c r="E9" s="20" t="s">
        <v>277</v>
      </c>
      <c r="F9" s="104">
        <v>309687</v>
      </c>
      <c r="G9" s="105" t="s">
        <v>593</v>
      </c>
      <c r="H9" s="67"/>
      <c r="I9" s="67"/>
      <c r="J9" s="67"/>
      <c r="K9" s="67">
        <v>115</v>
      </c>
      <c r="L9" s="106"/>
      <c r="M9" s="107">
        <f t="shared" si="0"/>
        <v>102.67857142857142</v>
      </c>
      <c r="N9" s="107">
        <f t="shared" si="1"/>
        <v>12.321428571428569</v>
      </c>
      <c r="O9" s="107">
        <f t="shared" si="2"/>
        <v>0</v>
      </c>
      <c r="P9" s="107">
        <v>102.68</v>
      </c>
      <c r="Q9" s="107"/>
      <c r="R9" s="107"/>
      <c r="S9" s="107"/>
      <c r="T9" s="108"/>
      <c r="U9" s="108"/>
      <c r="V9" s="108"/>
      <c r="W9" s="108"/>
      <c r="X9" s="108"/>
      <c r="Y9" s="107"/>
      <c r="Z9" s="107"/>
      <c r="AA9" s="107"/>
      <c r="AB9" s="107"/>
      <c r="AC9" s="108"/>
      <c r="AD9" s="108"/>
      <c r="AE9" s="109"/>
      <c r="AF9" s="109"/>
      <c r="AG9" s="107">
        <f t="shared" si="3"/>
        <v>-115.00142857142858</v>
      </c>
      <c r="AH9" s="110">
        <f t="shared" si="4"/>
        <v>-1.4285714285762197E-3</v>
      </c>
    </row>
    <row r="10" spans="1:34" s="111" customFormat="1" ht="21" customHeight="1" x14ac:dyDescent="0.2">
      <c r="A10" s="102">
        <v>43313</v>
      </c>
      <c r="B10" s="103"/>
      <c r="C10" s="20" t="s">
        <v>276</v>
      </c>
      <c r="D10" s="20" t="s">
        <v>52</v>
      </c>
      <c r="E10" s="20" t="s">
        <v>277</v>
      </c>
      <c r="F10" s="104">
        <v>309687</v>
      </c>
      <c r="G10" s="105" t="s">
        <v>702</v>
      </c>
      <c r="H10" s="67"/>
      <c r="I10" s="67"/>
      <c r="J10" s="67"/>
      <c r="K10" s="67">
        <v>75</v>
      </c>
      <c r="L10" s="106"/>
      <c r="M10" s="107">
        <f t="shared" si="0"/>
        <v>66.964285714285708</v>
      </c>
      <c r="N10" s="107">
        <f t="shared" si="1"/>
        <v>8.0357142857142847</v>
      </c>
      <c r="O10" s="107">
        <f t="shared" si="2"/>
        <v>0</v>
      </c>
      <c r="P10" s="107"/>
      <c r="Q10" s="107"/>
      <c r="R10" s="107"/>
      <c r="S10" s="107"/>
      <c r="T10" s="108"/>
      <c r="U10" s="108">
        <v>66.959999999999994</v>
      </c>
      <c r="V10" s="108"/>
      <c r="W10" s="108"/>
      <c r="X10" s="108"/>
      <c r="Y10" s="107"/>
      <c r="Z10" s="107"/>
      <c r="AA10" s="107"/>
      <c r="AB10" s="107"/>
      <c r="AC10" s="108"/>
      <c r="AD10" s="108"/>
      <c r="AE10" s="109"/>
      <c r="AF10" s="109"/>
      <c r="AG10" s="107">
        <f t="shared" si="3"/>
        <v>-74.995714285714286</v>
      </c>
      <c r="AH10" s="110">
        <f t="shared" si="4"/>
        <v>4.2857142857144481E-3</v>
      </c>
    </row>
    <row r="11" spans="1:34" s="111" customFormat="1" ht="21" customHeight="1" x14ac:dyDescent="0.2">
      <c r="A11" s="102">
        <v>43314</v>
      </c>
      <c r="B11" s="103"/>
      <c r="C11" s="20" t="s">
        <v>703</v>
      </c>
      <c r="D11" s="20"/>
      <c r="E11" s="20"/>
      <c r="F11" s="104"/>
      <c r="G11" s="105" t="s">
        <v>704</v>
      </c>
      <c r="H11" s="67">
        <v>2000</v>
      </c>
      <c r="I11" s="67"/>
      <c r="J11" s="67"/>
      <c r="K11" s="67"/>
      <c r="L11" s="106"/>
      <c r="M11" s="107">
        <f t="shared" si="0"/>
        <v>2000</v>
      </c>
      <c r="N11" s="107">
        <f t="shared" si="1"/>
        <v>0</v>
      </c>
      <c r="O11" s="107">
        <f t="shared" si="2"/>
        <v>0</v>
      </c>
      <c r="P11" s="107"/>
      <c r="Q11" s="107"/>
      <c r="R11" s="107"/>
      <c r="S11" s="107"/>
      <c r="T11" s="108"/>
      <c r="U11" s="108"/>
      <c r="V11" s="108"/>
      <c r="W11" s="108"/>
      <c r="X11" s="108"/>
      <c r="Y11" s="107"/>
      <c r="Z11" s="107"/>
      <c r="AA11" s="107"/>
      <c r="AB11" s="107"/>
      <c r="AC11" s="108"/>
      <c r="AD11" s="108">
        <v>2000</v>
      </c>
      <c r="AE11" s="109"/>
      <c r="AF11" s="109"/>
      <c r="AG11" s="107">
        <f t="shared" si="3"/>
        <v>-2000</v>
      </c>
      <c r="AH11" s="110">
        <f t="shared" si="4"/>
        <v>0</v>
      </c>
    </row>
    <row r="12" spans="1:34" s="111" customFormat="1" ht="21" customHeight="1" x14ac:dyDescent="0.2">
      <c r="A12" s="102">
        <v>43314</v>
      </c>
      <c r="B12" s="103"/>
      <c r="C12" s="20" t="s">
        <v>560</v>
      </c>
      <c r="D12" s="20" t="s">
        <v>76</v>
      </c>
      <c r="E12" s="20" t="s">
        <v>204</v>
      </c>
      <c r="F12" s="104">
        <v>29186</v>
      </c>
      <c r="G12" s="105" t="s">
        <v>78</v>
      </c>
      <c r="H12" s="67"/>
      <c r="I12" s="67"/>
      <c r="J12" s="67"/>
      <c r="K12" s="67">
        <v>895.6</v>
      </c>
      <c r="L12" s="106"/>
      <c r="M12" s="107">
        <f t="shared" si="0"/>
        <v>799.64285714285711</v>
      </c>
      <c r="N12" s="107">
        <f t="shared" si="1"/>
        <v>95.957142857142856</v>
      </c>
      <c r="O12" s="107">
        <f t="shared" si="2"/>
        <v>0</v>
      </c>
      <c r="P12" s="107">
        <v>799.64</v>
      </c>
      <c r="Q12" s="107"/>
      <c r="R12" s="107"/>
      <c r="S12" s="107"/>
      <c r="T12" s="108"/>
      <c r="U12" s="108"/>
      <c r="V12" s="108"/>
      <c r="W12" s="108"/>
      <c r="X12" s="108"/>
      <c r="Y12" s="107"/>
      <c r="Z12" s="107"/>
      <c r="AA12" s="107"/>
      <c r="AB12" s="107"/>
      <c r="AC12" s="108"/>
      <c r="AD12" s="108"/>
      <c r="AE12" s="109"/>
      <c r="AF12" s="109"/>
      <c r="AG12" s="107">
        <f t="shared" si="3"/>
        <v>-895.5971428571429</v>
      </c>
      <c r="AH12" s="110">
        <f t="shared" si="4"/>
        <v>2.8571428571240176E-3</v>
      </c>
    </row>
    <row r="13" spans="1:34" s="111" customFormat="1" ht="21" customHeight="1" x14ac:dyDescent="0.2">
      <c r="A13" s="102">
        <v>43314</v>
      </c>
      <c r="B13" s="103"/>
      <c r="C13" s="20" t="s">
        <v>705</v>
      </c>
      <c r="D13" s="20" t="s">
        <v>706</v>
      </c>
      <c r="E13" s="20" t="s">
        <v>707</v>
      </c>
      <c r="F13" s="104">
        <v>178187</v>
      </c>
      <c r="G13" s="105" t="s">
        <v>40</v>
      </c>
      <c r="H13" s="67"/>
      <c r="I13" s="67"/>
      <c r="J13" s="67"/>
      <c r="K13" s="67">
        <v>190</v>
      </c>
      <c r="L13" s="106"/>
      <c r="M13" s="107">
        <f t="shared" si="0"/>
        <v>169.64285714285714</v>
      </c>
      <c r="N13" s="107">
        <f t="shared" si="1"/>
        <v>20.357142857142858</v>
      </c>
      <c r="O13" s="107">
        <f t="shared" si="2"/>
        <v>0</v>
      </c>
      <c r="P13" s="107">
        <v>169.64</v>
      </c>
      <c r="Q13" s="107"/>
      <c r="R13" s="107"/>
      <c r="S13" s="107"/>
      <c r="T13" s="108"/>
      <c r="U13" s="108"/>
      <c r="V13" s="108"/>
      <c r="W13" s="108"/>
      <c r="X13" s="108"/>
      <c r="Y13" s="107"/>
      <c r="Z13" s="107"/>
      <c r="AA13" s="107"/>
      <c r="AB13" s="107"/>
      <c r="AC13" s="108"/>
      <c r="AD13" s="108"/>
      <c r="AE13" s="109"/>
      <c r="AF13" s="109"/>
      <c r="AG13" s="107">
        <f t="shared" si="3"/>
        <v>-189.99714285714285</v>
      </c>
      <c r="AH13" s="110">
        <f t="shared" si="4"/>
        <v>2.8571428571524393E-3</v>
      </c>
    </row>
    <row r="14" spans="1:34" s="111" customFormat="1" ht="21" customHeight="1" x14ac:dyDescent="0.2">
      <c r="A14" s="102">
        <v>43314</v>
      </c>
      <c r="B14" s="103"/>
      <c r="C14" s="20" t="s">
        <v>59</v>
      </c>
      <c r="D14" s="20" t="s">
        <v>60</v>
      </c>
      <c r="E14" s="20" t="s">
        <v>120</v>
      </c>
      <c r="F14" s="104">
        <v>656885</v>
      </c>
      <c r="G14" s="105" t="s">
        <v>708</v>
      </c>
      <c r="H14" s="67"/>
      <c r="I14" s="67"/>
      <c r="J14" s="67"/>
      <c r="K14" s="67">
        <v>475</v>
      </c>
      <c r="L14" s="106"/>
      <c r="M14" s="107">
        <f t="shared" si="0"/>
        <v>424.10714285714283</v>
      </c>
      <c r="N14" s="107">
        <f t="shared" si="1"/>
        <v>50.892857142857139</v>
      </c>
      <c r="O14" s="107">
        <f t="shared" si="2"/>
        <v>0</v>
      </c>
      <c r="P14" s="107"/>
      <c r="Q14" s="107"/>
      <c r="R14" s="107"/>
      <c r="S14" s="107"/>
      <c r="T14" s="108">
        <v>424.11</v>
      </c>
      <c r="U14" s="108"/>
      <c r="V14" s="108"/>
      <c r="W14" s="108"/>
      <c r="X14" s="108"/>
      <c r="Y14" s="107"/>
      <c r="Z14" s="107"/>
      <c r="AA14" s="107"/>
      <c r="AB14" s="107"/>
      <c r="AC14" s="108"/>
      <c r="AD14" s="108"/>
      <c r="AE14" s="109"/>
      <c r="AF14" s="109"/>
      <c r="AG14" s="107">
        <f t="shared" si="3"/>
        <v>-475.00285714285712</v>
      </c>
      <c r="AH14" s="110">
        <f t="shared" si="4"/>
        <v>-2.8571428571240176E-3</v>
      </c>
    </row>
    <row r="15" spans="1:34" s="111" customFormat="1" ht="21" customHeight="1" x14ac:dyDescent="0.2">
      <c r="A15" s="102">
        <v>43314</v>
      </c>
      <c r="B15" s="103"/>
      <c r="C15" s="20" t="s">
        <v>59</v>
      </c>
      <c r="D15" s="20" t="s">
        <v>60</v>
      </c>
      <c r="E15" s="20" t="s">
        <v>120</v>
      </c>
      <c r="F15" s="104">
        <v>656885</v>
      </c>
      <c r="G15" s="105" t="s">
        <v>709</v>
      </c>
      <c r="H15" s="67"/>
      <c r="I15" s="67"/>
      <c r="J15" s="67"/>
      <c r="K15" s="67">
        <v>15</v>
      </c>
      <c r="L15" s="106"/>
      <c r="M15" s="107">
        <f t="shared" si="0"/>
        <v>13.392857142857142</v>
      </c>
      <c r="N15" s="107">
        <f t="shared" si="1"/>
        <v>1.607142857142857</v>
      </c>
      <c r="O15" s="107">
        <f t="shared" si="2"/>
        <v>0</v>
      </c>
      <c r="P15" s="107"/>
      <c r="Q15" s="107"/>
      <c r="R15" s="107"/>
      <c r="S15" s="107"/>
      <c r="T15" s="108"/>
      <c r="U15" s="108"/>
      <c r="V15" s="108"/>
      <c r="W15" s="108"/>
      <c r="X15" s="108"/>
      <c r="Y15" s="107"/>
      <c r="Z15" s="107">
        <v>13.39</v>
      </c>
      <c r="AA15" s="107"/>
      <c r="AB15" s="107"/>
      <c r="AC15" s="108"/>
      <c r="AD15" s="108"/>
      <c r="AE15" s="109"/>
      <c r="AF15" s="109"/>
      <c r="AG15" s="107">
        <f t="shared" si="3"/>
        <v>-14.997142857142858</v>
      </c>
      <c r="AH15" s="110">
        <f t="shared" si="4"/>
        <v>2.8571428571417812E-3</v>
      </c>
    </row>
    <row r="16" spans="1:34" s="111" customFormat="1" ht="21" customHeight="1" x14ac:dyDescent="0.2">
      <c r="A16" s="102">
        <v>43315</v>
      </c>
      <c r="B16" s="103"/>
      <c r="C16" s="20" t="s">
        <v>705</v>
      </c>
      <c r="D16" s="20" t="s">
        <v>706</v>
      </c>
      <c r="E16" s="20" t="s">
        <v>707</v>
      </c>
      <c r="F16" s="104">
        <v>178230</v>
      </c>
      <c r="G16" s="105" t="s">
        <v>40</v>
      </c>
      <c r="H16" s="67"/>
      <c r="I16" s="67"/>
      <c r="J16" s="67"/>
      <c r="K16" s="67">
        <v>190</v>
      </c>
      <c r="L16" s="106"/>
      <c r="M16" s="107">
        <f t="shared" si="0"/>
        <v>169.64285714285714</v>
      </c>
      <c r="N16" s="107">
        <f t="shared" si="1"/>
        <v>20.357142857142858</v>
      </c>
      <c r="O16" s="107">
        <f t="shared" si="2"/>
        <v>0</v>
      </c>
      <c r="P16" s="107"/>
      <c r="Q16" s="107">
        <v>169.64</v>
      </c>
      <c r="R16" s="107"/>
      <c r="S16" s="107"/>
      <c r="T16" s="108"/>
      <c r="U16" s="108"/>
      <c r="V16" s="108"/>
      <c r="W16" s="108"/>
      <c r="X16" s="108"/>
      <c r="Y16" s="107"/>
      <c r="Z16" s="107"/>
      <c r="AA16" s="107"/>
      <c r="AB16" s="107"/>
      <c r="AC16" s="108"/>
      <c r="AD16" s="108"/>
      <c r="AE16" s="109"/>
      <c r="AF16" s="109"/>
      <c r="AG16" s="107">
        <f t="shared" si="3"/>
        <v>-189.99714285714285</v>
      </c>
      <c r="AH16" s="110">
        <f t="shared" si="4"/>
        <v>2.8571428571524393E-3</v>
      </c>
    </row>
    <row r="17" spans="1:34" s="111" customFormat="1" ht="21" customHeight="1" x14ac:dyDescent="0.2">
      <c r="A17" s="102">
        <v>43315</v>
      </c>
      <c r="B17" s="103"/>
      <c r="C17" s="20" t="s">
        <v>68</v>
      </c>
      <c r="D17" s="20"/>
      <c r="E17" s="20"/>
      <c r="F17" s="104"/>
      <c r="G17" s="105" t="s">
        <v>710</v>
      </c>
      <c r="H17" s="67">
        <v>70</v>
      </c>
      <c r="I17" s="67"/>
      <c r="J17" s="67"/>
      <c r="K17" s="67"/>
      <c r="L17" s="106"/>
      <c r="M17" s="107">
        <f t="shared" si="0"/>
        <v>70</v>
      </c>
      <c r="N17" s="107">
        <f t="shared" si="1"/>
        <v>0</v>
      </c>
      <c r="O17" s="107">
        <f t="shared" si="2"/>
        <v>0</v>
      </c>
      <c r="P17" s="107"/>
      <c r="Q17" s="107"/>
      <c r="R17" s="107"/>
      <c r="S17" s="107"/>
      <c r="T17" s="108"/>
      <c r="U17" s="108"/>
      <c r="V17" s="108"/>
      <c r="W17" s="108"/>
      <c r="X17" s="108"/>
      <c r="Y17" s="107"/>
      <c r="Z17" s="107"/>
      <c r="AA17" s="107">
        <v>70</v>
      </c>
      <c r="AB17" s="107"/>
      <c r="AC17" s="108"/>
      <c r="AD17" s="108"/>
      <c r="AE17" s="109"/>
      <c r="AF17" s="109"/>
      <c r="AG17" s="107">
        <f t="shared" si="3"/>
        <v>-70</v>
      </c>
      <c r="AH17" s="110">
        <f t="shared" si="4"/>
        <v>0</v>
      </c>
    </row>
    <row r="18" spans="1:34" s="111" customFormat="1" ht="21" customHeight="1" x14ac:dyDescent="0.2">
      <c r="A18" s="102">
        <v>43315</v>
      </c>
      <c r="B18" s="103"/>
      <c r="C18" s="20" t="s">
        <v>711</v>
      </c>
      <c r="D18" s="20" t="s">
        <v>273</v>
      </c>
      <c r="E18" s="20" t="s">
        <v>120</v>
      </c>
      <c r="F18" s="104">
        <v>154535</v>
      </c>
      <c r="G18" s="105" t="s">
        <v>712</v>
      </c>
      <c r="H18" s="67"/>
      <c r="I18" s="67"/>
      <c r="J18" s="67"/>
      <c r="K18" s="67">
        <v>400</v>
      </c>
      <c r="L18" s="106"/>
      <c r="M18" s="107">
        <f t="shared" si="0"/>
        <v>357.14285714285711</v>
      </c>
      <c r="N18" s="107">
        <f t="shared" si="1"/>
        <v>42.857142857142854</v>
      </c>
      <c r="O18" s="107">
        <f t="shared" si="2"/>
        <v>0</v>
      </c>
      <c r="P18" s="107"/>
      <c r="Q18" s="107"/>
      <c r="R18" s="107"/>
      <c r="S18" s="107">
        <v>357.14</v>
      </c>
      <c r="T18" s="108"/>
      <c r="U18" s="108"/>
      <c r="V18" s="108"/>
      <c r="W18" s="108"/>
      <c r="X18" s="108"/>
      <c r="Y18" s="107"/>
      <c r="Z18" s="107"/>
      <c r="AA18" s="107"/>
      <c r="AB18" s="107"/>
      <c r="AC18" s="108"/>
      <c r="AD18" s="108"/>
      <c r="AE18" s="109"/>
      <c r="AF18" s="109"/>
      <c r="AG18" s="107">
        <f t="shared" si="3"/>
        <v>-399.99714285714282</v>
      </c>
      <c r="AH18" s="110">
        <f t="shared" si="4"/>
        <v>2.857142857180861E-3</v>
      </c>
    </row>
    <row r="19" spans="1:34" s="111" customFormat="1" ht="21" customHeight="1" x14ac:dyDescent="0.2">
      <c r="A19" s="102">
        <v>43315</v>
      </c>
      <c r="B19" s="103"/>
      <c r="C19" s="20" t="s">
        <v>699</v>
      </c>
      <c r="D19" s="20"/>
      <c r="E19" s="20"/>
      <c r="F19" s="104"/>
      <c r="G19" s="105" t="s">
        <v>713</v>
      </c>
      <c r="H19" s="67"/>
      <c r="I19" s="67"/>
      <c r="J19" s="67">
        <v>40</v>
      </c>
      <c r="K19" s="67"/>
      <c r="L19" s="106"/>
      <c r="M19" s="107">
        <f t="shared" si="0"/>
        <v>40</v>
      </c>
      <c r="N19" s="107">
        <f t="shared" si="1"/>
        <v>0</v>
      </c>
      <c r="O19" s="107">
        <f t="shared" si="2"/>
        <v>0</v>
      </c>
      <c r="P19" s="107">
        <v>40</v>
      </c>
      <c r="Q19" s="107"/>
      <c r="R19" s="107"/>
      <c r="S19" s="107"/>
      <c r="T19" s="108"/>
      <c r="U19" s="108"/>
      <c r="V19" s="108"/>
      <c r="W19" s="108"/>
      <c r="X19" s="108"/>
      <c r="Y19" s="107"/>
      <c r="Z19" s="107"/>
      <c r="AA19" s="107"/>
      <c r="AB19" s="107"/>
      <c r="AC19" s="108"/>
      <c r="AD19" s="108"/>
      <c r="AE19" s="109"/>
      <c r="AF19" s="109"/>
      <c r="AG19" s="107">
        <f t="shared" si="3"/>
        <v>-40</v>
      </c>
      <c r="AH19" s="110">
        <f t="shared" si="4"/>
        <v>0</v>
      </c>
    </row>
    <row r="20" spans="1:34" s="111" customFormat="1" ht="21" customHeight="1" x14ac:dyDescent="0.2">
      <c r="A20" s="102">
        <v>43315</v>
      </c>
      <c r="B20" s="103"/>
      <c r="C20" s="20" t="s">
        <v>276</v>
      </c>
      <c r="D20" s="20" t="s">
        <v>52</v>
      </c>
      <c r="E20" s="20" t="s">
        <v>277</v>
      </c>
      <c r="F20" s="104">
        <v>310616</v>
      </c>
      <c r="G20" s="105" t="s">
        <v>714</v>
      </c>
      <c r="H20" s="67"/>
      <c r="I20" s="67"/>
      <c r="J20" s="67"/>
      <c r="K20" s="67">
        <v>308.5</v>
      </c>
      <c r="L20" s="106"/>
      <c r="M20" s="107">
        <f t="shared" si="0"/>
        <v>275.44642857142856</v>
      </c>
      <c r="N20" s="107">
        <f t="shared" si="1"/>
        <v>33.053571428571423</v>
      </c>
      <c r="O20" s="107">
        <f t="shared" si="2"/>
        <v>0</v>
      </c>
      <c r="P20" s="107">
        <v>275.45</v>
      </c>
      <c r="Q20" s="107"/>
      <c r="R20" s="107"/>
      <c r="S20" s="107"/>
      <c r="T20" s="108"/>
      <c r="U20" s="108"/>
      <c r="V20" s="108"/>
      <c r="W20" s="108"/>
      <c r="X20" s="108"/>
      <c r="Y20" s="107"/>
      <c r="Z20" s="107"/>
      <c r="AA20" s="107"/>
      <c r="AB20" s="107"/>
      <c r="AC20" s="108"/>
      <c r="AD20" s="108"/>
      <c r="AE20" s="109"/>
      <c r="AF20" s="109"/>
      <c r="AG20" s="107">
        <f t="shared" si="3"/>
        <v>-308.50357142857143</v>
      </c>
      <c r="AH20" s="110">
        <f t="shared" si="4"/>
        <v>-3.5714285714334437E-3</v>
      </c>
    </row>
    <row r="21" spans="1:34" s="111" customFormat="1" ht="21" customHeight="1" x14ac:dyDescent="0.2">
      <c r="A21" s="102">
        <v>43315</v>
      </c>
      <c r="B21" s="103"/>
      <c r="C21" s="20" t="s">
        <v>276</v>
      </c>
      <c r="D21" s="20" t="s">
        <v>52</v>
      </c>
      <c r="E21" s="20" t="s">
        <v>277</v>
      </c>
      <c r="F21" s="104">
        <v>310421</v>
      </c>
      <c r="G21" s="105" t="s">
        <v>433</v>
      </c>
      <c r="H21" s="67"/>
      <c r="I21" s="67"/>
      <c r="J21" s="67"/>
      <c r="K21" s="67">
        <v>351</v>
      </c>
      <c r="L21" s="106"/>
      <c r="M21" s="107">
        <f t="shared" si="0"/>
        <v>313.39285714285711</v>
      </c>
      <c r="N21" s="107">
        <f t="shared" si="1"/>
        <v>37.607142857142854</v>
      </c>
      <c r="O21" s="107">
        <f t="shared" si="2"/>
        <v>0</v>
      </c>
      <c r="P21" s="107">
        <v>313.39</v>
      </c>
      <c r="Q21" s="107"/>
      <c r="R21" s="107"/>
      <c r="S21" s="107"/>
      <c r="T21" s="108"/>
      <c r="U21" s="108"/>
      <c r="V21" s="108"/>
      <c r="W21" s="108"/>
      <c r="X21" s="108"/>
      <c r="Y21" s="107"/>
      <c r="Z21" s="107"/>
      <c r="AA21" s="107"/>
      <c r="AB21" s="107"/>
      <c r="AC21" s="108"/>
      <c r="AD21" s="108"/>
      <c r="AE21" s="109"/>
      <c r="AF21" s="109"/>
      <c r="AG21" s="107">
        <f t="shared" si="3"/>
        <v>-350.99714285714282</v>
      </c>
      <c r="AH21" s="110">
        <f t="shared" si="4"/>
        <v>2.857142857180861E-3</v>
      </c>
    </row>
    <row r="22" spans="1:34" s="111" customFormat="1" ht="21" customHeight="1" x14ac:dyDescent="0.2">
      <c r="A22" s="102">
        <v>43318</v>
      </c>
      <c r="B22" s="103"/>
      <c r="C22" s="20" t="s">
        <v>63</v>
      </c>
      <c r="D22" s="20" t="s">
        <v>64</v>
      </c>
      <c r="E22" s="20" t="s">
        <v>65</v>
      </c>
      <c r="F22" s="104">
        <v>116992</v>
      </c>
      <c r="G22" s="105" t="s">
        <v>715</v>
      </c>
      <c r="H22" s="67"/>
      <c r="I22" s="67"/>
      <c r="J22" s="67"/>
      <c r="K22" s="67">
        <f>408+258.2</f>
        <v>666.2</v>
      </c>
      <c r="L22" s="106"/>
      <c r="M22" s="107">
        <f t="shared" si="0"/>
        <v>594.82142857142856</v>
      </c>
      <c r="N22" s="107">
        <f t="shared" si="1"/>
        <v>71.378571428571419</v>
      </c>
      <c r="O22" s="107">
        <f t="shared" si="2"/>
        <v>0</v>
      </c>
      <c r="P22" s="107">
        <v>594.82000000000005</v>
      </c>
      <c r="Q22" s="107"/>
      <c r="R22" s="107"/>
      <c r="S22" s="107"/>
      <c r="T22" s="108"/>
      <c r="U22" s="108"/>
      <c r="V22" s="108"/>
      <c r="W22" s="108"/>
      <c r="X22" s="108"/>
      <c r="Y22" s="107"/>
      <c r="Z22" s="107"/>
      <c r="AA22" s="107"/>
      <c r="AB22" s="107"/>
      <c r="AC22" s="108"/>
      <c r="AD22" s="108"/>
      <c r="AE22" s="109"/>
      <c r="AF22" s="109"/>
      <c r="AG22" s="107">
        <f t="shared" si="3"/>
        <v>-666.19857142857143</v>
      </c>
      <c r="AH22" s="110">
        <f t="shared" si="4"/>
        <v>1.4285714286188522E-3</v>
      </c>
    </row>
    <row r="23" spans="1:34" s="111" customFormat="1" ht="21" customHeight="1" x14ac:dyDescent="0.2">
      <c r="A23" s="102">
        <v>43318</v>
      </c>
      <c r="B23" s="103"/>
      <c r="C23" s="20" t="s">
        <v>63</v>
      </c>
      <c r="D23" s="20" t="s">
        <v>64</v>
      </c>
      <c r="E23" s="20" t="s">
        <v>65</v>
      </c>
      <c r="F23" s="104">
        <v>116992</v>
      </c>
      <c r="G23" s="105" t="s">
        <v>87</v>
      </c>
      <c r="H23" s="67"/>
      <c r="I23" s="67"/>
      <c r="J23" s="67"/>
      <c r="K23" s="67">
        <v>38</v>
      </c>
      <c r="L23" s="106"/>
      <c r="M23" s="107">
        <f t="shared" si="0"/>
        <v>33.928571428571423</v>
      </c>
      <c r="N23" s="107">
        <f t="shared" si="1"/>
        <v>4.0714285714285703</v>
      </c>
      <c r="O23" s="107">
        <f t="shared" si="2"/>
        <v>0</v>
      </c>
      <c r="P23" s="107"/>
      <c r="Q23" s="107"/>
      <c r="R23" s="107">
        <v>33.93</v>
      </c>
      <c r="S23" s="107"/>
      <c r="T23" s="108"/>
      <c r="U23" s="108"/>
      <c r="V23" s="108"/>
      <c r="W23" s="108"/>
      <c r="X23" s="108"/>
      <c r="Y23" s="107"/>
      <c r="Z23" s="107"/>
      <c r="AA23" s="107"/>
      <c r="AB23" s="107"/>
      <c r="AC23" s="108"/>
      <c r="AD23" s="108"/>
      <c r="AE23" s="109"/>
      <c r="AF23" s="109"/>
      <c r="AG23" s="107">
        <f t="shared" si="3"/>
        <v>-38.001428571428569</v>
      </c>
      <c r="AH23" s="110">
        <f t="shared" si="4"/>
        <v>-1.4285714285691142E-3</v>
      </c>
    </row>
    <row r="24" spans="1:34" s="111" customFormat="1" ht="24" customHeight="1" x14ac:dyDescent="0.2">
      <c r="A24" s="102">
        <v>43318</v>
      </c>
      <c r="B24" s="103"/>
      <c r="C24" s="20" t="s">
        <v>63</v>
      </c>
      <c r="D24" s="20" t="s">
        <v>64</v>
      </c>
      <c r="E24" s="20" t="s">
        <v>65</v>
      </c>
      <c r="F24" s="104">
        <v>116992</v>
      </c>
      <c r="G24" s="105" t="s">
        <v>716</v>
      </c>
      <c r="H24" s="67"/>
      <c r="I24" s="67"/>
      <c r="J24" s="67">
        <f>385+647.75+30.95+28.75+37.5+30.95</f>
        <v>1160.9000000000001</v>
      </c>
      <c r="K24" s="67"/>
      <c r="L24" s="106"/>
      <c r="M24" s="107">
        <f t="shared" si="0"/>
        <v>1160.9000000000001</v>
      </c>
      <c r="N24" s="107">
        <f t="shared" si="1"/>
        <v>0</v>
      </c>
      <c r="O24" s="107">
        <f t="shared" si="2"/>
        <v>0</v>
      </c>
      <c r="P24" s="107">
        <v>1160.9000000000001</v>
      </c>
      <c r="Q24" s="107"/>
      <c r="R24" s="107"/>
      <c r="S24" s="107"/>
      <c r="T24" s="108"/>
      <c r="U24" s="108"/>
      <c r="V24" s="108"/>
      <c r="W24" s="108"/>
      <c r="X24" s="108"/>
      <c r="Y24" s="107"/>
      <c r="Z24" s="107"/>
      <c r="AA24" s="107"/>
      <c r="AB24" s="107"/>
      <c r="AC24" s="108"/>
      <c r="AD24" s="108"/>
      <c r="AE24" s="109"/>
      <c r="AF24" s="109"/>
      <c r="AG24" s="107">
        <f t="shared" si="3"/>
        <v>-1160.9000000000001</v>
      </c>
      <c r="AH24" s="110">
        <f t="shared" si="4"/>
        <v>0</v>
      </c>
    </row>
    <row r="25" spans="1:34" s="111" customFormat="1" ht="21" customHeight="1" x14ac:dyDescent="0.2">
      <c r="A25" s="102">
        <v>43318</v>
      </c>
      <c r="B25" s="103"/>
      <c r="C25" s="20" t="s">
        <v>717</v>
      </c>
      <c r="D25" s="20" t="s">
        <v>718</v>
      </c>
      <c r="E25" s="20" t="s">
        <v>382</v>
      </c>
      <c r="F25" s="104">
        <v>80</v>
      </c>
      <c r="G25" s="104" t="s">
        <v>498</v>
      </c>
      <c r="H25" s="67"/>
      <c r="I25" s="67"/>
      <c r="J25" s="67">
        <v>650</v>
      </c>
      <c r="K25" s="67"/>
      <c r="L25" s="106"/>
      <c r="M25" s="107">
        <f t="shared" si="0"/>
        <v>650</v>
      </c>
      <c r="N25" s="107">
        <f t="shared" si="1"/>
        <v>0</v>
      </c>
      <c r="O25" s="107">
        <f t="shared" si="2"/>
        <v>0</v>
      </c>
      <c r="P25" s="107">
        <v>650</v>
      </c>
      <c r="Q25" s="107"/>
      <c r="R25" s="107"/>
      <c r="S25" s="107"/>
      <c r="T25" s="108"/>
      <c r="U25" s="108"/>
      <c r="V25" s="108"/>
      <c r="W25" s="108"/>
      <c r="X25" s="108"/>
      <c r="Y25" s="107"/>
      <c r="Z25" s="107"/>
      <c r="AA25" s="107"/>
      <c r="AB25" s="107"/>
      <c r="AC25" s="108"/>
      <c r="AD25" s="108"/>
      <c r="AE25" s="109"/>
      <c r="AF25" s="109"/>
      <c r="AG25" s="107">
        <f t="shared" si="3"/>
        <v>-650</v>
      </c>
      <c r="AH25" s="110">
        <f t="shared" si="4"/>
        <v>0</v>
      </c>
    </row>
    <row r="26" spans="1:34" s="111" customFormat="1" ht="24" customHeight="1" x14ac:dyDescent="0.2">
      <c r="A26" s="102">
        <v>43318</v>
      </c>
      <c r="B26" s="103"/>
      <c r="C26" s="20" t="s">
        <v>68</v>
      </c>
      <c r="D26" s="20"/>
      <c r="E26" s="20"/>
      <c r="F26" s="104"/>
      <c r="G26" s="105" t="s">
        <v>719</v>
      </c>
      <c r="H26" s="67">
        <v>70</v>
      </c>
      <c r="I26" s="67"/>
      <c r="J26" s="67"/>
      <c r="K26" s="67"/>
      <c r="L26" s="106"/>
      <c r="M26" s="107">
        <f t="shared" si="0"/>
        <v>70</v>
      </c>
      <c r="N26" s="107">
        <f t="shared" si="1"/>
        <v>0</v>
      </c>
      <c r="O26" s="107">
        <f t="shared" si="2"/>
        <v>0</v>
      </c>
      <c r="P26" s="107"/>
      <c r="Q26" s="107"/>
      <c r="R26" s="107"/>
      <c r="S26" s="107"/>
      <c r="T26" s="108"/>
      <c r="U26" s="108"/>
      <c r="V26" s="108"/>
      <c r="W26" s="108"/>
      <c r="X26" s="108"/>
      <c r="Y26" s="107"/>
      <c r="Z26" s="107"/>
      <c r="AA26" s="107">
        <v>70</v>
      </c>
      <c r="AB26" s="107"/>
      <c r="AC26" s="108"/>
      <c r="AD26" s="108"/>
      <c r="AE26" s="109"/>
      <c r="AF26" s="109"/>
      <c r="AG26" s="107">
        <f t="shared" si="3"/>
        <v>-70</v>
      </c>
      <c r="AH26" s="110">
        <f t="shared" si="4"/>
        <v>0</v>
      </c>
    </row>
    <row r="27" spans="1:34" s="111" customFormat="1" ht="24" customHeight="1" x14ac:dyDescent="0.2">
      <c r="A27" s="102">
        <v>43318</v>
      </c>
      <c r="B27" s="103"/>
      <c r="C27" s="112" t="s">
        <v>614</v>
      </c>
      <c r="D27" s="20"/>
      <c r="E27" s="20"/>
      <c r="F27" s="104"/>
      <c r="G27" s="105" t="s">
        <v>644</v>
      </c>
      <c r="H27" s="67">
        <v>502</v>
      </c>
      <c r="I27" s="67"/>
      <c r="J27" s="67"/>
      <c r="K27" s="67"/>
      <c r="L27" s="106"/>
      <c r="M27" s="107">
        <f t="shared" si="0"/>
        <v>502</v>
      </c>
      <c r="N27" s="107">
        <f t="shared" si="1"/>
        <v>0</v>
      </c>
      <c r="O27" s="107">
        <f t="shared" si="2"/>
        <v>0</v>
      </c>
      <c r="P27" s="107"/>
      <c r="Q27" s="107"/>
      <c r="R27" s="107"/>
      <c r="S27" s="107"/>
      <c r="T27" s="108"/>
      <c r="U27" s="108"/>
      <c r="V27" s="108"/>
      <c r="W27" s="108"/>
      <c r="X27" s="108"/>
      <c r="Y27" s="107"/>
      <c r="Z27" s="107"/>
      <c r="AA27" s="107"/>
      <c r="AB27" s="107">
        <v>502</v>
      </c>
      <c r="AC27" s="108"/>
      <c r="AD27" s="108"/>
      <c r="AE27" s="109"/>
      <c r="AF27" s="109"/>
      <c r="AG27" s="107">
        <f t="shared" si="3"/>
        <v>-502</v>
      </c>
      <c r="AH27" s="110">
        <f t="shared" si="4"/>
        <v>0</v>
      </c>
    </row>
    <row r="28" spans="1:34" s="111" customFormat="1" ht="24" customHeight="1" x14ac:dyDescent="0.2">
      <c r="A28" s="102">
        <v>43316</v>
      </c>
      <c r="B28" s="103"/>
      <c r="C28" s="20" t="s">
        <v>705</v>
      </c>
      <c r="D28" s="20" t="s">
        <v>706</v>
      </c>
      <c r="E28" s="20" t="s">
        <v>707</v>
      </c>
      <c r="F28" s="104">
        <v>184894</v>
      </c>
      <c r="G28" s="105" t="s">
        <v>720</v>
      </c>
      <c r="H28" s="67"/>
      <c r="I28" s="67"/>
      <c r="J28" s="67"/>
      <c r="K28" s="67">
        <v>85</v>
      </c>
      <c r="L28" s="106"/>
      <c r="M28" s="107">
        <f t="shared" si="0"/>
        <v>75.892857142857139</v>
      </c>
      <c r="N28" s="107">
        <f t="shared" si="1"/>
        <v>9.1071428571428559</v>
      </c>
      <c r="O28" s="107">
        <f t="shared" si="2"/>
        <v>0</v>
      </c>
      <c r="P28" s="107"/>
      <c r="Q28" s="107">
        <v>75.89</v>
      </c>
      <c r="R28" s="107"/>
      <c r="S28" s="107"/>
      <c r="T28" s="108"/>
      <c r="U28" s="108"/>
      <c r="V28" s="108"/>
      <c r="W28" s="108"/>
      <c r="X28" s="108"/>
      <c r="Y28" s="107"/>
      <c r="Z28" s="107"/>
      <c r="AA28" s="107"/>
      <c r="AB28" s="107"/>
      <c r="AC28" s="108"/>
      <c r="AD28" s="108"/>
      <c r="AE28" s="109"/>
      <c r="AF28" s="109"/>
      <c r="AG28" s="107">
        <f t="shared" si="3"/>
        <v>-84.997142857142862</v>
      </c>
      <c r="AH28" s="110">
        <f t="shared" si="4"/>
        <v>2.8571428571382285E-3</v>
      </c>
    </row>
    <row r="29" spans="1:34" s="111" customFormat="1" ht="24" customHeight="1" x14ac:dyDescent="0.2">
      <c r="A29" s="102">
        <v>43319</v>
      </c>
      <c r="B29" s="103"/>
      <c r="C29" s="20" t="s">
        <v>705</v>
      </c>
      <c r="D29" s="20" t="s">
        <v>706</v>
      </c>
      <c r="E29" s="20" t="s">
        <v>707</v>
      </c>
      <c r="F29" s="104">
        <v>184165</v>
      </c>
      <c r="G29" s="105" t="s">
        <v>721</v>
      </c>
      <c r="H29" s="67"/>
      <c r="I29" s="67"/>
      <c r="J29" s="67"/>
      <c r="K29" s="67">
        <v>170</v>
      </c>
      <c r="L29" s="106"/>
      <c r="M29" s="107">
        <f t="shared" si="0"/>
        <v>151.78571428571428</v>
      </c>
      <c r="N29" s="107">
        <f t="shared" si="1"/>
        <v>18.214285714285712</v>
      </c>
      <c r="O29" s="107">
        <f t="shared" si="2"/>
        <v>0</v>
      </c>
      <c r="P29" s="107"/>
      <c r="Q29" s="107">
        <v>151.79</v>
      </c>
      <c r="R29" s="107"/>
      <c r="S29" s="107"/>
      <c r="T29" s="108"/>
      <c r="U29" s="108"/>
      <c r="V29" s="108"/>
      <c r="W29" s="108"/>
      <c r="X29" s="108"/>
      <c r="Y29" s="107"/>
      <c r="Z29" s="107"/>
      <c r="AA29" s="107"/>
      <c r="AB29" s="107"/>
      <c r="AC29" s="108"/>
      <c r="AD29" s="108"/>
      <c r="AE29" s="109"/>
      <c r="AF29" s="109"/>
      <c r="AG29" s="107">
        <f t="shared" si="3"/>
        <v>-170.00428571428571</v>
      </c>
      <c r="AH29" s="110">
        <f t="shared" si="4"/>
        <v>-4.2857142857144481E-3</v>
      </c>
    </row>
    <row r="30" spans="1:34" s="111" customFormat="1" ht="24" customHeight="1" x14ac:dyDescent="0.2">
      <c r="A30" s="102">
        <v>43319</v>
      </c>
      <c r="B30" s="103"/>
      <c r="C30" s="20" t="s">
        <v>705</v>
      </c>
      <c r="D30" s="20" t="s">
        <v>706</v>
      </c>
      <c r="E30" s="20" t="s">
        <v>707</v>
      </c>
      <c r="F30" s="104">
        <v>183355</v>
      </c>
      <c r="G30" s="105" t="s">
        <v>722</v>
      </c>
      <c r="H30" s="67"/>
      <c r="I30" s="67"/>
      <c r="J30" s="67"/>
      <c r="K30" s="67">
        <v>170</v>
      </c>
      <c r="L30" s="106"/>
      <c r="M30" s="107">
        <f t="shared" si="0"/>
        <v>151.78571428571428</v>
      </c>
      <c r="N30" s="107">
        <f t="shared" si="1"/>
        <v>18.214285714285712</v>
      </c>
      <c r="O30" s="107">
        <f t="shared" si="2"/>
        <v>0</v>
      </c>
      <c r="P30" s="107"/>
      <c r="Q30" s="107">
        <v>151.79</v>
      </c>
      <c r="R30" s="107"/>
      <c r="S30" s="107"/>
      <c r="T30" s="108"/>
      <c r="U30" s="108"/>
      <c r="V30" s="108"/>
      <c r="W30" s="108"/>
      <c r="X30" s="108"/>
      <c r="Y30" s="107"/>
      <c r="Z30" s="107"/>
      <c r="AA30" s="107"/>
      <c r="AB30" s="107"/>
      <c r="AC30" s="108"/>
      <c r="AD30" s="108"/>
      <c r="AE30" s="109"/>
      <c r="AF30" s="109"/>
      <c r="AG30" s="107">
        <f t="shared" si="3"/>
        <v>-170.00428571428571</v>
      </c>
      <c r="AH30" s="110">
        <f t="shared" si="4"/>
        <v>-4.2857142857144481E-3</v>
      </c>
    </row>
    <row r="31" spans="1:34" s="111" customFormat="1" ht="24" customHeight="1" x14ac:dyDescent="0.2">
      <c r="A31" s="102">
        <v>43319</v>
      </c>
      <c r="B31" s="103"/>
      <c r="C31" s="20" t="s">
        <v>276</v>
      </c>
      <c r="D31" s="20" t="s">
        <v>52</v>
      </c>
      <c r="E31" s="20" t="s">
        <v>277</v>
      </c>
      <c r="F31" s="104">
        <v>963185</v>
      </c>
      <c r="G31" s="105" t="s">
        <v>723</v>
      </c>
      <c r="H31" s="67"/>
      <c r="I31" s="67"/>
      <c r="J31" s="67"/>
      <c r="K31" s="67">
        <v>233.25</v>
      </c>
      <c r="L31" s="106"/>
      <c r="M31" s="107">
        <f t="shared" si="0"/>
        <v>208.25892857142856</v>
      </c>
      <c r="N31" s="107">
        <f t="shared" si="1"/>
        <v>24.991071428571427</v>
      </c>
      <c r="O31" s="107">
        <f t="shared" si="2"/>
        <v>0</v>
      </c>
      <c r="P31" s="107"/>
      <c r="Q31" s="107">
        <v>208.26</v>
      </c>
      <c r="R31" s="107"/>
      <c r="S31" s="107"/>
      <c r="T31" s="108"/>
      <c r="U31" s="108"/>
      <c r="V31" s="108"/>
      <c r="W31" s="108"/>
      <c r="X31" s="108"/>
      <c r="Y31" s="107"/>
      <c r="Z31" s="107"/>
      <c r="AA31" s="107"/>
      <c r="AB31" s="107"/>
      <c r="AC31" s="108"/>
      <c r="AD31" s="108"/>
      <c r="AE31" s="109"/>
      <c r="AF31" s="109"/>
      <c r="AG31" s="107">
        <f t="shared" si="3"/>
        <v>-233.25107142857141</v>
      </c>
      <c r="AH31" s="110">
        <f t="shared" si="4"/>
        <v>-1.0714285714072957E-3</v>
      </c>
    </row>
    <row r="32" spans="1:34" s="111" customFormat="1" ht="24" customHeight="1" x14ac:dyDescent="0.2">
      <c r="A32" s="102">
        <v>43320</v>
      </c>
      <c r="B32" s="103"/>
      <c r="C32" s="20" t="s">
        <v>705</v>
      </c>
      <c r="D32" s="20" t="s">
        <v>706</v>
      </c>
      <c r="E32" s="20" t="s">
        <v>707</v>
      </c>
      <c r="F32" s="104">
        <v>183393</v>
      </c>
      <c r="G32" s="105" t="s">
        <v>724</v>
      </c>
      <c r="H32" s="67"/>
      <c r="I32" s="67"/>
      <c r="J32" s="67"/>
      <c r="K32" s="67">
        <v>170</v>
      </c>
      <c r="L32" s="106"/>
      <c r="M32" s="107">
        <f t="shared" si="0"/>
        <v>151.78571428571428</v>
      </c>
      <c r="N32" s="107">
        <f t="shared" si="1"/>
        <v>18.214285714285712</v>
      </c>
      <c r="O32" s="107">
        <f t="shared" si="2"/>
        <v>0</v>
      </c>
      <c r="P32" s="107"/>
      <c r="Q32" s="107">
        <v>151.79</v>
      </c>
      <c r="R32" s="107"/>
      <c r="S32" s="107"/>
      <c r="T32" s="108"/>
      <c r="U32" s="108"/>
      <c r="V32" s="108"/>
      <c r="W32" s="108"/>
      <c r="X32" s="108"/>
      <c r="Y32" s="107"/>
      <c r="Z32" s="107"/>
      <c r="AA32" s="107"/>
      <c r="AB32" s="107"/>
      <c r="AC32" s="108"/>
      <c r="AD32" s="108"/>
      <c r="AE32" s="109"/>
      <c r="AF32" s="109"/>
      <c r="AG32" s="107">
        <f t="shared" si="3"/>
        <v>-170.00428571428571</v>
      </c>
      <c r="AH32" s="110">
        <f t="shared" si="4"/>
        <v>-4.2857142857144481E-3</v>
      </c>
    </row>
    <row r="33" spans="1:34" s="111" customFormat="1" ht="24" customHeight="1" x14ac:dyDescent="0.2">
      <c r="A33" s="102">
        <v>43320</v>
      </c>
      <c r="B33" s="103"/>
      <c r="C33" s="20" t="s">
        <v>613</v>
      </c>
      <c r="D33" s="20"/>
      <c r="E33" s="20"/>
      <c r="F33" s="104"/>
      <c r="G33" s="105" t="s">
        <v>725</v>
      </c>
      <c r="H33" s="67"/>
      <c r="I33" s="67"/>
      <c r="J33" s="67">
        <v>530</v>
      </c>
      <c r="K33" s="67"/>
      <c r="L33" s="106"/>
      <c r="M33" s="107">
        <f t="shared" si="0"/>
        <v>530</v>
      </c>
      <c r="N33" s="107">
        <f t="shared" si="1"/>
        <v>0</v>
      </c>
      <c r="O33" s="107">
        <f t="shared" si="2"/>
        <v>0</v>
      </c>
      <c r="P33" s="107">
        <v>530</v>
      </c>
      <c r="Q33" s="107"/>
      <c r="R33" s="107"/>
      <c r="S33" s="107"/>
      <c r="T33" s="108"/>
      <c r="U33" s="108"/>
      <c r="V33" s="108"/>
      <c r="W33" s="108"/>
      <c r="X33" s="108"/>
      <c r="Y33" s="107"/>
      <c r="Z33" s="107"/>
      <c r="AA33" s="107"/>
      <c r="AB33" s="107"/>
      <c r="AC33" s="108"/>
      <c r="AD33" s="108"/>
      <c r="AE33" s="109"/>
      <c r="AF33" s="109"/>
      <c r="AG33" s="107">
        <f t="shared" si="3"/>
        <v>-530</v>
      </c>
      <c r="AH33" s="110">
        <f t="shared" si="4"/>
        <v>0</v>
      </c>
    </row>
    <row r="34" spans="1:34" s="111" customFormat="1" ht="24" customHeight="1" x14ac:dyDescent="0.2">
      <c r="A34" s="102">
        <v>43320</v>
      </c>
      <c r="B34" s="103"/>
      <c r="C34" s="20" t="s">
        <v>68</v>
      </c>
      <c r="D34" s="20"/>
      <c r="E34" s="20"/>
      <c r="F34" s="104"/>
      <c r="G34" s="105" t="s">
        <v>710</v>
      </c>
      <c r="H34" s="67">
        <v>100</v>
      </c>
      <c r="I34" s="67"/>
      <c r="J34" s="67"/>
      <c r="K34" s="67"/>
      <c r="L34" s="106"/>
      <c r="M34" s="107">
        <f t="shared" si="0"/>
        <v>100</v>
      </c>
      <c r="N34" s="107">
        <f t="shared" si="1"/>
        <v>0</v>
      </c>
      <c r="O34" s="107">
        <f t="shared" si="2"/>
        <v>0</v>
      </c>
      <c r="P34" s="107"/>
      <c r="Q34" s="107"/>
      <c r="R34" s="107"/>
      <c r="S34" s="107"/>
      <c r="T34" s="108"/>
      <c r="U34" s="108"/>
      <c r="V34" s="108"/>
      <c r="W34" s="108"/>
      <c r="X34" s="108"/>
      <c r="Y34" s="107"/>
      <c r="Z34" s="107"/>
      <c r="AA34" s="107">
        <v>100</v>
      </c>
      <c r="AB34" s="107"/>
      <c r="AC34" s="108"/>
      <c r="AD34" s="108"/>
      <c r="AE34" s="109"/>
      <c r="AF34" s="109"/>
      <c r="AG34" s="107">
        <f t="shared" si="3"/>
        <v>-100</v>
      </c>
      <c r="AH34" s="110">
        <f t="shared" si="4"/>
        <v>0</v>
      </c>
    </row>
    <row r="35" spans="1:34" s="111" customFormat="1" ht="24" customHeight="1" x14ac:dyDescent="0.2">
      <c r="A35" s="102">
        <v>43320</v>
      </c>
      <c r="B35" s="103"/>
      <c r="C35" s="20" t="s">
        <v>711</v>
      </c>
      <c r="D35" s="20" t="s">
        <v>273</v>
      </c>
      <c r="E35" s="20" t="s">
        <v>120</v>
      </c>
      <c r="F35" s="104">
        <v>154914</v>
      </c>
      <c r="G35" s="105" t="s">
        <v>726</v>
      </c>
      <c r="H35" s="67"/>
      <c r="I35" s="67"/>
      <c r="J35" s="67"/>
      <c r="K35" s="67">
        <v>400</v>
      </c>
      <c r="L35" s="106"/>
      <c r="M35" s="107">
        <f t="shared" si="0"/>
        <v>357.14285714285711</v>
      </c>
      <c r="N35" s="107">
        <f t="shared" si="1"/>
        <v>42.857142857142854</v>
      </c>
      <c r="O35" s="107">
        <f t="shared" si="2"/>
        <v>0</v>
      </c>
      <c r="P35" s="107"/>
      <c r="Q35" s="107"/>
      <c r="R35" s="107"/>
      <c r="S35" s="107">
        <v>357.14</v>
      </c>
      <c r="T35" s="108"/>
      <c r="U35" s="108"/>
      <c r="V35" s="108"/>
      <c r="W35" s="108"/>
      <c r="X35" s="108"/>
      <c r="Y35" s="107"/>
      <c r="Z35" s="107"/>
      <c r="AA35" s="107"/>
      <c r="AB35" s="107"/>
      <c r="AC35" s="108"/>
      <c r="AD35" s="108"/>
      <c r="AE35" s="109"/>
      <c r="AF35" s="109"/>
      <c r="AG35" s="107">
        <f t="shared" si="3"/>
        <v>-399.99714285714282</v>
      </c>
      <c r="AH35" s="110">
        <f t="shared" si="4"/>
        <v>2.857142857180861E-3</v>
      </c>
    </row>
    <row r="36" spans="1:34" s="111" customFormat="1" ht="24" customHeight="1" x14ac:dyDescent="0.2">
      <c r="A36" s="102">
        <v>43321</v>
      </c>
      <c r="B36" s="103"/>
      <c r="C36" s="20" t="s">
        <v>59</v>
      </c>
      <c r="D36" s="20" t="s">
        <v>60</v>
      </c>
      <c r="E36" s="20" t="s">
        <v>120</v>
      </c>
      <c r="F36" s="104">
        <v>691655</v>
      </c>
      <c r="G36" s="105" t="s">
        <v>727</v>
      </c>
      <c r="H36" s="67"/>
      <c r="I36" s="67"/>
      <c r="J36" s="67"/>
      <c r="K36" s="67">
        <v>50</v>
      </c>
      <c r="L36" s="106"/>
      <c r="M36" s="107">
        <f t="shared" si="0"/>
        <v>44.642857142857139</v>
      </c>
      <c r="N36" s="107">
        <f t="shared" si="1"/>
        <v>5.3571428571428568</v>
      </c>
      <c r="O36" s="107">
        <f t="shared" si="2"/>
        <v>0</v>
      </c>
      <c r="P36" s="107"/>
      <c r="Q36" s="107"/>
      <c r="R36" s="107"/>
      <c r="S36" s="107"/>
      <c r="T36" s="108"/>
      <c r="U36" s="108"/>
      <c r="V36" s="108"/>
      <c r="W36" s="108"/>
      <c r="X36" s="108"/>
      <c r="Y36" s="107"/>
      <c r="Z36" s="107">
        <v>44.64</v>
      </c>
      <c r="AA36" s="107"/>
      <c r="AB36" s="107"/>
      <c r="AC36" s="108"/>
      <c r="AD36" s="108"/>
      <c r="AE36" s="109"/>
      <c r="AF36" s="109"/>
      <c r="AG36" s="107">
        <f t="shared" si="3"/>
        <v>-49.997142857142855</v>
      </c>
      <c r="AH36" s="110">
        <f t="shared" si="4"/>
        <v>2.8571428571453339E-3</v>
      </c>
    </row>
    <row r="37" spans="1:34" s="111" customFormat="1" ht="24" customHeight="1" x14ac:dyDescent="0.2">
      <c r="A37" s="102">
        <v>43321</v>
      </c>
      <c r="B37" s="103"/>
      <c r="C37" s="20" t="s">
        <v>613</v>
      </c>
      <c r="D37" s="20"/>
      <c r="E37" s="20"/>
      <c r="F37" s="104"/>
      <c r="G37" s="105" t="s">
        <v>593</v>
      </c>
      <c r="H37" s="67"/>
      <c r="I37" s="67"/>
      <c r="J37" s="67">
        <v>1150</v>
      </c>
      <c r="K37" s="67"/>
      <c r="L37" s="106"/>
      <c r="M37" s="107">
        <f t="shared" ref="M37:M68" si="5">SUM(H37:J37,K37/1.12)</f>
        <v>1150</v>
      </c>
      <c r="N37" s="107">
        <f t="shared" ref="N37:N68" si="6">K37/1.12*0.12</f>
        <v>0</v>
      </c>
      <c r="O37" s="107">
        <f t="shared" ref="O37:O68" si="7">-SUM(I37:J37,K37/1.12)*L37</f>
        <v>0</v>
      </c>
      <c r="P37" s="107">
        <v>1150</v>
      </c>
      <c r="Q37" s="107"/>
      <c r="R37" s="107"/>
      <c r="S37" s="107"/>
      <c r="T37" s="108"/>
      <c r="U37" s="108"/>
      <c r="V37" s="108"/>
      <c r="W37" s="108"/>
      <c r="X37" s="108"/>
      <c r="Y37" s="107"/>
      <c r="Z37" s="107"/>
      <c r="AA37" s="107"/>
      <c r="AB37" s="107"/>
      <c r="AC37" s="108"/>
      <c r="AD37" s="108"/>
      <c r="AE37" s="109"/>
      <c r="AF37" s="109"/>
      <c r="AG37" s="107">
        <f t="shared" ref="AG37:AG68" si="8">-SUM(N37:AF37)</f>
        <v>-1150</v>
      </c>
      <c r="AH37" s="110">
        <f t="shared" ref="AH37:AH68" si="9">SUM(H37:K37)+AG37+O37</f>
        <v>0</v>
      </c>
    </row>
    <row r="38" spans="1:34" s="111" customFormat="1" ht="24" customHeight="1" x14ac:dyDescent="0.2">
      <c r="A38" s="102">
        <v>43321</v>
      </c>
      <c r="B38" s="103"/>
      <c r="C38" s="20" t="s">
        <v>705</v>
      </c>
      <c r="D38" s="20" t="s">
        <v>706</v>
      </c>
      <c r="E38" s="20" t="s">
        <v>707</v>
      </c>
      <c r="F38" s="104">
        <v>183436</v>
      </c>
      <c r="G38" s="105" t="s">
        <v>728</v>
      </c>
      <c r="H38" s="67"/>
      <c r="I38" s="67"/>
      <c r="J38" s="67"/>
      <c r="K38" s="67">
        <v>170</v>
      </c>
      <c r="L38" s="106"/>
      <c r="M38" s="107">
        <f t="shared" si="5"/>
        <v>151.78571428571428</v>
      </c>
      <c r="N38" s="107">
        <f t="shared" si="6"/>
        <v>18.214285714285712</v>
      </c>
      <c r="O38" s="107">
        <f t="shared" si="7"/>
        <v>0</v>
      </c>
      <c r="P38" s="107"/>
      <c r="Q38" s="107">
        <v>151.79</v>
      </c>
      <c r="R38" s="107"/>
      <c r="S38" s="107"/>
      <c r="T38" s="108"/>
      <c r="U38" s="108"/>
      <c r="V38" s="108"/>
      <c r="W38" s="108"/>
      <c r="X38" s="108"/>
      <c r="Y38" s="107"/>
      <c r="Z38" s="107"/>
      <c r="AA38" s="107"/>
      <c r="AB38" s="107"/>
      <c r="AC38" s="108"/>
      <c r="AD38" s="108"/>
      <c r="AE38" s="109"/>
      <c r="AF38" s="109"/>
      <c r="AG38" s="107">
        <f t="shared" si="8"/>
        <v>-170.00428571428571</v>
      </c>
      <c r="AH38" s="110">
        <f t="shared" si="9"/>
        <v>-4.2857142857144481E-3</v>
      </c>
    </row>
    <row r="39" spans="1:34" s="111" customFormat="1" ht="24" customHeight="1" x14ac:dyDescent="0.2">
      <c r="A39" s="102">
        <v>43322</v>
      </c>
      <c r="B39" s="103"/>
      <c r="C39" s="20" t="s">
        <v>705</v>
      </c>
      <c r="D39" s="20" t="s">
        <v>706</v>
      </c>
      <c r="E39" s="20" t="s">
        <v>707</v>
      </c>
      <c r="F39" s="104">
        <v>184978</v>
      </c>
      <c r="G39" s="105" t="s">
        <v>729</v>
      </c>
      <c r="H39" s="67"/>
      <c r="I39" s="67"/>
      <c r="J39" s="67"/>
      <c r="K39" s="67">
        <v>170</v>
      </c>
      <c r="L39" s="106"/>
      <c r="M39" s="107">
        <f t="shared" si="5"/>
        <v>151.78571428571428</v>
      </c>
      <c r="N39" s="107">
        <f t="shared" si="6"/>
        <v>18.214285714285712</v>
      </c>
      <c r="O39" s="107">
        <f t="shared" si="7"/>
        <v>0</v>
      </c>
      <c r="P39" s="107"/>
      <c r="Q39" s="107">
        <v>151.79</v>
      </c>
      <c r="R39" s="107"/>
      <c r="S39" s="107"/>
      <c r="T39" s="108"/>
      <c r="U39" s="108"/>
      <c r="V39" s="108"/>
      <c r="W39" s="108"/>
      <c r="X39" s="108"/>
      <c r="Y39" s="107"/>
      <c r="Z39" s="107"/>
      <c r="AA39" s="107"/>
      <c r="AB39" s="107"/>
      <c r="AC39" s="108"/>
      <c r="AD39" s="108"/>
      <c r="AE39" s="109"/>
      <c r="AF39" s="109"/>
      <c r="AG39" s="107">
        <f t="shared" si="8"/>
        <v>-170.00428571428571</v>
      </c>
      <c r="AH39" s="110">
        <f t="shared" si="9"/>
        <v>-4.2857142857144481E-3</v>
      </c>
    </row>
    <row r="40" spans="1:34" s="111" customFormat="1" ht="24" customHeight="1" x14ac:dyDescent="0.2">
      <c r="A40" s="102">
        <v>43322</v>
      </c>
      <c r="B40" s="103"/>
      <c r="C40" s="20" t="s">
        <v>502</v>
      </c>
      <c r="D40" s="20" t="s">
        <v>730</v>
      </c>
      <c r="E40" s="20" t="s">
        <v>277</v>
      </c>
      <c r="F40" s="104">
        <v>1404029</v>
      </c>
      <c r="G40" s="105" t="s">
        <v>436</v>
      </c>
      <c r="H40" s="67"/>
      <c r="I40" s="67"/>
      <c r="J40" s="67"/>
      <c r="K40" s="67">
        <v>60</v>
      </c>
      <c r="L40" s="106"/>
      <c r="M40" s="107">
        <f t="shared" si="5"/>
        <v>53.571428571428569</v>
      </c>
      <c r="N40" s="107">
        <f t="shared" si="6"/>
        <v>6.4285714285714279</v>
      </c>
      <c r="O40" s="107">
        <f t="shared" si="7"/>
        <v>0</v>
      </c>
      <c r="P40" s="107">
        <v>53.57</v>
      </c>
      <c r="Q40" s="107"/>
      <c r="R40" s="107"/>
      <c r="S40" s="107"/>
      <c r="T40" s="108"/>
      <c r="U40" s="108"/>
      <c r="V40" s="108"/>
      <c r="W40" s="108"/>
      <c r="X40" s="108"/>
      <c r="Y40" s="107"/>
      <c r="Z40" s="107"/>
      <c r="AA40" s="107"/>
      <c r="AB40" s="107"/>
      <c r="AC40" s="108"/>
      <c r="AD40" s="108"/>
      <c r="AE40" s="109"/>
      <c r="AF40" s="109"/>
      <c r="AG40" s="107">
        <f t="shared" si="8"/>
        <v>-59.998571428571431</v>
      </c>
      <c r="AH40" s="110">
        <f t="shared" si="9"/>
        <v>1.4285714285691142E-3</v>
      </c>
    </row>
    <row r="41" spans="1:34" s="111" customFormat="1" ht="24" customHeight="1" x14ac:dyDescent="0.2">
      <c r="A41" s="102">
        <v>43322</v>
      </c>
      <c r="B41" s="103"/>
      <c r="C41" s="20" t="s">
        <v>276</v>
      </c>
      <c r="D41" s="20" t="s">
        <v>52</v>
      </c>
      <c r="E41" s="20" t="s">
        <v>277</v>
      </c>
      <c r="F41" s="104">
        <v>964493</v>
      </c>
      <c r="G41" s="105" t="s">
        <v>436</v>
      </c>
      <c r="H41" s="67"/>
      <c r="I41" s="67"/>
      <c r="J41" s="67"/>
      <c r="K41" s="67">
        <v>160</v>
      </c>
      <c r="L41" s="106"/>
      <c r="M41" s="107">
        <f t="shared" si="5"/>
        <v>142.85714285714283</v>
      </c>
      <c r="N41" s="107">
        <f t="shared" si="6"/>
        <v>17.142857142857139</v>
      </c>
      <c r="O41" s="107">
        <f t="shared" si="7"/>
        <v>0</v>
      </c>
      <c r="P41" s="107">
        <v>142.86000000000001</v>
      </c>
      <c r="Q41" s="107"/>
      <c r="R41" s="107"/>
      <c r="S41" s="107"/>
      <c r="T41" s="108"/>
      <c r="U41" s="108"/>
      <c r="V41" s="108"/>
      <c r="W41" s="108"/>
      <c r="X41" s="108"/>
      <c r="Y41" s="107"/>
      <c r="Z41" s="107"/>
      <c r="AA41" s="107"/>
      <c r="AB41" s="107"/>
      <c r="AC41" s="108"/>
      <c r="AD41" s="108"/>
      <c r="AE41" s="109"/>
      <c r="AF41" s="109"/>
      <c r="AG41" s="107">
        <f t="shared" si="8"/>
        <v>-160.00285714285715</v>
      </c>
      <c r="AH41" s="110">
        <f t="shared" si="9"/>
        <v>-2.8571428571524393E-3</v>
      </c>
    </row>
    <row r="42" spans="1:34" s="111" customFormat="1" ht="24" customHeight="1" x14ac:dyDescent="0.2">
      <c r="A42" s="102">
        <v>43323</v>
      </c>
      <c r="B42" s="103"/>
      <c r="C42" s="20" t="s">
        <v>63</v>
      </c>
      <c r="D42" s="20" t="s">
        <v>64</v>
      </c>
      <c r="E42" s="20" t="s">
        <v>65</v>
      </c>
      <c r="F42" s="104">
        <v>117650</v>
      </c>
      <c r="G42" s="105" t="s">
        <v>731</v>
      </c>
      <c r="H42" s="67"/>
      <c r="I42" s="67"/>
      <c r="J42" s="67"/>
      <c r="K42" s="67">
        <v>905.95</v>
      </c>
      <c r="L42" s="106"/>
      <c r="M42" s="107">
        <f t="shared" si="5"/>
        <v>808.88392857142856</v>
      </c>
      <c r="N42" s="107">
        <f t="shared" si="6"/>
        <v>97.066071428571419</v>
      </c>
      <c r="O42" s="107">
        <f t="shared" si="7"/>
        <v>0</v>
      </c>
      <c r="P42" s="107">
        <v>808.88</v>
      </c>
      <c r="Q42" s="107"/>
      <c r="R42" s="107"/>
      <c r="S42" s="107"/>
      <c r="T42" s="108"/>
      <c r="U42" s="108"/>
      <c r="V42" s="108"/>
      <c r="W42" s="108"/>
      <c r="X42" s="108"/>
      <c r="Y42" s="107"/>
      <c r="Z42" s="107"/>
      <c r="AA42" s="107"/>
      <c r="AB42" s="107"/>
      <c r="AC42" s="108"/>
      <c r="AD42" s="108"/>
      <c r="AE42" s="109"/>
      <c r="AF42" s="109"/>
      <c r="AG42" s="107">
        <f t="shared" si="8"/>
        <v>-905.94607142857137</v>
      </c>
      <c r="AH42" s="110">
        <f t="shared" si="9"/>
        <v>3.9285714286734219E-3</v>
      </c>
    </row>
    <row r="43" spans="1:34" s="111" customFormat="1" ht="24" customHeight="1" x14ac:dyDescent="0.2">
      <c r="A43" s="102">
        <v>43323</v>
      </c>
      <c r="B43" s="103"/>
      <c r="C43" s="20" t="s">
        <v>63</v>
      </c>
      <c r="D43" s="20" t="s">
        <v>64</v>
      </c>
      <c r="E43" s="20" t="s">
        <v>65</v>
      </c>
      <c r="F43" s="104">
        <v>117650</v>
      </c>
      <c r="G43" s="105" t="s">
        <v>732</v>
      </c>
      <c r="H43" s="67"/>
      <c r="I43" s="67"/>
      <c r="J43" s="67"/>
      <c r="K43" s="67">
        <v>108</v>
      </c>
      <c r="L43" s="106"/>
      <c r="M43" s="107">
        <f t="shared" si="5"/>
        <v>96.428571428571416</v>
      </c>
      <c r="N43" s="107">
        <f t="shared" si="6"/>
        <v>11.571428571428569</v>
      </c>
      <c r="O43" s="107">
        <f t="shared" si="7"/>
        <v>0</v>
      </c>
      <c r="P43" s="107"/>
      <c r="Q43" s="107"/>
      <c r="R43" s="107"/>
      <c r="S43" s="107"/>
      <c r="T43" s="108"/>
      <c r="U43" s="108"/>
      <c r="V43" s="108"/>
      <c r="W43" s="108"/>
      <c r="X43" s="108"/>
      <c r="Y43" s="107">
        <v>96.43</v>
      </c>
      <c r="Z43" s="107"/>
      <c r="AA43" s="107"/>
      <c r="AB43" s="107"/>
      <c r="AC43" s="108"/>
      <c r="AD43" s="108"/>
      <c r="AE43" s="109"/>
      <c r="AF43" s="109"/>
      <c r="AG43" s="107">
        <f t="shared" si="8"/>
        <v>-108.00142857142858</v>
      </c>
      <c r="AH43" s="110">
        <f t="shared" si="9"/>
        <v>-1.4285714285762197E-3</v>
      </c>
    </row>
    <row r="44" spans="1:34" s="111" customFormat="1" ht="24" customHeight="1" x14ac:dyDescent="0.2">
      <c r="A44" s="102">
        <v>43323</v>
      </c>
      <c r="B44" s="103"/>
      <c r="C44" s="20" t="s">
        <v>63</v>
      </c>
      <c r="D44" s="20" t="s">
        <v>64</v>
      </c>
      <c r="E44" s="20" t="s">
        <v>65</v>
      </c>
      <c r="F44" s="104">
        <v>117650</v>
      </c>
      <c r="G44" s="105" t="s">
        <v>733</v>
      </c>
      <c r="H44" s="67"/>
      <c r="I44" s="67"/>
      <c r="J44" s="67">
        <v>965</v>
      </c>
      <c r="K44" s="67"/>
      <c r="L44" s="106"/>
      <c r="M44" s="107">
        <f t="shared" si="5"/>
        <v>965</v>
      </c>
      <c r="N44" s="107">
        <f t="shared" si="6"/>
        <v>0</v>
      </c>
      <c r="O44" s="107">
        <f t="shared" si="7"/>
        <v>0</v>
      </c>
      <c r="P44" s="107">
        <v>965</v>
      </c>
      <c r="Q44" s="107"/>
      <c r="R44" s="107"/>
      <c r="S44" s="107"/>
      <c r="T44" s="108"/>
      <c r="U44" s="108"/>
      <c r="V44" s="108"/>
      <c r="W44" s="108"/>
      <c r="X44" s="108"/>
      <c r="Y44" s="107"/>
      <c r="Z44" s="107"/>
      <c r="AA44" s="107"/>
      <c r="AB44" s="107"/>
      <c r="AC44" s="108"/>
      <c r="AD44" s="108"/>
      <c r="AE44" s="109"/>
      <c r="AF44" s="109"/>
      <c r="AG44" s="107">
        <f t="shared" si="8"/>
        <v>-965</v>
      </c>
      <c r="AH44" s="110">
        <f t="shared" si="9"/>
        <v>0</v>
      </c>
    </row>
    <row r="45" spans="1:34" s="122" customFormat="1" ht="24" customHeight="1" x14ac:dyDescent="0.2">
      <c r="A45" s="113">
        <v>43325</v>
      </c>
      <c r="B45" s="114"/>
      <c r="C45" s="36" t="s">
        <v>705</v>
      </c>
      <c r="D45" s="36" t="s">
        <v>706</v>
      </c>
      <c r="E45" s="36" t="s">
        <v>707</v>
      </c>
      <c r="F45" s="115">
        <v>150509</v>
      </c>
      <c r="G45" s="116" t="s">
        <v>734</v>
      </c>
      <c r="H45" s="76"/>
      <c r="I45" s="76"/>
      <c r="J45" s="76"/>
      <c r="K45" s="76">
        <v>170</v>
      </c>
      <c r="L45" s="117"/>
      <c r="M45" s="118">
        <f t="shared" si="5"/>
        <v>151.78571428571428</v>
      </c>
      <c r="N45" s="118">
        <f t="shared" si="6"/>
        <v>18.214285714285712</v>
      </c>
      <c r="O45" s="118">
        <f t="shared" si="7"/>
        <v>0</v>
      </c>
      <c r="P45" s="118"/>
      <c r="Q45" s="118">
        <v>151.79</v>
      </c>
      <c r="R45" s="118"/>
      <c r="S45" s="118"/>
      <c r="T45" s="119"/>
      <c r="U45" s="119"/>
      <c r="V45" s="119"/>
      <c r="W45" s="119"/>
      <c r="X45" s="119"/>
      <c r="Y45" s="118"/>
      <c r="Z45" s="118"/>
      <c r="AA45" s="118"/>
      <c r="AB45" s="118"/>
      <c r="AC45" s="119"/>
      <c r="AD45" s="119"/>
      <c r="AE45" s="120"/>
      <c r="AF45" s="120"/>
      <c r="AG45" s="118">
        <f t="shared" si="8"/>
        <v>-170.00428571428571</v>
      </c>
      <c r="AH45" s="121">
        <f t="shared" si="9"/>
        <v>-4.2857142857144481E-3</v>
      </c>
    </row>
    <row r="46" spans="1:34" s="128" customFormat="1" ht="21.75" hidden="1" customHeight="1" x14ac:dyDescent="0.2">
      <c r="A46" s="123"/>
      <c r="B46" s="124"/>
      <c r="C46" s="20"/>
      <c r="D46" s="20"/>
      <c r="E46" s="20"/>
      <c r="F46" s="104"/>
      <c r="G46" s="105"/>
      <c r="H46" s="23"/>
      <c r="I46" s="23"/>
      <c r="J46" s="23"/>
      <c r="K46" s="23"/>
      <c r="L46" s="125"/>
      <c r="M46" s="126">
        <f t="shared" si="5"/>
        <v>0</v>
      </c>
      <c r="N46" s="126">
        <f t="shared" si="6"/>
        <v>0</v>
      </c>
      <c r="O46" s="126">
        <f t="shared" si="7"/>
        <v>0</v>
      </c>
      <c r="P46" s="126"/>
      <c r="Q46" s="126"/>
      <c r="R46" s="126"/>
      <c r="S46" s="126"/>
      <c r="T46" s="127"/>
      <c r="U46" s="127"/>
      <c r="V46" s="127"/>
      <c r="W46" s="127"/>
      <c r="X46" s="127"/>
      <c r="Y46" s="126"/>
      <c r="Z46" s="126"/>
      <c r="AA46" s="126"/>
      <c r="AB46" s="126"/>
      <c r="AC46" s="126"/>
      <c r="AD46" s="126"/>
      <c r="AE46" s="126"/>
      <c r="AF46" s="126"/>
      <c r="AG46" s="126">
        <f t="shared" si="8"/>
        <v>0</v>
      </c>
      <c r="AH46" s="110">
        <f t="shared" si="9"/>
        <v>0</v>
      </c>
    </row>
    <row r="47" spans="1:34" s="111" customFormat="1" ht="21" customHeight="1" x14ac:dyDescent="0.2">
      <c r="A47" s="102">
        <v>43325</v>
      </c>
      <c r="B47" s="103"/>
      <c r="C47" s="20" t="s">
        <v>614</v>
      </c>
      <c r="D47" s="20"/>
      <c r="E47" s="20"/>
      <c r="F47" s="104"/>
      <c r="G47" s="104" t="s">
        <v>735</v>
      </c>
      <c r="H47" s="67">
        <v>502</v>
      </c>
      <c r="I47" s="67"/>
      <c r="J47" s="67"/>
      <c r="K47" s="67"/>
      <c r="L47" s="106"/>
      <c r="M47" s="107">
        <f t="shared" si="5"/>
        <v>502</v>
      </c>
      <c r="N47" s="107">
        <f t="shared" si="6"/>
        <v>0</v>
      </c>
      <c r="O47" s="107">
        <f t="shared" si="7"/>
        <v>0</v>
      </c>
      <c r="P47" s="107"/>
      <c r="Q47" s="107"/>
      <c r="R47" s="107"/>
      <c r="S47" s="107"/>
      <c r="T47" s="108"/>
      <c r="U47" s="108"/>
      <c r="V47" s="108"/>
      <c r="W47" s="108"/>
      <c r="X47" s="108"/>
      <c r="Y47" s="107"/>
      <c r="Z47" s="107"/>
      <c r="AA47" s="107"/>
      <c r="AB47" s="107">
        <v>502</v>
      </c>
      <c r="AC47" s="108"/>
      <c r="AD47" s="108"/>
      <c r="AE47" s="109"/>
      <c r="AF47" s="109"/>
      <c r="AG47" s="107">
        <f t="shared" si="8"/>
        <v>-502</v>
      </c>
      <c r="AH47" s="110">
        <f t="shared" si="9"/>
        <v>0</v>
      </c>
    </row>
    <row r="48" spans="1:34" s="111" customFormat="1" ht="21" customHeight="1" x14ac:dyDescent="0.2">
      <c r="A48" s="102">
        <v>43326</v>
      </c>
      <c r="B48" s="103"/>
      <c r="C48" s="20" t="s">
        <v>705</v>
      </c>
      <c r="D48" s="20" t="s">
        <v>706</v>
      </c>
      <c r="E48" s="20" t="s">
        <v>707</v>
      </c>
      <c r="F48" s="104">
        <v>197019</v>
      </c>
      <c r="G48" s="105" t="s">
        <v>40</v>
      </c>
      <c r="H48" s="67"/>
      <c r="I48" s="67"/>
      <c r="J48" s="67"/>
      <c r="K48" s="67">
        <v>170</v>
      </c>
      <c r="L48" s="106"/>
      <c r="M48" s="107">
        <f t="shared" si="5"/>
        <v>151.78571428571428</v>
      </c>
      <c r="N48" s="107">
        <f t="shared" si="6"/>
        <v>18.214285714285712</v>
      </c>
      <c r="O48" s="107">
        <f t="shared" si="7"/>
        <v>0</v>
      </c>
      <c r="P48" s="107"/>
      <c r="Q48" s="107">
        <v>151.79</v>
      </c>
      <c r="R48" s="107"/>
      <c r="S48" s="107"/>
      <c r="T48" s="108"/>
      <c r="U48" s="108"/>
      <c r="V48" s="108"/>
      <c r="W48" s="108"/>
      <c r="X48" s="108"/>
      <c r="Y48" s="107"/>
      <c r="Z48" s="107"/>
      <c r="AA48" s="107"/>
      <c r="AB48" s="107"/>
      <c r="AC48" s="108"/>
      <c r="AD48" s="108"/>
      <c r="AE48" s="109"/>
      <c r="AF48" s="109"/>
      <c r="AG48" s="107">
        <f t="shared" si="8"/>
        <v>-170.00428571428571</v>
      </c>
      <c r="AH48" s="110">
        <f t="shared" si="9"/>
        <v>-4.2857142857144481E-3</v>
      </c>
    </row>
    <row r="49" spans="1:34" s="111" customFormat="1" ht="21" customHeight="1" x14ac:dyDescent="0.2">
      <c r="A49" s="102">
        <v>43326</v>
      </c>
      <c r="B49" s="103"/>
      <c r="C49" s="20" t="s">
        <v>366</v>
      </c>
      <c r="D49" s="20" t="s">
        <v>736</v>
      </c>
      <c r="E49" s="20" t="s">
        <v>120</v>
      </c>
      <c r="F49" s="104">
        <v>247288</v>
      </c>
      <c r="G49" s="105" t="s">
        <v>737</v>
      </c>
      <c r="H49" s="67"/>
      <c r="I49" s="67"/>
      <c r="J49" s="67"/>
      <c r="K49" s="67">
        <v>629</v>
      </c>
      <c r="L49" s="106"/>
      <c r="M49" s="107">
        <f t="shared" si="5"/>
        <v>561.60714285714278</v>
      </c>
      <c r="N49" s="107">
        <f t="shared" si="6"/>
        <v>67.392857142857125</v>
      </c>
      <c r="O49" s="107">
        <f t="shared" si="7"/>
        <v>0</v>
      </c>
      <c r="P49" s="107"/>
      <c r="Q49" s="107"/>
      <c r="R49" s="107"/>
      <c r="S49" s="107"/>
      <c r="T49" s="108"/>
      <c r="U49" s="108"/>
      <c r="V49" s="108"/>
      <c r="W49" s="108"/>
      <c r="X49" s="108">
        <v>561.61</v>
      </c>
      <c r="Y49" s="107"/>
      <c r="Z49" s="107"/>
      <c r="AA49" s="107"/>
      <c r="AB49" s="107"/>
      <c r="AC49" s="108"/>
      <c r="AD49" s="108"/>
      <c r="AE49" s="109"/>
      <c r="AF49" s="109"/>
      <c r="AG49" s="107">
        <f t="shared" si="8"/>
        <v>-629.00285714285712</v>
      </c>
      <c r="AH49" s="110">
        <f t="shared" si="9"/>
        <v>-2.8571428571240176E-3</v>
      </c>
    </row>
    <row r="50" spans="1:34" s="111" customFormat="1" ht="21" customHeight="1" x14ac:dyDescent="0.2">
      <c r="A50" s="102">
        <v>43326</v>
      </c>
      <c r="B50" s="103"/>
      <c r="C50" s="20" t="s">
        <v>59</v>
      </c>
      <c r="D50" s="20" t="s">
        <v>738</v>
      </c>
      <c r="E50" s="20" t="s">
        <v>739</v>
      </c>
      <c r="F50" s="104">
        <v>570146</v>
      </c>
      <c r="G50" s="105" t="s">
        <v>740</v>
      </c>
      <c r="H50" s="67"/>
      <c r="I50" s="67"/>
      <c r="J50" s="67"/>
      <c r="K50" s="67">
        <v>188</v>
      </c>
      <c r="L50" s="106"/>
      <c r="M50" s="107">
        <f t="shared" si="5"/>
        <v>167.85714285714283</v>
      </c>
      <c r="N50" s="107">
        <f t="shared" si="6"/>
        <v>20.142857142857139</v>
      </c>
      <c r="O50" s="107">
        <f t="shared" si="7"/>
        <v>0</v>
      </c>
      <c r="P50" s="107"/>
      <c r="Q50" s="107"/>
      <c r="R50" s="107"/>
      <c r="S50" s="107"/>
      <c r="T50" s="108">
        <v>167.86</v>
      </c>
      <c r="U50" s="108"/>
      <c r="V50" s="108"/>
      <c r="W50" s="108"/>
      <c r="X50" s="108"/>
      <c r="Y50" s="107"/>
      <c r="Z50" s="107"/>
      <c r="AA50" s="107"/>
      <c r="AB50" s="107"/>
      <c r="AC50" s="108"/>
      <c r="AD50" s="108"/>
      <c r="AE50" s="109"/>
      <c r="AF50" s="109"/>
      <c r="AG50" s="107">
        <f t="shared" si="8"/>
        <v>-188.00285714285715</v>
      </c>
      <c r="AH50" s="110">
        <f t="shared" si="9"/>
        <v>-2.8571428571524393E-3</v>
      </c>
    </row>
    <row r="51" spans="1:34" s="111" customFormat="1" ht="21" customHeight="1" x14ac:dyDescent="0.2">
      <c r="A51" s="102">
        <v>43326</v>
      </c>
      <c r="B51" s="103"/>
      <c r="C51" s="20" t="s">
        <v>41</v>
      </c>
      <c r="D51" s="20" t="s">
        <v>88</v>
      </c>
      <c r="E51" s="20" t="s">
        <v>43</v>
      </c>
      <c r="F51" s="104">
        <v>2584</v>
      </c>
      <c r="G51" s="105" t="s">
        <v>741</v>
      </c>
      <c r="H51" s="67"/>
      <c r="I51" s="67"/>
      <c r="J51" s="67">
        <v>1810</v>
      </c>
      <c r="K51" s="67"/>
      <c r="L51" s="106"/>
      <c r="M51" s="107">
        <f t="shared" si="5"/>
        <v>1810</v>
      </c>
      <c r="N51" s="107">
        <f t="shared" si="6"/>
        <v>0</v>
      </c>
      <c r="O51" s="107">
        <f t="shared" si="7"/>
        <v>0</v>
      </c>
      <c r="P51" s="107">
        <v>1810</v>
      </c>
      <c r="Q51" s="107"/>
      <c r="R51" s="107"/>
      <c r="S51" s="107"/>
      <c r="T51" s="108"/>
      <c r="U51" s="108"/>
      <c r="V51" s="108"/>
      <c r="W51" s="108"/>
      <c r="X51" s="108"/>
      <c r="Y51" s="107"/>
      <c r="Z51" s="107"/>
      <c r="AA51" s="107"/>
      <c r="AB51" s="107"/>
      <c r="AC51" s="108"/>
      <c r="AD51" s="108"/>
      <c r="AE51" s="109"/>
      <c r="AF51" s="109"/>
      <c r="AG51" s="107">
        <f t="shared" si="8"/>
        <v>-1810</v>
      </c>
      <c r="AH51" s="110">
        <f t="shared" si="9"/>
        <v>0</v>
      </c>
    </row>
    <row r="52" spans="1:34" s="111" customFormat="1" ht="21" customHeight="1" x14ac:dyDescent="0.2">
      <c r="A52" s="102">
        <v>43326</v>
      </c>
      <c r="B52" s="103"/>
      <c r="C52" s="20" t="s">
        <v>45</v>
      </c>
      <c r="D52" s="20"/>
      <c r="E52" s="20"/>
      <c r="F52" s="104"/>
      <c r="G52" s="105" t="s">
        <v>173</v>
      </c>
      <c r="H52" s="67">
        <v>100</v>
      </c>
      <c r="I52" s="67"/>
      <c r="J52" s="67"/>
      <c r="K52" s="67"/>
      <c r="L52" s="106"/>
      <c r="M52" s="107">
        <f t="shared" si="5"/>
        <v>100</v>
      </c>
      <c r="N52" s="107">
        <f t="shared" si="6"/>
        <v>0</v>
      </c>
      <c r="O52" s="107">
        <f t="shared" si="7"/>
        <v>0</v>
      </c>
      <c r="P52" s="107"/>
      <c r="Q52" s="107"/>
      <c r="R52" s="107"/>
      <c r="S52" s="107"/>
      <c r="T52" s="108"/>
      <c r="U52" s="108"/>
      <c r="V52" s="108"/>
      <c r="W52" s="108"/>
      <c r="X52" s="108"/>
      <c r="Y52" s="107"/>
      <c r="Z52" s="107"/>
      <c r="AA52" s="107">
        <v>100</v>
      </c>
      <c r="AB52" s="107"/>
      <c r="AC52" s="108"/>
      <c r="AD52" s="108"/>
      <c r="AE52" s="109"/>
      <c r="AF52" s="109"/>
      <c r="AG52" s="107">
        <f t="shared" si="8"/>
        <v>-100</v>
      </c>
      <c r="AH52" s="110">
        <f t="shared" si="9"/>
        <v>0</v>
      </c>
    </row>
    <row r="53" spans="1:34" s="111" customFormat="1" ht="21" customHeight="1" x14ac:dyDescent="0.2">
      <c r="A53" s="102">
        <v>43326</v>
      </c>
      <c r="B53" s="103"/>
      <c r="C53" s="20" t="s">
        <v>68</v>
      </c>
      <c r="D53" s="20"/>
      <c r="E53" s="20"/>
      <c r="F53" s="104"/>
      <c r="G53" s="105" t="s">
        <v>742</v>
      </c>
      <c r="H53" s="67">
        <v>40</v>
      </c>
      <c r="I53" s="67"/>
      <c r="J53" s="67"/>
      <c r="K53" s="67"/>
      <c r="L53" s="106"/>
      <c r="M53" s="107">
        <f t="shared" si="5"/>
        <v>40</v>
      </c>
      <c r="N53" s="107">
        <f t="shared" si="6"/>
        <v>0</v>
      </c>
      <c r="O53" s="107">
        <f t="shared" si="7"/>
        <v>0</v>
      </c>
      <c r="P53" s="107"/>
      <c r="Q53" s="107"/>
      <c r="R53" s="107"/>
      <c r="S53" s="107"/>
      <c r="T53" s="108"/>
      <c r="U53" s="108"/>
      <c r="V53" s="108"/>
      <c r="W53" s="108"/>
      <c r="X53" s="108"/>
      <c r="Y53" s="107"/>
      <c r="Z53" s="107"/>
      <c r="AA53" s="107">
        <v>40</v>
      </c>
      <c r="AB53" s="107"/>
      <c r="AC53" s="108"/>
      <c r="AD53" s="108"/>
      <c r="AE53" s="109"/>
      <c r="AF53" s="109"/>
      <c r="AG53" s="107">
        <f t="shared" si="8"/>
        <v>-40</v>
      </c>
      <c r="AH53" s="110">
        <f t="shared" si="9"/>
        <v>0</v>
      </c>
    </row>
    <row r="54" spans="1:34" s="111" customFormat="1" ht="21" customHeight="1" x14ac:dyDescent="0.2">
      <c r="A54" s="102">
        <v>43327</v>
      </c>
      <c r="B54" s="103"/>
      <c r="C54" s="20" t="s">
        <v>705</v>
      </c>
      <c r="D54" s="20" t="s">
        <v>706</v>
      </c>
      <c r="E54" s="20" t="s">
        <v>707</v>
      </c>
      <c r="F54" s="104">
        <v>197037</v>
      </c>
      <c r="G54" s="105" t="s">
        <v>40</v>
      </c>
      <c r="H54" s="67"/>
      <c r="I54" s="67"/>
      <c r="J54" s="67"/>
      <c r="K54" s="67">
        <v>170</v>
      </c>
      <c r="L54" s="106"/>
      <c r="M54" s="107">
        <f t="shared" si="5"/>
        <v>151.78571428571428</v>
      </c>
      <c r="N54" s="107">
        <f t="shared" si="6"/>
        <v>18.214285714285712</v>
      </c>
      <c r="O54" s="107">
        <f t="shared" si="7"/>
        <v>0</v>
      </c>
      <c r="P54" s="107"/>
      <c r="Q54" s="107">
        <v>151.79</v>
      </c>
      <c r="R54" s="107"/>
      <c r="S54" s="107"/>
      <c r="T54" s="108"/>
      <c r="U54" s="108"/>
      <c r="V54" s="108"/>
      <c r="W54" s="108"/>
      <c r="X54" s="108"/>
      <c r="Y54" s="107"/>
      <c r="Z54" s="107"/>
      <c r="AA54" s="107"/>
      <c r="AB54" s="107"/>
      <c r="AC54" s="108"/>
      <c r="AD54" s="108"/>
      <c r="AE54" s="109"/>
      <c r="AF54" s="109"/>
      <c r="AG54" s="107">
        <f t="shared" si="8"/>
        <v>-170.00428571428571</v>
      </c>
      <c r="AH54" s="110">
        <f t="shared" si="9"/>
        <v>-4.2857142857144481E-3</v>
      </c>
    </row>
    <row r="55" spans="1:34" s="111" customFormat="1" ht="21" customHeight="1" x14ac:dyDescent="0.2">
      <c r="A55" s="102">
        <v>43327</v>
      </c>
      <c r="B55" s="103"/>
      <c r="C55" s="20" t="s">
        <v>59</v>
      </c>
      <c r="D55" s="20" t="s">
        <v>738</v>
      </c>
      <c r="E55" s="20" t="s">
        <v>739</v>
      </c>
      <c r="F55" s="104">
        <v>659022</v>
      </c>
      <c r="G55" s="105" t="s">
        <v>540</v>
      </c>
      <c r="H55" s="67"/>
      <c r="I55" s="67"/>
      <c r="J55" s="67"/>
      <c r="K55" s="67">
        <v>266</v>
      </c>
      <c r="L55" s="106"/>
      <c r="M55" s="107">
        <f t="shared" si="5"/>
        <v>237.49999999999997</v>
      </c>
      <c r="N55" s="107">
        <f t="shared" si="6"/>
        <v>28.499999999999996</v>
      </c>
      <c r="O55" s="107">
        <f t="shared" si="7"/>
        <v>0</v>
      </c>
      <c r="P55" s="107"/>
      <c r="Q55" s="107"/>
      <c r="R55" s="107"/>
      <c r="S55" s="107"/>
      <c r="T55" s="108"/>
      <c r="U55" s="108">
        <v>237.5</v>
      </c>
      <c r="V55" s="108"/>
      <c r="W55" s="108"/>
      <c r="X55" s="108"/>
      <c r="Y55" s="107"/>
      <c r="Z55" s="107"/>
      <c r="AA55" s="107"/>
      <c r="AB55" s="107"/>
      <c r="AC55" s="108"/>
      <c r="AD55" s="108"/>
      <c r="AE55" s="109"/>
      <c r="AF55" s="109"/>
      <c r="AG55" s="107">
        <f t="shared" si="8"/>
        <v>-266</v>
      </c>
      <c r="AH55" s="110">
        <f t="shared" si="9"/>
        <v>0</v>
      </c>
    </row>
    <row r="56" spans="1:34" s="111" customFormat="1" ht="21" customHeight="1" x14ac:dyDescent="0.2">
      <c r="A56" s="102">
        <v>43327</v>
      </c>
      <c r="B56" s="103"/>
      <c r="C56" s="20" t="s">
        <v>59</v>
      </c>
      <c r="D56" s="20" t="s">
        <v>738</v>
      </c>
      <c r="E56" s="20" t="s">
        <v>739</v>
      </c>
      <c r="F56" s="104">
        <v>692589</v>
      </c>
      <c r="G56" s="105" t="s">
        <v>243</v>
      </c>
      <c r="H56" s="67"/>
      <c r="I56" s="67"/>
      <c r="J56" s="67"/>
      <c r="K56" s="67">
        <v>430</v>
      </c>
      <c r="L56" s="106"/>
      <c r="M56" s="107">
        <f t="shared" si="5"/>
        <v>383.92857142857139</v>
      </c>
      <c r="N56" s="107">
        <f t="shared" si="6"/>
        <v>46.071428571428562</v>
      </c>
      <c r="O56" s="107">
        <f t="shared" si="7"/>
        <v>0</v>
      </c>
      <c r="P56" s="107"/>
      <c r="Q56" s="107"/>
      <c r="R56" s="107"/>
      <c r="S56" s="107"/>
      <c r="T56" s="108">
        <v>383.93</v>
      </c>
      <c r="U56" s="108"/>
      <c r="V56" s="108"/>
      <c r="W56" s="108"/>
      <c r="X56" s="108"/>
      <c r="Y56" s="107"/>
      <c r="Z56" s="107"/>
      <c r="AA56" s="107"/>
      <c r="AB56" s="107"/>
      <c r="AC56" s="108"/>
      <c r="AD56" s="108"/>
      <c r="AE56" s="109"/>
      <c r="AF56" s="109"/>
      <c r="AG56" s="107">
        <f t="shared" si="8"/>
        <v>-430.00142857142856</v>
      </c>
      <c r="AH56" s="110">
        <f t="shared" si="9"/>
        <v>-1.4285714285620088E-3</v>
      </c>
    </row>
    <row r="57" spans="1:34" s="111" customFormat="1" ht="21" customHeight="1" x14ac:dyDescent="0.2">
      <c r="A57" s="102">
        <v>43327</v>
      </c>
      <c r="B57" s="103"/>
      <c r="C57" s="20" t="s">
        <v>614</v>
      </c>
      <c r="D57" s="20"/>
      <c r="E57" s="20"/>
      <c r="F57" s="104"/>
      <c r="G57" s="104" t="s">
        <v>743</v>
      </c>
      <c r="H57" s="67">
        <v>502</v>
      </c>
      <c r="I57" s="67"/>
      <c r="J57" s="67"/>
      <c r="K57" s="67"/>
      <c r="L57" s="106"/>
      <c r="M57" s="107">
        <f t="shared" si="5"/>
        <v>502</v>
      </c>
      <c r="N57" s="107">
        <f t="shared" si="6"/>
        <v>0</v>
      </c>
      <c r="O57" s="107">
        <f t="shared" si="7"/>
        <v>0</v>
      </c>
      <c r="P57" s="107"/>
      <c r="Q57" s="107"/>
      <c r="R57" s="107"/>
      <c r="S57" s="107"/>
      <c r="T57" s="108"/>
      <c r="U57" s="108"/>
      <c r="V57" s="108"/>
      <c r="W57" s="108"/>
      <c r="X57" s="108"/>
      <c r="Y57" s="107"/>
      <c r="Z57" s="107"/>
      <c r="AA57" s="107"/>
      <c r="AB57" s="107">
        <v>502</v>
      </c>
      <c r="AC57" s="108"/>
      <c r="AD57" s="108"/>
      <c r="AE57" s="109"/>
      <c r="AF57" s="109"/>
      <c r="AG57" s="107">
        <f t="shared" si="8"/>
        <v>-502</v>
      </c>
      <c r="AH57" s="110">
        <f t="shared" si="9"/>
        <v>0</v>
      </c>
    </row>
    <row r="58" spans="1:34" s="111" customFormat="1" ht="21" customHeight="1" x14ac:dyDescent="0.2">
      <c r="A58" s="102">
        <v>43327</v>
      </c>
      <c r="B58" s="103"/>
      <c r="C58" s="20" t="s">
        <v>45</v>
      </c>
      <c r="D58" s="20"/>
      <c r="E58" s="20"/>
      <c r="F58" s="104"/>
      <c r="G58" s="105" t="s">
        <v>744</v>
      </c>
      <c r="H58" s="67">
        <v>40</v>
      </c>
      <c r="I58" s="67"/>
      <c r="J58" s="67"/>
      <c r="K58" s="67"/>
      <c r="L58" s="106"/>
      <c r="M58" s="107">
        <f t="shared" si="5"/>
        <v>40</v>
      </c>
      <c r="N58" s="107">
        <f t="shared" si="6"/>
        <v>0</v>
      </c>
      <c r="O58" s="107">
        <f t="shared" si="7"/>
        <v>0</v>
      </c>
      <c r="P58" s="107"/>
      <c r="Q58" s="107"/>
      <c r="R58" s="107"/>
      <c r="S58" s="107"/>
      <c r="T58" s="108"/>
      <c r="U58" s="108"/>
      <c r="V58" s="108"/>
      <c r="W58" s="108"/>
      <c r="X58" s="108"/>
      <c r="Y58" s="107"/>
      <c r="Z58" s="107"/>
      <c r="AA58" s="107">
        <v>40</v>
      </c>
      <c r="AB58" s="107"/>
      <c r="AC58" s="108"/>
      <c r="AD58" s="108"/>
      <c r="AE58" s="109"/>
      <c r="AF58" s="109"/>
      <c r="AG58" s="107">
        <f t="shared" si="8"/>
        <v>-40</v>
      </c>
      <c r="AH58" s="110">
        <f t="shared" si="9"/>
        <v>0</v>
      </c>
    </row>
    <row r="59" spans="1:34" s="111" customFormat="1" ht="21" customHeight="1" x14ac:dyDescent="0.2">
      <c r="A59" s="102">
        <v>43327</v>
      </c>
      <c r="B59" s="103"/>
      <c r="C59" s="20" t="s">
        <v>745</v>
      </c>
      <c r="D59" s="20" t="s">
        <v>746</v>
      </c>
      <c r="E59" s="20" t="s">
        <v>277</v>
      </c>
      <c r="F59" s="104">
        <v>216951</v>
      </c>
      <c r="G59" s="105" t="s">
        <v>747</v>
      </c>
      <c r="H59" s="67"/>
      <c r="I59" s="67"/>
      <c r="J59" s="67"/>
      <c r="K59" s="67">
        <v>3657.25</v>
      </c>
      <c r="L59" s="106"/>
      <c r="M59" s="107">
        <f t="shared" si="5"/>
        <v>3265.4017857142853</v>
      </c>
      <c r="N59" s="107">
        <f t="shared" si="6"/>
        <v>391.84821428571422</v>
      </c>
      <c r="O59" s="107">
        <f t="shared" si="7"/>
        <v>0</v>
      </c>
      <c r="P59" s="107">
        <v>3265.4</v>
      </c>
      <c r="Q59" s="107"/>
      <c r="R59" s="107"/>
      <c r="S59" s="107"/>
      <c r="T59" s="108"/>
      <c r="U59" s="108"/>
      <c r="V59" s="108"/>
      <c r="W59" s="108"/>
      <c r="X59" s="108"/>
      <c r="Y59" s="107"/>
      <c r="Z59" s="107"/>
      <c r="AA59" s="107"/>
      <c r="AB59" s="107"/>
      <c r="AC59" s="108"/>
      <c r="AD59" s="108"/>
      <c r="AE59" s="109"/>
      <c r="AF59" s="109"/>
      <c r="AG59" s="107">
        <f t="shared" si="8"/>
        <v>-3657.2482142857143</v>
      </c>
      <c r="AH59" s="110">
        <f t="shared" si="9"/>
        <v>1.7857142856883002E-3</v>
      </c>
    </row>
    <row r="60" spans="1:34" s="111" customFormat="1" ht="21" customHeight="1" x14ac:dyDescent="0.2">
      <c r="A60" s="102">
        <v>43328</v>
      </c>
      <c r="B60" s="103"/>
      <c r="C60" s="20" t="s">
        <v>276</v>
      </c>
      <c r="D60" s="20" t="s">
        <v>52</v>
      </c>
      <c r="E60" s="20" t="s">
        <v>277</v>
      </c>
      <c r="F60" s="104">
        <v>1011567</v>
      </c>
      <c r="G60" s="105" t="s">
        <v>748</v>
      </c>
      <c r="H60" s="67"/>
      <c r="I60" s="67"/>
      <c r="J60" s="67"/>
      <c r="K60" s="67">
        <v>437.5</v>
      </c>
      <c r="L60" s="106"/>
      <c r="M60" s="107">
        <f t="shared" si="5"/>
        <v>390.62499999999994</v>
      </c>
      <c r="N60" s="107">
        <f t="shared" si="6"/>
        <v>46.874999999999993</v>
      </c>
      <c r="O60" s="107">
        <f t="shared" si="7"/>
        <v>0</v>
      </c>
      <c r="P60" s="107">
        <v>390.63</v>
      </c>
      <c r="Q60" s="107"/>
      <c r="R60" s="107"/>
      <c r="S60" s="107"/>
      <c r="T60" s="108"/>
      <c r="U60" s="108"/>
      <c r="V60" s="108"/>
      <c r="W60" s="108"/>
      <c r="X60" s="108"/>
      <c r="Y60" s="107"/>
      <c r="Z60" s="107"/>
      <c r="AA60" s="107"/>
      <c r="AB60" s="107"/>
      <c r="AC60" s="108"/>
      <c r="AD60" s="108"/>
      <c r="AE60" s="109"/>
      <c r="AF60" s="109"/>
      <c r="AG60" s="107">
        <f t="shared" si="8"/>
        <v>-437.505</v>
      </c>
      <c r="AH60" s="110">
        <f t="shared" si="9"/>
        <v>-4.9999999999954525E-3</v>
      </c>
    </row>
    <row r="61" spans="1:34" s="111" customFormat="1" ht="21" customHeight="1" x14ac:dyDescent="0.2">
      <c r="A61" s="102">
        <v>43328</v>
      </c>
      <c r="B61" s="103"/>
      <c r="C61" s="20" t="s">
        <v>705</v>
      </c>
      <c r="D61" s="20" t="s">
        <v>706</v>
      </c>
      <c r="E61" s="20" t="s">
        <v>707</v>
      </c>
      <c r="F61" s="104">
        <v>197081</v>
      </c>
      <c r="G61" s="104" t="s">
        <v>40</v>
      </c>
      <c r="H61" s="67"/>
      <c r="I61" s="67"/>
      <c r="J61" s="67"/>
      <c r="K61" s="67">
        <v>170</v>
      </c>
      <c r="L61" s="106"/>
      <c r="M61" s="107">
        <f t="shared" si="5"/>
        <v>151.78571428571428</v>
      </c>
      <c r="N61" s="107">
        <f t="shared" si="6"/>
        <v>18.214285714285712</v>
      </c>
      <c r="O61" s="107">
        <f t="shared" si="7"/>
        <v>0</v>
      </c>
      <c r="P61" s="107"/>
      <c r="Q61" s="107">
        <v>151.79</v>
      </c>
      <c r="R61" s="107"/>
      <c r="S61" s="107"/>
      <c r="T61" s="108"/>
      <c r="U61" s="108"/>
      <c r="V61" s="108"/>
      <c r="W61" s="108"/>
      <c r="X61" s="108"/>
      <c r="Y61" s="107"/>
      <c r="Z61" s="107"/>
      <c r="AA61" s="107"/>
      <c r="AB61" s="107"/>
      <c r="AC61" s="108"/>
      <c r="AD61" s="108"/>
      <c r="AE61" s="109"/>
      <c r="AF61" s="109"/>
      <c r="AG61" s="107">
        <f t="shared" si="8"/>
        <v>-170.00428571428571</v>
      </c>
      <c r="AH61" s="110">
        <f t="shared" si="9"/>
        <v>-4.2857142857144481E-3</v>
      </c>
    </row>
    <row r="62" spans="1:34" s="111" customFormat="1" ht="21" customHeight="1" x14ac:dyDescent="0.2">
      <c r="A62" s="102">
        <v>43328</v>
      </c>
      <c r="B62" s="103"/>
      <c r="C62" s="20" t="s">
        <v>68</v>
      </c>
      <c r="D62" s="20"/>
      <c r="E62" s="20"/>
      <c r="F62" s="104"/>
      <c r="G62" s="105" t="s">
        <v>749</v>
      </c>
      <c r="H62" s="67">
        <v>40</v>
      </c>
      <c r="I62" s="67"/>
      <c r="J62" s="67"/>
      <c r="K62" s="67"/>
      <c r="L62" s="106"/>
      <c r="M62" s="107">
        <f t="shared" si="5"/>
        <v>40</v>
      </c>
      <c r="N62" s="107">
        <f t="shared" si="6"/>
        <v>0</v>
      </c>
      <c r="O62" s="107">
        <f t="shared" si="7"/>
        <v>0</v>
      </c>
      <c r="P62" s="107"/>
      <c r="Q62" s="107"/>
      <c r="R62" s="107"/>
      <c r="S62" s="107"/>
      <c r="T62" s="108"/>
      <c r="U62" s="108"/>
      <c r="V62" s="108"/>
      <c r="W62" s="108"/>
      <c r="X62" s="108"/>
      <c r="Y62" s="107"/>
      <c r="Z62" s="107"/>
      <c r="AA62" s="107">
        <v>40</v>
      </c>
      <c r="AB62" s="107"/>
      <c r="AC62" s="108"/>
      <c r="AD62" s="108"/>
      <c r="AE62" s="109"/>
      <c r="AF62" s="109"/>
      <c r="AG62" s="107">
        <f t="shared" si="8"/>
        <v>-40</v>
      </c>
      <c r="AH62" s="110">
        <f t="shared" si="9"/>
        <v>0</v>
      </c>
    </row>
    <row r="63" spans="1:34" s="111" customFormat="1" ht="21" customHeight="1" x14ac:dyDescent="0.2">
      <c r="A63" s="102">
        <v>43328</v>
      </c>
      <c r="B63" s="103"/>
      <c r="C63" s="20" t="s">
        <v>63</v>
      </c>
      <c r="D63" s="20" t="s">
        <v>64</v>
      </c>
      <c r="E63" s="20" t="s">
        <v>65</v>
      </c>
      <c r="F63" s="104">
        <v>48110</v>
      </c>
      <c r="G63" s="105" t="s">
        <v>750</v>
      </c>
      <c r="H63" s="67"/>
      <c r="I63" s="67"/>
      <c r="J63" s="67">
        <v>1416.65</v>
      </c>
      <c r="K63" s="67"/>
      <c r="L63" s="106"/>
      <c r="M63" s="107">
        <f t="shared" si="5"/>
        <v>1416.65</v>
      </c>
      <c r="N63" s="107">
        <f t="shared" si="6"/>
        <v>0</v>
      </c>
      <c r="O63" s="107">
        <f t="shared" si="7"/>
        <v>0</v>
      </c>
      <c r="P63" s="107">
        <v>1416.65</v>
      </c>
      <c r="Q63" s="107"/>
      <c r="R63" s="107"/>
      <c r="S63" s="107"/>
      <c r="T63" s="108"/>
      <c r="U63" s="108"/>
      <c r="V63" s="108"/>
      <c r="W63" s="108"/>
      <c r="X63" s="108"/>
      <c r="Y63" s="107"/>
      <c r="Z63" s="107"/>
      <c r="AA63" s="107"/>
      <c r="AB63" s="107"/>
      <c r="AC63" s="108"/>
      <c r="AD63" s="108"/>
      <c r="AE63" s="109"/>
      <c r="AF63" s="109"/>
      <c r="AG63" s="107">
        <f t="shared" si="8"/>
        <v>-1416.65</v>
      </c>
      <c r="AH63" s="110">
        <f t="shared" si="9"/>
        <v>0</v>
      </c>
    </row>
    <row r="64" spans="1:34" s="111" customFormat="1" ht="21" customHeight="1" x14ac:dyDescent="0.2">
      <c r="A64" s="102">
        <v>43328</v>
      </c>
      <c r="B64" s="103"/>
      <c r="C64" s="20" t="s">
        <v>63</v>
      </c>
      <c r="D64" s="20" t="s">
        <v>64</v>
      </c>
      <c r="E64" s="20" t="s">
        <v>65</v>
      </c>
      <c r="F64" s="104">
        <v>48110</v>
      </c>
      <c r="G64" s="105" t="s">
        <v>751</v>
      </c>
      <c r="H64" s="67"/>
      <c r="I64" s="67"/>
      <c r="J64" s="67"/>
      <c r="K64" s="67">
        <f>1852.32+222.28</f>
        <v>2074.6</v>
      </c>
      <c r="L64" s="106"/>
      <c r="M64" s="107">
        <f t="shared" si="5"/>
        <v>1852.3214285714282</v>
      </c>
      <c r="N64" s="107">
        <f t="shared" si="6"/>
        <v>222.27857142857138</v>
      </c>
      <c r="O64" s="107">
        <f t="shared" si="7"/>
        <v>0</v>
      </c>
      <c r="P64" s="107">
        <v>1852.32</v>
      </c>
      <c r="Q64" s="107"/>
      <c r="R64" s="107"/>
      <c r="S64" s="107"/>
      <c r="T64" s="108"/>
      <c r="U64" s="108"/>
      <c r="V64" s="108"/>
      <c r="W64" s="108"/>
      <c r="X64" s="108"/>
      <c r="Y64" s="107"/>
      <c r="Z64" s="107"/>
      <c r="AA64" s="107"/>
      <c r="AB64" s="107"/>
      <c r="AC64" s="108"/>
      <c r="AD64" s="108"/>
      <c r="AE64" s="109"/>
      <c r="AF64" s="109"/>
      <c r="AG64" s="107">
        <f t="shared" si="8"/>
        <v>-2074.5985714285712</v>
      </c>
      <c r="AH64" s="110">
        <f t="shared" si="9"/>
        <v>1.4285714287325391E-3</v>
      </c>
    </row>
    <row r="65" spans="1:34" s="111" customFormat="1" ht="21" customHeight="1" x14ac:dyDescent="0.2">
      <c r="A65" s="102">
        <v>43328</v>
      </c>
      <c r="B65" s="103"/>
      <c r="C65" s="20" t="s">
        <v>752</v>
      </c>
      <c r="D65" s="20"/>
      <c r="E65" s="20"/>
      <c r="F65" s="104"/>
      <c r="G65" s="105" t="s">
        <v>753</v>
      </c>
      <c r="H65" s="67"/>
      <c r="I65" s="67"/>
      <c r="J65" s="67">
        <v>1200</v>
      </c>
      <c r="K65" s="67"/>
      <c r="L65" s="106"/>
      <c r="M65" s="107">
        <f t="shared" si="5"/>
        <v>1200</v>
      </c>
      <c r="N65" s="107">
        <f t="shared" si="6"/>
        <v>0</v>
      </c>
      <c r="O65" s="107">
        <f t="shared" si="7"/>
        <v>0</v>
      </c>
      <c r="P65" s="107">
        <v>1200</v>
      </c>
      <c r="Q65" s="107"/>
      <c r="R65" s="107"/>
      <c r="S65" s="107"/>
      <c r="T65" s="108"/>
      <c r="U65" s="108"/>
      <c r="V65" s="108"/>
      <c r="W65" s="108"/>
      <c r="X65" s="108"/>
      <c r="Y65" s="107"/>
      <c r="Z65" s="107"/>
      <c r="AA65" s="107"/>
      <c r="AB65" s="107"/>
      <c r="AC65" s="108"/>
      <c r="AD65" s="108"/>
      <c r="AE65" s="109"/>
      <c r="AF65" s="109"/>
      <c r="AG65" s="107">
        <f t="shared" si="8"/>
        <v>-1200</v>
      </c>
      <c r="AH65" s="110">
        <f t="shared" si="9"/>
        <v>0</v>
      </c>
    </row>
    <row r="66" spans="1:34" s="111" customFormat="1" ht="21" customHeight="1" x14ac:dyDescent="0.2">
      <c r="A66" s="102">
        <v>43329</v>
      </c>
      <c r="B66" s="103"/>
      <c r="C66" s="20" t="s">
        <v>705</v>
      </c>
      <c r="D66" s="20" t="s">
        <v>706</v>
      </c>
      <c r="E66" s="20" t="s">
        <v>707</v>
      </c>
      <c r="F66" s="104">
        <v>197125</v>
      </c>
      <c r="G66" s="104" t="s">
        <v>40</v>
      </c>
      <c r="H66" s="67"/>
      <c r="I66" s="67"/>
      <c r="J66" s="67"/>
      <c r="K66" s="67">
        <v>170</v>
      </c>
      <c r="L66" s="106"/>
      <c r="M66" s="107">
        <f t="shared" si="5"/>
        <v>151.78571428571428</v>
      </c>
      <c r="N66" s="107">
        <f t="shared" si="6"/>
        <v>18.214285714285712</v>
      </c>
      <c r="O66" s="107">
        <f t="shared" si="7"/>
        <v>0</v>
      </c>
      <c r="P66" s="107"/>
      <c r="Q66" s="107">
        <v>151.79</v>
      </c>
      <c r="R66" s="107"/>
      <c r="S66" s="107"/>
      <c r="T66" s="108"/>
      <c r="U66" s="108"/>
      <c r="V66" s="108"/>
      <c r="W66" s="108"/>
      <c r="X66" s="108"/>
      <c r="Y66" s="107"/>
      <c r="Z66" s="107"/>
      <c r="AA66" s="107"/>
      <c r="AB66" s="107"/>
      <c r="AC66" s="108"/>
      <c r="AD66" s="108"/>
      <c r="AE66" s="109"/>
      <c r="AF66" s="109"/>
      <c r="AG66" s="107">
        <f t="shared" si="8"/>
        <v>-170.00428571428571</v>
      </c>
      <c r="AH66" s="110">
        <f t="shared" si="9"/>
        <v>-4.2857142857144481E-3</v>
      </c>
    </row>
    <row r="67" spans="1:34" s="111" customFormat="1" ht="24" customHeight="1" x14ac:dyDescent="0.2">
      <c r="A67" s="102">
        <v>43329</v>
      </c>
      <c r="B67" s="103"/>
      <c r="C67" s="20" t="s">
        <v>41</v>
      </c>
      <c r="D67" s="20" t="s">
        <v>88</v>
      </c>
      <c r="E67" s="20" t="s">
        <v>43</v>
      </c>
      <c r="F67" s="104">
        <v>2590</v>
      </c>
      <c r="G67" s="105" t="s">
        <v>754</v>
      </c>
      <c r="H67" s="67"/>
      <c r="I67" s="67"/>
      <c r="J67" s="67">
        <v>2000</v>
      </c>
      <c r="K67" s="67"/>
      <c r="L67" s="106"/>
      <c r="M67" s="107">
        <f t="shared" si="5"/>
        <v>2000</v>
      </c>
      <c r="N67" s="107">
        <f t="shared" si="6"/>
        <v>0</v>
      </c>
      <c r="O67" s="107">
        <f t="shared" si="7"/>
        <v>0</v>
      </c>
      <c r="P67" s="107">
        <v>2000</v>
      </c>
      <c r="Q67" s="107"/>
      <c r="R67" s="107"/>
      <c r="S67" s="107"/>
      <c r="T67" s="108"/>
      <c r="U67" s="108"/>
      <c r="V67" s="108"/>
      <c r="W67" s="108"/>
      <c r="X67" s="108"/>
      <c r="Y67" s="107"/>
      <c r="Z67" s="107"/>
      <c r="AA67" s="107"/>
      <c r="AB67" s="107"/>
      <c r="AC67" s="108"/>
      <c r="AD67" s="108"/>
      <c r="AE67" s="109"/>
      <c r="AF67" s="109"/>
      <c r="AG67" s="107">
        <f t="shared" si="8"/>
        <v>-2000</v>
      </c>
      <c r="AH67" s="110">
        <f t="shared" si="9"/>
        <v>0</v>
      </c>
    </row>
    <row r="68" spans="1:34" s="111" customFormat="1" ht="21" customHeight="1" x14ac:dyDescent="0.2">
      <c r="A68" s="102">
        <v>43329</v>
      </c>
      <c r="B68" s="103"/>
      <c r="C68" s="20" t="s">
        <v>45</v>
      </c>
      <c r="D68" s="20"/>
      <c r="E68" s="20"/>
      <c r="F68" s="104"/>
      <c r="G68" s="105" t="s">
        <v>173</v>
      </c>
      <c r="H68" s="67">
        <v>100</v>
      </c>
      <c r="I68" s="67"/>
      <c r="J68" s="67"/>
      <c r="K68" s="67"/>
      <c r="L68" s="106"/>
      <c r="M68" s="107">
        <f t="shared" si="5"/>
        <v>100</v>
      </c>
      <c r="N68" s="107">
        <f t="shared" si="6"/>
        <v>0</v>
      </c>
      <c r="O68" s="107">
        <f t="shared" si="7"/>
        <v>0</v>
      </c>
      <c r="P68" s="107"/>
      <c r="Q68" s="107"/>
      <c r="R68" s="107"/>
      <c r="S68" s="107"/>
      <c r="T68" s="108"/>
      <c r="U68" s="108"/>
      <c r="V68" s="108"/>
      <c r="W68" s="108"/>
      <c r="X68" s="108"/>
      <c r="Y68" s="107"/>
      <c r="Z68" s="107"/>
      <c r="AA68" s="107">
        <v>100</v>
      </c>
      <c r="AB68" s="107"/>
      <c r="AC68" s="108"/>
      <c r="AD68" s="108"/>
      <c r="AE68" s="109"/>
      <c r="AF68" s="109"/>
      <c r="AG68" s="107">
        <f t="shared" si="8"/>
        <v>-100</v>
      </c>
      <c r="AH68" s="110">
        <f t="shared" si="9"/>
        <v>0</v>
      </c>
    </row>
    <row r="69" spans="1:34" s="111" customFormat="1" ht="24" customHeight="1" x14ac:dyDescent="0.2">
      <c r="A69" s="102">
        <v>43329</v>
      </c>
      <c r="B69" s="103"/>
      <c r="C69" s="20" t="s">
        <v>745</v>
      </c>
      <c r="D69" s="20" t="s">
        <v>746</v>
      </c>
      <c r="E69" s="20" t="s">
        <v>277</v>
      </c>
      <c r="F69" s="104">
        <v>101198</v>
      </c>
      <c r="G69" s="105" t="s">
        <v>355</v>
      </c>
      <c r="H69" s="67"/>
      <c r="I69" s="67"/>
      <c r="J69" s="67"/>
      <c r="K69" s="67">
        <v>115</v>
      </c>
      <c r="L69" s="106"/>
      <c r="M69" s="107">
        <f t="shared" ref="M69:M100" si="10">SUM(H69:J69,K69/1.12)</f>
        <v>102.67857142857142</v>
      </c>
      <c r="N69" s="107">
        <f t="shared" ref="N69:N100" si="11">K69/1.12*0.12</f>
        <v>12.321428571428569</v>
      </c>
      <c r="O69" s="107">
        <f t="shared" ref="O69:O100" si="12">-SUM(I69:J69,K69/1.12)*L69</f>
        <v>0</v>
      </c>
      <c r="P69" s="107"/>
      <c r="Q69" s="107"/>
      <c r="R69" s="107">
        <v>102.68</v>
      </c>
      <c r="S69" s="107"/>
      <c r="T69" s="108"/>
      <c r="U69" s="108"/>
      <c r="V69" s="108"/>
      <c r="W69" s="108"/>
      <c r="X69" s="108"/>
      <c r="Y69" s="107"/>
      <c r="Z69" s="107"/>
      <c r="AA69" s="107"/>
      <c r="AB69" s="107"/>
      <c r="AC69" s="108"/>
      <c r="AD69" s="108"/>
      <c r="AE69" s="109"/>
      <c r="AF69" s="109"/>
      <c r="AG69" s="107">
        <f t="shared" ref="AG69:AG100" si="13">-SUM(N69:AF69)</f>
        <v>-115.00142857142858</v>
      </c>
      <c r="AH69" s="110">
        <f t="shared" ref="AH69:AH100" si="14">SUM(H69:K69)+AG69+O69</f>
        <v>-1.4285714285762197E-3</v>
      </c>
    </row>
    <row r="70" spans="1:34" s="111" customFormat="1" ht="24" customHeight="1" x14ac:dyDescent="0.2">
      <c r="A70" s="102">
        <v>43329</v>
      </c>
      <c r="B70" s="103"/>
      <c r="C70" s="20" t="s">
        <v>745</v>
      </c>
      <c r="D70" s="20" t="s">
        <v>746</v>
      </c>
      <c r="E70" s="20" t="s">
        <v>277</v>
      </c>
      <c r="F70" s="104">
        <v>1012192</v>
      </c>
      <c r="G70" s="105" t="s">
        <v>755</v>
      </c>
      <c r="H70" s="67"/>
      <c r="I70" s="67"/>
      <c r="J70" s="67"/>
      <c r="K70" s="67">
        <v>330</v>
      </c>
      <c r="L70" s="106"/>
      <c r="M70" s="107">
        <f t="shared" si="10"/>
        <v>294.64285714285711</v>
      </c>
      <c r="N70" s="107">
        <f t="shared" si="11"/>
        <v>35.357142857142854</v>
      </c>
      <c r="O70" s="107">
        <f t="shared" si="12"/>
        <v>0</v>
      </c>
      <c r="P70" s="107">
        <v>294.64</v>
      </c>
      <c r="Q70" s="107"/>
      <c r="R70" s="107"/>
      <c r="S70" s="107"/>
      <c r="T70" s="108"/>
      <c r="U70" s="108"/>
      <c r="V70" s="108"/>
      <c r="W70" s="108"/>
      <c r="X70" s="108"/>
      <c r="Y70" s="107"/>
      <c r="Z70" s="107"/>
      <c r="AA70" s="107"/>
      <c r="AB70" s="107"/>
      <c r="AC70" s="108"/>
      <c r="AD70" s="108"/>
      <c r="AE70" s="109"/>
      <c r="AF70" s="109"/>
      <c r="AG70" s="107">
        <f t="shared" si="13"/>
        <v>-329.99714285714282</v>
      </c>
      <c r="AH70" s="110">
        <f t="shared" si="14"/>
        <v>2.857142857180861E-3</v>
      </c>
    </row>
    <row r="71" spans="1:34" s="111" customFormat="1" ht="24" customHeight="1" x14ac:dyDescent="0.2">
      <c r="A71" s="102">
        <v>43329</v>
      </c>
      <c r="B71" s="103"/>
      <c r="C71" s="20" t="s">
        <v>745</v>
      </c>
      <c r="D71" s="20" t="s">
        <v>746</v>
      </c>
      <c r="E71" s="20" t="s">
        <v>277</v>
      </c>
      <c r="F71" s="104">
        <v>314714</v>
      </c>
      <c r="G71" s="105" t="s">
        <v>665</v>
      </c>
      <c r="H71" s="67"/>
      <c r="I71" s="67"/>
      <c r="J71" s="67"/>
      <c r="K71" s="67">
        <v>480</v>
      </c>
      <c r="L71" s="106"/>
      <c r="M71" s="107">
        <f t="shared" si="10"/>
        <v>428.57142857142856</v>
      </c>
      <c r="N71" s="107">
        <f t="shared" si="11"/>
        <v>51.428571428571423</v>
      </c>
      <c r="O71" s="107">
        <f t="shared" si="12"/>
        <v>0</v>
      </c>
      <c r="P71" s="107">
        <v>428.57</v>
      </c>
      <c r="Q71" s="107"/>
      <c r="R71" s="107"/>
      <c r="S71" s="107"/>
      <c r="T71" s="108"/>
      <c r="U71" s="108"/>
      <c r="V71" s="108"/>
      <c r="W71" s="108"/>
      <c r="X71" s="108"/>
      <c r="Y71" s="107"/>
      <c r="Z71" s="107"/>
      <c r="AA71" s="107"/>
      <c r="AB71" s="107"/>
      <c r="AC71" s="108"/>
      <c r="AD71" s="108"/>
      <c r="AE71" s="109"/>
      <c r="AF71" s="109"/>
      <c r="AG71" s="107">
        <f t="shared" si="13"/>
        <v>-479.99857142857144</v>
      </c>
      <c r="AH71" s="110">
        <f t="shared" si="14"/>
        <v>1.4285714285620088E-3</v>
      </c>
    </row>
    <row r="72" spans="1:34" s="111" customFormat="1" ht="24" customHeight="1" x14ac:dyDescent="0.2">
      <c r="A72" s="102">
        <v>43329</v>
      </c>
      <c r="B72" s="103"/>
      <c r="C72" s="20" t="s">
        <v>59</v>
      </c>
      <c r="D72" s="20" t="s">
        <v>738</v>
      </c>
      <c r="E72" s="20" t="s">
        <v>739</v>
      </c>
      <c r="F72" s="104">
        <v>693064</v>
      </c>
      <c r="G72" s="105" t="s">
        <v>756</v>
      </c>
      <c r="H72" s="67"/>
      <c r="I72" s="67"/>
      <c r="J72" s="67"/>
      <c r="K72" s="67">
        <v>578</v>
      </c>
      <c r="L72" s="106"/>
      <c r="M72" s="107">
        <f t="shared" si="10"/>
        <v>516.07142857142856</v>
      </c>
      <c r="N72" s="107">
        <f t="shared" si="11"/>
        <v>61.928571428571423</v>
      </c>
      <c r="O72" s="107">
        <f t="shared" si="12"/>
        <v>0</v>
      </c>
      <c r="P72" s="107"/>
      <c r="Q72" s="107"/>
      <c r="R72" s="107"/>
      <c r="S72" s="107"/>
      <c r="T72" s="108">
        <v>516.07000000000005</v>
      </c>
      <c r="U72" s="108"/>
      <c r="V72" s="108"/>
      <c r="W72" s="108"/>
      <c r="X72" s="108"/>
      <c r="Y72" s="107"/>
      <c r="Z72" s="107"/>
      <c r="AA72" s="107"/>
      <c r="AB72" s="107"/>
      <c r="AC72" s="108"/>
      <c r="AD72" s="108"/>
      <c r="AE72" s="109"/>
      <c r="AF72" s="109"/>
      <c r="AG72" s="107">
        <f t="shared" si="13"/>
        <v>-577.99857142857149</v>
      </c>
      <c r="AH72" s="110">
        <f t="shared" si="14"/>
        <v>1.4285714285051654E-3</v>
      </c>
    </row>
    <row r="73" spans="1:34" s="111" customFormat="1" ht="21" customHeight="1" x14ac:dyDescent="0.2">
      <c r="A73" s="102">
        <v>43329</v>
      </c>
      <c r="B73" s="103"/>
      <c r="C73" s="20" t="s">
        <v>614</v>
      </c>
      <c r="D73" s="20"/>
      <c r="E73" s="20"/>
      <c r="F73" s="104"/>
      <c r="G73" s="104" t="s">
        <v>757</v>
      </c>
      <c r="H73" s="67">
        <v>502</v>
      </c>
      <c r="I73" s="67"/>
      <c r="J73" s="67"/>
      <c r="K73" s="67"/>
      <c r="L73" s="106"/>
      <c r="M73" s="107">
        <f t="shared" si="10"/>
        <v>502</v>
      </c>
      <c r="N73" s="107">
        <f t="shared" si="11"/>
        <v>0</v>
      </c>
      <c r="O73" s="107">
        <f t="shared" si="12"/>
        <v>0</v>
      </c>
      <c r="P73" s="107"/>
      <c r="Q73" s="107"/>
      <c r="R73" s="107"/>
      <c r="S73" s="107"/>
      <c r="T73" s="108"/>
      <c r="U73" s="108"/>
      <c r="V73" s="108"/>
      <c r="W73" s="108"/>
      <c r="X73" s="108"/>
      <c r="Y73" s="107"/>
      <c r="Z73" s="107"/>
      <c r="AA73" s="107"/>
      <c r="AB73" s="107">
        <v>502</v>
      </c>
      <c r="AC73" s="108"/>
      <c r="AD73" s="108"/>
      <c r="AE73" s="109"/>
      <c r="AF73" s="109"/>
      <c r="AG73" s="107">
        <f t="shared" si="13"/>
        <v>-502</v>
      </c>
      <c r="AH73" s="110">
        <f t="shared" si="14"/>
        <v>0</v>
      </c>
    </row>
    <row r="74" spans="1:34" s="111" customFormat="1" ht="21" customHeight="1" x14ac:dyDescent="0.2">
      <c r="A74" s="102">
        <v>43330</v>
      </c>
      <c r="B74" s="103"/>
      <c r="C74" s="20" t="s">
        <v>705</v>
      </c>
      <c r="D74" s="20" t="s">
        <v>706</v>
      </c>
      <c r="E74" s="20" t="s">
        <v>707</v>
      </c>
      <c r="F74" s="104">
        <v>50438</v>
      </c>
      <c r="G74" s="104" t="s">
        <v>40</v>
      </c>
      <c r="H74" s="67"/>
      <c r="I74" s="67"/>
      <c r="J74" s="67"/>
      <c r="K74" s="67">
        <v>85</v>
      </c>
      <c r="L74" s="106"/>
      <c r="M74" s="107">
        <f t="shared" si="10"/>
        <v>75.892857142857139</v>
      </c>
      <c r="N74" s="107">
        <f t="shared" si="11"/>
        <v>9.1071428571428559</v>
      </c>
      <c r="O74" s="107">
        <f t="shared" si="12"/>
        <v>0</v>
      </c>
      <c r="P74" s="107"/>
      <c r="Q74" s="107">
        <v>75.89</v>
      </c>
      <c r="R74" s="107"/>
      <c r="S74" s="107"/>
      <c r="T74" s="108"/>
      <c r="U74" s="108"/>
      <c r="V74" s="108"/>
      <c r="W74" s="108"/>
      <c r="X74" s="108"/>
      <c r="Y74" s="107"/>
      <c r="Z74" s="107"/>
      <c r="AA74" s="107"/>
      <c r="AB74" s="107"/>
      <c r="AC74" s="108"/>
      <c r="AD74" s="108"/>
      <c r="AE74" s="109"/>
      <c r="AF74" s="109"/>
      <c r="AG74" s="107">
        <f t="shared" si="13"/>
        <v>-84.997142857142862</v>
      </c>
      <c r="AH74" s="110">
        <f t="shared" si="14"/>
        <v>2.8571428571382285E-3</v>
      </c>
    </row>
    <row r="75" spans="1:34" s="111" customFormat="1" ht="21" customHeight="1" x14ac:dyDescent="0.2">
      <c r="A75" s="102">
        <v>43330</v>
      </c>
      <c r="B75" s="103"/>
      <c r="C75" s="20" t="s">
        <v>758</v>
      </c>
      <c r="D75" s="20" t="s">
        <v>354</v>
      </c>
      <c r="E75" s="20" t="s">
        <v>65</v>
      </c>
      <c r="F75" s="104">
        <v>1377419</v>
      </c>
      <c r="G75" s="105" t="s">
        <v>759</v>
      </c>
      <c r="H75" s="67"/>
      <c r="I75" s="67"/>
      <c r="J75" s="67"/>
      <c r="K75" s="67">
        <v>199.75</v>
      </c>
      <c r="L75" s="106"/>
      <c r="M75" s="107">
        <f t="shared" si="10"/>
        <v>178.34821428571428</v>
      </c>
      <c r="N75" s="107">
        <f t="shared" si="11"/>
        <v>21.401785714285712</v>
      </c>
      <c r="O75" s="107">
        <f t="shared" si="12"/>
        <v>0</v>
      </c>
      <c r="P75" s="107"/>
      <c r="Q75" s="107"/>
      <c r="R75" s="107"/>
      <c r="S75" s="107"/>
      <c r="T75" s="108"/>
      <c r="U75" s="108"/>
      <c r="V75" s="108"/>
      <c r="W75" s="108"/>
      <c r="X75" s="108"/>
      <c r="Y75" s="107">
        <v>178.35</v>
      </c>
      <c r="Z75" s="107"/>
      <c r="AA75" s="107"/>
      <c r="AB75" s="107"/>
      <c r="AC75" s="108"/>
      <c r="AD75" s="108"/>
      <c r="AE75" s="109"/>
      <c r="AF75" s="109"/>
      <c r="AG75" s="107">
        <f t="shared" si="13"/>
        <v>-199.75178571428572</v>
      </c>
      <c r="AH75" s="110">
        <f t="shared" si="14"/>
        <v>-1.7857142857167219E-3</v>
      </c>
    </row>
    <row r="76" spans="1:34" s="111" customFormat="1" ht="24" customHeight="1" x14ac:dyDescent="0.2">
      <c r="A76" s="102">
        <v>43332</v>
      </c>
      <c r="B76" s="103"/>
      <c r="C76" s="20" t="s">
        <v>63</v>
      </c>
      <c r="D76" s="20" t="s">
        <v>64</v>
      </c>
      <c r="E76" s="20" t="s">
        <v>65</v>
      </c>
      <c r="F76" s="104">
        <v>107260</v>
      </c>
      <c r="G76" s="105" t="s">
        <v>760</v>
      </c>
      <c r="H76" s="67"/>
      <c r="I76" s="67"/>
      <c r="J76" s="67">
        <v>32.200000000000003</v>
      </c>
      <c r="K76" s="67"/>
      <c r="L76" s="106"/>
      <c r="M76" s="107">
        <f t="shared" si="10"/>
        <v>32.200000000000003</v>
      </c>
      <c r="N76" s="107">
        <f t="shared" si="11"/>
        <v>0</v>
      </c>
      <c r="O76" s="107">
        <f t="shared" si="12"/>
        <v>0</v>
      </c>
      <c r="P76" s="107">
        <v>32.200000000000003</v>
      </c>
      <c r="Q76" s="107"/>
      <c r="R76" s="107"/>
      <c r="S76" s="107"/>
      <c r="T76" s="108"/>
      <c r="U76" s="108"/>
      <c r="V76" s="108"/>
      <c r="W76" s="108"/>
      <c r="X76" s="108"/>
      <c r="Y76" s="107"/>
      <c r="Z76" s="107"/>
      <c r="AA76" s="107"/>
      <c r="AB76" s="107"/>
      <c r="AC76" s="108"/>
      <c r="AD76" s="108"/>
      <c r="AE76" s="109"/>
      <c r="AF76" s="109"/>
      <c r="AG76" s="107">
        <f t="shared" si="13"/>
        <v>-32.200000000000003</v>
      </c>
      <c r="AH76" s="110">
        <f t="shared" si="14"/>
        <v>0</v>
      </c>
    </row>
    <row r="77" spans="1:34" s="111" customFormat="1" ht="24" customHeight="1" x14ac:dyDescent="0.2">
      <c r="A77" s="102">
        <v>43332</v>
      </c>
      <c r="B77" s="103"/>
      <c r="C77" s="20" t="s">
        <v>63</v>
      </c>
      <c r="D77" s="20" t="s">
        <v>64</v>
      </c>
      <c r="E77" s="20" t="s">
        <v>65</v>
      </c>
      <c r="F77" s="104">
        <v>107260</v>
      </c>
      <c r="G77" s="105" t="s">
        <v>761</v>
      </c>
      <c r="H77" s="67"/>
      <c r="I77" s="67"/>
      <c r="J77" s="67"/>
      <c r="K77" s="67">
        <f>51.25+63</f>
        <v>114.25</v>
      </c>
      <c r="L77" s="106"/>
      <c r="M77" s="107">
        <f t="shared" si="10"/>
        <v>102.00892857142856</v>
      </c>
      <c r="N77" s="107">
        <f t="shared" si="11"/>
        <v>12.241071428571427</v>
      </c>
      <c r="O77" s="107">
        <f t="shared" si="12"/>
        <v>0</v>
      </c>
      <c r="P77" s="107"/>
      <c r="Q77" s="107">
        <v>102.01</v>
      </c>
      <c r="R77" s="107"/>
      <c r="S77" s="107"/>
      <c r="T77" s="108"/>
      <c r="U77" s="108"/>
      <c r="V77" s="108"/>
      <c r="W77" s="108"/>
      <c r="X77" s="108"/>
      <c r="Y77" s="107"/>
      <c r="Z77" s="107"/>
      <c r="AA77" s="107"/>
      <c r="AB77" s="107"/>
      <c r="AC77" s="108"/>
      <c r="AD77" s="108"/>
      <c r="AE77" s="109"/>
      <c r="AF77" s="109"/>
      <c r="AG77" s="107">
        <f t="shared" si="13"/>
        <v>-114.25107142857144</v>
      </c>
      <c r="AH77" s="110">
        <f t="shared" si="14"/>
        <v>-1.0714285714357175E-3</v>
      </c>
    </row>
    <row r="78" spans="1:34" s="111" customFormat="1" ht="24" customHeight="1" x14ac:dyDescent="0.2">
      <c r="A78" s="102">
        <v>43332</v>
      </c>
      <c r="B78" s="103"/>
      <c r="C78" s="20" t="s">
        <v>63</v>
      </c>
      <c r="D78" s="20" t="s">
        <v>64</v>
      </c>
      <c r="E78" s="20" t="s">
        <v>65</v>
      </c>
      <c r="F78" s="104">
        <v>107260</v>
      </c>
      <c r="G78" s="105" t="s">
        <v>762</v>
      </c>
      <c r="H78" s="67"/>
      <c r="I78" s="67"/>
      <c r="J78" s="67"/>
      <c r="K78" s="67">
        <f>73.15+73.15</f>
        <v>146.30000000000001</v>
      </c>
      <c r="L78" s="106"/>
      <c r="M78" s="107">
        <f t="shared" si="10"/>
        <v>130.625</v>
      </c>
      <c r="N78" s="107">
        <f t="shared" si="11"/>
        <v>15.674999999999999</v>
      </c>
      <c r="O78" s="107">
        <f t="shared" si="12"/>
        <v>0</v>
      </c>
      <c r="P78" s="107"/>
      <c r="Q78" s="107"/>
      <c r="R78" s="107"/>
      <c r="S78" s="107">
        <v>130.63</v>
      </c>
      <c r="T78" s="108"/>
      <c r="U78" s="108"/>
      <c r="V78" s="108"/>
      <c r="W78" s="108"/>
      <c r="X78" s="108"/>
      <c r="Y78" s="107"/>
      <c r="Z78" s="107"/>
      <c r="AA78" s="107"/>
      <c r="AB78" s="107"/>
      <c r="AC78" s="108"/>
      <c r="AD78" s="108"/>
      <c r="AE78" s="109"/>
      <c r="AF78" s="109"/>
      <c r="AG78" s="107">
        <f t="shared" si="13"/>
        <v>-146.30500000000001</v>
      </c>
      <c r="AH78" s="110">
        <f t="shared" si="14"/>
        <v>-4.9999999999954525E-3</v>
      </c>
    </row>
    <row r="79" spans="1:34" s="111" customFormat="1" ht="24" customHeight="1" x14ac:dyDescent="0.2">
      <c r="A79" s="102">
        <v>43332</v>
      </c>
      <c r="B79" s="103"/>
      <c r="C79" s="20" t="s">
        <v>63</v>
      </c>
      <c r="D79" s="20" t="s">
        <v>64</v>
      </c>
      <c r="E79" s="20" t="s">
        <v>65</v>
      </c>
      <c r="F79" s="104">
        <v>107260</v>
      </c>
      <c r="G79" s="105" t="s">
        <v>87</v>
      </c>
      <c r="H79" s="67"/>
      <c r="I79" s="67"/>
      <c r="J79" s="67"/>
      <c r="K79" s="67">
        <v>99</v>
      </c>
      <c r="L79" s="106"/>
      <c r="M79" s="107">
        <f t="shared" si="10"/>
        <v>88.392857142857139</v>
      </c>
      <c r="N79" s="107">
        <f t="shared" si="11"/>
        <v>10.607142857142856</v>
      </c>
      <c r="O79" s="107">
        <f t="shared" si="12"/>
        <v>0</v>
      </c>
      <c r="P79" s="107"/>
      <c r="Q79" s="107"/>
      <c r="R79" s="107">
        <v>88.39</v>
      </c>
      <c r="S79" s="107"/>
      <c r="T79" s="108"/>
      <c r="U79" s="108"/>
      <c r="V79" s="108"/>
      <c r="W79" s="108"/>
      <c r="X79" s="108"/>
      <c r="Y79" s="107"/>
      <c r="Z79" s="107"/>
      <c r="AA79" s="107"/>
      <c r="AB79" s="107"/>
      <c r="AC79" s="108"/>
      <c r="AD79" s="108"/>
      <c r="AE79" s="109"/>
      <c r="AF79" s="109"/>
      <c r="AG79" s="107">
        <f t="shared" si="13"/>
        <v>-98.997142857142862</v>
      </c>
      <c r="AH79" s="110">
        <f t="shared" si="14"/>
        <v>2.8571428571382285E-3</v>
      </c>
    </row>
    <row r="80" spans="1:34" s="111" customFormat="1" ht="24" customHeight="1" x14ac:dyDescent="0.2">
      <c r="A80" s="102">
        <v>43240</v>
      </c>
      <c r="B80" s="103"/>
      <c r="C80" s="20" t="s">
        <v>63</v>
      </c>
      <c r="D80" s="20" t="s">
        <v>64</v>
      </c>
      <c r="E80" s="20" t="s">
        <v>65</v>
      </c>
      <c r="F80" s="104">
        <v>89939</v>
      </c>
      <c r="G80" s="105" t="s">
        <v>763</v>
      </c>
      <c r="H80" s="67"/>
      <c r="I80" s="67"/>
      <c r="J80" s="67"/>
      <c r="K80" s="67">
        <v>322.87</v>
      </c>
      <c r="L80" s="106"/>
      <c r="M80" s="107">
        <f t="shared" si="10"/>
        <v>288.27678571428567</v>
      </c>
      <c r="N80" s="107">
        <f t="shared" si="11"/>
        <v>34.593214285714282</v>
      </c>
      <c r="O80" s="107">
        <f t="shared" si="12"/>
        <v>0</v>
      </c>
      <c r="P80" s="107"/>
      <c r="Q80" s="107"/>
      <c r="R80" s="107"/>
      <c r="S80" s="107"/>
      <c r="T80" s="108"/>
      <c r="U80" s="108"/>
      <c r="V80" s="108"/>
      <c r="W80" s="108"/>
      <c r="X80" s="108"/>
      <c r="Y80" s="107">
        <v>288.27999999999997</v>
      </c>
      <c r="Z80" s="107"/>
      <c r="AA80" s="107"/>
      <c r="AB80" s="107"/>
      <c r="AC80" s="108"/>
      <c r="AD80" s="108"/>
      <c r="AE80" s="109"/>
      <c r="AF80" s="109"/>
      <c r="AG80" s="107">
        <f t="shared" si="13"/>
        <v>-322.87321428571425</v>
      </c>
      <c r="AH80" s="110">
        <f t="shared" si="14"/>
        <v>-3.214285714250309E-3</v>
      </c>
    </row>
    <row r="81" spans="1:34" s="111" customFormat="1" ht="24" customHeight="1" x14ac:dyDescent="0.2">
      <c r="A81" s="102">
        <v>43332</v>
      </c>
      <c r="B81" s="103"/>
      <c r="C81" s="20" t="s">
        <v>202</v>
      </c>
      <c r="D81" s="20" t="s">
        <v>76</v>
      </c>
      <c r="E81" s="20" t="s">
        <v>764</v>
      </c>
      <c r="F81" s="104">
        <v>29203</v>
      </c>
      <c r="G81" s="105" t="s">
        <v>451</v>
      </c>
      <c r="H81" s="67"/>
      <c r="I81" s="67"/>
      <c r="J81" s="67"/>
      <c r="K81" s="67">
        <v>900.08</v>
      </c>
      <c r="L81" s="106"/>
      <c r="M81" s="107">
        <f t="shared" si="10"/>
        <v>803.64285714285711</v>
      </c>
      <c r="N81" s="107">
        <f t="shared" si="11"/>
        <v>96.437142857142845</v>
      </c>
      <c r="O81" s="107">
        <f t="shared" si="12"/>
        <v>0</v>
      </c>
      <c r="P81" s="107">
        <v>803.64</v>
      </c>
      <c r="Q81" s="107"/>
      <c r="R81" s="107"/>
      <c r="S81" s="107"/>
      <c r="T81" s="108"/>
      <c r="U81" s="108"/>
      <c r="V81" s="108"/>
      <c r="W81" s="108"/>
      <c r="X81" s="108"/>
      <c r="Y81" s="107"/>
      <c r="Z81" s="107"/>
      <c r="AA81" s="107"/>
      <c r="AB81" s="107"/>
      <c r="AC81" s="108"/>
      <c r="AD81" s="108"/>
      <c r="AE81" s="109"/>
      <c r="AF81" s="109"/>
      <c r="AG81" s="107">
        <f t="shared" si="13"/>
        <v>-900.0771428571428</v>
      </c>
      <c r="AH81" s="110">
        <f t="shared" si="14"/>
        <v>2.8571428572377044E-3</v>
      </c>
    </row>
    <row r="82" spans="1:34" s="111" customFormat="1" ht="21" customHeight="1" x14ac:dyDescent="0.2">
      <c r="A82" s="102">
        <v>43332</v>
      </c>
      <c r="B82" s="103"/>
      <c r="C82" s="20" t="s">
        <v>705</v>
      </c>
      <c r="D82" s="20" t="s">
        <v>706</v>
      </c>
      <c r="E82" s="20" t="s">
        <v>707</v>
      </c>
      <c r="F82" s="104">
        <v>54010</v>
      </c>
      <c r="G82" s="104" t="s">
        <v>40</v>
      </c>
      <c r="H82" s="67"/>
      <c r="I82" s="67"/>
      <c r="J82" s="67"/>
      <c r="K82" s="67">
        <v>170</v>
      </c>
      <c r="L82" s="106"/>
      <c r="M82" s="107">
        <f t="shared" si="10"/>
        <v>151.78571428571428</v>
      </c>
      <c r="N82" s="107">
        <f t="shared" si="11"/>
        <v>18.214285714285712</v>
      </c>
      <c r="O82" s="107">
        <f t="shared" si="12"/>
        <v>0</v>
      </c>
      <c r="P82" s="107"/>
      <c r="Q82" s="107">
        <v>151.79</v>
      </c>
      <c r="R82" s="107"/>
      <c r="S82" s="107"/>
      <c r="T82" s="108"/>
      <c r="U82" s="108"/>
      <c r="V82" s="108"/>
      <c r="W82" s="108"/>
      <c r="X82" s="108"/>
      <c r="Y82" s="107"/>
      <c r="Z82" s="107"/>
      <c r="AA82" s="107"/>
      <c r="AB82" s="107"/>
      <c r="AC82" s="108"/>
      <c r="AD82" s="108"/>
      <c r="AE82" s="109"/>
      <c r="AF82" s="109"/>
      <c r="AG82" s="107">
        <f t="shared" si="13"/>
        <v>-170.00428571428571</v>
      </c>
      <c r="AH82" s="110">
        <f t="shared" si="14"/>
        <v>-4.2857142857144481E-3</v>
      </c>
    </row>
    <row r="83" spans="1:34" s="111" customFormat="1" ht="24" customHeight="1" x14ac:dyDescent="0.2">
      <c r="A83" s="102">
        <v>43332</v>
      </c>
      <c r="B83" s="103"/>
      <c r="C83" s="20" t="s">
        <v>59</v>
      </c>
      <c r="D83" s="20" t="s">
        <v>738</v>
      </c>
      <c r="E83" s="20" t="s">
        <v>739</v>
      </c>
      <c r="F83" s="104">
        <v>659803</v>
      </c>
      <c r="G83" s="105" t="s">
        <v>765</v>
      </c>
      <c r="H83" s="67"/>
      <c r="I83" s="67"/>
      <c r="J83" s="67"/>
      <c r="K83" s="67">
        <v>294.25</v>
      </c>
      <c r="L83" s="106"/>
      <c r="M83" s="107">
        <f t="shared" si="10"/>
        <v>262.72321428571428</v>
      </c>
      <c r="N83" s="107">
        <f t="shared" si="11"/>
        <v>31.526785714285712</v>
      </c>
      <c r="O83" s="107">
        <f t="shared" si="12"/>
        <v>0</v>
      </c>
      <c r="P83" s="107"/>
      <c r="Q83" s="107"/>
      <c r="R83" s="107"/>
      <c r="S83" s="107"/>
      <c r="T83" s="108">
        <v>262.72000000000003</v>
      </c>
      <c r="U83" s="108"/>
      <c r="V83" s="108"/>
      <c r="W83" s="108"/>
      <c r="X83" s="108"/>
      <c r="Y83" s="107"/>
      <c r="Z83" s="107"/>
      <c r="AA83" s="107"/>
      <c r="AB83" s="107"/>
      <c r="AC83" s="108"/>
      <c r="AD83" s="108"/>
      <c r="AE83" s="109"/>
      <c r="AF83" s="109"/>
      <c r="AG83" s="107">
        <f t="shared" si="13"/>
        <v>-294.24678571428575</v>
      </c>
      <c r="AH83" s="110">
        <f t="shared" si="14"/>
        <v>3.214285714250309E-3</v>
      </c>
    </row>
    <row r="84" spans="1:34" s="122" customFormat="1" ht="21" customHeight="1" x14ac:dyDescent="0.2">
      <c r="A84" s="113">
        <v>43334</v>
      </c>
      <c r="B84" s="114"/>
      <c r="C84" s="36" t="s">
        <v>705</v>
      </c>
      <c r="D84" s="36" t="s">
        <v>706</v>
      </c>
      <c r="E84" s="36" t="s">
        <v>707</v>
      </c>
      <c r="F84" s="115">
        <v>152035</v>
      </c>
      <c r="G84" s="115" t="s">
        <v>40</v>
      </c>
      <c r="H84" s="76"/>
      <c r="I84" s="76"/>
      <c r="J84" s="76"/>
      <c r="K84" s="76">
        <v>170</v>
      </c>
      <c r="L84" s="117"/>
      <c r="M84" s="118">
        <f t="shared" si="10"/>
        <v>151.78571428571428</v>
      </c>
      <c r="N84" s="118">
        <f t="shared" si="11"/>
        <v>18.214285714285712</v>
      </c>
      <c r="O84" s="118">
        <f t="shared" si="12"/>
        <v>0</v>
      </c>
      <c r="P84" s="118"/>
      <c r="Q84" s="118">
        <v>151.79</v>
      </c>
      <c r="R84" s="118"/>
      <c r="S84" s="118"/>
      <c r="T84" s="119"/>
      <c r="U84" s="119"/>
      <c r="V84" s="119"/>
      <c r="W84" s="119"/>
      <c r="X84" s="119"/>
      <c r="Y84" s="118"/>
      <c r="Z84" s="118"/>
      <c r="AA84" s="118"/>
      <c r="AB84" s="118"/>
      <c r="AC84" s="119"/>
      <c r="AD84" s="119"/>
      <c r="AE84" s="120"/>
      <c r="AF84" s="120"/>
      <c r="AG84" s="118">
        <f t="shared" si="13"/>
        <v>-170.00428571428571</v>
      </c>
      <c r="AH84" s="121">
        <f t="shared" si="14"/>
        <v>-4.2857142857144481E-3</v>
      </c>
    </row>
    <row r="85" spans="1:34" s="111" customFormat="1" ht="21" customHeight="1" x14ac:dyDescent="0.2">
      <c r="A85" s="102">
        <v>43313</v>
      </c>
      <c r="B85" s="103"/>
      <c r="C85" s="20" t="s">
        <v>705</v>
      </c>
      <c r="D85" s="20" t="s">
        <v>706</v>
      </c>
      <c r="E85" s="20" t="s">
        <v>707</v>
      </c>
      <c r="F85" s="104">
        <v>178149</v>
      </c>
      <c r="G85" s="104" t="s">
        <v>40</v>
      </c>
      <c r="H85" s="67"/>
      <c r="I85" s="67"/>
      <c r="J85" s="67"/>
      <c r="K85" s="67">
        <v>190</v>
      </c>
      <c r="L85" s="106"/>
      <c r="M85" s="107">
        <f t="shared" si="10"/>
        <v>169.64285714285714</v>
      </c>
      <c r="N85" s="107">
        <f t="shared" si="11"/>
        <v>20.357142857142858</v>
      </c>
      <c r="O85" s="107">
        <f t="shared" si="12"/>
        <v>0</v>
      </c>
      <c r="P85" s="107"/>
      <c r="Q85" s="107">
        <v>169.64</v>
      </c>
      <c r="R85" s="107"/>
      <c r="S85" s="107"/>
      <c r="T85" s="108"/>
      <c r="U85" s="108"/>
      <c r="V85" s="108"/>
      <c r="W85" s="108"/>
      <c r="X85" s="108"/>
      <c r="Y85" s="107"/>
      <c r="Z85" s="107"/>
      <c r="AA85" s="107"/>
      <c r="AB85" s="107"/>
      <c r="AC85" s="108"/>
      <c r="AD85" s="108"/>
      <c r="AE85" s="109"/>
      <c r="AF85" s="109"/>
      <c r="AG85" s="107">
        <f t="shared" si="13"/>
        <v>-189.99714285714285</v>
      </c>
      <c r="AH85" s="110">
        <f t="shared" si="14"/>
        <v>2.8571428571524393E-3</v>
      </c>
    </row>
    <row r="86" spans="1:34" s="111" customFormat="1" ht="21" customHeight="1" x14ac:dyDescent="0.2">
      <c r="A86" s="102">
        <v>43334</v>
      </c>
      <c r="B86" s="103"/>
      <c r="C86" s="20" t="s">
        <v>68</v>
      </c>
      <c r="D86" s="20"/>
      <c r="E86" s="20"/>
      <c r="F86" s="104"/>
      <c r="G86" s="105" t="s">
        <v>524</v>
      </c>
      <c r="H86" s="67">
        <v>40</v>
      </c>
      <c r="I86" s="67"/>
      <c r="J86" s="67"/>
      <c r="K86" s="67"/>
      <c r="L86" s="106"/>
      <c r="M86" s="107">
        <f t="shared" si="10"/>
        <v>40</v>
      </c>
      <c r="N86" s="107">
        <f t="shared" si="11"/>
        <v>0</v>
      </c>
      <c r="O86" s="107">
        <f t="shared" si="12"/>
        <v>0</v>
      </c>
      <c r="P86" s="107"/>
      <c r="Q86" s="107"/>
      <c r="R86" s="107"/>
      <c r="S86" s="107"/>
      <c r="T86" s="108"/>
      <c r="U86" s="108"/>
      <c r="V86" s="108"/>
      <c r="W86" s="108"/>
      <c r="X86" s="108"/>
      <c r="Y86" s="107"/>
      <c r="Z86" s="107"/>
      <c r="AA86" s="107">
        <v>40</v>
      </c>
      <c r="AB86" s="107"/>
      <c r="AC86" s="108"/>
      <c r="AD86" s="108"/>
      <c r="AE86" s="109"/>
      <c r="AF86" s="109"/>
      <c r="AG86" s="107">
        <f t="shared" si="13"/>
        <v>-40</v>
      </c>
      <c r="AH86" s="110">
        <f t="shared" si="14"/>
        <v>0</v>
      </c>
    </row>
    <row r="87" spans="1:34" s="111" customFormat="1" ht="21" customHeight="1" x14ac:dyDescent="0.2">
      <c r="A87" s="102">
        <v>43334</v>
      </c>
      <c r="B87" s="103"/>
      <c r="C87" s="20" t="s">
        <v>63</v>
      </c>
      <c r="D87" s="20" t="s">
        <v>64</v>
      </c>
      <c r="E87" s="20" t="s">
        <v>65</v>
      </c>
      <c r="F87" s="104">
        <v>100581</v>
      </c>
      <c r="G87" s="105" t="s">
        <v>766</v>
      </c>
      <c r="H87" s="67"/>
      <c r="I87" s="67"/>
      <c r="J87" s="67"/>
      <c r="K87" s="67">
        <f>84.9*2</f>
        <v>169.8</v>
      </c>
      <c r="L87" s="106"/>
      <c r="M87" s="107">
        <f t="shared" si="10"/>
        <v>151.60714285714286</v>
      </c>
      <c r="N87" s="107">
        <f t="shared" si="11"/>
        <v>18.192857142857143</v>
      </c>
      <c r="O87" s="107">
        <f t="shared" si="12"/>
        <v>0</v>
      </c>
      <c r="P87" s="107">
        <v>151.61000000000001</v>
      </c>
      <c r="Q87" s="107"/>
      <c r="R87" s="107"/>
      <c r="S87" s="107"/>
      <c r="T87" s="108"/>
      <c r="U87" s="108"/>
      <c r="V87" s="108"/>
      <c r="W87" s="108"/>
      <c r="X87" s="108"/>
      <c r="Y87" s="107"/>
      <c r="Z87" s="107"/>
      <c r="AA87" s="107"/>
      <c r="AB87" s="107"/>
      <c r="AC87" s="108"/>
      <c r="AD87" s="108"/>
      <c r="AE87" s="109"/>
      <c r="AF87" s="109"/>
      <c r="AG87" s="107">
        <f t="shared" si="13"/>
        <v>-169.80285714285716</v>
      </c>
      <c r="AH87" s="110">
        <f t="shared" si="14"/>
        <v>-2.8571428571524393E-3</v>
      </c>
    </row>
    <row r="88" spans="1:34" s="111" customFormat="1" ht="21" customHeight="1" x14ac:dyDescent="0.2">
      <c r="A88" s="102">
        <v>43334</v>
      </c>
      <c r="B88" s="103"/>
      <c r="C88" s="20" t="s">
        <v>63</v>
      </c>
      <c r="D88" s="20" t="s">
        <v>64</v>
      </c>
      <c r="E88" s="20" t="s">
        <v>65</v>
      </c>
      <c r="F88" s="104">
        <v>100581</v>
      </c>
      <c r="G88" s="105" t="s">
        <v>82</v>
      </c>
      <c r="H88" s="67"/>
      <c r="I88" s="67"/>
      <c r="J88" s="67">
        <v>113</v>
      </c>
      <c r="K88" s="67"/>
      <c r="L88" s="106"/>
      <c r="M88" s="107">
        <f t="shared" si="10"/>
        <v>113</v>
      </c>
      <c r="N88" s="107">
        <f t="shared" si="11"/>
        <v>0</v>
      </c>
      <c r="O88" s="107">
        <f t="shared" si="12"/>
        <v>0</v>
      </c>
      <c r="P88" s="107">
        <v>113</v>
      </c>
      <c r="Q88" s="107"/>
      <c r="R88" s="107"/>
      <c r="S88" s="107"/>
      <c r="T88" s="108"/>
      <c r="U88" s="108"/>
      <c r="V88" s="108"/>
      <c r="W88" s="108"/>
      <c r="X88" s="108"/>
      <c r="Y88" s="107"/>
      <c r="Z88" s="107"/>
      <c r="AA88" s="107"/>
      <c r="AB88" s="107"/>
      <c r="AC88" s="108"/>
      <c r="AD88" s="108"/>
      <c r="AE88" s="109"/>
      <c r="AF88" s="109"/>
      <c r="AG88" s="107">
        <f t="shared" si="13"/>
        <v>-113</v>
      </c>
      <c r="AH88" s="110">
        <f t="shared" si="14"/>
        <v>0</v>
      </c>
    </row>
    <row r="89" spans="1:34" s="111" customFormat="1" ht="21" customHeight="1" x14ac:dyDescent="0.2">
      <c r="A89" s="102">
        <v>43334</v>
      </c>
      <c r="B89" s="103"/>
      <c r="C89" s="20" t="s">
        <v>63</v>
      </c>
      <c r="D89" s="20" t="s">
        <v>64</v>
      </c>
      <c r="E89" s="20" t="s">
        <v>65</v>
      </c>
      <c r="F89" s="104">
        <v>100581</v>
      </c>
      <c r="G89" s="105" t="s">
        <v>767</v>
      </c>
      <c r="H89" s="67"/>
      <c r="I89" s="67"/>
      <c r="J89" s="67"/>
      <c r="K89" s="67">
        <f>68.75*2+45.85</f>
        <v>183.35</v>
      </c>
      <c r="L89" s="106"/>
      <c r="M89" s="107">
        <f t="shared" si="10"/>
        <v>163.70535714285711</v>
      </c>
      <c r="N89" s="107">
        <f t="shared" si="11"/>
        <v>19.644642857142852</v>
      </c>
      <c r="O89" s="107">
        <f t="shared" si="12"/>
        <v>0</v>
      </c>
      <c r="P89" s="107"/>
      <c r="Q89" s="107"/>
      <c r="R89" s="107">
        <v>163.71</v>
      </c>
      <c r="S89" s="107"/>
      <c r="T89" s="108"/>
      <c r="U89" s="108"/>
      <c r="V89" s="108"/>
      <c r="W89" s="108"/>
      <c r="X89" s="108"/>
      <c r="Y89" s="107"/>
      <c r="Z89" s="107"/>
      <c r="AA89" s="107"/>
      <c r="AB89" s="107"/>
      <c r="AC89" s="108"/>
      <c r="AD89" s="108"/>
      <c r="AE89" s="109"/>
      <c r="AF89" s="109"/>
      <c r="AG89" s="107">
        <f t="shared" si="13"/>
        <v>-183.35464285714286</v>
      </c>
      <c r="AH89" s="110">
        <f t="shared" si="14"/>
        <v>-4.6428571428691612E-3</v>
      </c>
    </row>
    <row r="90" spans="1:34" s="111" customFormat="1" ht="21" customHeight="1" x14ac:dyDescent="0.2">
      <c r="A90" s="102">
        <v>43334</v>
      </c>
      <c r="B90" s="103"/>
      <c r="C90" s="20" t="s">
        <v>45</v>
      </c>
      <c r="D90" s="20"/>
      <c r="E90" s="20"/>
      <c r="F90" s="104"/>
      <c r="G90" s="105" t="s">
        <v>196</v>
      </c>
      <c r="H90" s="67">
        <v>100</v>
      </c>
      <c r="I90" s="67"/>
      <c r="J90" s="67"/>
      <c r="K90" s="67"/>
      <c r="L90" s="106"/>
      <c r="M90" s="107">
        <f t="shared" si="10"/>
        <v>100</v>
      </c>
      <c r="N90" s="107">
        <f t="shared" si="11"/>
        <v>0</v>
      </c>
      <c r="O90" s="107">
        <f t="shared" si="12"/>
        <v>0</v>
      </c>
      <c r="P90" s="107"/>
      <c r="Q90" s="107"/>
      <c r="R90" s="107"/>
      <c r="S90" s="107"/>
      <c r="T90" s="108"/>
      <c r="U90" s="108"/>
      <c r="V90" s="108"/>
      <c r="W90" s="108"/>
      <c r="X90" s="108"/>
      <c r="Y90" s="107"/>
      <c r="Z90" s="107"/>
      <c r="AA90" s="107">
        <v>100</v>
      </c>
      <c r="AB90" s="107"/>
      <c r="AC90" s="108"/>
      <c r="AD90" s="108"/>
      <c r="AE90" s="109"/>
      <c r="AF90" s="109"/>
      <c r="AG90" s="107">
        <f t="shared" si="13"/>
        <v>-100</v>
      </c>
      <c r="AH90" s="110">
        <f t="shared" si="14"/>
        <v>0</v>
      </c>
    </row>
    <row r="91" spans="1:34" s="111" customFormat="1" ht="21" customHeight="1" x14ac:dyDescent="0.2">
      <c r="A91" s="102">
        <v>43334</v>
      </c>
      <c r="B91" s="103"/>
      <c r="C91" s="20" t="s">
        <v>41</v>
      </c>
      <c r="D91" s="20" t="s">
        <v>88</v>
      </c>
      <c r="E91" s="20" t="s">
        <v>43</v>
      </c>
      <c r="F91" s="104">
        <v>2603</v>
      </c>
      <c r="G91" s="105" t="s">
        <v>172</v>
      </c>
      <c r="H91" s="67"/>
      <c r="I91" s="67"/>
      <c r="J91" s="67">
        <v>1050</v>
      </c>
      <c r="K91" s="67"/>
      <c r="L91" s="106"/>
      <c r="M91" s="107">
        <f t="shared" si="10"/>
        <v>1050</v>
      </c>
      <c r="N91" s="107">
        <f t="shared" si="11"/>
        <v>0</v>
      </c>
      <c r="O91" s="107">
        <f t="shared" si="12"/>
        <v>0</v>
      </c>
      <c r="P91" s="107">
        <v>1050</v>
      </c>
      <c r="Q91" s="107"/>
      <c r="R91" s="107"/>
      <c r="S91" s="107"/>
      <c r="T91" s="108"/>
      <c r="U91" s="108"/>
      <c r="V91" s="108"/>
      <c r="W91" s="108"/>
      <c r="X91" s="108"/>
      <c r="Y91" s="107"/>
      <c r="Z91" s="107"/>
      <c r="AA91" s="107"/>
      <c r="AB91" s="107"/>
      <c r="AC91" s="108"/>
      <c r="AD91" s="108"/>
      <c r="AE91" s="109"/>
      <c r="AF91" s="109"/>
      <c r="AG91" s="107">
        <f t="shared" si="13"/>
        <v>-1050</v>
      </c>
      <c r="AH91" s="110">
        <f t="shared" si="14"/>
        <v>0</v>
      </c>
    </row>
    <row r="92" spans="1:34" s="111" customFormat="1" ht="21" customHeight="1" x14ac:dyDescent="0.2">
      <c r="A92" s="102">
        <v>43335</v>
      </c>
      <c r="B92" s="103"/>
      <c r="C92" s="20" t="s">
        <v>705</v>
      </c>
      <c r="D92" s="20" t="s">
        <v>706</v>
      </c>
      <c r="E92" s="20" t="s">
        <v>707</v>
      </c>
      <c r="F92" s="104">
        <v>54480</v>
      </c>
      <c r="G92" s="105" t="s">
        <v>40</v>
      </c>
      <c r="H92" s="67"/>
      <c r="I92" s="67"/>
      <c r="J92" s="67"/>
      <c r="K92" s="67">
        <v>170</v>
      </c>
      <c r="L92" s="106"/>
      <c r="M92" s="107">
        <f t="shared" si="10"/>
        <v>151.78571428571428</v>
      </c>
      <c r="N92" s="107">
        <f t="shared" si="11"/>
        <v>18.214285714285712</v>
      </c>
      <c r="O92" s="107">
        <f t="shared" si="12"/>
        <v>0</v>
      </c>
      <c r="P92" s="107"/>
      <c r="Q92" s="107">
        <v>151.79</v>
      </c>
      <c r="R92" s="107"/>
      <c r="S92" s="107"/>
      <c r="T92" s="108"/>
      <c r="U92" s="108"/>
      <c r="V92" s="108"/>
      <c r="W92" s="108"/>
      <c r="X92" s="108"/>
      <c r="Y92" s="107"/>
      <c r="Z92" s="107"/>
      <c r="AA92" s="107"/>
      <c r="AB92" s="107"/>
      <c r="AC92" s="108"/>
      <c r="AD92" s="108"/>
      <c r="AE92" s="109"/>
      <c r="AF92" s="109"/>
      <c r="AG92" s="107">
        <f t="shared" si="13"/>
        <v>-170.00428571428571</v>
      </c>
      <c r="AH92" s="110">
        <f t="shared" si="14"/>
        <v>-4.2857142857144481E-3</v>
      </c>
    </row>
    <row r="93" spans="1:34" s="111" customFormat="1" ht="21" customHeight="1" x14ac:dyDescent="0.2">
      <c r="A93" s="102">
        <v>43335</v>
      </c>
      <c r="B93" s="103"/>
      <c r="C93" s="20" t="s">
        <v>45</v>
      </c>
      <c r="D93" s="20"/>
      <c r="E93" s="20"/>
      <c r="F93" s="104"/>
      <c r="G93" s="105" t="s">
        <v>768</v>
      </c>
      <c r="H93" s="67">
        <v>200</v>
      </c>
      <c r="I93" s="67"/>
      <c r="J93" s="67"/>
      <c r="K93" s="67"/>
      <c r="L93" s="106"/>
      <c r="M93" s="107">
        <f t="shared" si="10"/>
        <v>200</v>
      </c>
      <c r="N93" s="107">
        <f t="shared" si="11"/>
        <v>0</v>
      </c>
      <c r="O93" s="107">
        <f t="shared" si="12"/>
        <v>0</v>
      </c>
      <c r="P93" s="107"/>
      <c r="Q93" s="107"/>
      <c r="R93" s="107"/>
      <c r="S93" s="107"/>
      <c r="T93" s="108"/>
      <c r="U93" s="108"/>
      <c r="V93" s="108"/>
      <c r="W93" s="108"/>
      <c r="X93" s="108"/>
      <c r="Y93" s="107"/>
      <c r="Z93" s="107">
        <v>200</v>
      </c>
      <c r="AA93" s="107"/>
      <c r="AB93" s="107"/>
      <c r="AC93" s="108"/>
      <c r="AD93" s="108"/>
      <c r="AE93" s="109"/>
      <c r="AF93" s="109"/>
      <c r="AG93" s="107">
        <f t="shared" si="13"/>
        <v>-200</v>
      </c>
      <c r="AH93" s="110">
        <f t="shared" si="14"/>
        <v>0</v>
      </c>
    </row>
    <row r="94" spans="1:34" s="111" customFormat="1" ht="21" customHeight="1" x14ac:dyDescent="0.2">
      <c r="A94" s="102">
        <v>43335</v>
      </c>
      <c r="B94" s="103"/>
      <c r="C94" s="20" t="s">
        <v>45</v>
      </c>
      <c r="D94" s="20"/>
      <c r="E94" s="20"/>
      <c r="F94" s="104"/>
      <c r="G94" s="105" t="s">
        <v>769</v>
      </c>
      <c r="H94" s="67">
        <v>50</v>
      </c>
      <c r="I94" s="67"/>
      <c r="J94" s="67"/>
      <c r="K94" s="67"/>
      <c r="L94" s="106"/>
      <c r="M94" s="107">
        <f t="shared" si="10"/>
        <v>50</v>
      </c>
      <c r="N94" s="107">
        <f t="shared" si="11"/>
        <v>0</v>
      </c>
      <c r="O94" s="107">
        <f t="shared" si="12"/>
        <v>0</v>
      </c>
      <c r="P94" s="107"/>
      <c r="Q94" s="107"/>
      <c r="R94" s="107"/>
      <c r="S94" s="107"/>
      <c r="T94" s="108"/>
      <c r="U94" s="108"/>
      <c r="V94" s="108"/>
      <c r="W94" s="108"/>
      <c r="X94" s="108"/>
      <c r="Y94" s="107"/>
      <c r="Z94" s="107"/>
      <c r="AA94" s="107">
        <v>50</v>
      </c>
      <c r="AB94" s="107"/>
      <c r="AC94" s="108"/>
      <c r="AD94" s="108"/>
      <c r="AE94" s="109"/>
      <c r="AF94" s="109"/>
      <c r="AG94" s="107">
        <f t="shared" si="13"/>
        <v>-50</v>
      </c>
      <c r="AH94" s="110">
        <f t="shared" si="14"/>
        <v>0</v>
      </c>
    </row>
    <row r="95" spans="1:34" s="111" customFormat="1" ht="21" customHeight="1" x14ac:dyDescent="0.2">
      <c r="A95" s="102">
        <v>43336</v>
      </c>
      <c r="B95" s="103"/>
      <c r="C95" s="20" t="s">
        <v>705</v>
      </c>
      <c r="D95" s="20" t="s">
        <v>706</v>
      </c>
      <c r="E95" s="20" t="s">
        <v>707</v>
      </c>
      <c r="F95" s="104">
        <v>58023</v>
      </c>
      <c r="G95" s="104" t="s">
        <v>40</v>
      </c>
      <c r="H95" s="67"/>
      <c r="I95" s="67"/>
      <c r="J95" s="67"/>
      <c r="K95" s="67">
        <v>170</v>
      </c>
      <c r="L95" s="106"/>
      <c r="M95" s="107">
        <f t="shared" si="10"/>
        <v>151.78571428571428</v>
      </c>
      <c r="N95" s="107">
        <f t="shared" si="11"/>
        <v>18.214285714285712</v>
      </c>
      <c r="O95" s="107">
        <f t="shared" si="12"/>
        <v>0</v>
      </c>
      <c r="P95" s="107"/>
      <c r="Q95" s="107">
        <v>151.79</v>
      </c>
      <c r="R95" s="107"/>
      <c r="S95" s="107"/>
      <c r="T95" s="108"/>
      <c r="U95" s="108"/>
      <c r="V95" s="108"/>
      <c r="W95" s="108"/>
      <c r="X95" s="108"/>
      <c r="Y95" s="107"/>
      <c r="Z95" s="107"/>
      <c r="AA95" s="107"/>
      <c r="AB95" s="107"/>
      <c r="AC95" s="108"/>
      <c r="AD95" s="108"/>
      <c r="AE95" s="109"/>
      <c r="AF95" s="109"/>
      <c r="AG95" s="107">
        <f t="shared" si="13"/>
        <v>-170.00428571428571</v>
      </c>
      <c r="AH95" s="110">
        <f t="shared" si="14"/>
        <v>-4.2857142857144481E-3</v>
      </c>
    </row>
    <row r="96" spans="1:34" s="111" customFormat="1" ht="21" customHeight="1" x14ac:dyDescent="0.2">
      <c r="A96" s="102">
        <v>43336</v>
      </c>
      <c r="B96" s="103"/>
      <c r="C96" s="20" t="s">
        <v>63</v>
      </c>
      <c r="D96" s="20" t="s">
        <v>64</v>
      </c>
      <c r="E96" s="20" t="s">
        <v>65</v>
      </c>
      <c r="F96" s="104">
        <v>131751</v>
      </c>
      <c r="G96" s="105" t="s">
        <v>770</v>
      </c>
      <c r="H96" s="67"/>
      <c r="I96" s="67"/>
      <c r="J96" s="67"/>
      <c r="K96" s="67">
        <f>752.14+90.26</f>
        <v>842.4</v>
      </c>
      <c r="L96" s="106"/>
      <c r="M96" s="107">
        <f t="shared" si="10"/>
        <v>752.142857142857</v>
      </c>
      <c r="N96" s="107">
        <f t="shared" si="11"/>
        <v>90.257142857142838</v>
      </c>
      <c r="O96" s="107">
        <f t="shared" si="12"/>
        <v>0</v>
      </c>
      <c r="P96" s="107">
        <v>752.14</v>
      </c>
      <c r="Q96" s="107"/>
      <c r="R96" s="107"/>
      <c r="S96" s="107"/>
      <c r="T96" s="108"/>
      <c r="U96" s="108"/>
      <c r="V96" s="108"/>
      <c r="W96" s="108"/>
      <c r="X96" s="108"/>
      <c r="Y96" s="107"/>
      <c r="Z96" s="107"/>
      <c r="AA96" s="107"/>
      <c r="AB96" s="107"/>
      <c r="AC96" s="108"/>
      <c r="AD96" s="108"/>
      <c r="AE96" s="109"/>
      <c r="AF96" s="109"/>
      <c r="AG96" s="107">
        <f t="shared" si="13"/>
        <v>-842.39714285714285</v>
      </c>
      <c r="AH96" s="110">
        <f t="shared" si="14"/>
        <v>2.8571428571240176E-3</v>
      </c>
    </row>
    <row r="97" spans="1:34" s="111" customFormat="1" ht="21" customHeight="1" x14ac:dyDescent="0.2">
      <c r="A97" s="102">
        <v>43336</v>
      </c>
      <c r="B97" s="103"/>
      <c r="C97" s="20" t="s">
        <v>63</v>
      </c>
      <c r="D97" s="20" t="s">
        <v>64</v>
      </c>
      <c r="E97" s="20" t="s">
        <v>65</v>
      </c>
      <c r="F97" s="104">
        <v>131751</v>
      </c>
      <c r="G97" s="105" t="s">
        <v>771</v>
      </c>
      <c r="H97" s="67"/>
      <c r="I97" s="67"/>
      <c r="J97" s="67">
        <v>216.55</v>
      </c>
      <c r="K97" s="67"/>
      <c r="L97" s="106"/>
      <c r="M97" s="107">
        <f t="shared" si="10"/>
        <v>216.55</v>
      </c>
      <c r="N97" s="107">
        <f t="shared" si="11"/>
        <v>0</v>
      </c>
      <c r="O97" s="107">
        <f t="shared" si="12"/>
        <v>0</v>
      </c>
      <c r="P97" s="107">
        <v>216.55</v>
      </c>
      <c r="Q97" s="107"/>
      <c r="R97" s="107"/>
      <c r="S97" s="107"/>
      <c r="T97" s="108"/>
      <c r="U97" s="108"/>
      <c r="V97" s="108"/>
      <c r="W97" s="108"/>
      <c r="X97" s="108"/>
      <c r="Y97" s="107"/>
      <c r="Z97" s="107"/>
      <c r="AA97" s="107"/>
      <c r="AB97" s="107"/>
      <c r="AC97" s="108"/>
      <c r="AD97" s="108"/>
      <c r="AE97" s="109"/>
      <c r="AF97" s="109"/>
      <c r="AG97" s="107">
        <f t="shared" si="13"/>
        <v>-216.55</v>
      </c>
      <c r="AH97" s="110">
        <f t="shared" si="14"/>
        <v>0</v>
      </c>
    </row>
    <row r="98" spans="1:34" s="111" customFormat="1" ht="21" customHeight="1" x14ac:dyDescent="0.2">
      <c r="A98" s="102">
        <v>43336</v>
      </c>
      <c r="B98" s="103"/>
      <c r="C98" s="20" t="s">
        <v>745</v>
      </c>
      <c r="D98" s="20" t="s">
        <v>746</v>
      </c>
      <c r="E98" s="20" t="s">
        <v>277</v>
      </c>
      <c r="F98" s="104">
        <v>31555</v>
      </c>
      <c r="G98" s="105" t="s">
        <v>593</v>
      </c>
      <c r="H98" s="67"/>
      <c r="I98" s="67"/>
      <c r="J98" s="67"/>
      <c r="K98" s="67">
        <v>250</v>
      </c>
      <c r="L98" s="106"/>
      <c r="M98" s="107">
        <f t="shared" si="10"/>
        <v>223.21428571428569</v>
      </c>
      <c r="N98" s="107">
        <f t="shared" si="11"/>
        <v>26.785714285714281</v>
      </c>
      <c r="O98" s="107">
        <f t="shared" si="12"/>
        <v>0</v>
      </c>
      <c r="P98" s="107">
        <v>223.21</v>
      </c>
      <c r="Q98" s="107"/>
      <c r="R98" s="107"/>
      <c r="S98" s="107"/>
      <c r="T98" s="108"/>
      <c r="U98" s="108"/>
      <c r="V98" s="108"/>
      <c r="W98" s="108"/>
      <c r="X98" s="108"/>
      <c r="Y98" s="107"/>
      <c r="Z98" s="107"/>
      <c r="AA98" s="107"/>
      <c r="AB98" s="107"/>
      <c r="AC98" s="108"/>
      <c r="AD98" s="108"/>
      <c r="AE98" s="109"/>
      <c r="AF98" s="109"/>
      <c r="AG98" s="107">
        <f t="shared" si="13"/>
        <v>-249.99571428571429</v>
      </c>
      <c r="AH98" s="110">
        <f t="shared" si="14"/>
        <v>4.2857142857144481E-3</v>
      </c>
    </row>
    <row r="99" spans="1:34" s="111" customFormat="1" ht="21" customHeight="1" x14ac:dyDescent="0.2">
      <c r="A99" s="102">
        <v>43337</v>
      </c>
      <c r="B99" s="103"/>
      <c r="C99" s="20" t="s">
        <v>772</v>
      </c>
      <c r="D99" s="20" t="s">
        <v>773</v>
      </c>
      <c r="E99" s="20" t="s">
        <v>774</v>
      </c>
      <c r="F99" s="104">
        <v>3364</v>
      </c>
      <c r="G99" s="104" t="s">
        <v>775</v>
      </c>
      <c r="H99" s="67"/>
      <c r="I99" s="67"/>
      <c r="J99" s="67"/>
      <c r="K99" s="67">
        <v>1500</v>
      </c>
      <c r="L99" s="106"/>
      <c r="M99" s="107">
        <f t="shared" si="10"/>
        <v>1339.2857142857142</v>
      </c>
      <c r="N99" s="107">
        <f t="shared" si="11"/>
        <v>160.71428571428569</v>
      </c>
      <c r="O99" s="107">
        <f t="shared" si="12"/>
        <v>0</v>
      </c>
      <c r="P99" s="107"/>
      <c r="Q99" s="107"/>
      <c r="R99" s="107">
        <v>1339.29</v>
      </c>
      <c r="S99" s="107"/>
      <c r="T99" s="108"/>
      <c r="U99" s="108"/>
      <c r="V99" s="108"/>
      <c r="W99" s="108"/>
      <c r="X99" s="108"/>
      <c r="Y99" s="107"/>
      <c r="Z99" s="107"/>
      <c r="AA99" s="107"/>
      <c r="AB99" s="107"/>
      <c r="AC99" s="108"/>
      <c r="AD99" s="108"/>
      <c r="AE99" s="109"/>
      <c r="AF99" s="109"/>
      <c r="AG99" s="107">
        <f t="shared" si="13"/>
        <v>-1500.0042857142857</v>
      </c>
      <c r="AH99" s="110">
        <f t="shared" si="14"/>
        <v>-4.2857142857428698E-3</v>
      </c>
    </row>
    <row r="100" spans="1:34" s="111" customFormat="1" ht="21" customHeight="1" x14ac:dyDescent="0.2">
      <c r="A100" s="102">
        <v>43340</v>
      </c>
      <c r="B100" s="103"/>
      <c r="C100" s="20" t="s">
        <v>745</v>
      </c>
      <c r="D100" s="20" t="s">
        <v>746</v>
      </c>
      <c r="E100" s="20" t="s">
        <v>277</v>
      </c>
      <c r="F100" s="104">
        <v>31561</v>
      </c>
      <c r="G100" s="105" t="s">
        <v>593</v>
      </c>
      <c r="H100" s="67"/>
      <c r="I100" s="67"/>
      <c r="J100" s="67"/>
      <c r="K100" s="67">
        <v>299</v>
      </c>
      <c r="L100" s="106"/>
      <c r="M100" s="107">
        <f t="shared" si="10"/>
        <v>266.96428571428567</v>
      </c>
      <c r="N100" s="107">
        <f t="shared" si="11"/>
        <v>32.035714285714278</v>
      </c>
      <c r="O100" s="107">
        <f t="shared" si="12"/>
        <v>0</v>
      </c>
      <c r="P100" s="107">
        <v>266.95999999999998</v>
      </c>
      <c r="Q100" s="107"/>
      <c r="R100" s="107"/>
      <c r="S100" s="107"/>
      <c r="T100" s="108"/>
      <c r="U100" s="108"/>
      <c r="V100" s="108"/>
      <c r="W100" s="108"/>
      <c r="X100" s="108"/>
      <c r="Y100" s="107"/>
      <c r="Z100" s="107"/>
      <c r="AA100" s="107"/>
      <c r="AB100" s="107"/>
      <c r="AC100" s="108"/>
      <c r="AD100" s="108"/>
      <c r="AE100" s="109"/>
      <c r="AF100" s="109"/>
      <c r="AG100" s="107">
        <f t="shared" si="13"/>
        <v>-298.99571428571426</v>
      </c>
      <c r="AH100" s="110">
        <f t="shared" si="14"/>
        <v>4.2857142857428698E-3</v>
      </c>
    </row>
    <row r="101" spans="1:34" s="111" customFormat="1" ht="21" customHeight="1" x14ac:dyDescent="0.2">
      <c r="A101" s="102">
        <v>43340</v>
      </c>
      <c r="B101" s="103"/>
      <c r="C101" s="20" t="s">
        <v>745</v>
      </c>
      <c r="D101" s="20" t="s">
        <v>746</v>
      </c>
      <c r="E101" s="20" t="s">
        <v>277</v>
      </c>
      <c r="F101" s="104">
        <v>316942</v>
      </c>
      <c r="G101" s="105" t="s">
        <v>776</v>
      </c>
      <c r="H101" s="67"/>
      <c r="I101" s="67"/>
      <c r="J101" s="67"/>
      <c r="K101" s="67">
        <v>175</v>
      </c>
      <c r="L101" s="106"/>
      <c r="M101" s="107">
        <f t="shared" ref="M101:M119" si="15">SUM(H101:J101,K101/1.12)</f>
        <v>156.24999999999997</v>
      </c>
      <c r="N101" s="107">
        <f t="shared" ref="N101:N119" si="16">K101/1.12*0.12</f>
        <v>18.749999999999996</v>
      </c>
      <c r="O101" s="107">
        <f t="shared" ref="O101:O119" si="17">-SUM(I101:J101,K101/1.12)*L101</f>
        <v>0</v>
      </c>
      <c r="P101" s="107">
        <v>156.25</v>
      </c>
      <c r="Q101" s="107"/>
      <c r="R101" s="107"/>
      <c r="S101" s="107"/>
      <c r="T101" s="108"/>
      <c r="U101" s="108"/>
      <c r="V101" s="108"/>
      <c r="W101" s="108"/>
      <c r="X101" s="108"/>
      <c r="Y101" s="107"/>
      <c r="Z101" s="107"/>
      <c r="AA101" s="107"/>
      <c r="AB101" s="107"/>
      <c r="AC101" s="108"/>
      <c r="AD101" s="108"/>
      <c r="AE101" s="109"/>
      <c r="AF101" s="109"/>
      <c r="AG101" s="107">
        <f t="shared" ref="AG101:AG119" si="18">-SUM(N101:AF101)</f>
        <v>-175</v>
      </c>
      <c r="AH101" s="110">
        <f t="shared" ref="AH101:AH119" si="19">SUM(H101:K101)+AG101+O101</f>
        <v>0</v>
      </c>
    </row>
    <row r="102" spans="1:34" s="111" customFormat="1" ht="21" customHeight="1" x14ac:dyDescent="0.2">
      <c r="A102" s="102">
        <v>43340</v>
      </c>
      <c r="B102" s="103"/>
      <c r="C102" s="20" t="s">
        <v>613</v>
      </c>
      <c r="D102" s="20"/>
      <c r="E102" s="20"/>
      <c r="F102" s="104"/>
      <c r="G102" s="105" t="s">
        <v>777</v>
      </c>
      <c r="H102" s="67"/>
      <c r="I102" s="67"/>
      <c r="J102" s="67">
        <v>1250</v>
      </c>
      <c r="K102" s="67"/>
      <c r="L102" s="106"/>
      <c r="M102" s="107">
        <f t="shared" si="15"/>
        <v>1250</v>
      </c>
      <c r="N102" s="107">
        <f t="shared" si="16"/>
        <v>0</v>
      </c>
      <c r="O102" s="107">
        <f t="shared" si="17"/>
        <v>0</v>
      </c>
      <c r="P102" s="107">
        <v>1250</v>
      </c>
      <c r="Q102" s="107"/>
      <c r="R102" s="107"/>
      <c r="S102" s="107"/>
      <c r="T102" s="108"/>
      <c r="U102" s="108"/>
      <c r="V102" s="108"/>
      <c r="W102" s="108"/>
      <c r="X102" s="108"/>
      <c r="Y102" s="107"/>
      <c r="Z102" s="107"/>
      <c r="AA102" s="107"/>
      <c r="AB102" s="107"/>
      <c r="AC102" s="108"/>
      <c r="AD102" s="108"/>
      <c r="AE102" s="109"/>
      <c r="AF102" s="109"/>
      <c r="AG102" s="107">
        <f t="shared" si="18"/>
        <v>-1250</v>
      </c>
      <c r="AH102" s="110">
        <f t="shared" si="19"/>
        <v>0</v>
      </c>
    </row>
    <row r="103" spans="1:34" s="111" customFormat="1" ht="21" customHeight="1" x14ac:dyDescent="0.2">
      <c r="A103" s="102">
        <v>43340</v>
      </c>
      <c r="B103" s="103"/>
      <c r="C103" s="20" t="s">
        <v>68</v>
      </c>
      <c r="D103" s="20"/>
      <c r="E103" s="20"/>
      <c r="F103" s="104"/>
      <c r="G103" s="105" t="s">
        <v>778</v>
      </c>
      <c r="H103" s="67">
        <v>40</v>
      </c>
      <c r="I103" s="67"/>
      <c r="J103" s="67"/>
      <c r="K103" s="67"/>
      <c r="L103" s="106"/>
      <c r="M103" s="107">
        <f t="shared" si="15"/>
        <v>40</v>
      </c>
      <c r="N103" s="107">
        <f t="shared" si="16"/>
        <v>0</v>
      </c>
      <c r="O103" s="107">
        <f t="shared" si="17"/>
        <v>0</v>
      </c>
      <c r="P103" s="107"/>
      <c r="Q103" s="107"/>
      <c r="R103" s="107"/>
      <c r="S103" s="107"/>
      <c r="T103" s="108"/>
      <c r="U103" s="108"/>
      <c r="V103" s="108"/>
      <c r="W103" s="108"/>
      <c r="X103" s="108"/>
      <c r="Y103" s="107"/>
      <c r="Z103" s="107"/>
      <c r="AA103" s="107">
        <v>40</v>
      </c>
      <c r="AB103" s="107"/>
      <c r="AC103" s="108"/>
      <c r="AD103" s="108"/>
      <c r="AE103" s="109"/>
      <c r="AF103" s="109"/>
      <c r="AG103" s="107">
        <f t="shared" si="18"/>
        <v>-40</v>
      </c>
      <c r="AH103" s="110">
        <f t="shared" si="19"/>
        <v>0</v>
      </c>
    </row>
    <row r="104" spans="1:34" s="111" customFormat="1" ht="21" customHeight="1" x14ac:dyDescent="0.2">
      <c r="A104" s="102">
        <v>43340</v>
      </c>
      <c r="B104" s="103"/>
      <c r="C104" s="20" t="s">
        <v>705</v>
      </c>
      <c r="D104" s="20" t="s">
        <v>706</v>
      </c>
      <c r="E104" s="20" t="s">
        <v>707</v>
      </c>
      <c r="F104" s="104">
        <v>161340</v>
      </c>
      <c r="G104" s="104" t="s">
        <v>40</v>
      </c>
      <c r="H104" s="67"/>
      <c r="I104" s="67"/>
      <c r="J104" s="67"/>
      <c r="K104" s="67">
        <v>255</v>
      </c>
      <c r="L104" s="106"/>
      <c r="M104" s="107">
        <f t="shared" si="15"/>
        <v>227.67857142857142</v>
      </c>
      <c r="N104" s="107">
        <f t="shared" si="16"/>
        <v>27.321428571428569</v>
      </c>
      <c r="O104" s="107">
        <f t="shared" si="17"/>
        <v>0</v>
      </c>
      <c r="P104" s="107"/>
      <c r="Q104" s="107">
        <v>227.68</v>
      </c>
      <c r="R104" s="107"/>
      <c r="S104" s="107"/>
      <c r="T104" s="108"/>
      <c r="U104" s="108"/>
      <c r="V104" s="108"/>
      <c r="W104" s="108"/>
      <c r="X104" s="108"/>
      <c r="Y104" s="107"/>
      <c r="Z104" s="107"/>
      <c r="AA104" s="107"/>
      <c r="AB104" s="107"/>
      <c r="AC104" s="108"/>
      <c r="AD104" s="108"/>
      <c r="AE104" s="109"/>
      <c r="AF104" s="109"/>
      <c r="AG104" s="107">
        <f t="shared" si="18"/>
        <v>-255.00142857142856</v>
      </c>
      <c r="AH104" s="110">
        <f t="shared" si="19"/>
        <v>-1.4285714285620088E-3</v>
      </c>
    </row>
    <row r="105" spans="1:34" s="111" customFormat="1" ht="24" customHeight="1" x14ac:dyDescent="0.2">
      <c r="A105" s="102">
        <v>43341</v>
      </c>
      <c r="B105" s="103"/>
      <c r="C105" s="20" t="s">
        <v>705</v>
      </c>
      <c r="D105" s="20" t="s">
        <v>706</v>
      </c>
      <c r="E105" s="20" t="s">
        <v>707</v>
      </c>
      <c r="F105" s="104">
        <v>161386</v>
      </c>
      <c r="G105" s="105" t="s">
        <v>40</v>
      </c>
      <c r="H105" s="67"/>
      <c r="I105" s="67"/>
      <c r="J105" s="67"/>
      <c r="K105" s="67">
        <v>170</v>
      </c>
      <c r="L105" s="106"/>
      <c r="M105" s="107">
        <f t="shared" si="15"/>
        <v>151.78571428571428</v>
      </c>
      <c r="N105" s="107">
        <f t="shared" si="16"/>
        <v>18.214285714285712</v>
      </c>
      <c r="O105" s="107">
        <f t="shared" si="17"/>
        <v>0</v>
      </c>
      <c r="P105" s="107"/>
      <c r="Q105" s="107">
        <v>151.79</v>
      </c>
      <c r="R105" s="107"/>
      <c r="S105" s="107"/>
      <c r="T105" s="108"/>
      <c r="U105" s="108"/>
      <c r="V105" s="108"/>
      <c r="W105" s="108"/>
      <c r="X105" s="108"/>
      <c r="Y105" s="107"/>
      <c r="Z105" s="107"/>
      <c r="AA105" s="107"/>
      <c r="AB105" s="107"/>
      <c r="AC105" s="108"/>
      <c r="AD105" s="108"/>
      <c r="AE105" s="109"/>
      <c r="AF105" s="109"/>
      <c r="AG105" s="107">
        <f t="shared" si="18"/>
        <v>-170.00428571428571</v>
      </c>
      <c r="AH105" s="110">
        <f t="shared" si="19"/>
        <v>-4.2857142857144481E-3</v>
      </c>
    </row>
    <row r="106" spans="1:34" s="111" customFormat="1" ht="21" customHeight="1" x14ac:dyDescent="0.2">
      <c r="A106" s="102">
        <v>43341</v>
      </c>
      <c r="B106" s="103"/>
      <c r="C106" s="20" t="s">
        <v>557</v>
      </c>
      <c r="D106" s="20" t="s">
        <v>558</v>
      </c>
      <c r="E106" s="20" t="s">
        <v>443</v>
      </c>
      <c r="F106" s="104">
        <v>9019</v>
      </c>
      <c r="G106" s="105" t="s">
        <v>779</v>
      </c>
      <c r="H106" s="67"/>
      <c r="I106" s="67"/>
      <c r="J106" s="67"/>
      <c r="K106" s="67">
        <v>1475</v>
      </c>
      <c r="L106" s="106">
        <v>0.01</v>
      </c>
      <c r="M106" s="107">
        <f t="shared" si="15"/>
        <v>1316.9642857142856</v>
      </c>
      <c r="N106" s="107">
        <f t="shared" si="16"/>
        <v>158.03571428571425</v>
      </c>
      <c r="O106" s="107">
        <f t="shared" si="17"/>
        <v>-13.169642857142856</v>
      </c>
      <c r="P106" s="107"/>
      <c r="Q106" s="107">
        <v>1316.96</v>
      </c>
      <c r="R106" s="107"/>
      <c r="S106" s="107"/>
      <c r="T106" s="108"/>
      <c r="U106" s="108"/>
      <c r="V106" s="108"/>
      <c r="W106" s="108"/>
      <c r="X106" s="108"/>
      <c r="Y106" s="107"/>
      <c r="Z106" s="107"/>
      <c r="AA106" s="107"/>
      <c r="AB106" s="107"/>
      <c r="AC106" s="108"/>
      <c r="AD106" s="108"/>
      <c r="AE106" s="109"/>
      <c r="AF106" s="109"/>
      <c r="AG106" s="107">
        <f t="shared" si="18"/>
        <v>-1461.8260714285714</v>
      </c>
      <c r="AH106" s="110">
        <f t="shared" si="19"/>
        <v>4.2857142857766206E-3</v>
      </c>
    </row>
    <row r="107" spans="1:34" s="111" customFormat="1" ht="24" customHeight="1" x14ac:dyDescent="0.2">
      <c r="A107" s="102">
        <v>43341</v>
      </c>
      <c r="B107" s="103"/>
      <c r="C107" s="20" t="s">
        <v>68</v>
      </c>
      <c r="D107" s="20"/>
      <c r="E107" s="20"/>
      <c r="F107" s="104"/>
      <c r="G107" s="105" t="s">
        <v>780</v>
      </c>
      <c r="H107" s="67">
        <v>40</v>
      </c>
      <c r="I107" s="67"/>
      <c r="J107" s="67"/>
      <c r="K107" s="67"/>
      <c r="L107" s="106"/>
      <c r="M107" s="107">
        <f t="shared" si="15"/>
        <v>40</v>
      </c>
      <c r="N107" s="107">
        <f t="shared" si="16"/>
        <v>0</v>
      </c>
      <c r="O107" s="107">
        <f t="shared" si="17"/>
        <v>0</v>
      </c>
      <c r="P107" s="107"/>
      <c r="Q107" s="107"/>
      <c r="R107" s="107"/>
      <c r="S107" s="107"/>
      <c r="T107" s="108"/>
      <c r="U107" s="108"/>
      <c r="V107" s="108"/>
      <c r="W107" s="108"/>
      <c r="X107" s="108"/>
      <c r="Y107" s="107"/>
      <c r="Z107" s="107"/>
      <c r="AA107" s="107">
        <v>40</v>
      </c>
      <c r="AB107" s="107"/>
      <c r="AC107" s="108"/>
      <c r="AD107" s="108"/>
      <c r="AE107" s="109"/>
      <c r="AF107" s="109"/>
      <c r="AG107" s="107">
        <f t="shared" si="18"/>
        <v>-40</v>
      </c>
      <c r="AH107" s="110">
        <f t="shared" si="19"/>
        <v>0</v>
      </c>
    </row>
    <row r="108" spans="1:34" s="111" customFormat="1" ht="24" customHeight="1" x14ac:dyDescent="0.2">
      <c r="A108" s="102">
        <v>43342</v>
      </c>
      <c r="B108" s="103"/>
      <c r="C108" s="20" t="s">
        <v>518</v>
      </c>
      <c r="D108" s="20" t="s">
        <v>519</v>
      </c>
      <c r="E108" s="20" t="s">
        <v>554</v>
      </c>
      <c r="F108" s="104">
        <v>1651</v>
      </c>
      <c r="G108" s="105" t="s">
        <v>781</v>
      </c>
      <c r="H108" s="67"/>
      <c r="I108" s="67"/>
      <c r="J108" s="67"/>
      <c r="K108" s="67">
        <v>4050</v>
      </c>
      <c r="L108" s="106">
        <v>0.01</v>
      </c>
      <c r="M108" s="107">
        <f t="shared" si="15"/>
        <v>3616.0714285714284</v>
      </c>
      <c r="N108" s="107">
        <f t="shared" si="16"/>
        <v>433.92857142857139</v>
      </c>
      <c r="O108" s="107">
        <f t="shared" si="17"/>
        <v>-36.160714285714285</v>
      </c>
      <c r="P108" s="107">
        <v>3616.07</v>
      </c>
      <c r="Q108" s="107"/>
      <c r="R108" s="107"/>
      <c r="S108" s="107"/>
      <c r="T108" s="108"/>
      <c r="U108" s="108"/>
      <c r="V108" s="108"/>
      <c r="W108" s="108"/>
      <c r="X108" s="108"/>
      <c r="Y108" s="107"/>
      <c r="Z108" s="107"/>
      <c r="AA108" s="107"/>
      <c r="AB108" s="107"/>
      <c r="AC108" s="108"/>
      <c r="AD108" s="108"/>
      <c r="AE108" s="109"/>
      <c r="AF108" s="109"/>
      <c r="AG108" s="107">
        <f t="shared" si="18"/>
        <v>-4013.8378571428575</v>
      </c>
      <c r="AH108" s="110">
        <f t="shared" si="19"/>
        <v>1.4285714282138429E-3</v>
      </c>
    </row>
    <row r="109" spans="1:34" s="111" customFormat="1" ht="24" customHeight="1" x14ac:dyDescent="0.2">
      <c r="A109" s="102">
        <v>43342</v>
      </c>
      <c r="B109" s="103"/>
      <c r="C109" s="20" t="s">
        <v>557</v>
      </c>
      <c r="D109" s="20" t="s">
        <v>558</v>
      </c>
      <c r="E109" s="20" t="s">
        <v>443</v>
      </c>
      <c r="F109" s="104">
        <v>9254</v>
      </c>
      <c r="G109" s="105" t="s">
        <v>782</v>
      </c>
      <c r="H109" s="67"/>
      <c r="I109" s="67"/>
      <c r="J109" s="67"/>
      <c r="K109" s="67">
        <v>1745</v>
      </c>
      <c r="L109" s="106">
        <v>0.01</v>
      </c>
      <c r="M109" s="107">
        <f t="shared" si="15"/>
        <v>1558.0357142857142</v>
      </c>
      <c r="N109" s="107">
        <f t="shared" si="16"/>
        <v>186.96428571428569</v>
      </c>
      <c r="O109" s="107">
        <f t="shared" si="17"/>
        <v>-15.580357142857142</v>
      </c>
      <c r="P109" s="107"/>
      <c r="Q109" s="107">
        <v>1558.04</v>
      </c>
      <c r="R109" s="107"/>
      <c r="S109" s="107"/>
      <c r="T109" s="108"/>
      <c r="U109" s="108"/>
      <c r="V109" s="108"/>
      <c r="W109" s="108"/>
      <c r="X109" s="108"/>
      <c r="Y109" s="107"/>
      <c r="Z109" s="107"/>
      <c r="AA109" s="107"/>
      <c r="AB109" s="107"/>
      <c r="AC109" s="108"/>
      <c r="AD109" s="108"/>
      <c r="AE109" s="109"/>
      <c r="AF109" s="109"/>
      <c r="AG109" s="107">
        <f t="shared" si="18"/>
        <v>-1729.4239285714284</v>
      </c>
      <c r="AH109" s="110">
        <f t="shared" si="19"/>
        <v>-4.2857142855474706E-3</v>
      </c>
    </row>
    <row r="110" spans="1:34" s="111" customFormat="1" ht="24" customHeight="1" x14ac:dyDescent="0.2">
      <c r="A110" s="102">
        <v>43342</v>
      </c>
      <c r="B110" s="103"/>
      <c r="C110" s="20" t="s">
        <v>705</v>
      </c>
      <c r="D110" s="20" t="s">
        <v>706</v>
      </c>
      <c r="E110" s="20" t="s">
        <v>707</v>
      </c>
      <c r="F110" s="104">
        <v>161432</v>
      </c>
      <c r="G110" s="105" t="s">
        <v>40</v>
      </c>
      <c r="H110" s="67"/>
      <c r="I110" s="67"/>
      <c r="J110" s="67"/>
      <c r="K110" s="67">
        <v>170</v>
      </c>
      <c r="L110" s="106"/>
      <c r="M110" s="107">
        <f t="shared" si="15"/>
        <v>151.78571428571428</v>
      </c>
      <c r="N110" s="107">
        <f t="shared" si="16"/>
        <v>18.214285714285712</v>
      </c>
      <c r="O110" s="107">
        <f t="shared" si="17"/>
        <v>0</v>
      </c>
      <c r="P110" s="107"/>
      <c r="Q110" s="107">
        <v>151.79</v>
      </c>
      <c r="R110" s="107"/>
      <c r="S110" s="107"/>
      <c r="T110" s="108"/>
      <c r="U110" s="108"/>
      <c r="V110" s="108"/>
      <c r="W110" s="108"/>
      <c r="X110" s="108"/>
      <c r="Y110" s="107"/>
      <c r="Z110" s="107"/>
      <c r="AA110" s="107"/>
      <c r="AB110" s="107"/>
      <c r="AC110" s="108"/>
      <c r="AD110" s="108"/>
      <c r="AE110" s="109"/>
      <c r="AF110" s="109"/>
      <c r="AG110" s="107">
        <f t="shared" si="18"/>
        <v>-170.00428571428571</v>
      </c>
      <c r="AH110" s="110">
        <f t="shared" si="19"/>
        <v>-4.2857142857144481E-3</v>
      </c>
    </row>
    <row r="111" spans="1:34" s="111" customFormat="1" ht="21" customHeight="1" x14ac:dyDescent="0.2">
      <c r="A111" s="102">
        <v>43342</v>
      </c>
      <c r="B111" s="103"/>
      <c r="C111" s="20" t="s">
        <v>518</v>
      </c>
      <c r="D111" s="20" t="s">
        <v>519</v>
      </c>
      <c r="E111" s="20" t="s">
        <v>554</v>
      </c>
      <c r="F111" s="104">
        <v>1653</v>
      </c>
      <c r="G111" s="104" t="s">
        <v>781</v>
      </c>
      <c r="H111" s="67"/>
      <c r="I111" s="67"/>
      <c r="J111" s="67"/>
      <c r="K111" s="67">
        <v>675</v>
      </c>
      <c r="L111" s="106">
        <v>0.01</v>
      </c>
      <c r="M111" s="107">
        <f t="shared" si="15"/>
        <v>602.67857142857133</v>
      </c>
      <c r="N111" s="107">
        <f t="shared" si="16"/>
        <v>72.321428571428555</v>
      </c>
      <c r="O111" s="107">
        <f t="shared" si="17"/>
        <v>-6.0267857142857135</v>
      </c>
      <c r="P111" s="107">
        <v>602.67999999999995</v>
      </c>
      <c r="Q111" s="107"/>
      <c r="R111" s="107"/>
      <c r="S111" s="107"/>
      <c r="T111" s="108"/>
      <c r="U111" s="108"/>
      <c r="V111" s="108"/>
      <c r="W111" s="108"/>
      <c r="X111" s="108"/>
      <c r="Y111" s="107"/>
      <c r="Z111" s="107"/>
      <c r="AA111" s="107"/>
      <c r="AB111" s="107"/>
      <c r="AC111" s="108"/>
      <c r="AD111" s="108"/>
      <c r="AE111" s="109"/>
      <c r="AF111" s="109"/>
      <c r="AG111" s="107">
        <f t="shared" si="18"/>
        <v>-668.97464285714284</v>
      </c>
      <c r="AH111" s="110">
        <f t="shared" si="19"/>
        <v>-1.428571428553127E-3</v>
      </c>
    </row>
    <row r="112" spans="1:34" s="111" customFormat="1" ht="21" customHeight="1" x14ac:dyDescent="0.2">
      <c r="A112" s="102">
        <v>43342</v>
      </c>
      <c r="B112" s="103"/>
      <c r="C112" s="20" t="s">
        <v>45</v>
      </c>
      <c r="D112" s="20"/>
      <c r="E112" s="20"/>
      <c r="F112" s="104"/>
      <c r="G112" s="105" t="s">
        <v>783</v>
      </c>
      <c r="H112" s="67">
        <v>50</v>
      </c>
      <c r="I112" s="67"/>
      <c r="J112" s="67"/>
      <c r="K112" s="67"/>
      <c r="L112" s="106"/>
      <c r="M112" s="107">
        <f t="shared" si="15"/>
        <v>50</v>
      </c>
      <c r="N112" s="107">
        <f t="shared" si="16"/>
        <v>0</v>
      </c>
      <c r="O112" s="107">
        <f t="shared" si="17"/>
        <v>0</v>
      </c>
      <c r="P112" s="107"/>
      <c r="Q112" s="107"/>
      <c r="R112" s="107"/>
      <c r="S112" s="107"/>
      <c r="T112" s="108"/>
      <c r="U112" s="108"/>
      <c r="V112" s="108"/>
      <c r="W112" s="108"/>
      <c r="X112" s="108"/>
      <c r="Y112" s="107"/>
      <c r="Z112" s="107"/>
      <c r="AA112" s="107">
        <v>50</v>
      </c>
      <c r="AB112" s="107"/>
      <c r="AC112" s="108"/>
      <c r="AD112" s="108"/>
      <c r="AE112" s="109"/>
      <c r="AF112" s="109"/>
      <c r="AG112" s="107">
        <f t="shared" si="18"/>
        <v>-50</v>
      </c>
      <c r="AH112" s="110">
        <f t="shared" si="19"/>
        <v>0</v>
      </c>
    </row>
    <row r="113" spans="1:34" s="111" customFormat="1" ht="21" customHeight="1" x14ac:dyDescent="0.2">
      <c r="A113" s="102">
        <v>43343</v>
      </c>
      <c r="B113" s="103"/>
      <c r="C113" s="20" t="s">
        <v>784</v>
      </c>
      <c r="D113" s="20" t="s">
        <v>785</v>
      </c>
      <c r="E113" s="20" t="s">
        <v>786</v>
      </c>
      <c r="F113" s="104">
        <v>24246</v>
      </c>
      <c r="G113" s="105" t="s">
        <v>290</v>
      </c>
      <c r="H113" s="67"/>
      <c r="I113" s="67"/>
      <c r="J113" s="67"/>
      <c r="K113" s="67">
        <v>150</v>
      </c>
      <c r="L113" s="106"/>
      <c r="M113" s="107">
        <f t="shared" si="15"/>
        <v>133.92857142857142</v>
      </c>
      <c r="N113" s="107">
        <f t="shared" si="16"/>
        <v>16.071428571428569</v>
      </c>
      <c r="O113" s="107">
        <f t="shared" si="17"/>
        <v>0</v>
      </c>
      <c r="P113" s="107">
        <v>133.93</v>
      </c>
      <c r="Q113" s="107"/>
      <c r="R113" s="107"/>
      <c r="S113" s="107"/>
      <c r="T113" s="108"/>
      <c r="U113" s="108"/>
      <c r="V113" s="108"/>
      <c r="W113" s="108"/>
      <c r="X113" s="108"/>
      <c r="Y113" s="107"/>
      <c r="Z113" s="107"/>
      <c r="AA113" s="107"/>
      <c r="AB113" s="107"/>
      <c r="AC113" s="108"/>
      <c r="AD113" s="108"/>
      <c r="AE113" s="109"/>
      <c r="AF113" s="109"/>
      <c r="AG113" s="107">
        <f t="shared" si="18"/>
        <v>-150.00142857142856</v>
      </c>
      <c r="AH113" s="110">
        <f t="shared" si="19"/>
        <v>-1.4285714285620088E-3</v>
      </c>
    </row>
    <row r="114" spans="1:34" s="128" customFormat="1" ht="21.75" hidden="1" customHeight="1" x14ac:dyDescent="0.2">
      <c r="A114" s="123"/>
      <c r="B114" s="124"/>
      <c r="C114" s="20"/>
      <c r="D114" s="20"/>
      <c r="E114" s="20"/>
      <c r="F114" s="104"/>
      <c r="G114" s="105"/>
      <c r="H114" s="23"/>
      <c r="I114" s="23"/>
      <c r="J114" s="23"/>
      <c r="K114" s="23"/>
      <c r="L114" s="125"/>
      <c r="M114" s="126">
        <f t="shared" si="15"/>
        <v>0</v>
      </c>
      <c r="N114" s="126">
        <f t="shared" si="16"/>
        <v>0</v>
      </c>
      <c r="O114" s="126">
        <f t="shared" si="17"/>
        <v>0</v>
      </c>
      <c r="P114" s="126"/>
      <c r="Q114" s="126"/>
      <c r="R114" s="126"/>
      <c r="S114" s="126"/>
      <c r="T114" s="127"/>
      <c r="U114" s="127"/>
      <c r="V114" s="127"/>
      <c r="W114" s="127"/>
      <c r="X114" s="127"/>
      <c r="Y114" s="126"/>
      <c r="Z114" s="126"/>
      <c r="AA114" s="126"/>
      <c r="AB114" s="126"/>
      <c r="AC114" s="126"/>
      <c r="AD114" s="126"/>
      <c r="AE114" s="126"/>
      <c r="AF114" s="126"/>
      <c r="AG114" s="126">
        <f t="shared" si="18"/>
        <v>0</v>
      </c>
      <c r="AH114" s="110">
        <f t="shared" si="19"/>
        <v>0</v>
      </c>
    </row>
    <row r="115" spans="1:34" s="128" customFormat="1" ht="21.75" customHeight="1" x14ac:dyDescent="0.2">
      <c r="A115" s="123">
        <v>43343</v>
      </c>
      <c r="B115" s="124"/>
      <c r="C115" s="20" t="s">
        <v>745</v>
      </c>
      <c r="D115" s="20" t="s">
        <v>746</v>
      </c>
      <c r="E115" s="20" t="s">
        <v>277</v>
      </c>
      <c r="F115" s="104">
        <v>31639</v>
      </c>
      <c r="G115" s="105" t="s">
        <v>787</v>
      </c>
      <c r="H115" s="23"/>
      <c r="I115" s="23"/>
      <c r="J115" s="23"/>
      <c r="K115" s="23">
        <v>349.32</v>
      </c>
      <c r="L115" s="125"/>
      <c r="M115" s="107">
        <f t="shared" si="15"/>
        <v>311.89285714285711</v>
      </c>
      <c r="N115" s="107">
        <f t="shared" si="16"/>
        <v>37.427142857142854</v>
      </c>
      <c r="O115" s="107">
        <f t="shared" si="17"/>
        <v>0</v>
      </c>
      <c r="P115" s="107">
        <v>311.89</v>
      </c>
      <c r="Q115" s="107"/>
      <c r="R115" s="107"/>
      <c r="S115" s="107"/>
      <c r="T115" s="108"/>
      <c r="U115" s="108"/>
      <c r="V115" s="108"/>
      <c r="W115" s="108"/>
      <c r="X115" s="108"/>
      <c r="Y115" s="107"/>
      <c r="Z115" s="107"/>
      <c r="AA115" s="107"/>
      <c r="AB115" s="107"/>
      <c r="AC115" s="108"/>
      <c r="AD115" s="108"/>
      <c r="AE115" s="109"/>
      <c r="AF115" s="109"/>
      <c r="AG115" s="107">
        <f t="shared" si="18"/>
        <v>-349.31714285714281</v>
      </c>
      <c r="AH115" s="110">
        <f t="shared" si="19"/>
        <v>2.857142857180861E-3</v>
      </c>
    </row>
    <row r="116" spans="1:34" s="128" customFormat="1" ht="21.75" customHeight="1" x14ac:dyDescent="0.2">
      <c r="A116" s="123">
        <v>43343</v>
      </c>
      <c r="B116" s="124"/>
      <c r="C116" s="20" t="s">
        <v>745</v>
      </c>
      <c r="D116" s="20" t="s">
        <v>746</v>
      </c>
      <c r="E116" s="20" t="s">
        <v>277</v>
      </c>
      <c r="F116" s="104">
        <v>31572</v>
      </c>
      <c r="G116" s="105" t="s">
        <v>788</v>
      </c>
      <c r="H116" s="23"/>
      <c r="I116" s="23"/>
      <c r="J116" s="23"/>
      <c r="K116" s="23">
        <v>151</v>
      </c>
      <c r="L116" s="125"/>
      <c r="M116" s="107">
        <f t="shared" si="15"/>
        <v>134.82142857142856</v>
      </c>
      <c r="N116" s="107">
        <f t="shared" si="16"/>
        <v>16.178571428571427</v>
      </c>
      <c r="O116" s="107">
        <f t="shared" si="17"/>
        <v>0</v>
      </c>
      <c r="P116" s="107">
        <v>134.82</v>
      </c>
      <c r="Q116" s="107"/>
      <c r="R116" s="107"/>
      <c r="S116" s="107"/>
      <c r="T116" s="108"/>
      <c r="U116" s="108"/>
      <c r="V116" s="108"/>
      <c r="W116" s="108"/>
      <c r="X116" s="108"/>
      <c r="Y116" s="107"/>
      <c r="Z116" s="107"/>
      <c r="AA116" s="107"/>
      <c r="AB116" s="107"/>
      <c r="AC116" s="108"/>
      <c r="AD116" s="108"/>
      <c r="AE116" s="109"/>
      <c r="AF116" s="109"/>
      <c r="AG116" s="107">
        <f t="shared" si="18"/>
        <v>-150.99857142857141</v>
      </c>
      <c r="AH116" s="110">
        <f t="shared" si="19"/>
        <v>1.4285714285904305E-3</v>
      </c>
    </row>
    <row r="117" spans="1:34" s="128" customFormat="1" ht="21.75" customHeight="1" x14ac:dyDescent="0.2">
      <c r="A117" s="123">
        <v>43343</v>
      </c>
      <c r="B117" s="124"/>
      <c r="C117" s="20" t="s">
        <v>705</v>
      </c>
      <c r="D117" s="20" t="s">
        <v>706</v>
      </c>
      <c r="E117" s="20" t="s">
        <v>707</v>
      </c>
      <c r="F117" s="104">
        <v>160877</v>
      </c>
      <c r="G117" s="105" t="s">
        <v>40</v>
      </c>
      <c r="H117" s="23"/>
      <c r="I117" s="23"/>
      <c r="J117" s="23"/>
      <c r="K117" s="23">
        <v>170</v>
      </c>
      <c r="L117" s="125"/>
      <c r="M117" s="107">
        <f t="shared" si="15"/>
        <v>151.78571428571428</v>
      </c>
      <c r="N117" s="107">
        <f t="shared" si="16"/>
        <v>18.214285714285712</v>
      </c>
      <c r="O117" s="107">
        <f t="shared" si="17"/>
        <v>0</v>
      </c>
      <c r="P117" s="107"/>
      <c r="Q117" s="107">
        <v>151.79</v>
      </c>
      <c r="R117" s="107"/>
      <c r="S117" s="107"/>
      <c r="T117" s="108"/>
      <c r="U117" s="108"/>
      <c r="V117" s="108"/>
      <c r="W117" s="108"/>
      <c r="X117" s="108"/>
      <c r="Y117" s="107"/>
      <c r="Z117" s="107"/>
      <c r="AA117" s="107"/>
      <c r="AB117" s="107"/>
      <c r="AC117" s="108"/>
      <c r="AD117" s="108"/>
      <c r="AE117" s="109"/>
      <c r="AF117" s="109"/>
      <c r="AG117" s="107">
        <f t="shared" si="18"/>
        <v>-170.00428571428571</v>
      </c>
      <c r="AH117" s="110">
        <f t="shared" si="19"/>
        <v>-4.2857142857144481E-3</v>
      </c>
    </row>
    <row r="118" spans="1:34" s="128" customFormat="1" ht="21.75" customHeight="1" x14ac:dyDescent="0.2">
      <c r="A118" s="123">
        <v>43343</v>
      </c>
      <c r="B118" s="124"/>
      <c r="C118" s="20" t="s">
        <v>63</v>
      </c>
      <c r="D118" s="20" t="s">
        <v>64</v>
      </c>
      <c r="E118" s="20" t="s">
        <v>65</v>
      </c>
      <c r="F118" s="104">
        <v>137929</v>
      </c>
      <c r="G118" s="105" t="s">
        <v>404</v>
      </c>
      <c r="H118" s="23"/>
      <c r="I118" s="23"/>
      <c r="J118" s="23">
        <v>182.85</v>
      </c>
      <c r="K118" s="23"/>
      <c r="L118" s="125"/>
      <c r="M118" s="107">
        <f t="shared" si="15"/>
        <v>182.85</v>
      </c>
      <c r="N118" s="107">
        <f t="shared" si="16"/>
        <v>0</v>
      </c>
      <c r="O118" s="107">
        <f t="shared" si="17"/>
        <v>0</v>
      </c>
      <c r="P118" s="107">
        <v>182.85</v>
      </c>
      <c r="Q118" s="107"/>
      <c r="R118" s="107"/>
      <c r="S118" s="107"/>
      <c r="T118" s="108"/>
      <c r="U118" s="108"/>
      <c r="V118" s="108"/>
      <c r="W118" s="108"/>
      <c r="X118" s="108"/>
      <c r="Y118" s="107"/>
      <c r="Z118" s="107"/>
      <c r="AA118" s="107"/>
      <c r="AB118" s="107"/>
      <c r="AC118" s="108"/>
      <c r="AD118" s="108"/>
      <c r="AE118" s="109"/>
      <c r="AF118" s="109"/>
      <c r="AG118" s="107">
        <f t="shared" si="18"/>
        <v>-182.85</v>
      </c>
      <c r="AH118" s="110">
        <f t="shared" si="19"/>
        <v>0</v>
      </c>
    </row>
    <row r="119" spans="1:34" s="128" customFormat="1" ht="19.5" customHeight="1" x14ac:dyDescent="0.2">
      <c r="A119" s="123"/>
      <c r="B119" s="124"/>
      <c r="C119" s="47"/>
      <c r="D119" s="47"/>
      <c r="E119" s="47"/>
      <c r="F119" s="104"/>
      <c r="G119" s="105"/>
      <c r="H119" s="23"/>
      <c r="I119" s="23"/>
      <c r="J119" s="23"/>
      <c r="K119" s="23"/>
      <c r="L119" s="125"/>
      <c r="M119" s="126">
        <f t="shared" si="15"/>
        <v>0</v>
      </c>
      <c r="N119" s="126">
        <f t="shared" si="16"/>
        <v>0</v>
      </c>
      <c r="O119" s="126">
        <f t="shared" si="17"/>
        <v>0</v>
      </c>
      <c r="P119" s="126"/>
      <c r="Q119" s="126"/>
      <c r="R119" s="126"/>
      <c r="S119" s="126"/>
      <c r="T119" s="127"/>
      <c r="U119" s="127"/>
      <c r="V119" s="127"/>
      <c r="W119" s="127"/>
      <c r="X119" s="127"/>
      <c r="Y119" s="129"/>
      <c r="Z119" s="126"/>
      <c r="AA119" s="126"/>
      <c r="AB119" s="126"/>
      <c r="AC119" s="127"/>
      <c r="AD119" s="127"/>
      <c r="AE119" s="130"/>
      <c r="AF119" s="130"/>
      <c r="AG119" s="131">
        <f t="shared" si="18"/>
        <v>0</v>
      </c>
      <c r="AH119" s="110">
        <f t="shared" si="19"/>
        <v>0</v>
      </c>
    </row>
    <row r="120" spans="1:34" s="139" customFormat="1" ht="12" customHeight="1" x14ac:dyDescent="0.2">
      <c r="A120" s="132"/>
      <c r="B120" s="133"/>
      <c r="C120" s="134"/>
      <c r="D120" s="135"/>
      <c r="E120" s="135"/>
      <c r="F120" s="136"/>
      <c r="G120" s="134"/>
      <c r="H120" s="137">
        <f t="shared" ref="H120:AH120" si="20">SUM(H5:H119)</f>
        <v>6358</v>
      </c>
      <c r="I120" s="137">
        <f t="shared" si="20"/>
        <v>0</v>
      </c>
      <c r="J120" s="137">
        <f t="shared" si="20"/>
        <v>17137.149999999998</v>
      </c>
      <c r="K120" s="137">
        <f t="shared" si="20"/>
        <v>32418.219999999998</v>
      </c>
      <c r="L120" s="137">
        <f t="shared" si="20"/>
        <v>0.04</v>
      </c>
      <c r="M120" s="137">
        <f t="shared" si="20"/>
        <v>52439.989285714284</v>
      </c>
      <c r="N120" s="137">
        <f t="shared" si="20"/>
        <v>3473.380714285714</v>
      </c>
      <c r="O120" s="137">
        <f t="shared" si="20"/>
        <v>-70.937499999999986</v>
      </c>
      <c r="P120" s="137">
        <f t="shared" si="20"/>
        <v>34932.839999999997</v>
      </c>
      <c r="Q120" s="137">
        <f t="shared" si="20"/>
        <v>6484.44</v>
      </c>
      <c r="R120" s="137">
        <f t="shared" si="20"/>
        <v>1728</v>
      </c>
      <c r="S120" s="137">
        <f t="shared" si="20"/>
        <v>844.91</v>
      </c>
      <c r="T120" s="137">
        <f t="shared" si="20"/>
        <v>1754.6900000000003</v>
      </c>
      <c r="U120" s="137">
        <f t="shared" si="20"/>
        <v>304.45999999999998</v>
      </c>
      <c r="V120" s="137">
        <f t="shared" si="20"/>
        <v>0</v>
      </c>
      <c r="W120" s="137">
        <f t="shared" si="20"/>
        <v>0</v>
      </c>
      <c r="X120" s="137">
        <f t="shared" si="20"/>
        <v>561.61</v>
      </c>
      <c r="Y120" s="137">
        <f t="shared" si="20"/>
        <v>563.05999999999995</v>
      </c>
      <c r="Z120" s="137">
        <f t="shared" si="20"/>
        <v>258.02999999999997</v>
      </c>
      <c r="AA120" s="137">
        <f t="shared" si="20"/>
        <v>1000</v>
      </c>
      <c r="AB120" s="137">
        <f t="shared" si="20"/>
        <v>2008</v>
      </c>
      <c r="AC120" s="137">
        <f t="shared" si="20"/>
        <v>0</v>
      </c>
      <c r="AD120" s="137">
        <f t="shared" si="20"/>
        <v>2000</v>
      </c>
      <c r="AE120" s="137">
        <f t="shared" si="20"/>
        <v>0</v>
      </c>
      <c r="AF120" s="138">
        <f t="shared" si="20"/>
        <v>0</v>
      </c>
      <c r="AG120" s="137">
        <f t="shared" si="20"/>
        <v>-55842.483214285712</v>
      </c>
      <c r="AH120" s="137">
        <f t="shared" si="20"/>
        <v>-5.0714285713880258E-2</v>
      </c>
    </row>
    <row r="127" spans="1:34" x14ac:dyDescent="0.25">
      <c r="Q127" s="87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K174"/>
  <sheetViews>
    <sheetView topLeftCell="A166" zoomScale="90" zoomScaleNormal="90" workbookViewId="0">
      <selection activeCell="G167" sqref="A167:XFD172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30.21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9.77734375" style="3" customWidth="1"/>
    <col min="8" max="8" width="13.8867187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13.44140625" style="5" customWidth="1"/>
    <col min="19" max="19" width="10.21875" style="5" customWidth="1"/>
    <col min="20" max="21" width="11.44140625" style="5"/>
    <col min="22" max="23" width="8.6640625" style="5" customWidth="1"/>
    <col min="24" max="24" width="12.44140625" style="5" customWidth="1"/>
    <col min="25" max="25" width="11.77734375" style="5" customWidth="1"/>
    <col min="26" max="26" width="10.44140625" style="5" customWidth="1"/>
    <col min="27" max="27" width="10.88671875" style="5" customWidth="1"/>
    <col min="28" max="28" width="12" style="5" customWidth="1"/>
    <col min="29" max="30" width="10.109375" style="5" customWidth="1"/>
    <col min="31" max="31" width="12.77734375" style="5" customWidth="1"/>
    <col min="32" max="32" width="0.109375" style="5" customWidth="1"/>
    <col min="33" max="33" width="13.44140625" style="5" customWidth="1"/>
    <col min="34" max="34" width="13.44140625" style="3" customWidth="1"/>
    <col min="35" max="1025" width="11.4414062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697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72" customFormat="1" ht="21" customHeight="1" x14ac:dyDescent="0.2">
      <c r="A5" s="65">
        <v>43346</v>
      </c>
      <c r="B5" s="66"/>
      <c r="C5" s="20" t="s">
        <v>789</v>
      </c>
      <c r="D5" s="20"/>
      <c r="E5" s="20"/>
      <c r="F5" s="21"/>
      <c r="G5" s="22" t="s">
        <v>790</v>
      </c>
      <c r="H5" s="67">
        <v>2800</v>
      </c>
      <c r="I5" s="67"/>
      <c r="J5" s="67"/>
      <c r="K5" s="67"/>
      <c r="L5" s="68"/>
      <c r="M5" s="69">
        <f t="shared" ref="M5:M36" si="0">SUM(H5:J5,K5/1.12)</f>
        <v>2800</v>
      </c>
      <c r="N5" s="69">
        <f t="shared" ref="N5:N36" si="1">K5/1.12*0.12</f>
        <v>0</v>
      </c>
      <c r="O5" s="69">
        <f t="shared" ref="O5:O36" si="2">-SUM(I5:J5,K5/1.12)*L5</f>
        <v>0</v>
      </c>
      <c r="P5" s="69"/>
      <c r="Q5" s="69"/>
      <c r="R5" s="69"/>
      <c r="S5" s="69"/>
      <c r="T5" s="70"/>
      <c r="U5" s="70"/>
      <c r="V5" s="70"/>
      <c r="W5" s="70"/>
      <c r="X5" s="70"/>
      <c r="Y5" s="69"/>
      <c r="Z5" s="69"/>
      <c r="AA5" s="69"/>
      <c r="AB5" s="69"/>
      <c r="AC5" s="70"/>
      <c r="AD5" s="70">
        <v>2800</v>
      </c>
      <c r="AE5" s="71"/>
      <c r="AF5" s="71"/>
      <c r="AG5" s="69">
        <f t="shared" ref="AG5:AG36" si="3">-SUM(N5:AF5)</f>
        <v>-2800</v>
      </c>
      <c r="AH5" s="29">
        <f t="shared" ref="AH5:AH36" si="4">SUM(H5:K5)+AG5+O5</f>
        <v>0</v>
      </c>
    </row>
    <row r="6" spans="1:34" s="72" customFormat="1" ht="21" customHeight="1" x14ac:dyDescent="0.2">
      <c r="A6" s="65">
        <v>43346</v>
      </c>
      <c r="B6" s="66"/>
      <c r="C6" s="20" t="s">
        <v>321</v>
      </c>
      <c r="D6" s="20" t="s">
        <v>378</v>
      </c>
      <c r="E6" s="20" t="s">
        <v>277</v>
      </c>
      <c r="F6" s="21">
        <v>31135</v>
      </c>
      <c r="G6" s="22" t="s">
        <v>791</v>
      </c>
      <c r="H6" s="67"/>
      <c r="I6" s="67"/>
      <c r="J6" s="67"/>
      <c r="K6" s="67">
        <v>116</v>
      </c>
      <c r="L6" s="68"/>
      <c r="M6" s="69">
        <f t="shared" si="0"/>
        <v>103.57142857142856</v>
      </c>
      <c r="N6" s="69">
        <f t="shared" si="1"/>
        <v>12.428571428571427</v>
      </c>
      <c r="O6" s="69">
        <f t="shared" si="2"/>
        <v>0</v>
      </c>
      <c r="P6" s="69"/>
      <c r="Q6" s="69">
        <v>103.57</v>
      </c>
      <c r="R6" s="69"/>
      <c r="S6" s="69"/>
      <c r="T6" s="70"/>
      <c r="U6" s="70"/>
      <c r="V6" s="70"/>
      <c r="W6" s="70"/>
      <c r="X6" s="70"/>
      <c r="Y6" s="69"/>
      <c r="Z6" s="69"/>
      <c r="AA6" s="69"/>
      <c r="AB6" s="69"/>
      <c r="AC6" s="70"/>
      <c r="AD6" s="70"/>
      <c r="AE6" s="71"/>
      <c r="AF6" s="71"/>
      <c r="AG6" s="69">
        <f t="shared" si="3"/>
        <v>-115.99857142857142</v>
      </c>
      <c r="AH6" s="29">
        <f t="shared" si="4"/>
        <v>1.4285714285762197E-3</v>
      </c>
    </row>
    <row r="7" spans="1:34" s="72" customFormat="1" ht="21" customHeight="1" x14ac:dyDescent="0.2">
      <c r="A7" s="65">
        <v>43346</v>
      </c>
      <c r="B7" s="66"/>
      <c r="C7" s="20" t="s">
        <v>63</v>
      </c>
      <c r="D7" s="20" t="s">
        <v>64</v>
      </c>
      <c r="E7" s="20" t="s">
        <v>65</v>
      </c>
      <c r="F7" s="21">
        <v>134015</v>
      </c>
      <c r="G7" s="22" t="s">
        <v>792</v>
      </c>
      <c r="H7" s="67"/>
      <c r="I7" s="67"/>
      <c r="J7" s="67"/>
      <c r="K7" s="67">
        <f>2485.04+298.21</f>
        <v>2783.25</v>
      </c>
      <c r="L7" s="68"/>
      <c r="M7" s="69">
        <f t="shared" si="0"/>
        <v>2485.0446428571427</v>
      </c>
      <c r="N7" s="69">
        <f t="shared" si="1"/>
        <v>298.20535714285711</v>
      </c>
      <c r="O7" s="69">
        <f t="shared" si="2"/>
        <v>0</v>
      </c>
      <c r="P7" s="69">
        <v>2485.04</v>
      </c>
      <c r="Q7" s="69"/>
      <c r="R7" s="69"/>
      <c r="S7" s="69"/>
      <c r="T7" s="70"/>
      <c r="U7" s="70"/>
      <c r="V7" s="70"/>
      <c r="W7" s="70"/>
      <c r="X7" s="70"/>
      <c r="Y7" s="69"/>
      <c r="Z7" s="69"/>
      <c r="AA7" s="69"/>
      <c r="AB7" s="69"/>
      <c r="AC7" s="70"/>
      <c r="AD7" s="70"/>
      <c r="AE7" s="71"/>
      <c r="AF7" s="71"/>
      <c r="AG7" s="69">
        <f t="shared" si="3"/>
        <v>-2783.2453571428568</v>
      </c>
      <c r="AH7" s="29">
        <f t="shared" si="4"/>
        <v>4.6428571431533783E-3</v>
      </c>
    </row>
    <row r="8" spans="1:34" s="72" customFormat="1" ht="21" customHeight="1" x14ac:dyDescent="0.2">
      <c r="A8" s="65">
        <v>43346</v>
      </c>
      <c r="B8" s="66"/>
      <c r="C8" s="20" t="s">
        <v>63</v>
      </c>
      <c r="D8" s="20" t="s">
        <v>64</v>
      </c>
      <c r="E8" s="20" t="s">
        <v>65</v>
      </c>
      <c r="F8" s="21"/>
      <c r="G8" s="22" t="s">
        <v>793</v>
      </c>
      <c r="H8" s="67"/>
      <c r="I8" s="67"/>
      <c r="J8" s="67">
        <v>1115</v>
      </c>
      <c r="K8" s="67"/>
      <c r="L8" s="68"/>
      <c r="M8" s="69">
        <f t="shared" si="0"/>
        <v>1115</v>
      </c>
      <c r="N8" s="69">
        <f t="shared" si="1"/>
        <v>0</v>
      </c>
      <c r="O8" s="69">
        <f t="shared" si="2"/>
        <v>0</v>
      </c>
      <c r="P8" s="69">
        <v>1115</v>
      </c>
      <c r="Q8" s="69"/>
      <c r="R8" s="69"/>
      <c r="S8" s="69"/>
      <c r="T8" s="70"/>
      <c r="U8" s="70"/>
      <c r="V8" s="70"/>
      <c r="W8" s="70"/>
      <c r="X8" s="70"/>
      <c r="Y8" s="69"/>
      <c r="Z8" s="69"/>
      <c r="AA8" s="69"/>
      <c r="AB8" s="69"/>
      <c r="AC8" s="70"/>
      <c r="AD8" s="70"/>
      <c r="AE8" s="71"/>
      <c r="AF8" s="71"/>
      <c r="AG8" s="69">
        <f t="shared" si="3"/>
        <v>-1115</v>
      </c>
      <c r="AH8" s="29">
        <f t="shared" si="4"/>
        <v>0</v>
      </c>
    </row>
    <row r="9" spans="1:34" s="72" customFormat="1" ht="21" customHeight="1" x14ac:dyDescent="0.2">
      <c r="A9" s="65">
        <v>43346</v>
      </c>
      <c r="B9" s="66"/>
      <c r="C9" s="20" t="s">
        <v>457</v>
      </c>
      <c r="D9" s="20" t="s">
        <v>508</v>
      </c>
      <c r="E9" s="20" t="s">
        <v>65</v>
      </c>
      <c r="F9" s="21">
        <v>16390597</v>
      </c>
      <c r="G9" s="22" t="s">
        <v>794</v>
      </c>
      <c r="H9" s="67"/>
      <c r="I9" s="67"/>
      <c r="J9" s="67"/>
      <c r="K9" s="67">
        <v>274.75</v>
      </c>
      <c r="L9" s="68"/>
      <c r="M9" s="69">
        <f t="shared" si="0"/>
        <v>245.31249999999997</v>
      </c>
      <c r="N9" s="69">
        <f t="shared" si="1"/>
        <v>29.437499999999996</v>
      </c>
      <c r="O9" s="69">
        <f t="shared" si="2"/>
        <v>0</v>
      </c>
      <c r="P9" s="69"/>
      <c r="Q9" s="69"/>
      <c r="R9" s="69"/>
      <c r="S9" s="69"/>
      <c r="T9" s="70"/>
      <c r="U9" s="70"/>
      <c r="V9" s="70">
        <v>245.31</v>
      </c>
      <c r="W9" s="70"/>
      <c r="X9" s="70"/>
      <c r="Y9" s="69"/>
      <c r="Z9" s="69"/>
      <c r="AA9" s="69"/>
      <c r="AB9" s="69"/>
      <c r="AC9" s="70"/>
      <c r="AD9" s="70"/>
      <c r="AE9" s="71"/>
      <c r="AF9" s="71"/>
      <c r="AG9" s="69">
        <f t="shared" si="3"/>
        <v>-274.7475</v>
      </c>
      <c r="AH9" s="29">
        <f t="shared" si="4"/>
        <v>2.4999999999977263E-3</v>
      </c>
    </row>
    <row r="10" spans="1:34" s="72" customFormat="1" ht="21" customHeight="1" x14ac:dyDescent="0.2">
      <c r="A10" s="65">
        <v>43346</v>
      </c>
      <c r="B10" s="66"/>
      <c r="C10" s="20" t="s">
        <v>795</v>
      </c>
      <c r="D10" s="20" t="s">
        <v>796</v>
      </c>
      <c r="E10" s="20" t="s">
        <v>65</v>
      </c>
      <c r="F10" s="21">
        <v>161782</v>
      </c>
      <c r="G10" s="22" t="s">
        <v>797</v>
      </c>
      <c r="H10" s="67"/>
      <c r="I10" s="67"/>
      <c r="J10" s="67"/>
      <c r="K10" s="67">
        <v>300</v>
      </c>
      <c r="L10" s="68"/>
      <c r="M10" s="69">
        <f t="shared" si="0"/>
        <v>267.85714285714283</v>
      </c>
      <c r="N10" s="69">
        <f t="shared" si="1"/>
        <v>32.142857142857139</v>
      </c>
      <c r="O10" s="69">
        <f t="shared" si="2"/>
        <v>0</v>
      </c>
      <c r="P10" s="69"/>
      <c r="Q10" s="69"/>
      <c r="R10" s="69"/>
      <c r="S10" s="69"/>
      <c r="T10" s="70"/>
      <c r="U10" s="70"/>
      <c r="V10" s="70"/>
      <c r="W10" s="70"/>
      <c r="X10" s="70"/>
      <c r="Y10" s="69"/>
      <c r="Z10" s="69">
        <v>267.86</v>
      </c>
      <c r="AA10" s="69"/>
      <c r="AB10" s="69"/>
      <c r="AC10" s="70"/>
      <c r="AD10" s="70"/>
      <c r="AE10" s="71"/>
      <c r="AF10" s="71"/>
      <c r="AG10" s="69">
        <f t="shared" si="3"/>
        <v>-300.00285714285712</v>
      </c>
      <c r="AH10" s="29">
        <f t="shared" si="4"/>
        <v>-2.8571428571240176E-3</v>
      </c>
    </row>
    <row r="11" spans="1:34" s="72" customFormat="1" ht="21" customHeight="1" x14ac:dyDescent="0.2">
      <c r="A11" s="65">
        <v>43346</v>
      </c>
      <c r="B11" s="66"/>
      <c r="C11" s="20" t="s">
        <v>96</v>
      </c>
      <c r="D11" s="20"/>
      <c r="E11" s="20"/>
      <c r="F11" s="21"/>
      <c r="G11" s="22" t="s">
        <v>798</v>
      </c>
      <c r="H11" s="67">
        <v>18</v>
      </c>
      <c r="I11" s="67"/>
      <c r="J11" s="67"/>
      <c r="K11" s="67"/>
      <c r="L11" s="68"/>
      <c r="M11" s="69">
        <f t="shared" si="0"/>
        <v>18</v>
      </c>
      <c r="N11" s="69">
        <f t="shared" si="1"/>
        <v>0</v>
      </c>
      <c r="O11" s="69">
        <f t="shared" si="2"/>
        <v>0</v>
      </c>
      <c r="P11" s="69"/>
      <c r="Q11" s="69"/>
      <c r="R11" s="69"/>
      <c r="S11" s="69"/>
      <c r="T11" s="70"/>
      <c r="U11" s="70"/>
      <c r="V11" s="70"/>
      <c r="W11" s="70"/>
      <c r="X11" s="70"/>
      <c r="Y11" s="69"/>
      <c r="Z11" s="69"/>
      <c r="AA11" s="69">
        <v>18</v>
      </c>
      <c r="AB11" s="69"/>
      <c r="AC11" s="70"/>
      <c r="AD11" s="70"/>
      <c r="AE11" s="71"/>
      <c r="AF11" s="71"/>
      <c r="AG11" s="69">
        <f t="shared" si="3"/>
        <v>-18</v>
      </c>
      <c r="AH11" s="29">
        <f t="shared" si="4"/>
        <v>0</v>
      </c>
    </row>
    <row r="12" spans="1:34" s="72" customFormat="1" ht="21" customHeight="1" x14ac:dyDescent="0.2">
      <c r="A12" s="65">
        <v>43346</v>
      </c>
      <c r="B12" s="66"/>
      <c r="C12" s="20" t="s">
        <v>614</v>
      </c>
      <c r="D12" s="20"/>
      <c r="E12" s="20"/>
      <c r="F12" s="21"/>
      <c r="G12" s="22" t="s">
        <v>644</v>
      </c>
      <c r="H12" s="67">
        <v>502</v>
      </c>
      <c r="I12" s="67"/>
      <c r="J12" s="67"/>
      <c r="K12" s="67"/>
      <c r="L12" s="68"/>
      <c r="M12" s="69">
        <f t="shared" si="0"/>
        <v>502</v>
      </c>
      <c r="N12" s="69">
        <f t="shared" si="1"/>
        <v>0</v>
      </c>
      <c r="O12" s="69">
        <f t="shared" si="2"/>
        <v>0</v>
      </c>
      <c r="P12" s="69"/>
      <c r="Q12" s="69"/>
      <c r="R12" s="69"/>
      <c r="S12" s="69"/>
      <c r="T12" s="70"/>
      <c r="U12" s="70"/>
      <c r="V12" s="70"/>
      <c r="W12" s="70"/>
      <c r="X12" s="70"/>
      <c r="Y12" s="69"/>
      <c r="Z12" s="69"/>
      <c r="AA12" s="69"/>
      <c r="AB12" s="69">
        <v>502</v>
      </c>
      <c r="AC12" s="70"/>
      <c r="AD12" s="70"/>
      <c r="AE12" s="71"/>
      <c r="AF12" s="71"/>
      <c r="AG12" s="69">
        <f t="shared" si="3"/>
        <v>-502</v>
      </c>
      <c r="AH12" s="29">
        <f t="shared" si="4"/>
        <v>0</v>
      </c>
    </row>
    <row r="13" spans="1:34" s="72" customFormat="1" ht="21" customHeight="1" x14ac:dyDescent="0.2">
      <c r="A13" s="65">
        <v>43346</v>
      </c>
      <c r="B13" s="66"/>
      <c r="C13" s="20" t="s">
        <v>41</v>
      </c>
      <c r="D13" s="20" t="s">
        <v>88</v>
      </c>
      <c r="E13" s="20" t="s">
        <v>43</v>
      </c>
      <c r="F13" s="21">
        <v>2623</v>
      </c>
      <c r="G13" s="22" t="s">
        <v>635</v>
      </c>
      <c r="H13" s="67"/>
      <c r="I13" s="67"/>
      <c r="J13" s="67">
        <v>1535</v>
      </c>
      <c r="K13" s="67"/>
      <c r="L13" s="68"/>
      <c r="M13" s="69">
        <f t="shared" si="0"/>
        <v>1535</v>
      </c>
      <c r="N13" s="69">
        <f t="shared" si="1"/>
        <v>0</v>
      </c>
      <c r="O13" s="69">
        <f t="shared" si="2"/>
        <v>0</v>
      </c>
      <c r="P13" s="69">
        <v>1535</v>
      </c>
      <c r="Q13" s="69"/>
      <c r="R13" s="69"/>
      <c r="S13" s="69"/>
      <c r="T13" s="70"/>
      <c r="U13" s="70"/>
      <c r="V13" s="70"/>
      <c r="W13" s="70"/>
      <c r="X13" s="70"/>
      <c r="Y13" s="69"/>
      <c r="Z13" s="69"/>
      <c r="AA13" s="69"/>
      <c r="AB13" s="69"/>
      <c r="AC13" s="70"/>
      <c r="AD13" s="70"/>
      <c r="AE13" s="71"/>
      <c r="AF13" s="71"/>
      <c r="AG13" s="69">
        <f t="shared" si="3"/>
        <v>-1535</v>
      </c>
      <c r="AH13" s="29">
        <f t="shared" si="4"/>
        <v>0</v>
      </c>
    </row>
    <row r="14" spans="1:34" s="72" customFormat="1" ht="21" customHeight="1" x14ac:dyDescent="0.2">
      <c r="A14" s="65">
        <v>43346</v>
      </c>
      <c r="B14" s="66"/>
      <c r="C14" s="20" t="s">
        <v>799</v>
      </c>
      <c r="D14" s="20" t="s">
        <v>295</v>
      </c>
      <c r="E14" s="20" t="s">
        <v>43</v>
      </c>
      <c r="F14" s="21">
        <v>11992</v>
      </c>
      <c r="G14" s="22" t="s">
        <v>637</v>
      </c>
      <c r="H14" s="67"/>
      <c r="I14" s="67"/>
      <c r="J14" s="67">
        <v>570</v>
      </c>
      <c r="K14" s="67"/>
      <c r="L14" s="68"/>
      <c r="M14" s="69">
        <f t="shared" si="0"/>
        <v>570</v>
      </c>
      <c r="N14" s="69">
        <f t="shared" si="1"/>
        <v>0</v>
      </c>
      <c r="O14" s="69">
        <f t="shared" si="2"/>
        <v>0</v>
      </c>
      <c r="P14" s="69">
        <v>570</v>
      </c>
      <c r="Q14" s="69"/>
      <c r="R14" s="69"/>
      <c r="S14" s="69"/>
      <c r="T14" s="70"/>
      <c r="U14" s="70"/>
      <c r="V14" s="70"/>
      <c r="W14" s="70"/>
      <c r="X14" s="70"/>
      <c r="Y14" s="69"/>
      <c r="Z14" s="69"/>
      <c r="AA14" s="69"/>
      <c r="AB14" s="69"/>
      <c r="AC14" s="70"/>
      <c r="AD14" s="70"/>
      <c r="AE14" s="71"/>
      <c r="AF14" s="71"/>
      <c r="AG14" s="69">
        <f t="shared" si="3"/>
        <v>-570</v>
      </c>
      <c r="AH14" s="29">
        <f t="shared" si="4"/>
        <v>0</v>
      </c>
    </row>
    <row r="15" spans="1:34" s="72" customFormat="1" ht="21" customHeight="1" x14ac:dyDescent="0.2">
      <c r="A15" s="65">
        <v>43346</v>
      </c>
      <c r="B15" s="66"/>
      <c r="C15" s="20" t="s">
        <v>45</v>
      </c>
      <c r="D15" s="20"/>
      <c r="E15" s="20"/>
      <c r="F15" s="21"/>
      <c r="G15" s="22" t="s">
        <v>173</v>
      </c>
      <c r="H15" s="67">
        <v>100</v>
      </c>
      <c r="I15" s="67"/>
      <c r="J15" s="67"/>
      <c r="K15" s="67"/>
      <c r="L15" s="68"/>
      <c r="M15" s="69">
        <f t="shared" si="0"/>
        <v>100</v>
      </c>
      <c r="N15" s="69">
        <f t="shared" si="1"/>
        <v>0</v>
      </c>
      <c r="O15" s="69">
        <f t="shared" si="2"/>
        <v>0</v>
      </c>
      <c r="P15" s="69"/>
      <c r="Q15" s="69"/>
      <c r="R15" s="69"/>
      <c r="S15" s="69"/>
      <c r="T15" s="70"/>
      <c r="U15" s="70"/>
      <c r="V15" s="70"/>
      <c r="W15" s="70"/>
      <c r="X15" s="70"/>
      <c r="Y15" s="69"/>
      <c r="Z15" s="69"/>
      <c r="AA15" s="69">
        <v>100</v>
      </c>
      <c r="AB15" s="69"/>
      <c r="AC15" s="70"/>
      <c r="AD15" s="70"/>
      <c r="AE15" s="71"/>
      <c r="AF15" s="71"/>
      <c r="AG15" s="69">
        <f t="shared" si="3"/>
        <v>-100</v>
      </c>
      <c r="AH15" s="29">
        <f t="shared" si="4"/>
        <v>0</v>
      </c>
    </row>
    <row r="16" spans="1:34" s="72" customFormat="1" ht="21" customHeight="1" x14ac:dyDescent="0.2">
      <c r="A16" s="65">
        <v>43346</v>
      </c>
      <c r="B16" s="66"/>
      <c r="C16" s="20" t="s">
        <v>705</v>
      </c>
      <c r="D16" s="20" t="s">
        <v>706</v>
      </c>
      <c r="E16" s="20" t="s">
        <v>707</v>
      </c>
      <c r="F16" s="21">
        <v>160945</v>
      </c>
      <c r="G16" s="22" t="s">
        <v>800</v>
      </c>
      <c r="H16" s="67"/>
      <c r="I16" s="67"/>
      <c r="J16" s="67"/>
      <c r="K16" s="67">
        <v>85</v>
      </c>
      <c r="L16" s="68"/>
      <c r="M16" s="69">
        <f t="shared" si="0"/>
        <v>75.892857142857139</v>
      </c>
      <c r="N16" s="69">
        <f t="shared" si="1"/>
        <v>9.1071428571428559</v>
      </c>
      <c r="O16" s="69">
        <f t="shared" si="2"/>
        <v>0</v>
      </c>
      <c r="P16" s="69"/>
      <c r="Q16" s="69">
        <v>75.89</v>
      </c>
      <c r="R16" s="69"/>
      <c r="S16" s="69"/>
      <c r="T16" s="70"/>
      <c r="U16" s="70"/>
      <c r="V16" s="70"/>
      <c r="W16" s="70"/>
      <c r="X16" s="70"/>
      <c r="Y16" s="69"/>
      <c r="Z16" s="69"/>
      <c r="AA16" s="69"/>
      <c r="AB16" s="69"/>
      <c r="AC16" s="70"/>
      <c r="AD16" s="70"/>
      <c r="AE16" s="71"/>
      <c r="AF16" s="71"/>
      <c r="AG16" s="69">
        <f t="shared" si="3"/>
        <v>-84.997142857142862</v>
      </c>
      <c r="AH16" s="29">
        <f t="shared" si="4"/>
        <v>2.8571428571382285E-3</v>
      </c>
    </row>
    <row r="17" spans="1:34" s="72" customFormat="1" ht="24" customHeight="1" x14ac:dyDescent="0.2">
      <c r="A17" s="65">
        <v>43346</v>
      </c>
      <c r="B17" s="66"/>
      <c r="C17" s="20" t="s">
        <v>705</v>
      </c>
      <c r="D17" s="20" t="s">
        <v>706</v>
      </c>
      <c r="E17" s="20" t="s">
        <v>707</v>
      </c>
      <c r="F17" s="21">
        <v>169119</v>
      </c>
      <c r="G17" s="22" t="s">
        <v>801</v>
      </c>
      <c r="H17" s="67"/>
      <c r="I17" s="67"/>
      <c r="J17" s="67"/>
      <c r="K17" s="67">
        <v>170</v>
      </c>
      <c r="L17" s="68"/>
      <c r="M17" s="69">
        <f t="shared" si="0"/>
        <v>151.78571428571428</v>
      </c>
      <c r="N17" s="69">
        <f t="shared" si="1"/>
        <v>18.214285714285712</v>
      </c>
      <c r="O17" s="69">
        <f t="shared" si="2"/>
        <v>0</v>
      </c>
      <c r="P17" s="69"/>
      <c r="Q17" s="69">
        <v>151.79</v>
      </c>
      <c r="R17" s="69"/>
      <c r="S17" s="69"/>
      <c r="T17" s="70"/>
      <c r="U17" s="70"/>
      <c r="V17" s="70"/>
      <c r="W17" s="70"/>
      <c r="X17" s="70"/>
      <c r="Y17" s="69"/>
      <c r="Z17" s="69"/>
      <c r="AA17" s="69"/>
      <c r="AB17" s="69"/>
      <c r="AC17" s="70"/>
      <c r="AD17" s="70"/>
      <c r="AE17" s="71"/>
      <c r="AF17" s="71"/>
      <c r="AG17" s="69">
        <f t="shared" si="3"/>
        <v>-170.00428571428571</v>
      </c>
      <c r="AH17" s="29">
        <f t="shared" si="4"/>
        <v>-4.2857142857144481E-3</v>
      </c>
    </row>
    <row r="18" spans="1:34" s="72" customFormat="1" ht="21" customHeight="1" x14ac:dyDescent="0.2">
      <c r="A18" s="65">
        <v>43346</v>
      </c>
      <c r="B18" s="66"/>
      <c r="C18" s="20" t="s">
        <v>63</v>
      </c>
      <c r="D18" s="20" t="s">
        <v>64</v>
      </c>
      <c r="E18" s="20" t="s">
        <v>65</v>
      </c>
      <c r="F18" s="21">
        <v>149134</v>
      </c>
      <c r="G18" s="21" t="s">
        <v>802</v>
      </c>
      <c r="H18" s="67"/>
      <c r="I18" s="67"/>
      <c r="J18" s="67"/>
      <c r="K18" s="67">
        <v>1089.55</v>
      </c>
      <c r="L18" s="68"/>
      <c r="M18" s="69">
        <f t="shared" si="0"/>
        <v>972.81249999999989</v>
      </c>
      <c r="N18" s="69">
        <f t="shared" si="1"/>
        <v>116.73749999999998</v>
      </c>
      <c r="O18" s="69">
        <f t="shared" si="2"/>
        <v>0</v>
      </c>
      <c r="P18" s="69">
        <v>972.81</v>
      </c>
      <c r="Q18" s="69"/>
      <c r="R18" s="69"/>
      <c r="S18" s="69"/>
      <c r="T18" s="70"/>
      <c r="U18" s="70"/>
      <c r="V18" s="70"/>
      <c r="W18" s="70"/>
      <c r="X18" s="70"/>
      <c r="Y18" s="69"/>
      <c r="Z18" s="69"/>
      <c r="AA18" s="69"/>
      <c r="AB18" s="69"/>
      <c r="AC18" s="70"/>
      <c r="AD18" s="70"/>
      <c r="AE18" s="71"/>
      <c r="AF18" s="71"/>
      <c r="AG18" s="69">
        <f t="shared" si="3"/>
        <v>-1089.5474999999999</v>
      </c>
      <c r="AH18" s="29">
        <f t="shared" si="4"/>
        <v>2.5000000000545697E-3</v>
      </c>
    </row>
    <row r="19" spans="1:34" s="72" customFormat="1" ht="24" customHeight="1" x14ac:dyDescent="0.2">
      <c r="A19" s="65">
        <v>43346</v>
      </c>
      <c r="B19" s="66"/>
      <c r="C19" s="20" t="s">
        <v>215</v>
      </c>
      <c r="D19" s="20" t="s">
        <v>216</v>
      </c>
      <c r="E19" s="20" t="s">
        <v>175</v>
      </c>
      <c r="F19" s="21">
        <v>1904</v>
      </c>
      <c r="G19" s="22" t="s">
        <v>217</v>
      </c>
      <c r="H19" s="67"/>
      <c r="I19" s="67"/>
      <c r="J19" s="67"/>
      <c r="K19" s="67">
        <v>1320</v>
      </c>
      <c r="L19" s="68">
        <v>0.01</v>
      </c>
      <c r="M19" s="69">
        <f t="shared" si="0"/>
        <v>1178.5714285714284</v>
      </c>
      <c r="N19" s="69">
        <f t="shared" si="1"/>
        <v>141.42857142857142</v>
      </c>
      <c r="O19" s="69">
        <f t="shared" si="2"/>
        <v>-11.785714285714285</v>
      </c>
      <c r="P19" s="69"/>
      <c r="Q19" s="69">
        <v>1178.57</v>
      </c>
      <c r="R19" s="69"/>
      <c r="S19" s="69"/>
      <c r="T19" s="70"/>
      <c r="U19" s="70"/>
      <c r="V19" s="70"/>
      <c r="W19" s="70"/>
      <c r="X19" s="70"/>
      <c r="Y19" s="69"/>
      <c r="Z19" s="69"/>
      <c r="AA19" s="69"/>
      <c r="AB19" s="69"/>
      <c r="AC19" s="70"/>
      <c r="AD19" s="70"/>
      <c r="AE19" s="71"/>
      <c r="AF19" s="71"/>
      <c r="AG19" s="69">
        <f t="shared" si="3"/>
        <v>-1308.212857142857</v>
      </c>
      <c r="AH19" s="29">
        <f t="shared" si="4"/>
        <v>1.4285714286685902E-3</v>
      </c>
    </row>
    <row r="20" spans="1:34" s="72" customFormat="1" ht="24" customHeight="1" x14ac:dyDescent="0.2">
      <c r="A20" s="65">
        <v>43347</v>
      </c>
      <c r="B20" s="66"/>
      <c r="C20" s="32" t="s">
        <v>803</v>
      </c>
      <c r="D20" s="20" t="s">
        <v>273</v>
      </c>
      <c r="E20" s="20" t="s">
        <v>382</v>
      </c>
      <c r="F20" s="21">
        <v>156941</v>
      </c>
      <c r="G20" s="22" t="s">
        <v>804</v>
      </c>
      <c r="H20" s="67"/>
      <c r="I20" s="67"/>
      <c r="J20" s="67"/>
      <c r="K20" s="67">
        <v>210</v>
      </c>
      <c r="L20" s="68"/>
      <c r="M20" s="69">
        <f t="shared" si="0"/>
        <v>187.49999999999997</v>
      </c>
      <c r="N20" s="69">
        <f t="shared" si="1"/>
        <v>22.499999999999996</v>
      </c>
      <c r="O20" s="69">
        <f t="shared" si="2"/>
        <v>0</v>
      </c>
      <c r="P20" s="69"/>
      <c r="Q20" s="69"/>
      <c r="R20" s="69"/>
      <c r="S20" s="69">
        <v>187.5</v>
      </c>
      <c r="T20" s="70"/>
      <c r="U20" s="70"/>
      <c r="V20" s="70"/>
      <c r="W20" s="70"/>
      <c r="X20" s="70"/>
      <c r="Y20" s="69"/>
      <c r="Z20" s="69"/>
      <c r="AA20" s="69"/>
      <c r="AB20" s="69"/>
      <c r="AC20" s="70"/>
      <c r="AD20" s="70"/>
      <c r="AE20" s="71"/>
      <c r="AF20" s="71"/>
      <c r="AG20" s="69">
        <f t="shared" si="3"/>
        <v>-210</v>
      </c>
      <c r="AH20" s="29">
        <f t="shared" si="4"/>
        <v>0</v>
      </c>
    </row>
    <row r="21" spans="1:34" s="72" customFormat="1" ht="24" customHeight="1" x14ac:dyDescent="0.2">
      <c r="A21" s="65">
        <v>43347</v>
      </c>
      <c r="B21" s="66"/>
      <c r="C21" s="20" t="s">
        <v>68</v>
      </c>
      <c r="D21" s="20"/>
      <c r="E21" s="20"/>
      <c r="F21" s="21"/>
      <c r="G21" s="22" t="s">
        <v>805</v>
      </c>
      <c r="H21" s="67">
        <v>40</v>
      </c>
      <c r="I21" s="67"/>
      <c r="J21" s="67"/>
      <c r="K21" s="67"/>
      <c r="L21" s="68"/>
      <c r="M21" s="69">
        <f t="shared" si="0"/>
        <v>40</v>
      </c>
      <c r="N21" s="69">
        <f t="shared" si="1"/>
        <v>0</v>
      </c>
      <c r="O21" s="69">
        <f t="shared" si="2"/>
        <v>0</v>
      </c>
      <c r="P21" s="69"/>
      <c r="Q21" s="69"/>
      <c r="R21" s="69"/>
      <c r="S21" s="69"/>
      <c r="T21" s="70"/>
      <c r="U21" s="70"/>
      <c r="V21" s="70"/>
      <c r="W21" s="70"/>
      <c r="X21" s="70"/>
      <c r="Y21" s="69"/>
      <c r="Z21" s="69"/>
      <c r="AA21" s="69">
        <v>40</v>
      </c>
      <c r="AB21" s="69"/>
      <c r="AC21" s="70"/>
      <c r="AD21" s="70"/>
      <c r="AE21" s="71"/>
      <c r="AF21" s="71"/>
      <c r="AG21" s="69">
        <f t="shared" si="3"/>
        <v>-40</v>
      </c>
      <c r="AH21" s="29">
        <f t="shared" si="4"/>
        <v>0</v>
      </c>
    </row>
    <row r="22" spans="1:34" s="72" customFormat="1" ht="24" customHeight="1" x14ac:dyDescent="0.2">
      <c r="A22" s="65">
        <v>43347</v>
      </c>
      <c r="B22" s="66"/>
      <c r="C22" s="20" t="s">
        <v>705</v>
      </c>
      <c r="D22" s="20" t="s">
        <v>706</v>
      </c>
      <c r="E22" s="20" t="s">
        <v>707</v>
      </c>
      <c r="F22" s="21">
        <v>169164</v>
      </c>
      <c r="G22" s="22" t="s">
        <v>806</v>
      </c>
      <c r="H22" s="67"/>
      <c r="I22" s="67"/>
      <c r="J22" s="67"/>
      <c r="K22" s="67">
        <v>170</v>
      </c>
      <c r="L22" s="68"/>
      <c r="M22" s="69">
        <f t="shared" si="0"/>
        <v>151.78571428571428</v>
      </c>
      <c r="N22" s="69">
        <f t="shared" si="1"/>
        <v>18.214285714285712</v>
      </c>
      <c r="O22" s="69">
        <f t="shared" si="2"/>
        <v>0</v>
      </c>
      <c r="P22" s="69"/>
      <c r="Q22" s="69">
        <v>151.79</v>
      </c>
      <c r="R22" s="69"/>
      <c r="S22" s="69"/>
      <c r="T22" s="70"/>
      <c r="U22" s="70"/>
      <c r="V22" s="70"/>
      <c r="W22" s="70"/>
      <c r="X22" s="70"/>
      <c r="Y22" s="69"/>
      <c r="Z22" s="69"/>
      <c r="AA22" s="69"/>
      <c r="AB22" s="69"/>
      <c r="AC22" s="70"/>
      <c r="AD22" s="70"/>
      <c r="AE22" s="71"/>
      <c r="AF22" s="71"/>
      <c r="AG22" s="69">
        <f t="shared" si="3"/>
        <v>-170.00428571428571</v>
      </c>
      <c r="AH22" s="29">
        <f t="shared" si="4"/>
        <v>-4.2857142857144481E-3</v>
      </c>
    </row>
    <row r="23" spans="1:34" s="72" customFormat="1" ht="24" customHeight="1" x14ac:dyDescent="0.2">
      <c r="A23" s="65">
        <v>43348</v>
      </c>
      <c r="B23" s="66"/>
      <c r="C23" s="20">
        <v>169655</v>
      </c>
      <c r="D23" s="20" t="s">
        <v>706</v>
      </c>
      <c r="E23" s="20" t="s">
        <v>707</v>
      </c>
      <c r="F23" s="21">
        <v>169164</v>
      </c>
      <c r="G23" s="22" t="s">
        <v>807</v>
      </c>
      <c r="H23" s="67"/>
      <c r="I23" s="67"/>
      <c r="J23" s="67"/>
      <c r="K23" s="67">
        <v>170</v>
      </c>
      <c r="L23" s="68"/>
      <c r="M23" s="69">
        <f t="shared" si="0"/>
        <v>151.78571428571428</v>
      </c>
      <c r="N23" s="69">
        <f t="shared" si="1"/>
        <v>18.214285714285712</v>
      </c>
      <c r="O23" s="69">
        <f t="shared" si="2"/>
        <v>0</v>
      </c>
      <c r="P23" s="69"/>
      <c r="Q23" s="69">
        <v>151.79</v>
      </c>
      <c r="R23" s="69"/>
      <c r="S23" s="69"/>
      <c r="T23" s="70"/>
      <c r="U23" s="70"/>
      <c r="V23" s="70"/>
      <c r="W23" s="70"/>
      <c r="X23" s="70"/>
      <c r="Y23" s="69"/>
      <c r="Z23" s="69"/>
      <c r="AA23" s="69"/>
      <c r="AB23" s="69"/>
      <c r="AC23" s="70"/>
      <c r="AD23" s="70"/>
      <c r="AE23" s="71"/>
      <c r="AF23" s="71"/>
      <c r="AG23" s="69">
        <f t="shared" si="3"/>
        <v>-170.00428571428571</v>
      </c>
      <c r="AH23" s="29">
        <f t="shared" si="4"/>
        <v>-4.2857142857144481E-3</v>
      </c>
    </row>
    <row r="24" spans="1:34" s="72" customFormat="1" ht="24" customHeight="1" x14ac:dyDescent="0.2">
      <c r="A24" s="65">
        <v>43348</v>
      </c>
      <c r="B24" s="66"/>
      <c r="C24" s="20" t="s">
        <v>745</v>
      </c>
      <c r="D24" s="20" t="s">
        <v>808</v>
      </c>
      <c r="E24" s="20" t="s">
        <v>56</v>
      </c>
      <c r="F24" s="21">
        <v>8638</v>
      </c>
      <c r="G24" s="22" t="s">
        <v>809</v>
      </c>
      <c r="H24" s="67"/>
      <c r="I24" s="67"/>
      <c r="J24" s="67"/>
      <c r="K24" s="67">
        <v>410</v>
      </c>
      <c r="L24" s="68"/>
      <c r="M24" s="69">
        <f t="shared" si="0"/>
        <v>366.07142857142856</v>
      </c>
      <c r="N24" s="69">
        <f t="shared" si="1"/>
        <v>43.928571428571423</v>
      </c>
      <c r="O24" s="69">
        <f t="shared" si="2"/>
        <v>0</v>
      </c>
      <c r="P24" s="69">
        <v>366.07</v>
      </c>
      <c r="Q24" s="69"/>
      <c r="R24" s="69"/>
      <c r="S24" s="69"/>
      <c r="T24" s="70"/>
      <c r="U24" s="70"/>
      <c r="V24" s="70"/>
      <c r="W24" s="70"/>
      <c r="X24" s="70"/>
      <c r="Y24" s="69"/>
      <c r="Z24" s="69"/>
      <c r="AA24" s="69"/>
      <c r="AB24" s="69"/>
      <c r="AC24" s="70"/>
      <c r="AD24" s="70"/>
      <c r="AE24" s="71"/>
      <c r="AF24" s="71"/>
      <c r="AG24" s="69">
        <f t="shared" si="3"/>
        <v>-409.99857142857144</v>
      </c>
      <c r="AH24" s="29">
        <f t="shared" si="4"/>
        <v>1.4285714285620088E-3</v>
      </c>
    </row>
    <row r="25" spans="1:34" s="72" customFormat="1" ht="24" customHeight="1" x14ac:dyDescent="0.2">
      <c r="A25" s="65">
        <v>43348</v>
      </c>
      <c r="B25" s="66"/>
      <c r="C25" s="20" t="s">
        <v>349</v>
      </c>
      <c r="D25" s="20" t="s">
        <v>589</v>
      </c>
      <c r="E25" s="20" t="s">
        <v>56</v>
      </c>
      <c r="F25" s="21">
        <v>129</v>
      </c>
      <c r="G25" s="22" t="s">
        <v>590</v>
      </c>
      <c r="H25" s="67"/>
      <c r="I25" s="67"/>
      <c r="J25" s="67"/>
      <c r="K25" s="67">
        <v>550</v>
      </c>
      <c r="L25" s="68"/>
      <c r="M25" s="69">
        <f t="shared" si="0"/>
        <v>491.0714285714285</v>
      </c>
      <c r="N25" s="69">
        <f t="shared" si="1"/>
        <v>58.928571428571416</v>
      </c>
      <c r="O25" s="69">
        <f t="shared" si="2"/>
        <v>0</v>
      </c>
      <c r="P25" s="69"/>
      <c r="Q25" s="69"/>
      <c r="R25" s="69"/>
      <c r="S25" s="69"/>
      <c r="T25" s="70"/>
      <c r="U25" s="70"/>
      <c r="V25" s="70"/>
      <c r="W25" s="70"/>
      <c r="X25" s="70"/>
      <c r="Y25" s="69"/>
      <c r="Z25" s="69">
        <v>491.07</v>
      </c>
      <c r="AA25" s="69"/>
      <c r="AB25" s="69"/>
      <c r="AC25" s="70"/>
      <c r="AD25" s="70"/>
      <c r="AE25" s="71"/>
      <c r="AF25" s="71"/>
      <c r="AG25" s="69">
        <f t="shared" si="3"/>
        <v>-549.99857142857138</v>
      </c>
      <c r="AH25" s="29">
        <f t="shared" si="4"/>
        <v>1.4285714286188522E-3</v>
      </c>
    </row>
    <row r="26" spans="1:34" s="72" customFormat="1" ht="24" customHeight="1" x14ac:dyDescent="0.2">
      <c r="A26" s="65">
        <v>43348</v>
      </c>
      <c r="B26" s="66"/>
      <c r="C26" s="20" t="s">
        <v>96</v>
      </c>
      <c r="D26" s="20"/>
      <c r="E26" s="20"/>
      <c r="F26" s="21"/>
      <c r="G26" s="22" t="s">
        <v>810</v>
      </c>
      <c r="H26" s="67">
        <v>25</v>
      </c>
      <c r="I26" s="67"/>
      <c r="J26" s="67"/>
      <c r="K26" s="67"/>
      <c r="L26" s="68"/>
      <c r="M26" s="69">
        <f t="shared" si="0"/>
        <v>25</v>
      </c>
      <c r="N26" s="69">
        <f t="shared" si="1"/>
        <v>0</v>
      </c>
      <c r="O26" s="69">
        <f t="shared" si="2"/>
        <v>0</v>
      </c>
      <c r="P26" s="69"/>
      <c r="Q26" s="69"/>
      <c r="R26" s="69"/>
      <c r="S26" s="69"/>
      <c r="T26" s="70"/>
      <c r="U26" s="70"/>
      <c r="V26" s="70"/>
      <c r="W26" s="70"/>
      <c r="X26" s="70"/>
      <c r="Y26" s="69"/>
      <c r="Z26" s="69"/>
      <c r="AA26" s="69">
        <v>25</v>
      </c>
      <c r="AB26" s="69"/>
      <c r="AC26" s="70"/>
      <c r="AD26" s="70"/>
      <c r="AE26" s="71"/>
      <c r="AF26" s="71"/>
      <c r="AG26" s="69">
        <f t="shared" si="3"/>
        <v>-25</v>
      </c>
      <c r="AH26" s="29">
        <f t="shared" si="4"/>
        <v>0</v>
      </c>
    </row>
    <row r="27" spans="1:34" s="72" customFormat="1" ht="24" customHeight="1" x14ac:dyDescent="0.2">
      <c r="A27" s="65">
        <v>43348</v>
      </c>
      <c r="B27" s="66"/>
      <c r="C27" s="20" t="s">
        <v>745</v>
      </c>
      <c r="D27" s="20" t="s">
        <v>808</v>
      </c>
      <c r="E27" s="20" t="s">
        <v>56</v>
      </c>
      <c r="F27" s="21">
        <v>89415</v>
      </c>
      <c r="G27" s="22" t="s">
        <v>455</v>
      </c>
      <c r="H27" s="67"/>
      <c r="I27" s="67"/>
      <c r="J27" s="67"/>
      <c r="K27" s="67">
        <v>621.11</v>
      </c>
      <c r="L27" s="68"/>
      <c r="M27" s="69">
        <f t="shared" si="0"/>
        <v>554.5625</v>
      </c>
      <c r="N27" s="69">
        <f t="shared" si="1"/>
        <v>66.547499999999999</v>
      </c>
      <c r="O27" s="69">
        <f t="shared" si="2"/>
        <v>0</v>
      </c>
      <c r="P27" s="69">
        <v>554.55999999999995</v>
      </c>
      <c r="Q27" s="69"/>
      <c r="R27" s="69"/>
      <c r="S27" s="69"/>
      <c r="T27" s="70"/>
      <c r="U27" s="70"/>
      <c r="V27" s="70"/>
      <c r="W27" s="70"/>
      <c r="X27" s="70"/>
      <c r="Y27" s="69"/>
      <c r="Z27" s="69"/>
      <c r="AA27" s="69"/>
      <c r="AB27" s="69"/>
      <c r="AC27" s="70"/>
      <c r="AD27" s="70"/>
      <c r="AE27" s="71"/>
      <c r="AF27" s="71"/>
      <c r="AG27" s="69">
        <f t="shared" si="3"/>
        <v>-621.10749999999996</v>
      </c>
      <c r="AH27" s="29">
        <f t="shared" si="4"/>
        <v>2.5000000000545697E-3</v>
      </c>
    </row>
    <row r="28" spans="1:34" s="72" customFormat="1" ht="24" customHeight="1" x14ac:dyDescent="0.2">
      <c r="A28" s="65">
        <v>43348</v>
      </c>
      <c r="B28" s="66"/>
      <c r="C28" s="20" t="s">
        <v>745</v>
      </c>
      <c r="D28" s="20" t="s">
        <v>808</v>
      </c>
      <c r="E28" s="20" t="s">
        <v>56</v>
      </c>
      <c r="F28" s="21">
        <v>89415</v>
      </c>
      <c r="G28" s="22" t="s">
        <v>187</v>
      </c>
      <c r="H28" s="67"/>
      <c r="I28" s="67"/>
      <c r="J28" s="67"/>
      <c r="K28" s="67">
        <v>21</v>
      </c>
      <c r="L28" s="68"/>
      <c r="M28" s="69">
        <f t="shared" si="0"/>
        <v>18.749999999999996</v>
      </c>
      <c r="N28" s="69">
        <f t="shared" si="1"/>
        <v>2.2499999999999996</v>
      </c>
      <c r="O28" s="69">
        <f t="shared" si="2"/>
        <v>0</v>
      </c>
      <c r="P28" s="69"/>
      <c r="Q28" s="69"/>
      <c r="R28" s="69"/>
      <c r="S28" s="69">
        <v>18.75</v>
      </c>
      <c r="T28" s="70"/>
      <c r="U28" s="70"/>
      <c r="V28" s="70"/>
      <c r="W28" s="70"/>
      <c r="X28" s="70"/>
      <c r="Y28" s="69"/>
      <c r="Z28" s="69"/>
      <c r="AA28" s="69"/>
      <c r="AB28" s="69"/>
      <c r="AC28" s="70"/>
      <c r="AD28" s="70"/>
      <c r="AE28" s="71"/>
      <c r="AF28" s="71"/>
      <c r="AG28" s="69">
        <f t="shared" si="3"/>
        <v>-21</v>
      </c>
      <c r="AH28" s="29">
        <f t="shared" si="4"/>
        <v>0</v>
      </c>
    </row>
    <row r="29" spans="1:34" s="72" customFormat="1" ht="24" customHeight="1" x14ac:dyDescent="0.2">
      <c r="A29" s="65">
        <v>43348</v>
      </c>
      <c r="B29" s="66"/>
      <c r="C29" s="20" t="s">
        <v>518</v>
      </c>
      <c r="D29" s="20" t="s">
        <v>519</v>
      </c>
      <c r="E29" s="20" t="s">
        <v>175</v>
      </c>
      <c r="F29" s="21">
        <v>1655</v>
      </c>
      <c r="G29" s="22" t="s">
        <v>811</v>
      </c>
      <c r="H29" s="67"/>
      <c r="I29" s="67"/>
      <c r="J29" s="67"/>
      <c r="K29" s="67">
        <v>1294</v>
      </c>
      <c r="L29" s="68">
        <v>0.01</v>
      </c>
      <c r="M29" s="69">
        <f t="shared" si="0"/>
        <v>1155.3571428571427</v>
      </c>
      <c r="N29" s="69">
        <f t="shared" si="1"/>
        <v>138.64285714285711</v>
      </c>
      <c r="O29" s="69">
        <f t="shared" si="2"/>
        <v>-11.553571428571427</v>
      </c>
      <c r="P29" s="69">
        <v>1155.3599999999999</v>
      </c>
      <c r="Q29" s="69"/>
      <c r="R29" s="69"/>
      <c r="S29" s="69"/>
      <c r="T29" s="70"/>
      <c r="U29" s="70"/>
      <c r="V29" s="70"/>
      <c r="W29" s="70"/>
      <c r="X29" s="70"/>
      <c r="Y29" s="69"/>
      <c r="Z29" s="69"/>
      <c r="AA29" s="69"/>
      <c r="AB29" s="69"/>
      <c r="AC29" s="70"/>
      <c r="AD29" s="70"/>
      <c r="AE29" s="71"/>
      <c r="AF29" s="71"/>
      <c r="AG29" s="69">
        <f t="shared" si="3"/>
        <v>-1282.4492857142857</v>
      </c>
      <c r="AH29" s="29">
        <f t="shared" si="4"/>
        <v>-2.857142857106254E-3</v>
      </c>
    </row>
    <row r="30" spans="1:34" s="81" customFormat="1" ht="24" customHeight="1" x14ac:dyDescent="0.2">
      <c r="A30" s="74">
        <v>43348</v>
      </c>
      <c r="B30" s="75"/>
      <c r="C30" s="36" t="s">
        <v>45</v>
      </c>
      <c r="D30" s="36"/>
      <c r="E30" s="36"/>
      <c r="F30" s="37"/>
      <c r="G30" s="38" t="s">
        <v>783</v>
      </c>
      <c r="H30" s="76">
        <v>100</v>
      </c>
      <c r="I30" s="76"/>
      <c r="J30" s="76"/>
      <c r="K30" s="76"/>
      <c r="L30" s="77"/>
      <c r="M30" s="78">
        <f t="shared" si="0"/>
        <v>100</v>
      </c>
      <c r="N30" s="78">
        <f t="shared" si="1"/>
        <v>0</v>
      </c>
      <c r="O30" s="78">
        <f t="shared" si="2"/>
        <v>0</v>
      </c>
      <c r="P30" s="78"/>
      <c r="Q30" s="78"/>
      <c r="R30" s="78"/>
      <c r="S30" s="78"/>
      <c r="T30" s="79"/>
      <c r="U30" s="79"/>
      <c r="V30" s="79"/>
      <c r="W30" s="79"/>
      <c r="X30" s="79"/>
      <c r="Y30" s="78"/>
      <c r="Z30" s="78"/>
      <c r="AA30" s="78">
        <v>100</v>
      </c>
      <c r="AB30" s="78"/>
      <c r="AC30" s="79"/>
      <c r="AD30" s="79"/>
      <c r="AE30" s="80"/>
      <c r="AF30" s="80"/>
      <c r="AG30" s="78">
        <f t="shared" si="3"/>
        <v>-100</v>
      </c>
      <c r="AH30" s="45">
        <f t="shared" si="4"/>
        <v>0</v>
      </c>
    </row>
    <row r="31" spans="1:34" s="72" customFormat="1" ht="21" customHeight="1" x14ac:dyDescent="0.2">
      <c r="A31" s="65">
        <v>43349</v>
      </c>
      <c r="B31" s="66"/>
      <c r="C31" s="20" t="s">
        <v>745</v>
      </c>
      <c r="D31" s="20" t="s">
        <v>812</v>
      </c>
      <c r="E31" s="20" t="s">
        <v>277</v>
      </c>
      <c r="F31" s="21">
        <v>31784</v>
      </c>
      <c r="G31" s="22" t="s">
        <v>232</v>
      </c>
      <c r="H31" s="67"/>
      <c r="I31" s="67"/>
      <c r="J31" s="67"/>
      <c r="K31" s="67">
        <v>133.5</v>
      </c>
      <c r="L31" s="68"/>
      <c r="M31" s="69">
        <f t="shared" si="0"/>
        <v>119.19642857142856</v>
      </c>
      <c r="N31" s="69">
        <f t="shared" si="1"/>
        <v>14.303571428571425</v>
      </c>
      <c r="O31" s="69">
        <f t="shared" si="2"/>
        <v>0</v>
      </c>
      <c r="P31" s="69">
        <v>119.2</v>
      </c>
      <c r="Q31" s="69"/>
      <c r="R31" s="69"/>
      <c r="S31" s="69"/>
      <c r="T31" s="70"/>
      <c r="U31" s="70"/>
      <c r="V31" s="70"/>
      <c r="W31" s="70"/>
      <c r="X31" s="70"/>
      <c r="Y31" s="69"/>
      <c r="Z31" s="69"/>
      <c r="AA31" s="69"/>
      <c r="AB31" s="69"/>
      <c r="AC31" s="70"/>
      <c r="AD31" s="70"/>
      <c r="AE31" s="71"/>
      <c r="AF31" s="71"/>
      <c r="AG31" s="69">
        <f t="shared" si="3"/>
        <v>-133.50357142857143</v>
      </c>
      <c r="AH31" s="29">
        <f t="shared" si="4"/>
        <v>-3.5714285714334437E-3</v>
      </c>
    </row>
    <row r="32" spans="1:34" s="30" customFormat="1" ht="21.75" customHeight="1" x14ac:dyDescent="0.2">
      <c r="A32" s="18"/>
      <c r="B32" s="19"/>
      <c r="C32" s="20"/>
      <c r="D32" s="20"/>
      <c r="E32" s="20"/>
      <c r="F32" s="21"/>
      <c r="G32" s="22"/>
      <c r="H32" s="23"/>
      <c r="I32" s="23"/>
      <c r="J32" s="23"/>
      <c r="K32" s="23"/>
      <c r="L32" s="24"/>
      <c r="M32" s="25">
        <f t="shared" si="0"/>
        <v>0</v>
      </c>
      <c r="N32" s="25">
        <f t="shared" si="1"/>
        <v>0</v>
      </c>
      <c r="O32" s="25">
        <f t="shared" si="2"/>
        <v>0</v>
      </c>
      <c r="P32" s="25"/>
      <c r="Q32" s="25"/>
      <c r="R32" s="25"/>
      <c r="S32" s="25"/>
      <c r="T32" s="26"/>
      <c r="U32" s="26"/>
      <c r="V32" s="26"/>
      <c r="W32" s="26"/>
      <c r="X32" s="26"/>
      <c r="Y32" s="25"/>
      <c r="Z32" s="25"/>
      <c r="AA32" s="25"/>
      <c r="AB32" s="25"/>
      <c r="AC32" s="25"/>
      <c r="AD32" s="25"/>
      <c r="AE32" s="25"/>
      <c r="AF32" s="25"/>
      <c r="AG32" s="25">
        <f t="shared" si="3"/>
        <v>0</v>
      </c>
      <c r="AH32" s="29">
        <f t="shared" si="4"/>
        <v>0</v>
      </c>
    </row>
    <row r="33" spans="1:34" s="30" customFormat="1" ht="21.75" customHeight="1" x14ac:dyDescent="0.2">
      <c r="A33" s="18">
        <v>43349</v>
      </c>
      <c r="B33" s="19"/>
      <c r="C33" s="20" t="s">
        <v>613</v>
      </c>
      <c r="D33" s="20"/>
      <c r="E33" s="20"/>
      <c r="F33" s="21"/>
      <c r="G33" s="22" t="s">
        <v>593</v>
      </c>
      <c r="H33" s="23"/>
      <c r="I33" s="23"/>
      <c r="J33" s="23">
        <v>1200</v>
      </c>
      <c r="K33" s="23"/>
      <c r="L33" s="24"/>
      <c r="M33" s="69">
        <f t="shared" si="0"/>
        <v>1200</v>
      </c>
      <c r="N33" s="69">
        <f t="shared" si="1"/>
        <v>0</v>
      </c>
      <c r="O33" s="69">
        <f t="shared" si="2"/>
        <v>0</v>
      </c>
      <c r="P33" s="69">
        <v>1200</v>
      </c>
      <c r="Q33" s="69"/>
      <c r="R33" s="69"/>
      <c r="S33" s="69"/>
      <c r="T33" s="70"/>
      <c r="U33" s="70"/>
      <c r="V33" s="70"/>
      <c r="W33" s="70"/>
      <c r="X33" s="70"/>
      <c r="Y33" s="69"/>
      <c r="Z33" s="69"/>
      <c r="AA33" s="69"/>
      <c r="AB33" s="69"/>
      <c r="AC33" s="70"/>
      <c r="AD33" s="70"/>
      <c r="AE33" s="71"/>
      <c r="AF33" s="71"/>
      <c r="AG33" s="69">
        <f t="shared" si="3"/>
        <v>-1200</v>
      </c>
      <c r="AH33" s="29">
        <f t="shared" si="4"/>
        <v>0</v>
      </c>
    </row>
    <row r="34" spans="1:34" s="30" customFormat="1" ht="21.75" customHeight="1" x14ac:dyDescent="0.2">
      <c r="A34" s="18">
        <v>43349</v>
      </c>
      <c r="B34" s="19"/>
      <c r="C34" s="20" t="s">
        <v>68</v>
      </c>
      <c r="D34" s="20"/>
      <c r="E34" s="20"/>
      <c r="F34" s="21"/>
      <c r="G34" s="22" t="s">
        <v>813</v>
      </c>
      <c r="H34" s="23">
        <v>55</v>
      </c>
      <c r="I34" s="23"/>
      <c r="J34" s="23"/>
      <c r="K34" s="23"/>
      <c r="L34" s="24"/>
      <c r="M34" s="69">
        <f t="shared" si="0"/>
        <v>55</v>
      </c>
      <c r="N34" s="69">
        <f t="shared" si="1"/>
        <v>0</v>
      </c>
      <c r="O34" s="69">
        <f t="shared" si="2"/>
        <v>0</v>
      </c>
      <c r="P34" s="69"/>
      <c r="Q34" s="69"/>
      <c r="R34" s="69"/>
      <c r="S34" s="69"/>
      <c r="T34" s="70"/>
      <c r="U34" s="70"/>
      <c r="V34" s="70"/>
      <c r="W34" s="70"/>
      <c r="X34" s="70"/>
      <c r="Y34" s="69"/>
      <c r="Z34" s="69"/>
      <c r="AA34" s="69">
        <v>55</v>
      </c>
      <c r="AB34" s="69"/>
      <c r="AC34" s="70"/>
      <c r="AD34" s="70"/>
      <c r="AE34" s="71"/>
      <c r="AF34" s="71"/>
      <c r="AG34" s="69">
        <f t="shared" si="3"/>
        <v>-55</v>
      </c>
      <c r="AH34" s="29">
        <f t="shared" si="4"/>
        <v>0</v>
      </c>
    </row>
    <row r="35" spans="1:34" s="30" customFormat="1" ht="21.75" customHeight="1" x14ac:dyDescent="0.2">
      <c r="A35" s="18">
        <v>43349</v>
      </c>
      <c r="B35" s="19"/>
      <c r="C35" s="20" t="s">
        <v>705</v>
      </c>
      <c r="D35" s="20" t="s">
        <v>706</v>
      </c>
      <c r="E35" s="20" t="s">
        <v>707</v>
      </c>
      <c r="F35" s="21">
        <v>169697</v>
      </c>
      <c r="G35" s="22" t="s">
        <v>40</v>
      </c>
      <c r="H35" s="23"/>
      <c r="I35" s="23"/>
      <c r="J35" s="23"/>
      <c r="K35" s="23">
        <v>170</v>
      </c>
      <c r="L35" s="24"/>
      <c r="M35" s="69">
        <f t="shared" si="0"/>
        <v>151.78571428571428</v>
      </c>
      <c r="N35" s="69">
        <f t="shared" si="1"/>
        <v>18.214285714285712</v>
      </c>
      <c r="O35" s="69">
        <f t="shared" si="2"/>
        <v>0</v>
      </c>
      <c r="P35" s="69"/>
      <c r="Q35" s="69">
        <v>151.79</v>
      </c>
      <c r="R35" s="69"/>
      <c r="S35" s="69"/>
      <c r="T35" s="70"/>
      <c r="U35" s="70"/>
      <c r="V35" s="70"/>
      <c r="W35" s="70"/>
      <c r="X35" s="70"/>
      <c r="Y35" s="69"/>
      <c r="Z35" s="69"/>
      <c r="AA35" s="69"/>
      <c r="AB35" s="69"/>
      <c r="AC35" s="70"/>
      <c r="AD35" s="70"/>
      <c r="AE35" s="71"/>
      <c r="AF35" s="71"/>
      <c r="AG35" s="69">
        <f t="shared" si="3"/>
        <v>-170.00428571428571</v>
      </c>
      <c r="AH35" s="29">
        <f t="shared" si="4"/>
        <v>-4.2857142857144481E-3</v>
      </c>
    </row>
    <row r="36" spans="1:34" s="30" customFormat="1" ht="21.75" customHeight="1" x14ac:dyDescent="0.2">
      <c r="A36" s="18">
        <v>43349</v>
      </c>
      <c r="B36" s="19"/>
      <c r="C36" s="20" t="s">
        <v>745</v>
      </c>
      <c r="D36" s="20" t="s">
        <v>812</v>
      </c>
      <c r="E36" s="20" t="s">
        <v>277</v>
      </c>
      <c r="F36" s="21">
        <v>31762</v>
      </c>
      <c r="G36" s="22" t="s">
        <v>485</v>
      </c>
      <c r="H36" s="23"/>
      <c r="I36" s="23"/>
      <c r="J36" s="23"/>
      <c r="K36" s="23">
        <v>177</v>
      </c>
      <c r="L36" s="24"/>
      <c r="M36" s="69">
        <f t="shared" si="0"/>
        <v>158.03571428571428</v>
      </c>
      <c r="N36" s="69">
        <f t="shared" si="1"/>
        <v>18.964285714285712</v>
      </c>
      <c r="O36" s="69">
        <f t="shared" si="2"/>
        <v>0</v>
      </c>
      <c r="P36" s="69">
        <v>158.04</v>
      </c>
      <c r="Q36" s="69"/>
      <c r="R36" s="69"/>
      <c r="S36" s="69"/>
      <c r="T36" s="70"/>
      <c r="U36" s="70"/>
      <c r="V36" s="70"/>
      <c r="W36" s="70"/>
      <c r="X36" s="70"/>
      <c r="Y36" s="69"/>
      <c r="Z36" s="69"/>
      <c r="AA36" s="69"/>
      <c r="AB36" s="69"/>
      <c r="AC36" s="70"/>
      <c r="AD36" s="70"/>
      <c r="AE36" s="71"/>
      <c r="AF36" s="71"/>
      <c r="AG36" s="69">
        <f t="shared" si="3"/>
        <v>-177.00428571428571</v>
      </c>
      <c r="AH36" s="29">
        <f t="shared" si="4"/>
        <v>-4.2857142857144481E-3</v>
      </c>
    </row>
    <row r="37" spans="1:34" s="72" customFormat="1" ht="21" customHeight="1" x14ac:dyDescent="0.2">
      <c r="A37" s="65">
        <v>43349</v>
      </c>
      <c r="B37" s="66"/>
      <c r="C37" s="20" t="s">
        <v>613</v>
      </c>
      <c r="D37" s="20"/>
      <c r="E37" s="20"/>
      <c r="F37" s="21"/>
      <c r="G37" s="22" t="s">
        <v>498</v>
      </c>
      <c r="H37" s="67"/>
      <c r="I37" s="67"/>
      <c r="J37" s="67">
        <v>345</v>
      </c>
      <c r="K37" s="67"/>
      <c r="L37" s="68"/>
      <c r="M37" s="69">
        <f t="shared" ref="M37:M68" si="5">SUM(H37:J37,K37/1.12)</f>
        <v>345</v>
      </c>
      <c r="N37" s="69">
        <f t="shared" ref="N37:N68" si="6">K37/1.12*0.12</f>
        <v>0</v>
      </c>
      <c r="O37" s="69">
        <f t="shared" ref="O37:O68" si="7">-SUM(I37:J37,K37/1.12)*L37</f>
        <v>0</v>
      </c>
      <c r="P37" s="69">
        <v>345</v>
      </c>
      <c r="Q37" s="69"/>
      <c r="R37" s="69"/>
      <c r="S37" s="69"/>
      <c r="T37" s="70"/>
      <c r="U37" s="70"/>
      <c r="V37" s="70"/>
      <c r="W37" s="70"/>
      <c r="X37" s="70"/>
      <c r="Y37" s="69"/>
      <c r="Z37" s="69"/>
      <c r="AA37" s="69"/>
      <c r="AB37" s="69"/>
      <c r="AC37" s="70"/>
      <c r="AD37" s="70"/>
      <c r="AE37" s="71"/>
      <c r="AF37" s="71"/>
      <c r="AG37" s="69">
        <f t="shared" ref="AG37:AG68" si="8">-SUM(N37:AF37)</f>
        <v>-345</v>
      </c>
      <c r="AH37" s="29">
        <f t="shared" ref="AH37:AH68" si="9">SUM(H37:K37)+AG37+O37</f>
        <v>0</v>
      </c>
    </row>
    <row r="38" spans="1:34" s="72" customFormat="1" ht="21" customHeight="1" x14ac:dyDescent="0.2">
      <c r="A38" s="65">
        <v>43350</v>
      </c>
      <c r="B38" s="66"/>
      <c r="C38" s="20" t="s">
        <v>705</v>
      </c>
      <c r="D38" s="20" t="s">
        <v>706</v>
      </c>
      <c r="E38" s="20" t="s">
        <v>707</v>
      </c>
      <c r="F38" s="21">
        <v>180192</v>
      </c>
      <c r="G38" s="22" t="s">
        <v>40</v>
      </c>
      <c r="H38" s="23"/>
      <c r="I38" s="23"/>
      <c r="J38" s="23"/>
      <c r="K38" s="23">
        <v>170</v>
      </c>
      <c r="L38" s="68"/>
      <c r="M38" s="69">
        <f t="shared" si="5"/>
        <v>151.78571428571428</v>
      </c>
      <c r="N38" s="69">
        <f t="shared" si="6"/>
        <v>18.214285714285712</v>
      </c>
      <c r="O38" s="69">
        <f t="shared" si="7"/>
        <v>0</v>
      </c>
      <c r="P38" s="69"/>
      <c r="Q38" s="69">
        <v>151.79</v>
      </c>
      <c r="R38" s="69"/>
      <c r="S38" s="69"/>
      <c r="T38" s="70"/>
      <c r="U38" s="70"/>
      <c r="V38" s="70"/>
      <c r="W38" s="70"/>
      <c r="X38" s="70"/>
      <c r="Y38" s="69"/>
      <c r="Z38" s="69"/>
      <c r="AA38" s="69"/>
      <c r="AB38" s="69"/>
      <c r="AC38" s="70"/>
      <c r="AD38" s="70"/>
      <c r="AE38" s="71"/>
      <c r="AF38" s="71"/>
      <c r="AG38" s="69">
        <f t="shared" si="8"/>
        <v>-170.00428571428571</v>
      </c>
      <c r="AH38" s="29">
        <f t="shared" si="9"/>
        <v>-4.2857142857144481E-3</v>
      </c>
    </row>
    <row r="39" spans="1:34" s="72" customFormat="1" ht="21" customHeight="1" x14ac:dyDescent="0.2">
      <c r="A39" s="65">
        <v>43350</v>
      </c>
      <c r="B39" s="66"/>
      <c r="C39" s="20" t="s">
        <v>518</v>
      </c>
      <c r="D39" s="20" t="s">
        <v>519</v>
      </c>
      <c r="E39" s="20" t="s">
        <v>175</v>
      </c>
      <c r="F39" s="21">
        <v>1656</v>
      </c>
      <c r="G39" s="22" t="s">
        <v>781</v>
      </c>
      <c r="H39" s="67"/>
      <c r="I39" s="67"/>
      <c r="J39" s="67"/>
      <c r="K39" s="67">
        <v>1350</v>
      </c>
      <c r="L39" s="68">
        <v>0.01</v>
      </c>
      <c r="M39" s="69">
        <f t="shared" si="5"/>
        <v>1205.3571428571427</v>
      </c>
      <c r="N39" s="69">
        <f t="shared" si="6"/>
        <v>144.64285714285711</v>
      </c>
      <c r="O39" s="69">
        <f t="shared" si="7"/>
        <v>-12.053571428571427</v>
      </c>
      <c r="P39" s="69">
        <v>1205.3599999999999</v>
      </c>
      <c r="Q39" s="69"/>
      <c r="R39" s="69"/>
      <c r="S39" s="69"/>
      <c r="T39" s="70"/>
      <c r="U39" s="70"/>
      <c r="V39" s="70"/>
      <c r="W39" s="70"/>
      <c r="X39" s="70"/>
      <c r="Y39" s="69"/>
      <c r="Z39" s="69"/>
      <c r="AA39" s="69"/>
      <c r="AB39" s="69"/>
      <c r="AC39" s="70"/>
      <c r="AD39" s="70"/>
      <c r="AE39" s="71"/>
      <c r="AF39" s="71"/>
      <c r="AG39" s="69">
        <f t="shared" si="8"/>
        <v>-1337.9492857142857</v>
      </c>
      <c r="AH39" s="29">
        <f t="shared" si="9"/>
        <v>-2.857142857106254E-3</v>
      </c>
    </row>
    <row r="40" spans="1:34" s="72" customFormat="1" ht="21" customHeight="1" x14ac:dyDescent="0.2">
      <c r="A40" s="65">
        <v>43350</v>
      </c>
      <c r="B40" s="66"/>
      <c r="C40" s="20" t="s">
        <v>745</v>
      </c>
      <c r="D40" s="20" t="s">
        <v>812</v>
      </c>
      <c r="E40" s="20" t="s">
        <v>277</v>
      </c>
      <c r="F40" s="21">
        <v>319625</v>
      </c>
      <c r="G40" s="22" t="s">
        <v>814</v>
      </c>
      <c r="H40" s="67"/>
      <c r="I40" s="67"/>
      <c r="J40" s="67"/>
      <c r="K40" s="67">
        <v>648</v>
      </c>
      <c r="L40" s="68"/>
      <c r="M40" s="69">
        <f t="shared" si="5"/>
        <v>578.57142857142856</v>
      </c>
      <c r="N40" s="69">
        <f t="shared" si="6"/>
        <v>69.428571428571431</v>
      </c>
      <c r="O40" s="69">
        <f t="shared" si="7"/>
        <v>0</v>
      </c>
      <c r="P40" s="69">
        <v>578.57000000000005</v>
      </c>
      <c r="Q40" s="69"/>
      <c r="R40" s="69"/>
      <c r="S40" s="69"/>
      <c r="T40" s="70"/>
      <c r="U40" s="70"/>
      <c r="V40" s="70"/>
      <c r="W40" s="70"/>
      <c r="X40" s="70"/>
      <c r="Y40" s="69"/>
      <c r="Z40" s="69"/>
      <c r="AA40" s="69"/>
      <c r="AB40" s="69"/>
      <c r="AC40" s="70"/>
      <c r="AD40" s="70"/>
      <c r="AE40" s="71"/>
      <c r="AF40" s="71"/>
      <c r="AG40" s="69">
        <f t="shared" si="8"/>
        <v>-647.99857142857149</v>
      </c>
      <c r="AH40" s="29">
        <f t="shared" si="9"/>
        <v>1.4285714285051654E-3</v>
      </c>
    </row>
    <row r="41" spans="1:34" s="72" customFormat="1" ht="21" customHeight="1" x14ac:dyDescent="0.2">
      <c r="A41" s="65">
        <v>43350</v>
      </c>
      <c r="B41" s="66"/>
      <c r="C41" s="20" t="s">
        <v>745</v>
      </c>
      <c r="D41" s="20" t="s">
        <v>812</v>
      </c>
      <c r="E41" s="20" t="s">
        <v>277</v>
      </c>
      <c r="F41" s="21">
        <v>89264</v>
      </c>
      <c r="G41" s="22" t="s">
        <v>815</v>
      </c>
      <c r="H41" s="67"/>
      <c r="I41" s="67"/>
      <c r="J41" s="67"/>
      <c r="K41" s="67">
        <v>920.18</v>
      </c>
      <c r="L41" s="68"/>
      <c r="M41" s="69">
        <f t="shared" si="5"/>
        <v>821.58928571428555</v>
      </c>
      <c r="N41" s="69">
        <f t="shared" si="6"/>
        <v>98.590714285714256</v>
      </c>
      <c r="O41" s="69">
        <f t="shared" si="7"/>
        <v>0</v>
      </c>
      <c r="P41" s="69">
        <v>821.59</v>
      </c>
      <c r="Q41" s="69"/>
      <c r="R41" s="69"/>
      <c r="S41" s="69"/>
      <c r="T41" s="70"/>
      <c r="U41" s="70"/>
      <c r="V41" s="70"/>
      <c r="W41" s="70"/>
      <c r="X41" s="70"/>
      <c r="Y41" s="69"/>
      <c r="Z41" s="69"/>
      <c r="AA41" s="69"/>
      <c r="AB41" s="69"/>
      <c r="AC41" s="70"/>
      <c r="AD41" s="70"/>
      <c r="AE41" s="71"/>
      <c r="AF41" s="71"/>
      <c r="AG41" s="69">
        <f t="shared" si="8"/>
        <v>-920.18071428571432</v>
      </c>
      <c r="AH41" s="29">
        <f t="shared" si="9"/>
        <v>-7.1428571436626953E-4</v>
      </c>
    </row>
    <row r="42" spans="1:34" s="72" customFormat="1" ht="21" customHeight="1" x14ac:dyDescent="0.2">
      <c r="A42" s="65">
        <v>43351</v>
      </c>
      <c r="B42" s="66"/>
      <c r="C42" s="20" t="s">
        <v>816</v>
      </c>
      <c r="D42" s="20" t="s">
        <v>489</v>
      </c>
      <c r="E42" s="20" t="s">
        <v>156</v>
      </c>
      <c r="F42" s="21">
        <v>21262</v>
      </c>
      <c r="G42" s="22" t="s">
        <v>817</v>
      </c>
      <c r="H42" s="67"/>
      <c r="I42" s="67"/>
      <c r="J42" s="67"/>
      <c r="K42" s="67">
        <v>650</v>
      </c>
      <c r="L42" s="68"/>
      <c r="M42" s="69">
        <f t="shared" si="5"/>
        <v>580.35714285714278</v>
      </c>
      <c r="N42" s="69">
        <f t="shared" si="6"/>
        <v>69.642857142857125</v>
      </c>
      <c r="O42" s="69">
        <f t="shared" si="7"/>
        <v>0</v>
      </c>
      <c r="P42" s="69">
        <v>580.36</v>
      </c>
      <c r="Q42" s="69"/>
      <c r="R42" s="69"/>
      <c r="S42" s="69"/>
      <c r="T42" s="70"/>
      <c r="U42" s="70"/>
      <c r="V42" s="70"/>
      <c r="W42" s="70"/>
      <c r="X42" s="70"/>
      <c r="Y42" s="69"/>
      <c r="Z42" s="69"/>
      <c r="AA42" s="69"/>
      <c r="AB42" s="69"/>
      <c r="AC42" s="70"/>
      <c r="AD42" s="70"/>
      <c r="AE42" s="71"/>
      <c r="AF42" s="71"/>
      <c r="AG42" s="69">
        <f t="shared" si="8"/>
        <v>-650.00285714285712</v>
      </c>
      <c r="AH42" s="29">
        <f t="shared" si="9"/>
        <v>-2.8571428571240176E-3</v>
      </c>
    </row>
    <row r="43" spans="1:34" s="72" customFormat="1" ht="21" customHeight="1" x14ac:dyDescent="0.2">
      <c r="A43" s="65">
        <v>43351</v>
      </c>
      <c r="B43" s="66"/>
      <c r="C43" s="20" t="s">
        <v>426</v>
      </c>
      <c r="D43" s="20" t="s">
        <v>427</v>
      </c>
      <c r="E43" s="20" t="s">
        <v>156</v>
      </c>
      <c r="F43" s="21">
        <v>16510</v>
      </c>
      <c r="G43" s="22" t="s">
        <v>818</v>
      </c>
      <c r="H43" s="67"/>
      <c r="I43" s="67"/>
      <c r="J43" s="67"/>
      <c r="K43" s="67">
        <v>1075</v>
      </c>
      <c r="L43" s="68"/>
      <c r="M43" s="69">
        <f t="shared" si="5"/>
        <v>959.82142857142844</v>
      </c>
      <c r="N43" s="69">
        <f t="shared" si="6"/>
        <v>115.1785714285714</v>
      </c>
      <c r="O43" s="69">
        <f t="shared" si="7"/>
        <v>0</v>
      </c>
      <c r="P43" s="69"/>
      <c r="Q43" s="69"/>
      <c r="R43" s="69"/>
      <c r="S43" s="69">
        <v>959.82</v>
      </c>
      <c r="T43" s="70"/>
      <c r="U43" s="70"/>
      <c r="V43" s="70"/>
      <c r="W43" s="70"/>
      <c r="X43" s="70"/>
      <c r="Y43" s="69"/>
      <c r="Z43" s="69"/>
      <c r="AA43" s="69"/>
      <c r="AB43" s="69"/>
      <c r="AC43" s="70"/>
      <c r="AD43" s="70"/>
      <c r="AE43" s="71"/>
      <c r="AF43" s="71"/>
      <c r="AG43" s="69">
        <f t="shared" si="8"/>
        <v>-1074.9985714285715</v>
      </c>
      <c r="AH43" s="29">
        <f t="shared" si="9"/>
        <v>1.4285714285051654E-3</v>
      </c>
    </row>
    <row r="44" spans="1:34" s="72" customFormat="1" ht="21" customHeight="1" x14ac:dyDescent="0.2">
      <c r="A44" s="65">
        <v>43351</v>
      </c>
      <c r="B44" s="66"/>
      <c r="C44" s="20" t="s">
        <v>96</v>
      </c>
      <c r="D44" s="20"/>
      <c r="E44" s="20"/>
      <c r="F44" s="21"/>
      <c r="G44" s="22" t="s">
        <v>161</v>
      </c>
      <c r="H44" s="67">
        <v>98</v>
      </c>
      <c r="I44" s="67"/>
      <c r="J44" s="67"/>
      <c r="K44" s="67"/>
      <c r="L44" s="68"/>
      <c r="M44" s="69">
        <f t="shared" si="5"/>
        <v>98</v>
      </c>
      <c r="N44" s="69">
        <f t="shared" si="6"/>
        <v>0</v>
      </c>
      <c r="O44" s="69">
        <f t="shared" si="7"/>
        <v>0</v>
      </c>
      <c r="P44" s="69"/>
      <c r="Q44" s="69"/>
      <c r="R44" s="69"/>
      <c r="S44" s="69"/>
      <c r="T44" s="70"/>
      <c r="U44" s="70"/>
      <c r="V44" s="70"/>
      <c r="W44" s="70"/>
      <c r="X44" s="70"/>
      <c r="Y44" s="69"/>
      <c r="Z44" s="69"/>
      <c r="AA44" s="69">
        <v>98</v>
      </c>
      <c r="AB44" s="69"/>
      <c r="AC44" s="70"/>
      <c r="AD44" s="70"/>
      <c r="AE44" s="71"/>
      <c r="AF44" s="71"/>
      <c r="AG44" s="69">
        <f t="shared" si="8"/>
        <v>-98</v>
      </c>
      <c r="AH44" s="29">
        <f t="shared" si="9"/>
        <v>0</v>
      </c>
    </row>
    <row r="45" spans="1:34" s="72" customFormat="1" ht="21" customHeight="1" x14ac:dyDescent="0.2">
      <c r="A45" s="65">
        <v>43351</v>
      </c>
      <c r="B45" s="66"/>
      <c r="C45" s="20" t="s">
        <v>705</v>
      </c>
      <c r="D45" s="20" t="s">
        <v>706</v>
      </c>
      <c r="E45" s="20" t="s">
        <v>707</v>
      </c>
      <c r="F45" s="21">
        <v>185410</v>
      </c>
      <c r="G45" s="22" t="s">
        <v>40</v>
      </c>
      <c r="H45" s="23"/>
      <c r="I45" s="23"/>
      <c r="J45" s="23"/>
      <c r="K45" s="23">
        <v>85</v>
      </c>
      <c r="L45" s="68"/>
      <c r="M45" s="69">
        <f t="shared" si="5"/>
        <v>75.892857142857139</v>
      </c>
      <c r="N45" s="69">
        <f t="shared" si="6"/>
        <v>9.1071428571428559</v>
      </c>
      <c r="O45" s="69">
        <f t="shared" si="7"/>
        <v>0</v>
      </c>
      <c r="P45" s="69"/>
      <c r="Q45" s="69">
        <v>75.89</v>
      </c>
      <c r="R45" s="69"/>
      <c r="S45" s="69"/>
      <c r="T45" s="70"/>
      <c r="U45" s="70"/>
      <c r="V45" s="70"/>
      <c r="W45" s="70"/>
      <c r="X45" s="70"/>
      <c r="Y45" s="69"/>
      <c r="Z45" s="69"/>
      <c r="AA45" s="69"/>
      <c r="AB45" s="69"/>
      <c r="AC45" s="70"/>
      <c r="AD45" s="70"/>
      <c r="AE45" s="71"/>
      <c r="AF45" s="71"/>
      <c r="AG45" s="69">
        <f t="shared" si="8"/>
        <v>-84.997142857142862</v>
      </c>
      <c r="AH45" s="29">
        <f t="shared" si="9"/>
        <v>2.8571428571382285E-3</v>
      </c>
    </row>
    <row r="46" spans="1:34" s="72" customFormat="1" ht="21" customHeight="1" x14ac:dyDescent="0.2">
      <c r="A46" s="65">
        <v>43351</v>
      </c>
      <c r="B46" s="66"/>
      <c r="C46" s="20" t="s">
        <v>466</v>
      </c>
      <c r="D46" s="20" t="s">
        <v>467</v>
      </c>
      <c r="E46" s="20" t="s">
        <v>277</v>
      </c>
      <c r="F46" s="21">
        <v>151845</v>
      </c>
      <c r="G46" s="22" t="s">
        <v>40</v>
      </c>
      <c r="H46" s="23"/>
      <c r="I46" s="23"/>
      <c r="J46" s="23"/>
      <c r="K46" s="23">
        <v>38</v>
      </c>
      <c r="L46" s="68"/>
      <c r="M46" s="69">
        <f t="shared" si="5"/>
        <v>33.928571428571423</v>
      </c>
      <c r="N46" s="69">
        <f t="shared" si="6"/>
        <v>4.0714285714285703</v>
      </c>
      <c r="O46" s="69">
        <f t="shared" si="7"/>
        <v>0</v>
      </c>
      <c r="P46" s="69"/>
      <c r="Q46" s="69">
        <v>33.93</v>
      </c>
      <c r="R46" s="69"/>
      <c r="S46" s="69"/>
      <c r="T46" s="70"/>
      <c r="U46" s="70"/>
      <c r="V46" s="70"/>
      <c r="W46" s="70"/>
      <c r="X46" s="70"/>
      <c r="Y46" s="69"/>
      <c r="Z46" s="69"/>
      <c r="AA46" s="69"/>
      <c r="AB46" s="69"/>
      <c r="AC46" s="70"/>
      <c r="AD46" s="70"/>
      <c r="AE46" s="71"/>
      <c r="AF46" s="71"/>
      <c r="AG46" s="69">
        <f t="shared" si="8"/>
        <v>-38.001428571428569</v>
      </c>
      <c r="AH46" s="29">
        <f t="shared" si="9"/>
        <v>-1.4285714285691142E-3</v>
      </c>
    </row>
    <row r="47" spans="1:34" s="72" customFormat="1" ht="21" customHeight="1" x14ac:dyDescent="0.2">
      <c r="A47" s="65">
        <v>43353</v>
      </c>
      <c r="B47" s="66"/>
      <c r="C47" s="20" t="s">
        <v>705</v>
      </c>
      <c r="D47" s="20" t="s">
        <v>706</v>
      </c>
      <c r="E47" s="20" t="s">
        <v>707</v>
      </c>
      <c r="F47" s="21">
        <v>183238</v>
      </c>
      <c r="G47" s="22" t="s">
        <v>40</v>
      </c>
      <c r="H47" s="23"/>
      <c r="I47" s="23"/>
      <c r="J47" s="23"/>
      <c r="K47" s="23">
        <v>170</v>
      </c>
      <c r="L47" s="68"/>
      <c r="M47" s="69">
        <f t="shared" si="5"/>
        <v>151.78571428571428</v>
      </c>
      <c r="N47" s="69">
        <f t="shared" si="6"/>
        <v>18.214285714285712</v>
      </c>
      <c r="O47" s="69">
        <f t="shared" si="7"/>
        <v>0</v>
      </c>
      <c r="P47" s="69"/>
      <c r="Q47" s="69">
        <v>151.79</v>
      </c>
      <c r="R47" s="69"/>
      <c r="S47" s="69"/>
      <c r="T47" s="70"/>
      <c r="U47" s="70"/>
      <c r="V47" s="70"/>
      <c r="W47" s="70"/>
      <c r="X47" s="70"/>
      <c r="Y47" s="69"/>
      <c r="Z47" s="69"/>
      <c r="AA47" s="69"/>
      <c r="AB47" s="69"/>
      <c r="AC47" s="70"/>
      <c r="AD47" s="70"/>
      <c r="AE47" s="71"/>
      <c r="AF47" s="71"/>
      <c r="AG47" s="69">
        <f t="shared" si="8"/>
        <v>-170.00428571428571</v>
      </c>
      <c r="AH47" s="29">
        <f t="shared" si="9"/>
        <v>-4.2857142857144481E-3</v>
      </c>
    </row>
    <row r="48" spans="1:34" s="81" customFormat="1" ht="21" customHeight="1" x14ac:dyDescent="0.2">
      <c r="A48" s="74">
        <v>43353</v>
      </c>
      <c r="B48" s="75"/>
      <c r="C48" s="36" t="s">
        <v>745</v>
      </c>
      <c r="D48" s="36" t="s">
        <v>812</v>
      </c>
      <c r="E48" s="36" t="s">
        <v>277</v>
      </c>
      <c r="F48" s="37">
        <v>90341</v>
      </c>
      <c r="G48" s="38" t="s">
        <v>455</v>
      </c>
      <c r="H48" s="76"/>
      <c r="I48" s="76"/>
      <c r="J48" s="76"/>
      <c r="K48" s="76">
        <v>630.45000000000005</v>
      </c>
      <c r="L48" s="77"/>
      <c r="M48" s="78">
        <f t="shared" si="5"/>
        <v>562.90178571428567</v>
      </c>
      <c r="N48" s="78">
        <f t="shared" si="6"/>
        <v>67.54821428571428</v>
      </c>
      <c r="O48" s="78">
        <f t="shared" si="7"/>
        <v>0</v>
      </c>
      <c r="P48" s="78">
        <v>562.9</v>
      </c>
      <c r="Q48" s="78"/>
      <c r="R48" s="78"/>
      <c r="S48" s="78"/>
      <c r="T48" s="79"/>
      <c r="U48" s="79"/>
      <c r="V48" s="79"/>
      <c r="W48" s="79"/>
      <c r="X48" s="79"/>
      <c r="Y48" s="78"/>
      <c r="Z48" s="78"/>
      <c r="AA48" s="78"/>
      <c r="AB48" s="78"/>
      <c r="AC48" s="79"/>
      <c r="AD48" s="79"/>
      <c r="AE48" s="80"/>
      <c r="AF48" s="80"/>
      <c r="AG48" s="78">
        <f t="shared" si="8"/>
        <v>-630.44821428571424</v>
      </c>
      <c r="AH48" s="45">
        <f t="shared" si="9"/>
        <v>1.785714285801987E-3</v>
      </c>
    </row>
    <row r="49" spans="1:34" s="72" customFormat="1" ht="21" customHeight="1" x14ac:dyDescent="0.2">
      <c r="A49" s="65">
        <v>43350</v>
      </c>
      <c r="B49" s="66"/>
      <c r="C49" s="20" t="s">
        <v>705</v>
      </c>
      <c r="D49" s="20" t="s">
        <v>706</v>
      </c>
      <c r="E49" s="20" t="s">
        <v>707</v>
      </c>
      <c r="F49" s="21">
        <v>180192</v>
      </c>
      <c r="G49" s="21" t="s">
        <v>40</v>
      </c>
      <c r="H49" s="67"/>
      <c r="I49" s="67"/>
      <c r="J49" s="67"/>
      <c r="K49" s="67">
        <v>170</v>
      </c>
      <c r="L49" s="68"/>
      <c r="M49" s="69">
        <f t="shared" si="5"/>
        <v>151.78571428571428</v>
      </c>
      <c r="N49" s="69">
        <f t="shared" si="6"/>
        <v>18.214285714285712</v>
      </c>
      <c r="O49" s="69">
        <f t="shared" si="7"/>
        <v>0</v>
      </c>
      <c r="P49" s="69"/>
      <c r="Q49" s="69">
        <v>151.79</v>
      </c>
      <c r="R49" s="69"/>
      <c r="S49" s="69"/>
      <c r="T49" s="70"/>
      <c r="U49" s="70"/>
      <c r="V49" s="70"/>
      <c r="W49" s="70"/>
      <c r="X49" s="70"/>
      <c r="Y49" s="69"/>
      <c r="Z49" s="69"/>
      <c r="AA49" s="69"/>
      <c r="AB49" s="69"/>
      <c r="AC49" s="70"/>
      <c r="AD49" s="70"/>
      <c r="AE49" s="71"/>
      <c r="AF49" s="71"/>
      <c r="AG49" s="69">
        <f t="shared" si="8"/>
        <v>-170.00428571428571</v>
      </c>
      <c r="AH49" s="29">
        <f t="shared" si="9"/>
        <v>-4.2857142857144481E-3</v>
      </c>
    </row>
    <row r="50" spans="1:34" s="30" customFormat="1" ht="21.75" customHeight="1" x14ac:dyDescent="0.2">
      <c r="A50" s="18"/>
      <c r="B50" s="19"/>
      <c r="C50" s="20"/>
      <c r="D50" s="20"/>
      <c r="E50" s="20"/>
      <c r="F50" s="21"/>
      <c r="G50" s="22"/>
      <c r="H50" s="23"/>
      <c r="I50" s="23"/>
      <c r="J50" s="23"/>
      <c r="K50" s="23"/>
      <c r="L50" s="24"/>
      <c r="M50" s="25">
        <f t="shared" si="5"/>
        <v>0</v>
      </c>
      <c r="N50" s="25">
        <f t="shared" si="6"/>
        <v>0</v>
      </c>
      <c r="O50" s="25">
        <f t="shared" si="7"/>
        <v>0</v>
      </c>
      <c r="P50" s="25"/>
      <c r="Q50" s="25"/>
      <c r="R50" s="25"/>
      <c r="S50" s="25"/>
      <c r="T50" s="26"/>
      <c r="U50" s="26"/>
      <c r="V50" s="26"/>
      <c r="W50" s="26"/>
      <c r="X50" s="26"/>
      <c r="Y50" s="25"/>
      <c r="Z50" s="25"/>
      <c r="AA50" s="25"/>
      <c r="AB50" s="25"/>
      <c r="AC50" s="25"/>
      <c r="AD50" s="25"/>
      <c r="AE50" s="25"/>
      <c r="AF50" s="25"/>
      <c r="AG50" s="25">
        <f t="shared" si="8"/>
        <v>0</v>
      </c>
      <c r="AH50" s="29">
        <f t="shared" si="9"/>
        <v>0</v>
      </c>
    </row>
    <row r="51" spans="1:34" s="30" customFormat="1" ht="21.75" customHeight="1" x14ac:dyDescent="0.2">
      <c r="A51" s="18">
        <v>43353</v>
      </c>
      <c r="B51" s="19"/>
      <c r="C51" s="20" t="s">
        <v>745</v>
      </c>
      <c r="D51" s="20" t="s">
        <v>812</v>
      </c>
      <c r="E51" s="20" t="s">
        <v>277</v>
      </c>
      <c r="F51" s="21">
        <v>31736</v>
      </c>
      <c r="G51" s="22" t="s">
        <v>819</v>
      </c>
      <c r="H51" s="23"/>
      <c r="I51" s="23"/>
      <c r="J51" s="23"/>
      <c r="K51" s="23">
        <v>343</v>
      </c>
      <c r="L51" s="24"/>
      <c r="M51" s="69">
        <f t="shared" si="5"/>
        <v>306.24999999999994</v>
      </c>
      <c r="N51" s="69">
        <f t="shared" si="6"/>
        <v>36.749999999999993</v>
      </c>
      <c r="O51" s="69">
        <f t="shared" si="7"/>
        <v>0</v>
      </c>
      <c r="P51" s="69"/>
      <c r="Q51" s="69">
        <v>306.25</v>
      </c>
      <c r="R51" s="69"/>
      <c r="S51" s="69"/>
      <c r="T51" s="70"/>
      <c r="U51" s="70"/>
      <c r="V51" s="70"/>
      <c r="W51" s="70"/>
      <c r="X51" s="70"/>
      <c r="Y51" s="69"/>
      <c r="Z51" s="69"/>
      <c r="AA51" s="69"/>
      <c r="AB51" s="69"/>
      <c r="AC51" s="70"/>
      <c r="AD51" s="70"/>
      <c r="AE51" s="71"/>
      <c r="AF51" s="71"/>
      <c r="AG51" s="69">
        <f t="shared" si="8"/>
        <v>-343</v>
      </c>
      <c r="AH51" s="29">
        <f t="shared" si="9"/>
        <v>0</v>
      </c>
    </row>
    <row r="52" spans="1:34" s="30" customFormat="1" ht="21.75" customHeight="1" x14ac:dyDescent="0.2">
      <c r="A52" s="18">
        <v>43353</v>
      </c>
      <c r="B52" s="19"/>
      <c r="C52" s="20" t="s">
        <v>59</v>
      </c>
      <c r="D52" s="20" t="s">
        <v>60</v>
      </c>
      <c r="E52" s="20" t="s">
        <v>61</v>
      </c>
      <c r="F52" s="21">
        <v>697189</v>
      </c>
      <c r="G52" s="22" t="s">
        <v>820</v>
      </c>
      <c r="H52" s="23"/>
      <c r="I52" s="23"/>
      <c r="J52" s="23"/>
      <c r="K52" s="23">
        <v>510.25</v>
      </c>
      <c r="L52" s="24"/>
      <c r="M52" s="69">
        <f t="shared" si="5"/>
        <v>455.58035714285711</v>
      </c>
      <c r="N52" s="69">
        <f t="shared" si="6"/>
        <v>54.669642857142854</v>
      </c>
      <c r="O52" s="69">
        <f t="shared" si="7"/>
        <v>0</v>
      </c>
      <c r="P52" s="69"/>
      <c r="Q52" s="69"/>
      <c r="R52" s="69"/>
      <c r="S52" s="69"/>
      <c r="T52" s="70">
        <v>455.58</v>
      </c>
      <c r="U52" s="70"/>
      <c r="V52" s="70"/>
      <c r="W52" s="70"/>
      <c r="X52" s="70"/>
      <c r="Y52" s="69"/>
      <c r="Z52" s="69"/>
      <c r="AA52" s="69"/>
      <c r="AB52" s="69"/>
      <c r="AC52" s="70"/>
      <c r="AD52" s="70"/>
      <c r="AE52" s="71"/>
      <c r="AF52" s="71"/>
      <c r="AG52" s="69">
        <f t="shared" si="8"/>
        <v>-510.24964285714282</v>
      </c>
      <c r="AH52" s="29">
        <f t="shared" si="9"/>
        <v>3.5714285718313477E-4</v>
      </c>
    </row>
    <row r="53" spans="1:34" s="30" customFormat="1" ht="21.75" customHeight="1" x14ac:dyDescent="0.2">
      <c r="A53" s="18">
        <v>43353</v>
      </c>
      <c r="B53" s="19"/>
      <c r="C53" s="20" t="s">
        <v>821</v>
      </c>
      <c r="D53" s="20" t="s">
        <v>295</v>
      </c>
      <c r="E53" s="20" t="s">
        <v>43</v>
      </c>
      <c r="F53" s="21">
        <v>11916</v>
      </c>
      <c r="G53" s="22" t="s">
        <v>635</v>
      </c>
      <c r="H53" s="23"/>
      <c r="I53" s="23"/>
      <c r="J53" s="23">
        <v>1610</v>
      </c>
      <c r="K53" s="23"/>
      <c r="L53" s="24"/>
      <c r="M53" s="69">
        <f t="shared" si="5"/>
        <v>1610</v>
      </c>
      <c r="N53" s="69">
        <f t="shared" si="6"/>
        <v>0</v>
      </c>
      <c r="O53" s="69">
        <f t="shared" si="7"/>
        <v>0</v>
      </c>
      <c r="P53" s="69">
        <v>1610</v>
      </c>
      <c r="Q53" s="69"/>
      <c r="R53" s="69"/>
      <c r="S53" s="69"/>
      <c r="T53" s="70"/>
      <c r="U53" s="70"/>
      <c r="V53" s="70"/>
      <c r="W53" s="70"/>
      <c r="X53" s="70"/>
      <c r="Y53" s="69"/>
      <c r="Z53" s="69"/>
      <c r="AA53" s="69"/>
      <c r="AB53" s="69"/>
      <c r="AC53" s="70"/>
      <c r="AD53" s="70"/>
      <c r="AE53" s="71"/>
      <c r="AF53" s="71"/>
      <c r="AG53" s="69">
        <f t="shared" si="8"/>
        <v>-1610</v>
      </c>
      <c r="AH53" s="29">
        <f t="shared" si="9"/>
        <v>0</v>
      </c>
    </row>
    <row r="54" spans="1:34" s="30" customFormat="1" ht="21.75" customHeight="1" x14ac:dyDescent="0.2">
      <c r="A54" s="18">
        <v>43354</v>
      </c>
      <c r="B54" s="19"/>
      <c r="C54" s="20" t="s">
        <v>59</v>
      </c>
      <c r="D54" s="20" t="s">
        <v>60</v>
      </c>
      <c r="E54" s="20" t="s">
        <v>61</v>
      </c>
      <c r="F54" s="21">
        <v>663360</v>
      </c>
      <c r="G54" s="22" t="s">
        <v>822</v>
      </c>
      <c r="H54" s="23"/>
      <c r="I54" s="23"/>
      <c r="J54" s="23"/>
      <c r="K54" s="23">
        <v>45</v>
      </c>
      <c r="L54" s="24"/>
      <c r="M54" s="69">
        <f t="shared" si="5"/>
        <v>40.178571428571423</v>
      </c>
      <c r="N54" s="69">
        <f t="shared" si="6"/>
        <v>4.8214285714285703</v>
      </c>
      <c r="O54" s="69">
        <f t="shared" si="7"/>
        <v>0</v>
      </c>
      <c r="P54" s="69"/>
      <c r="Q54" s="69"/>
      <c r="R54" s="69"/>
      <c r="S54" s="69"/>
      <c r="T54" s="70">
        <v>40.18</v>
      </c>
      <c r="U54" s="70"/>
      <c r="V54" s="70"/>
      <c r="W54" s="70"/>
      <c r="X54" s="70"/>
      <c r="Y54" s="69"/>
      <c r="Z54" s="69"/>
      <c r="AA54" s="69"/>
      <c r="AB54" s="69"/>
      <c r="AC54" s="70"/>
      <c r="AD54" s="70"/>
      <c r="AE54" s="71"/>
      <c r="AF54" s="71"/>
      <c r="AG54" s="69">
        <f t="shared" si="8"/>
        <v>-45.001428571428569</v>
      </c>
      <c r="AH54" s="29">
        <f t="shared" si="9"/>
        <v>-1.4285714285691142E-3</v>
      </c>
    </row>
    <row r="55" spans="1:34" s="72" customFormat="1" ht="21" customHeight="1" x14ac:dyDescent="0.2">
      <c r="A55" s="65">
        <v>43354</v>
      </c>
      <c r="B55" s="66"/>
      <c r="C55" s="20" t="s">
        <v>705</v>
      </c>
      <c r="D55" s="20" t="s">
        <v>706</v>
      </c>
      <c r="E55" s="20" t="s">
        <v>707</v>
      </c>
      <c r="F55" s="21">
        <v>185482</v>
      </c>
      <c r="G55" s="22" t="s">
        <v>40</v>
      </c>
      <c r="H55" s="67"/>
      <c r="I55" s="67"/>
      <c r="J55" s="67"/>
      <c r="K55" s="67">
        <v>170</v>
      </c>
      <c r="L55" s="68"/>
      <c r="M55" s="69">
        <f t="shared" si="5"/>
        <v>151.78571428571428</v>
      </c>
      <c r="N55" s="69">
        <f t="shared" si="6"/>
        <v>18.214285714285712</v>
      </c>
      <c r="O55" s="69">
        <f t="shared" si="7"/>
        <v>0</v>
      </c>
      <c r="P55" s="69"/>
      <c r="Q55" s="69">
        <v>151.79</v>
      </c>
      <c r="R55" s="69"/>
      <c r="S55" s="69"/>
      <c r="T55" s="70"/>
      <c r="U55" s="70"/>
      <c r="V55" s="70"/>
      <c r="W55" s="70"/>
      <c r="X55" s="70"/>
      <c r="Y55" s="69"/>
      <c r="Z55" s="69"/>
      <c r="AA55" s="69"/>
      <c r="AB55" s="69"/>
      <c r="AC55" s="70"/>
      <c r="AD55" s="70"/>
      <c r="AE55" s="71"/>
      <c r="AF55" s="71"/>
      <c r="AG55" s="69">
        <f t="shared" si="8"/>
        <v>-170.00428571428571</v>
      </c>
      <c r="AH55" s="29">
        <f t="shared" si="9"/>
        <v>-4.2857142857144481E-3</v>
      </c>
    </row>
    <row r="56" spans="1:34" s="72" customFormat="1" ht="21" customHeight="1" x14ac:dyDescent="0.2">
      <c r="A56" s="65">
        <v>43354</v>
      </c>
      <c r="B56" s="66"/>
      <c r="C56" s="20" t="s">
        <v>745</v>
      </c>
      <c r="D56" s="20" t="s">
        <v>812</v>
      </c>
      <c r="E56" s="20" t="s">
        <v>277</v>
      </c>
      <c r="F56" s="21">
        <v>90368</v>
      </c>
      <c r="G56" s="22" t="s">
        <v>823</v>
      </c>
      <c r="H56" s="67"/>
      <c r="I56" s="67"/>
      <c r="J56" s="67"/>
      <c r="K56" s="67">
        <v>803</v>
      </c>
      <c r="L56" s="68"/>
      <c r="M56" s="69">
        <f t="shared" si="5"/>
        <v>716.96428571428567</v>
      </c>
      <c r="N56" s="69">
        <f t="shared" si="6"/>
        <v>86.035714285714278</v>
      </c>
      <c r="O56" s="69">
        <f t="shared" si="7"/>
        <v>0</v>
      </c>
      <c r="P56" s="69">
        <v>716.96</v>
      </c>
      <c r="Q56" s="69"/>
      <c r="R56" s="69"/>
      <c r="S56" s="69"/>
      <c r="T56" s="70"/>
      <c r="U56" s="70"/>
      <c r="V56" s="70"/>
      <c r="W56" s="70"/>
      <c r="X56" s="70"/>
      <c r="Y56" s="69"/>
      <c r="Z56" s="69"/>
      <c r="AA56" s="69"/>
      <c r="AB56" s="69"/>
      <c r="AC56" s="70"/>
      <c r="AD56" s="70"/>
      <c r="AE56" s="71"/>
      <c r="AF56" s="71"/>
      <c r="AG56" s="69">
        <f t="shared" si="8"/>
        <v>-802.99571428571426</v>
      </c>
      <c r="AH56" s="29">
        <f t="shared" si="9"/>
        <v>4.2857142857428698E-3</v>
      </c>
    </row>
    <row r="57" spans="1:34" s="72" customFormat="1" ht="21" customHeight="1" x14ac:dyDescent="0.2">
      <c r="A57" s="65">
        <v>43354</v>
      </c>
      <c r="B57" s="66"/>
      <c r="C57" s="20" t="s">
        <v>45</v>
      </c>
      <c r="D57" s="20"/>
      <c r="E57" s="20"/>
      <c r="F57" s="21"/>
      <c r="G57" s="22" t="s">
        <v>173</v>
      </c>
      <c r="H57" s="67">
        <v>100</v>
      </c>
      <c r="I57" s="67"/>
      <c r="J57" s="67"/>
      <c r="K57" s="67"/>
      <c r="L57" s="68"/>
      <c r="M57" s="69">
        <f t="shared" si="5"/>
        <v>100</v>
      </c>
      <c r="N57" s="69">
        <f t="shared" si="6"/>
        <v>0</v>
      </c>
      <c r="O57" s="69">
        <f t="shared" si="7"/>
        <v>0</v>
      </c>
      <c r="P57" s="69"/>
      <c r="Q57" s="69"/>
      <c r="R57" s="69"/>
      <c r="S57" s="69"/>
      <c r="T57" s="70"/>
      <c r="U57" s="70"/>
      <c r="V57" s="70"/>
      <c r="W57" s="70"/>
      <c r="X57" s="70"/>
      <c r="Y57" s="69"/>
      <c r="Z57" s="69"/>
      <c r="AA57" s="69"/>
      <c r="AB57" s="69">
        <v>100</v>
      </c>
      <c r="AC57" s="70"/>
      <c r="AD57" s="70"/>
      <c r="AE57" s="71"/>
      <c r="AF57" s="71"/>
      <c r="AG57" s="69">
        <f t="shared" si="8"/>
        <v>-100</v>
      </c>
      <c r="AH57" s="29">
        <f t="shared" si="9"/>
        <v>0</v>
      </c>
    </row>
    <row r="58" spans="1:34" s="72" customFormat="1" ht="21" customHeight="1" x14ac:dyDescent="0.2">
      <c r="A58" s="65">
        <v>43354</v>
      </c>
      <c r="B58" s="66"/>
      <c r="C58" s="20" t="s">
        <v>68</v>
      </c>
      <c r="D58" s="20"/>
      <c r="E58" s="20"/>
      <c r="F58" s="21"/>
      <c r="G58" s="22" t="s">
        <v>824</v>
      </c>
      <c r="H58" s="67">
        <v>40</v>
      </c>
      <c r="I58" s="67"/>
      <c r="J58" s="67"/>
      <c r="K58" s="67"/>
      <c r="L58" s="68"/>
      <c r="M58" s="69">
        <f t="shared" si="5"/>
        <v>40</v>
      </c>
      <c r="N58" s="69">
        <f t="shared" si="6"/>
        <v>0</v>
      </c>
      <c r="O58" s="69">
        <f t="shared" si="7"/>
        <v>0</v>
      </c>
      <c r="P58" s="69"/>
      <c r="Q58" s="69"/>
      <c r="R58" s="69"/>
      <c r="S58" s="69"/>
      <c r="T58" s="70"/>
      <c r="U58" s="70"/>
      <c r="V58" s="70"/>
      <c r="W58" s="70"/>
      <c r="X58" s="70"/>
      <c r="Y58" s="69"/>
      <c r="Z58" s="69"/>
      <c r="AA58" s="69">
        <v>40</v>
      </c>
      <c r="AB58" s="69"/>
      <c r="AC58" s="70"/>
      <c r="AD58" s="70"/>
      <c r="AE58" s="71"/>
      <c r="AF58" s="71"/>
      <c r="AG58" s="69">
        <f t="shared" si="8"/>
        <v>-40</v>
      </c>
      <c r="AH58" s="29">
        <f t="shared" si="9"/>
        <v>0</v>
      </c>
    </row>
    <row r="59" spans="1:34" s="72" customFormat="1" ht="21" customHeight="1" x14ac:dyDescent="0.2">
      <c r="A59" s="65">
        <v>43355</v>
      </c>
      <c r="B59" s="66"/>
      <c r="C59" s="20" t="s">
        <v>705</v>
      </c>
      <c r="D59" s="20" t="s">
        <v>706</v>
      </c>
      <c r="E59" s="20" t="s">
        <v>707</v>
      </c>
      <c r="F59" s="21">
        <v>180225</v>
      </c>
      <c r="G59" s="22" t="s">
        <v>40</v>
      </c>
      <c r="H59" s="67"/>
      <c r="I59" s="67"/>
      <c r="J59" s="67"/>
      <c r="K59" s="67">
        <v>170</v>
      </c>
      <c r="L59" s="68"/>
      <c r="M59" s="69">
        <f t="shared" si="5"/>
        <v>151.78571428571428</v>
      </c>
      <c r="N59" s="69">
        <f t="shared" si="6"/>
        <v>18.214285714285712</v>
      </c>
      <c r="O59" s="69">
        <f t="shared" si="7"/>
        <v>0</v>
      </c>
      <c r="P59" s="69"/>
      <c r="Q59" s="69">
        <v>151.79</v>
      </c>
      <c r="R59" s="69"/>
      <c r="S59" s="69"/>
      <c r="T59" s="70"/>
      <c r="U59" s="70"/>
      <c r="V59" s="70"/>
      <c r="W59" s="70"/>
      <c r="X59" s="70"/>
      <c r="Y59" s="69"/>
      <c r="Z59" s="69"/>
      <c r="AA59" s="69"/>
      <c r="AB59" s="69"/>
      <c r="AC59" s="70"/>
      <c r="AD59" s="70"/>
      <c r="AE59" s="71"/>
      <c r="AF59" s="71"/>
      <c r="AG59" s="69">
        <f t="shared" si="8"/>
        <v>-170.00428571428571</v>
      </c>
      <c r="AH59" s="29">
        <f t="shared" si="9"/>
        <v>-4.2857142857144481E-3</v>
      </c>
    </row>
    <row r="60" spans="1:34" s="72" customFormat="1" ht="21" customHeight="1" x14ac:dyDescent="0.2">
      <c r="A60" s="65">
        <v>43355</v>
      </c>
      <c r="B60" s="66"/>
      <c r="C60" s="20" t="s">
        <v>96</v>
      </c>
      <c r="D60" s="20"/>
      <c r="E60" s="20"/>
      <c r="F60" s="21"/>
      <c r="G60" s="22" t="s">
        <v>825</v>
      </c>
      <c r="H60" s="67">
        <v>25</v>
      </c>
      <c r="I60" s="67"/>
      <c r="J60" s="67"/>
      <c r="K60" s="67"/>
      <c r="L60" s="68"/>
      <c r="M60" s="69">
        <f t="shared" si="5"/>
        <v>25</v>
      </c>
      <c r="N60" s="69">
        <f t="shared" si="6"/>
        <v>0</v>
      </c>
      <c r="O60" s="69">
        <f t="shared" si="7"/>
        <v>0</v>
      </c>
      <c r="P60" s="69"/>
      <c r="Q60" s="69"/>
      <c r="R60" s="69"/>
      <c r="S60" s="69"/>
      <c r="T60" s="70"/>
      <c r="U60" s="70"/>
      <c r="V60" s="70"/>
      <c r="W60" s="70"/>
      <c r="X60" s="70"/>
      <c r="Y60" s="69"/>
      <c r="Z60" s="69"/>
      <c r="AA60" s="69">
        <v>25</v>
      </c>
      <c r="AB60" s="69"/>
      <c r="AC60" s="70"/>
      <c r="AD60" s="70"/>
      <c r="AE60" s="71"/>
      <c r="AF60" s="71"/>
      <c r="AG60" s="69">
        <f t="shared" si="8"/>
        <v>-25</v>
      </c>
      <c r="AH60" s="29">
        <f t="shared" si="9"/>
        <v>0</v>
      </c>
    </row>
    <row r="61" spans="1:34" s="72" customFormat="1" ht="21" customHeight="1" x14ac:dyDescent="0.2">
      <c r="A61" s="65">
        <v>43355</v>
      </c>
      <c r="B61" s="66"/>
      <c r="C61" s="20" t="s">
        <v>826</v>
      </c>
      <c r="D61" s="20" t="s">
        <v>827</v>
      </c>
      <c r="E61" s="20" t="s">
        <v>56</v>
      </c>
      <c r="F61" s="21">
        <v>3721</v>
      </c>
      <c r="G61" s="22" t="s">
        <v>828</v>
      </c>
      <c r="H61" s="67"/>
      <c r="I61" s="67"/>
      <c r="J61" s="67"/>
      <c r="K61" s="67">
        <v>1131.75</v>
      </c>
      <c r="L61" s="68"/>
      <c r="M61" s="69">
        <f t="shared" si="5"/>
        <v>1010.4910714285713</v>
      </c>
      <c r="N61" s="69">
        <f t="shared" si="6"/>
        <v>121.25892857142856</v>
      </c>
      <c r="O61" s="69">
        <f t="shared" si="7"/>
        <v>0</v>
      </c>
      <c r="P61" s="69"/>
      <c r="Q61" s="69"/>
      <c r="R61" s="69"/>
      <c r="S61" s="69"/>
      <c r="T61" s="70"/>
      <c r="U61" s="70"/>
      <c r="V61" s="70"/>
      <c r="W61" s="70"/>
      <c r="X61" s="70"/>
      <c r="Y61" s="69">
        <v>1010.49</v>
      </c>
      <c r="Z61" s="69"/>
      <c r="AA61" s="69"/>
      <c r="AB61" s="69"/>
      <c r="AC61" s="70"/>
      <c r="AD61" s="70"/>
      <c r="AE61" s="71"/>
      <c r="AF61" s="71"/>
      <c r="AG61" s="69">
        <f t="shared" si="8"/>
        <v>-1131.7489285714287</v>
      </c>
      <c r="AH61" s="29">
        <f t="shared" si="9"/>
        <v>1.0714285713220306E-3</v>
      </c>
    </row>
    <row r="62" spans="1:34" s="72" customFormat="1" ht="21" customHeight="1" x14ac:dyDescent="0.2">
      <c r="A62" s="65">
        <v>43355</v>
      </c>
      <c r="B62" s="66"/>
      <c r="C62" s="20" t="s">
        <v>518</v>
      </c>
      <c r="D62" s="20" t="s">
        <v>519</v>
      </c>
      <c r="E62" s="20" t="s">
        <v>633</v>
      </c>
      <c r="F62" s="21">
        <v>1657</v>
      </c>
      <c r="G62" s="22" t="s">
        <v>829</v>
      </c>
      <c r="H62" s="67"/>
      <c r="I62" s="67"/>
      <c r="J62" s="67"/>
      <c r="K62" s="67">
        <v>219</v>
      </c>
      <c r="L62" s="68">
        <v>0.01</v>
      </c>
      <c r="M62" s="69">
        <f t="shared" si="5"/>
        <v>195.53571428571428</v>
      </c>
      <c r="N62" s="69">
        <f t="shared" si="6"/>
        <v>23.464285714285712</v>
      </c>
      <c r="O62" s="69">
        <f t="shared" si="7"/>
        <v>-1.9553571428571428</v>
      </c>
      <c r="P62" s="69">
        <v>195.54</v>
      </c>
      <c r="Q62" s="69"/>
      <c r="R62" s="69"/>
      <c r="S62" s="69"/>
      <c r="T62" s="70"/>
      <c r="U62" s="70"/>
      <c r="V62" s="70"/>
      <c r="W62" s="70"/>
      <c r="X62" s="70"/>
      <c r="Y62" s="69"/>
      <c r="Z62" s="69"/>
      <c r="AA62" s="69"/>
      <c r="AB62" s="69"/>
      <c r="AC62" s="70"/>
      <c r="AD62" s="70"/>
      <c r="AE62" s="71"/>
      <c r="AF62" s="71"/>
      <c r="AG62" s="69">
        <f t="shared" si="8"/>
        <v>-217.04892857142858</v>
      </c>
      <c r="AH62" s="29">
        <f t="shared" si="9"/>
        <v>-4.2857142857184449E-3</v>
      </c>
    </row>
    <row r="63" spans="1:34" s="72" customFormat="1" ht="21" customHeight="1" x14ac:dyDescent="0.2">
      <c r="A63" s="65">
        <v>43355</v>
      </c>
      <c r="B63" s="66"/>
      <c r="C63" s="20" t="s">
        <v>830</v>
      </c>
      <c r="D63" s="20" t="s">
        <v>831</v>
      </c>
      <c r="E63" s="20" t="s">
        <v>175</v>
      </c>
      <c r="F63" s="21">
        <v>3406</v>
      </c>
      <c r="G63" s="22" t="s">
        <v>832</v>
      </c>
      <c r="H63" s="67"/>
      <c r="I63" s="67"/>
      <c r="J63" s="67"/>
      <c r="K63" s="67">
        <v>874.11</v>
      </c>
      <c r="L63" s="68"/>
      <c r="M63" s="69">
        <f t="shared" si="5"/>
        <v>780.45535714285711</v>
      </c>
      <c r="N63" s="69">
        <f t="shared" si="6"/>
        <v>93.654642857142846</v>
      </c>
      <c r="O63" s="69">
        <f t="shared" si="7"/>
        <v>0</v>
      </c>
      <c r="P63" s="69"/>
      <c r="Q63" s="69"/>
      <c r="R63" s="69"/>
      <c r="S63" s="69"/>
      <c r="T63" s="70"/>
      <c r="U63" s="70"/>
      <c r="V63" s="70"/>
      <c r="W63" s="70"/>
      <c r="X63" s="70"/>
      <c r="Y63" s="69">
        <v>780.46</v>
      </c>
      <c r="Z63" s="69"/>
      <c r="AA63" s="69"/>
      <c r="AB63" s="69"/>
      <c r="AC63" s="70"/>
      <c r="AD63" s="70"/>
      <c r="AE63" s="71"/>
      <c r="AF63" s="71"/>
      <c r="AG63" s="69">
        <f t="shared" si="8"/>
        <v>-874.11464285714283</v>
      </c>
      <c r="AH63" s="29">
        <f t="shared" si="9"/>
        <v>-4.6428571428123178E-3</v>
      </c>
    </row>
    <row r="64" spans="1:34" s="72" customFormat="1" ht="21" customHeight="1" x14ac:dyDescent="0.2">
      <c r="A64" s="65">
        <v>43355</v>
      </c>
      <c r="B64" s="66"/>
      <c r="C64" s="20" t="s">
        <v>202</v>
      </c>
      <c r="D64" s="20" t="s">
        <v>76</v>
      </c>
      <c r="E64" s="20" t="s">
        <v>120</v>
      </c>
      <c r="F64" s="21">
        <v>6702</v>
      </c>
      <c r="G64" s="22" t="s">
        <v>78</v>
      </c>
      <c r="H64" s="67"/>
      <c r="I64" s="67"/>
      <c r="J64" s="67"/>
      <c r="K64" s="67">
        <v>459</v>
      </c>
      <c r="L64" s="68"/>
      <c r="M64" s="69">
        <f t="shared" si="5"/>
        <v>409.82142857142856</v>
      </c>
      <c r="N64" s="69">
        <f t="shared" si="6"/>
        <v>49.178571428571423</v>
      </c>
      <c r="O64" s="69">
        <f t="shared" si="7"/>
        <v>0</v>
      </c>
      <c r="P64" s="69">
        <v>409.82</v>
      </c>
      <c r="Q64" s="69"/>
      <c r="R64" s="69"/>
      <c r="S64" s="69"/>
      <c r="T64" s="70"/>
      <c r="U64" s="70"/>
      <c r="V64" s="70"/>
      <c r="W64" s="70"/>
      <c r="X64" s="70"/>
      <c r="Y64" s="69"/>
      <c r="Z64" s="69"/>
      <c r="AA64" s="69"/>
      <c r="AB64" s="69"/>
      <c r="AC64" s="70"/>
      <c r="AD64" s="70"/>
      <c r="AE64" s="71"/>
      <c r="AF64" s="71"/>
      <c r="AG64" s="69">
        <f t="shared" si="8"/>
        <v>-458.99857142857144</v>
      </c>
      <c r="AH64" s="29">
        <f t="shared" si="9"/>
        <v>1.4285714285620088E-3</v>
      </c>
    </row>
    <row r="65" spans="1:34" s="72" customFormat="1" ht="21" customHeight="1" x14ac:dyDescent="0.2">
      <c r="A65" s="65">
        <v>43356</v>
      </c>
      <c r="B65" s="66"/>
      <c r="C65" s="20" t="s">
        <v>63</v>
      </c>
      <c r="D65" s="20" t="s">
        <v>64</v>
      </c>
      <c r="E65" s="20" t="s">
        <v>65</v>
      </c>
      <c r="F65" s="21">
        <v>94760</v>
      </c>
      <c r="G65" s="22" t="s">
        <v>455</v>
      </c>
      <c r="H65" s="67"/>
      <c r="I65" s="67"/>
      <c r="J65" s="67">
        <v>525</v>
      </c>
      <c r="K65" s="67"/>
      <c r="L65" s="68"/>
      <c r="M65" s="69">
        <f t="shared" si="5"/>
        <v>525</v>
      </c>
      <c r="N65" s="69">
        <f t="shared" si="6"/>
        <v>0</v>
      </c>
      <c r="O65" s="69">
        <f t="shared" si="7"/>
        <v>0</v>
      </c>
      <c r="P65" s="69">
        <v>525</v>
      </c>
      <c r="Q65" s="69"/>
      <c r="R65" s="69"/>
      <c r="S65" s="69"/>
      <c r="T65" s="70"/>
      <c r="U65" s="70"/>
      <c r="V65" s="70"/>
      <c r="W65" s="70"/>
      <c r="X65" s="70"/>
      <c r="Y65" s="69"/>
      <c r="Z65" s="69"/>
      <c r="AA65" s="69"/>
      <c r="AB65" s="69"/>
      <c r="AC65" s="70"/>
      <c r="AD65" s="70"/>
      <c r="AE65" s="71"/>
      <c r="AF65" s="71"/>
      <c r="AG65" s="69">
        <f t="shared" si="8"/>
        <v>-525</v>
      </c>
      <c r="AH65" s="29">
        <f t="shared" si="9"/>
        <v>0</v>
      </c>
    </row>
    <row r="66" spans="1:34" s="72" customFormat="1" ht="21" customHeight="1" x14ac:dyDescent="0.2">
      <c r="A66" s="65">
        <v>43356</v>
      </c>
      <c r="B66" s="66"/>
      <c r="C66" s="20" t="s">
        <v>63</v>
      </c>
      <c r="D66" s="20" t="s">
        <v>64</v>
      </c>
      <c r="E66" s="20" t="s">
        <v>65</v>
      </c>
      <c r="F66" s="21">
        <v>94760</v>
      </c>
      <c r="G66" s="22" t="s">
        <v>833</v>
      </c>
      <c r="H66" s="67"/>
      <c r="I66" s="67"/>
      <c r="J66" s="67"/>
      <c r="K66" s="67">
        <f>287.63+34.52</f>
        <v>322.14999999999998</v>
      </c>
      <c r="L66" s="68"/>
      <c r="M66" s="69">
        <f t="shared" si="5"/>
        <v>287.6339285714285</v>
      </c>
      <c r="N66" s="69">
        <f t="shared" si="6"/>
        <v>34.516071428571422</v>
      </c>
      <c r="O66" s="69">
        <f t="shared" si="7"/>
        <v>0</v>
      </c>
      <c r="P66" s="69">
        <v>287.63</v>
      </c>
      <c r="Q66" s="69"/>
      <c r="R66" s="69"/>
      <c r="S66" s="69"/>
      <c r="T66" s="70"/>
      <c r="U66" s="70"/>
      <c r="V66" s="70"/>
      <c r="W66" s="70"/>
      <c r="X66" s="70"/>
      <c r="Y66" s="69"/>
      <c r="Z66" s="69"/>
      <c r="AA66" s="69"/>
      <c r="AB66" s="69"/>
      <c r="AC66" s="70"/>
      <c r="AD66" s="70"/>
      <c r="AE66" s="71"/>
      <c r="AF66" s="71"/>
      <c r="AG66" s="69">
        <f t="shared" si="8"/>
        <v>-322.14607142857142</v>
      </c>
      <c r="AH66" s="29">
        <f t="shared" si="9"/>
        <v>3.9285714285597351E-3</v>
      </c>
    </row>
    <row r="67" spans="1:34" s="72" customFormat="1" ht="21" customHeight="1" x14ac:dyDescent="0.2">
      <c r="A67" s="65">
        <v>43356</v>
      </c>
      <c r="B67" s="66"/>
      <c r="C67" s="20" t="s">
        <v>63</v>
      </c>
      <c r="D67" s="20" t="s">
        <v>64</v>
      </c>
      <c r="E67" s="20" t="s">
        <v>65</v>
      </c>
      <c r="F67" s="21">
        <v>169428</v>
      </c>
      <c r="G67" s="22" t="s">
        <v>332</v>
      </c>
      <c r="H67" s="67"/>
      <c r="I67" s="67"/>
      <c r="J67" s="67"/>
      <c r="K67" s="67">
        <v>696</v>
      </c>
      <c r="L67" s="68"/>
      <c r="M67" s="69">
        <f t="shared" si="5"/>
        <v>621.42857142857133</v>
      </c>
      <c r="N67" s="69">
        <f t="shared" si="6"/>
        <v>74.571428571428555</v>
      </c>
      <c r="O67" s="69">
        <f t="shared" si="7"/>
        <v>0</v>
      </c>
      <c r="P67" s="69">
        <v>0</v>
      </c>
      <c r="Q67" s="69"/>
      <c r="R67" s="69">
        <v>621.42999999999995</v>
      </c>
      <c r="S67" s="69"/>
      <c r="T67" s="70"/>
      <c r="U67" s="70"/>
      <c r="V67" s="70"/>
      <c r="W67" s="70"/>
      <c r="X67" s="70"/>
      <c r="Y67" s="69"/>
      <c r="Z67" s="69"/>
      <c r="AA67" s="69"/>
      <c r="AB67" s="69"/>
      <c r="AC67" s="70"/>
      <c r="AD67" s="70"/>
      <c r="AE67" s="71"/>
      <c r="AF67" s="71"/>
      <c r="AG67" s="69">
        <f t="shared" si="8"/>
        <v>-696.00142857142851</v>
      </c>
      <c r="AH67" s="29">
        <f t="shared" si="9"/>
        <v>-1.4285714285051654E-3</v>
      </c>
    </row>
    <row r="68" spans="1:34" s="72" customFormat="1" ht="21" customHeight="1" x14ac:dyDescent="0.2">
      <c r="A68" s="65">
        <v>43356</v>
      </c>
      <c r="B68" s="66"/>
      <c r="C68" s="20" t="s">
        <v>705</v>
      </c>
      <c r="D68" s="20" t="s">
        <v>706</v>
      </c>
      <c r="E68" s="20" t="s">
        <v>707</v>
      </c>
      <c r="F68" s="21">
        <v>180225</v>
      </c>
      <c r="G68" s="22" t="s">
        <v>40</v>
      </c>
      <c r="H68" s="67"/>
      <c r="I68" s="67"/>
      <c r="J68" s="67"/>
      <c r="K68" s="67">
        <v>170</v>
      </c>
      <c r="L68" s="68"/>
      <c r="M68" s="69">
        <f t="shared" si="5"/>
        <v>151.78571428571428</v>
      </c>
      <c r="N68" s="69">
        <f t="shared" si="6"/>
        <v>18.214285714285712</v>
      </c>
      <c r="O68" s="69">
        <f t="shared" si="7"/>
        <v>0</v>
      </c>
      <c r="P68" s="69"/>
      <c r="Q68" s="69">
        <v>151.79</v>
      </c>
      <c r="R68" s="69"/>
      <c r="S68" s="69"/>
      <c r="T68" s="70"/>
      <c r="U68" s="70"/>
      <c r="V68" s="70"/>
      <c r="W68" s="70"/>
      <c r="X68" s="70"/>
      <c r="Y68" s="69"/>
      <c r="Z68" s="69"/>
      <c r="AA68" s="69"/>
      <c r="AB68" s="69"/>
      <c r="AC68" s="70"/>
      <c r="AD68" s="70"/>
      <c r="AE68" s="71"/>
      <c r="AF68" s="71"/>
      <c r="AG68" s="69">
        <f t="shared" si="8"/>
        <v>-170.00428571428571</v>
      </c>
      <c r="AH68" s="29">
        <f t="shared" si="9"/>
        <v>-4.2857142857144481E-3</v>
      </c>
    </row>
    <row r="69" spans="1:34" s="72" customFormat="1" ht="21" customHeight="1" x14ac:dyDescent="0.2">
      <c r="A69" s="65">
        <v>43356</v>
      </c>
      <c r="B69" s="66"/>
      <c r="C69" s="20" t="s">
        <v>518</v>
      </c>
      <c r="D69" s="20" t="s">
        <v>519</v>
      </c>
      <c r="E69" s="20" t="s">
        <v>633</v>
      </c>
      <c r="F69" s="21">
        <v>1658</v>
      </c>
      <c r="G69" s="21" t="s">
        <v>834</v>
      </c>
      <c r="H69" s="67"/>
      <c r="I69" s="67"/>
      <c r="J69" s="67"/>
      <c r="K69" s="67">
        <v>2650</v>
      </c>
      <c r="L69" s="68">
        <v>0.01</v>
      </c>
      <c r="M69" s="69">
        <f t="shared" ref="M69:M100" si="10">SUM(H69:J69,K69/1.12)</f>
        <v>2366.0714285714284</v>
      </c>
      <c r="N69" s="69">
        <f t="shared" ref="N69:N100" si="11">K69/1.12*0.12</f>
        <v>283.92857142857139</v>
      </c>
      <c r="O69" s="69">
        <f t="shared" ref="O69:O100" si="12">-SUM(I69:J69,K69/1.12)*L69</f>
        <v>-23.660714285714285</v>
      </c>
      <c r="P69" s="69">
        <v>2366.0700000000002</v>
      </c>
      <c r="Q69" s="69"/>
      <c r="R69" s="69"/>
      <c r="S69" s="69"/>
      <c r="T69" s="70"/>
      <c r="U69" s="70"/>
      <c r="V69" s="70"/>
      <c r="W69" s="70"/>
      <c r="X69" s="70"/>
      <c r="Y69" s="69"/>
      <c r="Z69" s="69"/>
      <c r="AA69" s="69"/>
      <c r="AB69" s="69"/>
      <c r="AC69" s="70"/>
      <c r="AD69" s="70"/>
      <c r="AE69" s="71"/>
      <c r="AF69" s="71"/>
      <c r="AG69" s="69">
        <f t="shared" ref="AG69:AG100" si="13">-SUM(N69:AF69)</f>
        <v>-2626.3378571428575</v>
      </c>
      <c r="AH69" s="29">
        <f t="shared" ref="AH69:AH100" si="14">SUM(H69:K69)+AG69+O69</f>
        <v>1.4285714282138429E-3</v>
      </c>
    </row>
    <row r="70" spans="1:34" s="72" customFormat="1" ht="24" customHeight="1" x14ac:dyDescent="0.2">
      <c r="A70" s="65">
        <v>43357</v>
      </c>
      <c r="B70" s="66"/>
      <c r="C70" s="20" t="s">
        <v>745</v>
      </c>
      <c r="D70" s="20" t="s">
        <v>812</v>
      </c>
      <c r="E70" s="20" t="s">
        <v>277</v>
      </c>
      <c r="F70" s="21">
        <v>977060</v>
      </c>
      <c r="G70" s="22" t="s">
        <v>433</v>
      </c>
      <c r="H70" s="67"/>
      <c r="I70" s="67"/>
      <c r="J70" s="67"/>
      <c r="K70" s="67">
        <v>273</v>
      </c>
      <c r="L70" s="68"/>
      <c r="M70" s="69">
        <f t="shared" si="10"/>
        <v>243.74999999999997</v>
      </c>
      <c r="N70" s="69">
        <f t="shared" si="11"/>
        <v>29.249999999999996</v>
      </c>
      <c r="O70" s="69">
        <f t="shared" si="12"/>
        <v>0</v>
      </c>
      <c r="P70" s="69">
        <v>243.75</v>
      </c>
      <c r="Q70" s="69"/>
      <c r="R70" s="69"/>
      <c r="S70" s="69"/>
      <c r="T70" s="70"/>
      <c r="U70" s="70"/>
      <c r="V70" s="70"/>
      <c r="W70" s="70"/>
      <c r="X70" s="70"/>
      <c r="Y70" s="69"/>
      <c r="Z70" s="69"/>
      <c r="AA70" s="69"/>
      <c r="AB70" s="69"/>
      <c r="AC70" s="70"/>
      <c r="AD70" s="70"/>
      <c r="AE70" s="71"/>
      <c r="AF70" s="71"/>
      <c r="AG70" s="69">
        <f t="shared" si="13"/>
        <v>-273</v>
      </c>
      <c r="AH70" s="29">
        <f t="shared" si="14"/>
        <v>0</v>
      </c>
    </row>
    <row r="71" spans="1:34" s="72" customFormat="1" ht="24" customHeight="1" x14ac:dyDescent="0.2">
      <c r="A71" s="65">
        <v>43357</v>
      </c>
      <c r="B71" s="66"/>
      <c r="C71" s="32" t="s">
        <v>614</v>
      </c>
      <c r="D71" s="20"/>
      <c r="E71" s="20"/>
      <c r="F71" s="21"/>
      <c r="G71" s="22" t="s">
        <v>835</v>
      </c>
      <c r="H71" s="67">
        <v>502</v>
      </c>
      <c r="I71" s="67"/>
      <c r="J71" s="67"/>
      <c r="K71" s="67"/>
      <c r="L71" s="68"/>
      <c r="M71" s="69">
        <f t="shared" si="10"/>
        <v>502</v>
      </c>
      <c r="N71" s="69">
        <f t="shared" si="11"/>
        <v>0</v>
      </c>
      <c r="O71" s="69">
        <f t="shared" si="12"/>
        <v>0</v>
      </c>
      <c r="P71" s="69"/>
      <c r="Q71" s="69"/>
      <c r="R71" s="69"/>
      <c r="S71" s="69"/>
      <c r="T71" s="70"/>
      <c r="U71" s="70"/>
      <c r="V71" s="70"/>
      <c r="W71" s="70"/>
      <c r="X71" s="70"/>
      <c r="Y71" s="69"/>
      <c r="Z71" s="69"/>
      <c r="AA71" s="69"/>
      <c r="AB71" s="69">
        <v>502</v>
      </c>
      <c r="AC71" s="70"/>
      <c r="AD71" s="70"/>
      <c r="AE71" s="71"/>
      <c r="AF71" s="71"/>
      <c r="AG71" s="69">
        <f t="shared" si="13"/>
        <v>-502</v>
      </c>
      <c r="AH71" s="29">
        <f t="shared" si="14"/>
        <v>0</v>
      </c>
    </row>
    <row r="72" spans="1:34" s="72" customFormat="1" ht="21" customHeight="1" x14ac:dyDescent="0.2">
      <c r="A72" s="65">
        <v>43357</v>
      </c>
      <c r="B72" s="66"/>
      <c r="C72" s="20" t="s">
        <v>705</v>
      </c>
      <c r="D72" s="20" t="s">
        <v>706</v>
      </c>
      <c r="E72" s="20" t="s">
        <v>707</v>
      </c>
      <c r="F72" s="21">
        <v>189356</v>
      </c>
      <c r="G72" s="22" t="s">
        <v>40</v>
      </c>
      <c r="H72" s="67"/>
      <c r="I72" s="67"/>
      <c r="J72" s="67"/>
      <c r="K72" s="67">
        <v>170</v>
      </c>
      <c r="L72" s="68"/>
      <c r="M72" s="69">
        <f t="shared" si="10"/>
        <v>151.78571428571428</v>
      </c>
      <c r="N72" s="69">
        <f t="shared" si="11"/>
        <v>18.214285714285712</v>
      </c>
      <c r="O72" s="69">
        <f t="shared" si="12"/>
        <v>0</v>
      </c>
      <c r="P72" s="69"/>
      <c r="Q72" s="69">
        <v>151.79</v>
      </c>
      <c r="R72" s="69"/>
      <c r="S72" s="69"/>
      <c r="T72" s="70"/>
      <c r="U72" s="70"/>
      <c r="V72" s="70"/>
      <c r="W72" s="70"/>
      <c r="X72" s="70"/>
      <c r="Y72" s="69"/>
      <c r="Z72" s="69"/>
      <c r="AA72" s="69"/>
      <c r="AB72" s="69"/>
      <c r="AC72" s="70"/>
      <c r="AD72" s="70"/>
      <c r="AE72" s="71"/>
      <c r="AF72" s="71"/>
      <c r="AG72" s="69">
        <f t="shared" si="13"/>
        <v>-170.00428571428571</v>
      </c>
      <c r="AH72" s="29">
        <f t="shared" si="14"/>
        <v>-4.2857142857144481E-3</v>
      </c>
    </row>
    <row r="73" spans="1:34" s="72" customFormat="1" ht="24" customHeight="1" x14ac:dyDescent="0.2">
      <c r="A73" s="65">
        <v>43358</v>
      </c>
      <c r="B73" s="66"/>
      <c r="C73" s="20" t="s">
        <v>59</v>
      </c>
      <c r="D73" s="20" t="s">
        <v>60</v>
      </c>
      <c r="E73" s="20" t="s">
        <v>61</v>
      </c>
      <c r="F73" s="21">
        <v>692321</v>
      </c>
      <c r="G73" s="22" t="s">
        <v>836</v>
      </c>
      <c r="H73" s="67"/>
      <c r="I73" s="67"/>
      <c r="J73" s="67"/>
      <c r="K73" s="67">
        <v>260</v>
      </c>
      <c r="L73" s="68"/>
      <c r="M73" s="69">
        <f t="shared" si="10"/>
        <v>232.14285714285711</v>
      </c>
      <c r="N73" s="69">
        <f t="shared" si="11"/>
        <v>27.857142857142851</v>
      </c>
      <c r="O73" s="69">
        <f t="shared" si="12"/>
        <v>0</v>
      </c>
      <c r="P73" s="69"/>
      <c r="Q73" s="69"/>
      <c r="R73" s="69"/>
      <c r="S73" s="69"/>
      <c r="T73" s="70">
        <v>232.14</v>
      </c>
      <c r="U73" s="70"/>
      <c r="V73" s="70"/>
      <c r="W73" s="70"/>
      <c r="X73" s="70"/>
      <c r="Y73" s="69"/>
      <c r="Z73" s="69"/>
      <c r="AA73" s="69"/>
      <c r="AB73" s="69"/>
      <c r="AC73" s="70"/>
      <c r="AD73" s="70"/>
      <c r="AE73" s="71"/>
      <c r="AF73" s="71"/>
      <c r="AG73" s="69">
        <f t="shared" si="13"/>
        <v>-259.99714285714282</v>
      </c>
      <c r="AH73" s="29">
        <f t="shared" si="14"/>
        <v>2.857142857180861E-3</v>
      </c>
    </row>
    <row r="74" spans="1:34" s="72" customFormat="1" ht="24" customHeight="1" x14ac:dyDescent="0.2">
      <c r="A74" s="65">
        <v>43358</v>
      </c>
      <c r="B74" s="66"/>
      <c r="C74" s="20" t="s">
        <v>745</v>
      </c>
      <c r="D74" s="20" t="s">
        <v>812</v>
      </c>
      <c r="E74" s="20" t="s">
        <v>277</v>
      </c>
      <c r="F74" s="21">
        <v>31596</v>
      </c>
      <c r="G74" s="22" t="s">
        <v>837</v>
      </c>
      <c r="H74" s="67"/>
      <c r="I74" s="67"/>
      <c r="J74" s="67"/>
      <c r="K74" s="67">
        <v>310.52999999999997</v>
      </c>
      <c r="L74" s="68"/>
      <c r="M74" s="69">
        <f t="shared" si="10"/>
        <v>277.2589285714285</v>
      </c>
      <c r="N74" s="69">
        <f t="shared" si="11"/>
        <v>33.271071428571418</v>
      </c>
      <c r="O74" s="69">
        <f t="shared" si="12"/>
        <v>0</v>
      </c>
      <c r="P74" s="69">
        <v>277.26</v>
      </c>
      <c r="Q74" s="69"/>
      <c r="R74" s="69"/>
      <c r="S74" s="69"/>
      <c r="T74" s="70"/>
      <c r="U74" s="70"/>
      <c r="V74" s="70"/>
      <c r="W74" s="70"/>
      <c r="X74" s="70"/>
      <c r="Y74" s="69"/>
      <c r="Z74" s="69"/>
      <c r="AA74" s="69"/>
      <c r="AB74" s="69"/>
      <c r="AC74" s="70"/>
      <c r="AD74" s="70"/>
      <c r="AE74" s="71"/>
      <c r="AF74" s="71"/>
      <c r="AG74" s="69">
        <f t="shared" si="13"/>
        <v>-310.53107142857141</v>
      </c>
      <c r="AH74" s="29">
        <f t="shared" si="14"/>
        <v>-1.0714285714357175E-3</v>
      </c>
    </row>
    <row r="75" spans="1:34" s="72" customFormat="1" ht="24" customHeight="1" x14ac:dyDescent="0.2">
      <c r="A75" s="65">
        <v>43358</v>
      </c>
      <c r="B75" s="66"/>
      <c r="C75" s="20" t="s">
        <v>614</v>
      </c>
      <c r="D75" s="20"/>
      <c r="E75" s="20"/>
      <c r="F75" s="21"/>
      <c r="G75" s="22" t="s">
        <v>838</v>
      </c>
      <c r="H75" s="67">
        <v>502</v>
      </c>
      <c r="I75" s="67"/>
      <c r="J75" s="67"/>
      <c r="K75" s="67"/>
      <c r="L75" s="68"/>
      <c r="M75" s="69">
        <f t="shared" si="10"/>
        <v>502</v>
      </c>
      <c r="N75" s="69">
        <f t="shared" si="11"/>
        <v>0</v>
      </c>
      <c r="O75" s="69">
        <f t="shared" si="12"/>
        <v>0</v>
      </c>
      <c r="P75" s="69"/>
      <c r="Q75" s="69"/>
      <c r="R75" s="69"/>
      <c r="S75" s="69"/>
      <c r="T75" s="70"/>
      <c r="U75" s="70"/>
      <c r="V75" s="70"/>
      <c r="W75" s="70"/>
      <c r="X75" s="70"/>
      <c r="Y75" s="69"/>
      <c r="Z75" s="69"/>
      <c r="AA75" s="69"/>
      <c r="AB75" s="69">
        <v>502</v>
      </c>
      <c r="AC75" s="70"/>
      <c r="AD75" s="70"/>
      <c r="AE75" s="71"/>
      <c r="AF75" s="71"/>
      <c r="AG75" s="69">
        <f t="shared" si="13"/>
        <v>-502</v>
      </c>
      <c r="AH75" s="29">
        <f t="shared" si="14"/>
        <v>0</v>
      </c>
    </row>
    <row r="76" spans="1:34" s="72" customFormat="1" ht="21" customHeight="1" x14ac:dyDescent="0.2">
      <c r="A76" s="65">
        <v>43360</v>
      </c>
      <c r="B76" s="66"/>
      <c r="C76" s="20" t="s">
        <v>705</v>
      </c>
      <c r="D76" s="20" t="s">
        <v>706</v>
      </c>
      <c r="E76" s="20" t="s">
        <v>707</v>
      </c>
      <c r="F76" s="21">
        <v>192163</v>
      </c>
      <c r="G76" s="22" t="s">
        <v>40</v>
      </c>
      <c r="H76" s="67"/>
      <c r="I76" s="67"/>
      <c r="J76" s="67"/>
      <c r="K76" s="67">
        <v>170</v>
      </c>
      <c r="L76" s="68"/>
      <c r="M76" s="69">
        <f t="shared" si="10"/>
        <v>151.78571428571428</v>
      </c>
      <c r="N76" s="69">
        <f t="shared" si="11"/>
        <v>18.214285714285712</v>
      </c>
      <c r="O76" s="69">
        <f t="shared" si="12"/>
        <v>0</v>
      </c>
      <c r="P76" s="69"/>
      <c r="Q76" s="69">
        <v>151.79</v>
      </c>
      <c r="R76" s="69"/>
      <c r="S76" s="69"/>
      <c r="T76" s="70"/>
      <c r="U76" s="70"/>
      <c r="V76" s="70"/>
      <c r="W76" s="70"/>
      <c r="X76" s="70"/>
      <c r="Y76" s="69"/>
      <c r="Z76" s="69"/>
      <c r="AA76" s="69"/>
      <c r="AB76" s="69"/>
      <c r="AC76" s="70"/>
      <c r="AD76" s="70"/>
      <c r="AE76" s="71"/>
      <c r="AF76" s="71"/>
      <c r="AG76" s="69">
        <f t="shared" si="13"/>
        <v>-170.00428571428571</v>
      </c>
      <c r="AH76" s="29">
        <f t="shared" si="14"/>
        <v>-4.2857142857144481E-3</v>
      </c>
    </row>
    <row r="77" spans="1:34" s="72" customFormat="1" ht="24" customHeight="1" x14ac:dyDescent="0.2">
      <c r="A77" s="65">
        <v>43360</v>
      </c>
      <c r="B77" s="66"/>
      <c r="C77" s="20" t="s">
        <v>63</v>
      </c>
      <c r="D77" s="20" t="s">
        <v>64</v>
      </c>
      <c r="E77" s="20" t="s">
        <v>65</v>
      </c>
      <c r="F77" s="21">
        <v>126745</v>
      </c>
      <c r="G77" s="22" t="s">
        <v>839</v>
      </c>
      <c r="H77" s="67"/>
      <c r="I77" s="67"/>
      <c r="J77" s="67">
        <v>1779.9</v>
      </c>
      <c r="K77" s="67"/>
      <c r="L77" s="68"/>
      <c r="M77" s="69">
        <f t="shared" si="10"/>
        <v>1779.9</v>
      </c>
      <c r="N77" s="69">
        <f t="shared" si="11"/>
        <v>0</v>
      </c>
      <c r="O77" s="69">
        <f t="shared" si="12"/>
        <v>0</v>
      </c>
      <c r="P77" s="69">
        <v>1779.9</v>
      </c>
      <c r="Q77" s="69"/>
      <c r="R77" s="69"/>
      <c r="S77" s="69"/>
      <c r="T77" s="70"/>
      <c r="U77" s="70"/>
      <c r="V77" s="70"/>
      <c r="W77" s="70"/>
      <c r="X77" s="70"/>
      <c r="Y77" s="69"/>
      <c r="Z77" s="69"/>
      <c r="AA77" s="69"/>
      <c r="AB77" s="69"/>
      <c r="AC77" s="70"/>
      <c r="AD77" s="70"/>
      <c r="AE77" s="71"/>
      <c r="AF77" s="71"/>
      <c r="AG77" s="69">
        <f t="shared" si="13"/>
        <v>-1779.9</v>
      </c>
      <c r="AH77" s="29">
        <f t="shared" si="14"/>
        <v>0</v>
      </c>
    </row>
    <row r="78" spans="1:34" s="72" customFormat="1" ht="24" customHeight="1" x14ac:dyDescent="0.2">
      <c r="A78" s="65">
        <v>43360</v>
      </c>
      <c r="B78" s="66"/>
      <c r="C78" s="20" t="s">
        <v>63</v>
      </c>
      <c r="D78" s="20" t="s">
        <v>64</v>
      </c>
      <c r="E78" s="20" t="s">
        <v>65</v>
      </c>
      <c r="F78" s="21">
        <v>126745</v>
      </c>
      <c r="G78" s="22" t="s">
        <v>840</v>
      </c>
      <c r="H78" s="67"/>
      <c r="I78" s="67"/>
      <c r="J78" s="67"/>
      <c r="K78" s="67">
        <f>1825.13+219.02</f>
        <v>2044.15</v>
      </c>
      <c r="L78" s="68"/>
      <c r="M78" s="69">
        <f t="shared" si="10"/>
        <v>1825.1339285714284</v>
      </c>
      <c r="N78" s="69">
        <f t="shared" si="11"/>
        <v>219.01607142857139</v>
      </c>
      <c r="O78" s="69">
        <f t="shared" si="12"/>
        <v>0</v>
      </c>
      <c r="P78" s="69">
        <v>1825.13</v>
      </c>
      <c r="Q78" s="69"/>
      <c r="R78" s="69"/>
      <c r="S78" s="69"/>
      <c r="T78" s="70"/>
      <c r="U78" s="70"/>
      <c r="V78" s="70"/>
      <c r="W78" s="70"/>
      <c r="X78" s="70"/>
      <c r="Y78" s="69"/>
      <c r="Z78" s="69"/>
      <c r="AA78" s="69"/>
      <c r="AB78" s="69"/>
      <c r="AC78" s="70"/>
      <c r="AD78" s="70"/>
      <c r="AE78" s="71"/>
      <c r="AF78" s="71"/>
      <c r="AG78" s="69">
        <f t="shared" si="13"/>
        <v>-2044.1460714285715</v>
      </c>
      <c r="AH78" s="29">
        <f t="shared" si="14"/>
        <v>3.9285714285597351E-3</v>
      </c>
    </row>
    <row r="79" spans="1:34" s="72" customFormat="1" ht="24" customHeight="1" x14ac:dyDescent="0.2">
      <c r="A79" s="65">
        <v>43360</v>
      </c>
      <c r="B79" s="66"/>
      <c r="C79" s="20" t="s">
        <v>63</v>
      </c>
      <c r="D79" s="20" t="s">
        <v>64</v>
      </c>
      <c r="E79" s="20" t="s">
        <v>65</v>
      </c>
      <c r="F79" s="21">
        <v>56783</v>
      </c>
      <c r="G79" s="22" t="s">
        <v>841</v>
      </c>
      <c r="H79" s="67"/>
      <c r="I79" s="67"/>
      <c r="J79" s="67"/>
      <c r="K79" s="67">
        <v>358.42</v>
      </c>
      <c r="L79" s="68"/>
      <c r="M79" s="69">
        <f t="shared" si="10"/>
        <v>320.01785714285711</v>
      </c>
      <c r="N79" s="69">
        <f t="shared" si="11"/>
        <v>38.402142857142849</v>
      </c>
      <c r="O79" s="69">
        <f t="shared" si="12"/>
        <v>0</v>
      </c>
      <c r="P79" s="69"/>
      <c r="Q79" s="69"/>
      <c r="R79" s="69"/>
      <c r="S79" s="69"/>
      <c r="T79" s="70"/>
      <c r="U79" s="70"/>
      <c r="V79" s="70"/>
      <c r="W79" s="70"/>
      <c r="X79" s="70">
        <v>320.02</v>
      </c>
      <c r="Y79" s="69"/>
      <c r="Z79" s="69"/>
      <c r="AA79" s="69"/>
      <c r="AB79" s="69"/>
      <c r="AC79" s="70"/>
      <c r="AD79" s="70"/>
      <c r="AE79" s="71"/>
      <c r="AF79" s="71"/>
      <c r="AG79" s="69">
        <f t="shared" si="13"/>
        <v>-358.42214285714283</v>
      </c>
      <c r="AH79" s="29">
        <f t="shared" si="14"/>
        <v>-2.1428571428145915E-3</v>
      </c>
    </row>
    <row r="80" spans="1:34" s="72" customFormat="1" ht="24" customHeight="1" x14ac:dyDescent="0.2">
      <c r="A80" s="65">
        <v>43360</v>
      </c>
      <c r="B80" s="66"/>
      <c r="C80" s="20" t="s">
        <v>96</v>
      </c>
      <c r="D80" s="20"/>
      <c r="E80" s="20"/>
      <c r="F80" s="21"/>
      <c r="G80" s="22" t="s">
        <v>842</v>
      </c>
      <c r="H80" s="67">
        <v>58</v>
      </c>
      <c r="I80" s="67"/>
      <c r="J80" s="67"/>
      <c r="K80" s="67"/>
      <c r="L80" s="68"/>
      <c r="M80" s="69">
        <f t="shared" si="10"/>
        <v>58</v>
      </c>
      <c r="N80" s="69">
        <f t="shared" si="11"/>
        <v>0</v>
      </c>
      <c r="O80" s="69">
        <f t="shared" si="12"/>
        <v>0</v>
      </c>
      <c r="P80" s="69"/>
      <c r="Q80" s="69"/>
      <c r="R80" s="69"/>
      <c r="S80" s="69"/>
      <c r="T80" s="70"/>
      <c r="U80" s="70"/>
      <c r="V80" s="70"/>
      <c r="W80" s="70"/>
      <c r="X80" s="70"/>
      <c r="Y80" s="69"/>
      <c r="Z80" s="69"/>
      <c r="AA80" s="69">
        <v>58</v>
      </c>
      <c r="AB80" s="69"/>
      <c r="AC80" s="70"/>
      <c r="AD80" s="70"/>
      <c r="AE80" s="71"/>
      <c r="AF80" s="71"/>
      <c r="AG80" s="69">
        <f t="shared" si="13"/>
        <v>-58</v>
      </c>
      <c r="AH80" s="29">
        <f t="shared" si="14"/>
        <v>0</v>
      </c>
    </row>
    <row r="81" spans="1:34" s="72" customFormat="1" ht="24" customHeight="1" x14ac:dyDescent="0.2">
      <c r="A81" s="65">
        <v>43360</v>
      </c>
      <c r="B81" s="66"/>
      <c r="C81" s="20" t="s">
        <v>843</v>
      </c>
      <c r="D81" s="20" t="s">
        <v>844</v>
      </c>
      <c r="E81" s="20" t="s">
        <v>845</v>
      </c>
      <c r="F81" s="21">
        <v>5684</v>
      </c>
      <c r="G81" s="22" t="s">
        <v>846</v>
      </c>
      <c r="H81" s="67"/>
      <c r="I81" s="67"/>
      <c r="J81" s="67"/>
      <c r="K81" s="67">
        <v>1125</v>
      </c>
      <c r="L81" s="68"/>
      <c r="M81" s="69">
        <f t="shared" si="10"/>
        <v>1004.4642857142857</v>
      </c>
      <c r="N81" s="69">
        <f t="shared" si="11"/>
        <v>120.53571428571428</v>
      </c>
      <c r="O81" s="69">
        <f t="shared" si="12"/>
        <v>0</v>
      </c>
      <c r="P81" s="69"/>
      <c r="Q81" s="69"/>
      <c r="R81" s="69"/>
      <c r="S81" s="69"/>
      <c r="T81" s="70"/>
      <c r="U81" s="70"/>
      <c r="V81" s="70"/>
      <c r="W81" s="70"/>
      <c r="X81" s="70">
        <v>1004.46</v>
      </c>
      <c r="Y81" s="69"/>
      <c r="Z81" s="69"/>
      <c r="AA81" s="69"/>
      <c r="AB81" s="69"/>
      <c r="AC81" s="70"/>
      <c r="AD81" s="70"/>
      <c r="AE81" s="71"/>
      <c r="AF81" s="71"/>
      <c r="AG81" s="69">
        <f t="shared" si="13"/>
        <v>-1124.9957142857143</v>
      </c>
      <c r="AH81" s="29">
        <f t="shared" si="14"/>
        <v>4.2857142857428698E-3</v>
      </c>
    </row>
    <row r="82" spans="1:34" s="72" customFormat="1" ht="24" customHeight="1" x14ac:dyDescent="0.2">
      <c r="A82" s="65">
        <v>43361</v>
      </c>
      <c r="B82" s="66"/>
      <c r="C82" s="20" t="s">
        <v>843</v>
      </c>
      <c r="D82" s="20" t="s">
        <v>844</v>
      </c>
      <c r="E82" s="20" t="s">
        <v>845</v>
      </c>
      <c r="F82" s="21">
        <v>5692</v>
      </c>
      <c r="G82" s="22" t="s">
        <v>847</v>
      </c>
      <c r="H82" s="67"/>
      <c r="I82" s="67"/>
      <c r="J82" s="67"/>
      <c r="K82" s="67">
        <v>2250</v>
      </c>
      <c r="L82" s="68"/>
      <c r="M82" s="69">
        <f t="shared" si="10"/>
        <v>2008.9285714285713</v>
      </c>
      <c r="N82" s="69">
        <f t="shared" si="11"/>
        <v>241.07142857142856</v>
      </c>
      <c r="O82" s="69">
        <f t="shared" si="12"/>
        <v>0</v>
      </c>
      <c r="P82" s="69"/>
      <c r="Q82" s="69"/>
      <c r="R82" s="69"/>
      <c r="S82" s="69"/>
      <c r="T82" s="70"/>
      <c r="U82" s="70"/>
      <c r="V82" s="70"/>
      <c r="W82" s="70"/>
      <c r="X82" s="70">
        <v>2008.93</v>
      </c>
      <c r="Y82" s="69"/>
      <c r="Z82" s="69"/>
      <c r="AA82" s="69"/>
      <c r="AB82" s="69"/>
      <c r="AC82" s="70"/>
      <c r="AD82" s="70"/>
      <c r="AE82" s="71"/>
      <c r="AF82" s="71"/>
      <c r="AG82" s="69">
        <f t="shared" si="13"/>
        <v>-2250.0014285714287</v>
      </c>
      <c r="AH82" s="29">
        <f t="shared" si="14"/>
        <v>-1.4285714287325391E-3</v>
      </c>
    </row>
    <row r="83" spans="1:34" s="72" customFormat="1" ht="24" customHeight="1" x14ac:dyDescent="0.2">
      <c r="A83" s="65">
        <v>43361</v>
      </c>
      <c r="B83" s="66"/>
      <c r="C83" s="20" t="s">
        <v>705</v>
      </c>
      <c r="D83" s="20" t="s">
        <v>706</v>
      </c>
      <c r="E83" s="20" t="s">
        <v>707</v>
      </c>
      <c r="F83" s="21">
        <v>192204</v>
      </c>
      <c r="G83" s="22" t="s">
        <v>40</v>
      </c>
      <c r="H83" s="67"/>
      <c r="I83" s="67"/>
      <c r="J83" s="67"/>
      <c r="K83" s="67">
        <v>170</v>
      </c>
      <c r="L83" s="68"/>
      <c r="M83" s="69">
        <f t="shared" si="10"/>
        <v>151.78571428571428</v>
      </c>
      <c r="N83" s="69">
        <f t="shared" si="11"/>
        <v>18.214285714285712</v>
      </c>
      <c r="O83" s="69">
        <f t="shared" si="12"/>
        <v>0</v>
      </c>
      <c r="P83" s="69"/>
      <c r="Q83" s="69">
        <v>151.79</v>
      </c>
      <c r="R83" s="69"/>
      <c r="S83" s="69"/>
      <c r="T83" s="70"/>
      <c r="U83" s="70"/>
      <c r="V83" s="70"/>
      <c r="W83" s="70"/>
      <c r="X83" s="70"/>
      <c r="Y83" s="69"/>
      <c r="Z83" s="69"/>
      <c r="AA83" s="69"/>
      <c r="AB83" s="69"/>
      <c r="AC83" s="70"/>
      <c r="AD83" s="70"/>
      <c r="AE83" s="71"/>
      <c r="AF83" s="71"/>
      <c r="AG83" s="69">
        <f t="shared" si="13"/>
        <v>-170.00428571428571</v>
      </c>
      <c r="AH83" s="29">
        <f t="shared" si="14"/>
        <v>-4.2857142857144481E-3</v>
      </c>
    </row>
    <row r="84" spans="1:34" s="81" customFormat="1" ht="24" customHeight="1" x14ac:dyDescent="0.2">
      <c r="A84" s="74">
        <v>43361</v>
      </c>
      <c r="B84" s="75"/>
      <c r="C84" s="36" t="s">
        <v>848</v>
      </c>
      <c r="D84" s="36"/>
      <c r="E84" s="36"/>
      <c r="F84" s="37"/>
      <c r="G84" s="38" t="s">
        <v>849</v>
      </c>
      <c r="H84" s="76">
        <v>18</v>
      </c>
      <c r="I84" s="76"/>
      <c r="J84" s="76"/>
      <c r="K84" s="76"/>
      <c r="L84" s="77"/>
      <c r="M84" s="78">
        <f t="shared" si="10"/>
        <v>18</v>
      </c>
      <c r="N84" s="78">
        <f t="shared" si="11"/>
        <v>0</v>
      </c>
      <c r="O84" s="78">
        <f t="shared" si="12"/>
        <v>0</v>
      </c>
      <c r="P84" s="78"/>
      <c r="Q84" s="78"/>
      <c r="R84" s="78"/>
      <c r="S84" s="78"/>
      <c r="T84" s="79"/>
      <c r="U84" s="79"/>
      <c r="V84" s="79"/>
      <c r="W84" s="79"/>
      <c r="X84" s="79"/>
      <c r="Y84" s="78"/>
      <c r="Z84" s="78"/>
      <c r="AA84" s="78"/>
      <c r="AB84" s="78"/>
      <c r="AC84" s="79"/>
      <c r="AD84" s="79">
        <v>18</v>
      </c>
      <c r="AE84" s="80"/>
      <c r="AF84" s="80"/>
      <c r="AG84" s="78">
        <f t="shared" si="13"/>
        <v>-18</v>
      </c>
      <c r="AH84" s="45">
        <f t="shared" si="14"/>
        <v>0</v>
      </c>
    </row>
    <row r="85" spans="1:34" s="72" customFormat="1" ht="21" customHeight="1" x14ac:dyDescent="0.2">
      <c r="A85" s="65">
        <v>43365</v>
      </c>
      <c r="B85" s="66"/>
      <c r="C85" s="20" t="s">
        <v>41</v>
      </c>
      <c r="D85" s="20" t="s">
        <v>88</v>
      </c>
      <c r="E85" s="20" t="s">
        <v>43</v>
      </c>
      <c r="F85" s="21">
        <v>2653</v>
      </c>
      <c r="G85" s="21" t="s">
        <v>850</v>
      </c>
      <c r="H85" s="67"/>
      <c r="I85" s="67"/>
      <c r="J85" s="67">
        <v>1505</v>
      </c>
      <c r="K85" s="67"/>
      <c r="L85" s="68"/>
      <c r="M85" s="69">
        <f t="shared" si="10"/>
        <v>1505</v>
      </c>
      <c r="N85" s="69">
        <f t="shared" si="11"/>
        <v>0</v>
      </c>
      <c r="O85" s="69">
        <f t="shared" si="12"/>
        <v>0</v>
      </c>
      <c r="P85" s="69">
        <v>1505</v>
      </c>
      <c r="Q85" s="69"/>
      <c r="R85" s="69"/>
      <c r="S85" s="69"/>
      <c r="T85" s="70"/>
      <c r="U85" s="70"/>
      <c r="V85" s="70"/>
      <c r="W85" s="70"/>
      <c r="X85" s="70"/>
      <c r="Y85" s="69"/>
      <c r="Z85" s="69"/>
      <c r="AA85" s="69"/>
      <c r="AB85" s="69"/>
      <c r="AC85" s="70"/>
      <c r="AD85" s="70"/>
      <c r="AE85" s="71"/>
      <c r="AF85" s="71"/>
      <c r="AG85" s="69">
        <f t="shared" si="13"/>
        <v>-1505</v>
      </c>
      <c r="AH85" s="29">
        <f t="shared" si="14"/>
        <v>0</v>
      </c>
    </row>
    <row r="86" spans="1:34" s="30" customFormat="1" ht="21.75" customHeight="1" x14ac:dyDescent="0.2">
      <c r="A86" s="18"/>
      <c r="B86" s="19"/>
      <c r="C86" s="20"/>
      <c r="D86" s="20"/>
      <c r="E86" s="20"/>
      <c r="F86" s="21"/>
      <c r="G86" s="22"/>
      <c r="H86" s="23"/>
      <c r="I86" s="23"/>
      <c r="J86" s="23"/>
      <c r="K86" s="23"/>
      <c r="L86" s="24"/>
      <c r="M86" s="25">
        <f t="shared" si="10"/>
        <v>0</v>
      </c>
      <c r="N86" s="25">
        <f t="shared" si="11"/>
        <v>0</v>
      </c>
      <c r="O86" s="25">
        <f t="shared" si="12"/>
        <v>0</v>
      </c>
      <c r="P86" s="25"/>
      <c r="Q86" s="25"/>
      <c r="R86" s="25"/>
      <c r="S86" s="25"/>
      <c r="T86" s="26"/>
      <c r="U86" s="26"/>
      <c r="V86" s="26"/>
      <c r="W86" s="26"/>
      <c r="X86" s="26"/>
      <c r="Y86" s="25"/>
      <c r="Z86" s="25"/>
      <c r="AA86" s="25"/>
      <c r="AB86" s="25"/>
      <c r="AC86" s="25"/>
      <c r="AD86" s="25"/>
      <c r="AE86" s="25"/>
      <c r="AF86" s="25"/>
      <c r="AG86" s="25">
        <f t="shared" si="13"/>
        <v>0</v>
      </c>
      <c r="AH86" s="29">
        <f t="shared" si="14"/>
        <v>0</v>
      </c>
    </row>
    <row r="87" spans="1:34" s="30" customFormat="1" ht="21.75" customHeight="1" x14ac:dyDescent="0.2">
      <c r="A87" s="18">
        <v>43365</v>
      </c>
      <c r="B87" s="19"/>
      <c r="C87" s="20" t="s">
        <v>851</v>
      </c>
      <c r="D87" s="20"/>
      <c r="E87" s="20"/>
      <c r="F87" s="21"/>
      <c r="G87" s="22" t="s">
        <v>173</v>
      </c>
      <c r="H87" s="23">
        <v>100</v>
      </c>
      <c r="I87" s="23"/>
      <c r="J87" s="23"/>
      <c r="K87" s="23"/>
      <c r="L87" s="24"/>
      <c r="M87" s="69">
        <f t="shared" si="10"/>
        <v>100</v>
      </c>
      <c r="N87" s="69">
        <f t="shared" si="11"/>
        <v>0</v>
      </c>
      <c r="O87" s="69">
        <f t="shared" si="12"/>
        <v>0</v>
      </c>
      <c r="P87" s="69"/>
      <c r="Q87" s="69"/>
      <c r="R87" s="69"/>
      <c r="S87" s="69"/>
      <c r="T87" s="70"/>
      <c r="U87" s="70"/>
      <c r="V87" s="70"/>
      <c r="W87" s="70"/>
      <c r="X87" s="70"/>
      <c r="Y87" s="69"/>
      <c r="Z87" s="69"/>
      <c r="AA87" s="69">
        <v>100</v>
      </c>
      <c r="AB87" s="69"/>
      <c r="AC87" s="70"/>
      <c r="AD87" s="70"/>
      <c r="AE87" s="71"/>
      <c r="AF87" s="71"/>
      <c r="AG87" s="69">
        <f t="shared" si="13"/>
        <v>-100</v>
      </c>
      <c r="AH87" s="29">
        <f t="shared" si="14"/>
        <v>0</v>
      </c>
    </row>
    <row r="88" spans="1:34" s="30" customFormat="1" ht="21.75" customHeight="1" x14ac:dyDescent="0.2">
      <c r="A88" s="18">
        <v>43365</v>
      </c>
      <c r="B88" s="19"/>
      <c r="C88" s="20" t="s">
        <v>63</v>
      </c>
      <c r="D88" s="20" t="s">
        <v>64</v>
      </c>
      <c r="E88" s="20" t="s">
        <v>120</v>
      </c>
      <c r="F88" s="21">
        <v>115776</v>
      </c>
      <c r="G88" s="22" t="s">
        <v>852</v>
      </c>
      <c r="H88" s="23"/>
      <c r="I88" s="23"/>
      <c r="J88" s="23"/>
      <c r="K88" s="23">
        <f>1681.38+201.77</f>
        <v>1883.15</v>
      </c>
      <c r="L88" s="24"/>
      <c r="M88" s="69">
        <f t="shared" si="10"/>
        <v>1681.3839285714284</v>
      </c>
      <c r="N88" s="69">
        <f t="shared" si="11"/>
        <v>201.76607142857139</v>
      </c>
      <c r="O88" s="69">
        <f t="shared" si="12"/>
        <v>0</v>
      </c>
      <c r="P88" s="69">
        <v>1681.38</v>
      </c>
      <c r="Q88" s="69"/>
      <c r="R88" s="69"/>
      <c r="S88" s="69"/>
      <c r="T88" s="70"/>
      <c r="U88" s="70"/>
      <c r="V88" s="70"/>
      <c r="W88" s="70"/>
      <c r="X88" s="70"/>
      <c r="Y88" s="69"/>
      <c r="Z88" s="69"/>
      <c r="AA88" s="69"/>
      <c r="AB88" s="69"/>
      <c r="AC88" s="70"/>
      <c r="AD88" s="70"/>
      <c r="AE88" s="71"/>
      <c r="AF88" s="71"/>
      <c r="AG88" s="69">
        <f t="shared" si="13"/>
        <v>-1883.1460714285715</v>
      </c>
      <c r="AH88" s="29">
        <f t="shared" si="14"/>
        <v>3.9285714285597351E-3</v>
      </c>
    </row>
    <row r="89" spans="1:34" s="30" customFormat="1" ht="21.75" customHeight="1" x14ac:dyDescent="0.2">
      <c r="A89" s="18">
        <v>43365</v>
      </c>
      <c r="B89" s="19"/>
      <c r="C89" s="20" t="s">
        <v>63</v>
      </c>
      <c r="D89" s="20" t="s">
        <v>64</v>
      </c>
      <c r="E89" s="20" t="s">
        <v>120</v>
      </c>
      <c r="F89" s="21">
        <v>115776</v>
      </c>
      <c r="G89" s="22" t="s">
        <v>853</v>
      </c>
      <c r="H89" s="23"/>
      <c r="I89" s="23"/>
      <c r="J89" s="23">
        <v>537.75</v>
      </c>
      <c r="K89" s="23"/>
      <c r="L89" s="24"/>
      <c r="M89" s="69">
        <f t="shared" si="10"/>
        <v>537.75</v>
      </c>
      <c r="N89" s="69">
        <f t="shared" si="11"/>
        <v>0</v>
      </c>
      <c r="O89" s="69">
        <f t="shared" si="12"/>
        <v>0</v>
      </c>
      <c r="P89" s="69">
        <v>537.75</v>
      </c>
      <c r="Q89" s="69"/>
      <c r="R89" s="69"/>
      <c r="S89" s="69"/>
      <c r="T89" s="70"/>
      <c r="U89" s="70"/>
      <c r="V89" s="70"/>
      <c r="W89" s="70"/>
      <c r="X89" s="70"/>
      <c r="Y89" s="69"/>
      <c r="Z89" s="69"/>
      <c r="AA89" s="69"/>
      <c r="AB89" s="69"/>
      <c r="AC89" s="70"/>
      <c r="AD89" s="70"/>
      <c r="AE89" s="71"/>
      <c r="AF89" s="71"/>
      <c r="AG89" s="69">
        <f t="shared" si="13"/>
        <v>-537.75</v>
      </c>
      <c r="AH89" s="29">
        <f t="shared" si="14"/>
        <v>0</v>
      </c>
    </row>
    <row r="90" spans="1:34" s="30" customFormat="1" ht="21.75" customHeight="1" x14ac:dyDescent="0.2">
      <c r="A90" s="18">
        <v>43365</v>
      </c>
      <c r="B90" s="19"/>
      <c r="C90" s="20" t="s">
        <v>854</v>
      </c>
      <c r="D90" s="20"/>
      <c r="E90" s="20"/>
      <c r="F90" s="21"/>
      <c r="G90" s="22" t="s">
        <v>855</v>
      </c>
      <c r="H90" s="23">
        <v>280</v>
      </c>
      <c r="I90" s="23"/>
      <c r="J90" s="23"/>
      <c r="K90" s="23"/>
      <c r="L90" s="24"/>
      <c r="M90" s="69">
        <f t="shared" si="10"/>
        <v>280</v>
      </c>
      <c r="N90" s="69">
        <f t="shared" si="11"/>
        <v>0</v>
      </c>
      <c r="O90" s="69">
        <f t="shared" si="12"/>
        <v>0</v>
      </c>
      <c r="P90" s="69"/>
      <c r="Q90" s="69"/>
      <c r="R90" s="69"/>
      <c r="S90" s="69"/>
      <c r="T90" s="70"/>
      <c r="U90" s="70"/>
      <c r="V90" s="70"/>
      <c r="W90" s="70"/>
      <c r="X90" s="70"/>
      <c r="Y90" s="69"/>
      <c r="Z90" s="69"/>
      <c r="AA90" s="69">
        <v>280</v>
      </c>
      <c r="AB90" s="69"/>
      <c r="AC90" s="70"/>
      <c r="AD90" s="70"/>
      <c r="AE90" s="71"/>
      <c r="AF90" s="71"/>
      <c r="AG90" s="69">
        <f t="shared" si="13"/>
        <v>-280</v>
      </c>
      <c r="AH90" s="29">
        <f t="shared" si="14"/>
        <v>0</v>
      </c>
    </row>
    <row r="91" spans="1:34" s="72" customFormat="1" ht="21" customHeight="1" x14ac:dyDescent="0.2">
      <c r="A91" s="65">
        <v>43365</v>
      </c>
      <c r="B91" s="66"/>
      <c r="C91" s="20" t="s">
        <v>856</v>
      </c>
      <c r="D91" s="20"/>
      <c r="E91" s="20"/>
      <c r="F91" s="21"/>
      <c r="G91" s="22" t="s">
        <v>857</v>
      </c>
      <c r="H91" s="67">
        <v>1799.91</v>
      </c>
      <c r="I91" s="67"/>
      <c r="J91" s="67"/>
      <c r="K91" s="67"/>
      <c r="L91" s="68"/>
      <c r="M91" s="69">
        <f t="shared" si="10"/>
        <v>1799.91</v>
      </c>
      <c r="N91" s="69">
        <f t="shared" si="11"/>
        <v>0</v>
      </c>
      <c r="O91" s="69">
        <f t="shared" si="12"/>
        <v>0</v>
      </c>
      <c r="P91" s="69"/>
      <c r="Q91" s="69"/>
      <c r="R91" s="69"/>
      <c r="S91" s="69"/>
      <c r="T91" s="70"/>
      <c r="U91" s="70"/>
      <c r="V91" s="70"/>
      <c r="W91" s="70"/>
      <c r="X91" s="70"/>
      <c r="Y91" s="69"/>
      <c r="Z91" s="69"/>
      <c r="AA91" s="69"/>
      <c r="AB91" s="69">
        <v>1799.91</v>
      </c>
      <c r="AC91" s="70"/>
      <c r="AD91" s="70"/>
      <c r="AE91" s="71"/>
      <c r="AF91" s="71"/>
      <c r="AG91" s="69">
        <f t="shared" si="13"/>
        <v>-1799.91</v>
      </c>
      <c r="AH91" s="29">
        <f t="shared" si="14"/>
        <v>0</v>
      </c>
    </row>
    <row r="92" spans="1:34" s="72" customFormat="1" ht="21" customHeight="1" x14ac:dyDescent="0.2">
      <c r="A92" s="65">
        <v>43365</v>
      </c>
      <c r="B92" s="66"/>
      <c r="C92" s="20" t="s">
        <v>856</v>
      </c>
      <c r="D92" s="20"/>
      <c r="E92" s="20"/>
      <c r="F92" s="21"/>
      <c r="G92" s="22" t="s">
        <v>858</v>
      </c>
      <c r="H92" s="67">
        <v>256.07</v>
      </c>
      <c r="I92" s="67"/>
      <c r="J92" s="67"/>
      <c r="K92" s="67"/>
      <c r="L92" s="68"/>
      <c r="M92" s="69">
        <f t="shared" si="10"/>
        <v>256.07</v>
      </c>
      <c r="N92" s="69">
        <f t="shared" si="11"/>
        <v>0</v>
      </c>
      <c r="O92" s="69">
        <f t="shared" si="12"/>
        <v>0</v>
      </c>
      <c r="P92" s="69"/>
      <c r="Q92" s="69"/>
      <c r="R92" s="69"/>
      <c r="S92" s="69"/>
      <c r="T92" s="70"/>
      <c r="U92" s="70"/>
      <c r="V92" s="70"/>
      <c r="W92" s="70"/>
      <c r="X92" s="70"/>
      <c r="Y92" s="69"/>
      <c r="Z92" s="69"/>
      <c r="AA92" s="69">
        <v>256.07</v>
      </c>
      <c r="AB92" s="69"/>
      <c r="AC92" s="70"/>
      <c r="AD92" s="70"/>
      <c r="AE92" s="71"/>
      <c r="AF92" s="71"/>
      <c r="AG92" s="69">
        <f t="shared" si="13"/>
        <v>-256.07</v>
      </c>
      <c r="AH92" s="29">
        <f t="shared" si="14"/>
        <v>0</v>
      </c>
    </row>
    <row r="93" spans="1:34" s="72" customFormat="1" ht="21" customHeight="1" x14ac:dyDescent="0.2">
      <c r="A93" s="65">
        <v>43365</v>
      </c>
      <c r="B93" s="66"/>
      <c r="C93" s="20" t="s">
        <v>859</v>
      </c>
      <c r="D93" s="20"/>
      <c r="E93" s="20"/>
      <c r="F93" s="21"/>
      <c r="G93" s="22" t="s">
        <v>860</v>
      </c>
      <c r="H93" s="67">
        <v>1199.94</v>
      </c>
      <c r="I93" s="67"/>
      <c r="J93" s="67"/>
      <c r="K93" s="67"/>
      <c r="L93" s="68"/>
      <c r="M93" s="69">
        <f t="shared" si="10"/>
        <v>1199.94</v>
      </c>
      <c r="N93" s="69">
        <f t="shared" si="11"/>
        <v>0</v>
      </c>
      <c r="O93" s="69">
        <f t="shared" si="12"/>
        <v>0</v>
      </c>
      <c r="P93" s="69"/>
      <c r="Q93" s="69"/>
      <c r="R93" s="69"/>
      <c r="S93" s="69"/>
      <c r="T93" s="70"/>
      <c r="U93" s="70"/>
      <c r="V93" s="70"/>
      <c r="W93" s="70"/>
      <c r="X93" s="70"/>
      <c r="Y93" s="69"/>
      <c r="Z93" s="69"/>
      <c r="AA93" s="69">
        <v>1199.94</v>
      </c>
      <c r="AB93" s="69"/>
      <c r="AC93" s="70"/>
      <c r="AD93" s="70"/>
      <c r="AE93" s="71"/>
      <c r="AF93" s="71"/>
      <c r="AG93" s="69">
        <f t="shared" si="13"/>
        <v>-1199.94</v>
      </c>
      <c r="AH93" s="29">
        <f t="shared" si="14"/>
        <v>0</v>
      </c>
    </row>
    <row r="94" spans="1:34" s="72" customFormat="1" ht="21" customHeight="1" x14ac:dyDescent="0.2">
      <c r="A94" s="65">
        <v>43365</v>
      </c>
      <c r="B94" s="66"/>
      <c r="C94" s="20" t="s">
        <v>859</v>
      </c>
      <c r="D94" s="20"/>
      <c r="E94" s="20"/>
      <c r="F94" s="21"/>
      <c r="G94" s="22" t="s">
        <v>861</v>
      </c>
      <c r="H94" s="67">
        <v>292</v>
      </c>
      <c r="I94" s="67"/>
      <c r="J94" s="67"/>
      <c r="K94" s="67"/>
      <c r="L94" s="68"/>
      <c r="M94" s="69">
        <f t="shared" si="10"/>
        <v>292</v>
      </c>
      <c r="N94" s="69">
        <f t="shared" si="11"/>
        <v>0</v>
      </c>
      <c r="O94" s="69">
        <f t="shared" si="12"/>
        <v>0</v>
      </c>
      <c r="P94" s="69"/>
      <c r="Q94" s="69"/>
      <c r="R94" s="69"/>
      <c r="S94" s="69"/>
      <c r="T94" s="70"/>
      <c r="U94" s="70"/>
      <c r="V94" s="70"/>
      <c r="W94" s="70"/>
      <c r="X94" s="70"/>
      <c r="Y94" s="69"/>
      <c r="Z94" s="69"/>
      <c r="AA94" s="69">
        <v>292</v>
      </c>
      <c r="AB94" s="69"/>
      <c r="AC94" s="70"/>
      <c r="AD94" s="70"/>
      <c r="AE94" s="71"/>
      <c r="AF94" s="71"/>
      <c r="AG94" s="69">
        <f t="shared" si="13"/>
        <v>-292</v>
      </c>
      <c r="AH94" s="29">
        <f t="shared" si="14"/>
        <v>0</v>
      </c>
    </row>
    <row r="95" spans="1:34" s="72" customFormat="1" ht="21" customHeight="1" x14ac:dyDescent="0.2">
      <c r="A95" s="65">
        <v>43365</v>
      </c>
      <c r="B95" s="66"/>
      <c r="C95" s="20" t="s">
        <v>466</v>
      </c>
      <c r="D95" s="20" t="s">
        <v>467</v>
      </c>
      <c r="E95" s="20" t="s">
        <v>739</v>
      </c>
      <c r="F95" s="21">
        <v>330</v>
      </c>
      <c r="G95" s="22" t="s">
        <v>40</v>
      </c>
      <c r="H95" s="67"/>
      <c r="I95" s="67"/>
      <c r="J95" s="67"/>
      <c r="K95" s="67">
        <v>38</v>
      </c>
      <c r="L95" s="68"/>
      <c r="M95" s="69">
        <f t="shared" si="10"/>
        <v>33.928571428571423</v>
      </c>
      <c r="N95" s="69">
        <f t="shared" si="11"/>
        <v>4.0714285714285703</v>
      </c>
      <c r="O95" s="69">
        <f t="shared" si="12"/>
        <v>0</v>
      </c>
      <c r="P95" s="69"/>
      <c r="Q95" s="69">
        <v>33.93</v>
      </c>
      <c r="R95" s="69"/>
      <c r="S95" s="69"/>
      <c r="T95" s="70"/>
      <c r="U95" s="70"/>
      <c r="V95" s="70"/>
      <c r="W95" s="70"/>
      <c r="X95" s="70"/>
      <c r="Y95" s="69"/>
      <c r="Z95" s="69"/>
      <c r="AA95" s="69"/>
      <c r="AB95" s="69"/>
      <c r="AC95" s="70"/>
      <c r="AD95" s="70"/>
      <c r="AE95" s="71"/>
      <c r="AF95" s="71"/>
      <c r="AG95" s="69">
        <f t="shared" si="13"/>
        <v>-38.001428571428569</v>
      </c>
      <c r="AH95" s="29">
        <f t="shared" si="14"/>
        <v>-1.4285714285691142E-3</v>
      </c>
    </row>
    <row r="96" spans="1:34" s="72" customFormat="1" ht="21" customHeight="1" x14ac:dyDescent="0.2">
      <c r="A96" s="65">
        <v>43365</v>
      </c>
      <c r="B96" s="66"/>
      <c r="C96" s="20" t="s">
        <v>862</v>
      </c>
      <c r="D96" s="20" t="s">
        <v>863</v>
      </c>
      <c r="E96" s="20" t="s">
        <v>120</v>
      </c>
      <c r="F96" s="21">
        <v>774</v>
      </c>
      <c r="G96" s="22" t="s">
        <v>864</v>
      </c>
      <c r="H96" s="67"/>
      <c r="I96" s="67"/>
      <c r="J96" s="67">
        <v>1593</v>
      </c>
      <c r="K96" s="67"/>
      <c r="L96" s="68"/>
      <c r="M96" s="69">
        <f t="shared" si="10"/>
        <v>1593</v>
      </c>
      <c r="N96" s="69">
        <f t="shared" si="11"/>
        <v>0</v>
      </c>
      <c r="O96" s="69">
        <f t="shared" si="12"/>
        <v>0</v>
      </c>
      <c r="P96" s="69">
        <v>1593</v>
      </c>
      <c r="Q96" s="69"/>
      <c r="R96" s="69"/>
      <c r="S96" s="69"/>
      <c r="T96" s="70"/>
      <c r="U96" s="70"/>
      <c r="V96" s="70"/>
      <c r="W96" s="70"/>
      <c r="X96" s="70"/>
      <c r="Y96" s="69"/>
      <c r="Z96" s="69"/>
      <c r="AA96" s="69"/>
      <c r="AB96" s="69"/>
      <c r="AC96" s="70"/>
      <c r="AD96" s="70"/>
      <c r="AE96" s="71"/>
      <c r="AF96" s="71"/>
      <c r="AG96" s="69">
        <f t="shared" si="13"/>
        <v>-1593</v>
      </c>
      <c r="AH96" s="29">
        <f t="shared" si="14"/>
        <v>0</v>
      </c>
    </row>
    <row r="97" spans="1:34" s="72" customFormat="1" ht="21" customHeight="1" x14ac:dyDescent="0.2">
      <c r="A97" s="65">
        <v>43367</v>
      </c>
      <c r="B97" s="66"/>
      <c r="C97" s="20" t="s">
        <v>865</v>
      </c>
      <c r="D97" s="20" t="s">
        <v>866</v>
      </c>
      <c r="E97" s="20" t="s">
        <v>867</v>
      </c>
      <c r="F97" s="21">
        <v>425881</v>
      </c>
      <c r="G97" s="22" t="s">
        <v>40</v>
      </c>
      <c r="H97" s="67"/>
      <c r="I97" s="67"/>
      <c r="J97" s="67"/>
      <c r="K97" s="67">
        <v>255</v>
      </c>
      <c r="L97" s="68"/>
      <c r="M97" s="69">
        <f t="shared" si="10"/>
        <v>227.67857142857142</v>
      </c>
      <c r="N97" s="69">
        <f t="shared" si="11"/>
        <v>27.321428571428569</v>
      </c>
      <c r="O97" s="69">
        <f t="shared" si="12"/>
        <v>0</v>
      </c>
      <c r="P97" s="69"/>
      <c r="Q97" s="69">
        <v>227.68</v>
      </c>
      <c r="R97" s="69"/>
      <c r="S97" s="69"/>
      <c r="T97" s="70"/>
      <c r="U97" s="70"/>
      <c r="V97" s="70"/>
      <c r="W97" s="70"/>
      <c r="X97" s="70"/>
      <c r="Y97" s="69"/>
      <c r="Z97" s="69"/>
      <c r="AA97" s="69"/>
      <c r="AB97" s="69"/>
      <c r="AC97" s="70"/>
      <c r="AD97" s="70"/>
      <c r="AE97" s="71"/>
      <c r="AF97" s="71"/>
      <c r="AG97" s="69">
        <f t="shared" si="13"/>
        <v>-255.00142857142856</v>
      </c>
      <c r="AH97" s="29">
        <f t="shared" si="14"/>
        <v>-1.4285714285620088E-3</v>
      </c>
    </row>
    <row r="98" spans="1:34" s="72" customFormat="1" ht="21" customHeight="1" x14ac:dyDescent="0.2">
      <c r="A98" s="65">
        <v>43367</v>
      </c>
      <c r="B98" s="66"/>
      <c r="C98" s="20" t="s">
        <v>868</v>
      </c>
      <c r="D98" s="20"/>
      <c r="E98" s="20"/>
      <c r="F98" s="21"/>
      <c r="G98" s="22" t="s">
        <v>869</v>
      </c>
      <c r="H98" s="67"/>
      <c r="I98" s="67"/>
      <c r="J98" s="67">
        <v>1605</v>
      </c>
      <c r="K98" s="67"/>
      <c r="L98" s="68"/>
      <c r="M98" s="69">
        <f t="shared" si="10"/>
        <v>1605</v>
      </c>
      <c r="N98" s="69">
        <f t="shared" si="11"/>
        <v>0</v>
      </c>
      <c r="O98" s="69">
        <f t="shared" si="12"/>
        <v>0</v>
      </c>
      <c r="P98" s="69">
        <v>1605</v>
      </c>
      <c r="Q98" s="69"/>
      <c r="R98" s="69"/>
      <c r="S98" s="69"/>
      <c r="T98" s="70"/>
      <c r="U98" s="70"/>
      <c r="V98" s="70"/>
      <c r="W98" s="70"/>
      <c r="X98" s="70"/>
      <c r="Y98" s="69"/>
      <c r="Z98" s="69"/>
      <c r="AA98" s="69"/>
      <c r="AB98" s="69"/>
      <c r="AC98" s="70"/>
      <c r="AD98" s="70"/>
      <c r="AE98" s="71"/>
      <c r="AF98" s="71"/>
      <c r="AG98" s="69">
        <f t="shared" si="13"/>
        <v>-1605</v>
      </c>
      <c r="AH98" s="29">
        <f t="shared" si="14"/>
        <v>0</v>
      </c>
    </row>
    <row r="99" spans="1:34" s="72" customFormat="1" ht="21" customHeight="1" x14ac:dyDescent="0.2">
      <c r="A99" s="65">
        <v>43367</v>
      </c>
      <c r="B99" s="66"/>
      <c r="C99" s="20" t="s">
        <v>518</v>
      </c>
      <c r="D99" s="20" t="s">
        <v>519</v>
      </c>
      <c r="E99" s="20" t="s">
        <v>175</v>
      </c>
      <c r="F99" s="21">
        <v>1661</v>
      </c>
      <c r="G99" s="22" t="s">
        <v>870</v>
      </c>
      <c r="H99" s="67"/>
      <c r="I99" s="67"/>
      <c r="J99" s="67"/>
      <c r="K99" s="67">
        <v>3327</v>
      </c>
      <c r="L99" s="68">
        <v>0.01</v>
      </c>
      <c r="M99" s="69">
        <f t="shared" si="10"/>
        <v>2970.5357142857142</v>
      </c>
      <c r="N99" s="69">
        <f t="shared" si="11"/>
        <v>356.46428571428567</v>
      </c>
      <c r="O99" s="69">
        <f t="shared" si="12"/>
        <v>-29.705357142857142</v>
      </c>
      <c r="P99" s="69">
        <v>2970.54</v>
      </c>
      <c r="Q99" s="69"/>
      <c r="R99" s="69"/>
      <c r="S99" s="69"/>
      <c r="T99" s="70"/>
      <c r="U99" s="70"/>
      <c r="V99" s="70"/>
      <c r="W99" s="70"/>
      <c r="X99" s="70"/>
      <c r="Y99" s="69"/>
      <c r="Z99" s="69"/>
      <c r="AA99" s="69"/>
      <c r="AB99" s="69"/>
      <c r="AC99" s="70"/>
      <c r="AD99" s="70"/>
      <c r="AE99" s="71"/>
      <c r="AF99" s="71"/>
      <c r="AG99" s="69">
        <f t="shared" si="13"/>
        <v>-3297.2989285714284</v>
      </c>
      <c r="AH99" s="29">
        <f t="shared" si="14"/>
        <v>-4.2857142855474706E-3</v>
      </c>
    </row>
    <row r="100" spans="1:34" s="72" customFormat="1" ht="21" customHeight="1" x14ac:dyDescent="0.2">
      <c r="A100" s="65">
        <v>43368</v>
      </c>
      <c r="B100" s="66"/>
      <c r="C100" s="20" t="s">
        <v>851</v>
      </c>
      <c r="D100" s="20"/>
      <c r="E100" s="20"/>
      <c r="F100" s="21"/>
      <c r="G100" s="22" t="s">
        <v>871</v>
      </c>
      <c r="H100" s="67">
        <v>100</v>
      </c>
      <c r="I100" s="67"/>
      <c r="J100" s="67"/>
      <c r="K100" s="67"/>
      <c r="L100" s="68"/>
      <c r="M100" s="69">
        <f t="shared" si="10"/>
        <v>100</v>
      </c>
      <c r="N100" s="69">
        <f t="shared" si="11"/>
        <v>0</v>
      </c>
      <c r="O100" s="69">
        <f t="shared" si="12"/>
        <v>0</v>
      </c>
      <c r="P100" s="69"/>
      <c r="Q100" s="69"/>
      <c r="R100" s="69"/>
      <c r="S100" s="69"/>
      <c r="T100" s="70"/>
      <c r="U100" s="70"/>
      <c r="V100" s="70"/>
      <c r="W100" s="70"/>
      <c r="X100" s="70"/>
      <c r="Y100" s="69"/>
      <c r="Z100" s="69"/>
      <c r="AA100" s="69">
        <v>100</v>
      </c>
      <c r="AB100" s="69"/>
      <c r="AC100" s="70"/>
      <c r="AD100" s="70"/>
      <c r="AE100" s="71"/>
      <c r="AF100" s="71"/>
      <c r="AG100" s="69">
        <f t="shared" si="13"/>
        <v>-100</v>
      </c>
      <c r="AH100" s="29">
        <f t="shared" si="14"/>
        <v>0</v>
      </c>
    </row>
    <row r="101" spans="1:34" s="72" customFormat="1" ht="21" customHeight="1" x14ac:dyDescent="0.2">
      <c r="A101" s="65">
        <v>43368</v>
      </c>
      <c r="B101" s="66"/>
      <c r="C101" s="20" t="s">
        <v>705</v>
      </c>
      <c r="D101" s="20" t="s">
        <v>706</v>
      </c>
      <c r="E101" s="20" t="s">
        <v>707</v>
      </c>
      <c r="F101" s="21">
        <v>106032</v>
      </c>
      <c r="G101" s="22" t="s">
        <v>40</v>
      </c>
      <c r="H101" s="67"/>
      <c r="I101" s="67"/>
      <c r="J101" s="67"/>
      <c r="K101" s="67">
        <v>170</v>
      </c>
      <c r="L101" s="68"/>
      <c r="M101" s="69">
        <f t="shared" ref="M101:M132" si="15">SUM(H101:J101,K101/1.12)</f>
        <v>151.78571428571428</v>
      </c>
      <c r="N101" s="69">
        <f t="shared" ref="N101:N132" si="16">K101/1.12*0.12</f>
        <v>18.214285714285712</v>
      </c>
      <c r="O101" s="69">
        <f t="shared" ref="O101:O132" si="17">-SUM(I101:J101,K101/1.12)*L101</f>
        <v>0</v>
      </c>
      <c r="P101" s="69"/>
      <c r="Q101" s="69">
        <v>151.79</v>
      </c>
      <c r="R101" s="69"/>
      <c r="S101" s="69"/>
      <c r="T101" s="70"/>
      <c r="U101" s="70"/>
      <c r="V101" s="70"/>
      <c r="W101" s="70"/>
      <c r="X101" s="70"/>
      <c r="Y101" s="69"/>
      <c r="Z101" s="69"/>
      <c r="AA101" s="69"/>
      <c r="AB101" s="69"/>
      <c r="AC101" s="70"/>
      <c r="AD101" s="70"/>
      <c r="AE101" s="71"/>
      <c r="AF101" s="71"/>
      <c r="AG101" s="69">
        <f t="shared" ref="AG101:AG132" si="18">-SUM(N101:AF101)</f>
        <v>-170.00428571428571</v>
      </c>
      <c r="AH101" s="29">
        <f t="shared" ref="AH101:AH132" si="19">SUM(H101:K101)+AG101+O101</f>
        <v>-4.2857142857144481E-3</v>
      </c>
    </row>
    <row r="102" spans="1:34" s="72" customFormat="1" ht="21" customHeight="1" x14ac:dyDescent="0.2">
      <c r="A102" s="65">
        <v>43368</v>
      </c>
      <c r="B102" s="66"/>
      <c r="C102" s="20" t="s">
        <v>59</v>
      </c>
      <c r="D102" s="20" t="s">
        <v>872</v>
      </c>
      <c r="E102" s="20" t="s">
        <v>120</v>
      </c>
      <c r="F102" s="21">
        <v>700422</v>
      </c>
      <c r="G102" s="22" t="s">
        <v>873</v>
      </c>
      <c r="H102" s="67"/>
      <c r="I102" s="67"/>
      <c r="J102" s="67"/>
      <c r="K102" s="67">
        <v>180</v>
      </c>
      <c r="L102" s="68"/>
      <c r="M102" s="69">
        <f t="shared" si="15"/>
        <v>160.71428571428569</v>
      </c>
      <c r="N102" s="69">
        <f t="shared" si="16"/>
        <v>19.285714285714281</v>
      </c>
      <c r="O102" s="69">
        <f t="shared" si="17"/>
        <v>0</v>
      </c>
      <c r="P102" s="69"/>
      <c r="Q102" s="69"/>
      <c r="R102" s="69"/>
      <c r="S102" s="69"/>
      <c r="T102" s="70">
        <v>160.71</v>
      </c>
      <c r="U102" s="70"/>
      <c r="V102" s="70"/>
      <c r="W102" s="70"/>
      <c r="X102" s="70"/>
      <c r="Y102" s="69"/>
      <c r="Z102" s="69"/>
      <c r="AA102" s="69"/>
      <c r="AB102" s="69"/>
      <c r="AC102" s="70"/>
      <c r="AD102" s="70"/>
      <c r="AE102" s="71"/>
      <c r="AF102" s="71"/>
      <c r="AG102" s="69">
        <f t="shared" si="18"/>
        <v>-179.99571428571429</v>
      </c>
      <c r="AH102" s="29">
        <f t="shared" si="19"/>
        <v>4.2857142857144481E-3</v>
      </c>
    </row>
    <row r="103" spans="1:34" s="72" customFormat="1" ht="21" customHeight="1" x14ac:dyDescent="0.2">
      <c r="A103" s="65">
        <v>43368</v>
      </c>
      <c r="B103" s="66"/>
      <c r="C103" s="20" t="s">
        <v>59</v>
      </c>
      <c r="D103" s="20" t="s">
        <v>872</v>
      </c>
      <c r="E103" s="20" t="s">
        <v>120</v>
      </c>
      <c r="F103" s="21">
        <v>700473</v>
      </c>
      <c r="G103" s="22" t="s">
        <v>874</v>
      </c>
      <c r="H103" s="67"/>
      <c r="I103" s="67"/>
      <c r="J103" s="67"/>
      <c r="K103" s="67">
        <v>128</v>
      </c>
      <c r="L103" s="68"/>
      <c r="M103" s="69">
        <f t="shared" si="15"/>
        <v>114.28571428571428</v>
      </c>
      <c r="N103" s="69">
        <f t="shared" si="16"/>
        <v>13.714285714285714</v>
      </c>
      <c r="O103" s="69">
        <f t="shared" si="17"/>
        <v>0</v>
      </c>
      <c r="P103" s="69"/>
      <c r="Q103" s="69"/>
      <c r="R103" s="69"/>
      <c r="S103" s="69"/>
      <c r="T103" s="70">
        <v>114.29</v>
      </c>
      <c r="U103" s="70"/>
      <c r="V103" s="70"/>
      <c r="W103" s="70"/>
      <c r="X103" s="70"/>
      <c r="Y103" s="69"/>
      <c r="Z103" s="69"/>
      <c r="AA103" s="69"/>
      <c r="AB103" s="69"/>
      <c r="AC103" s="70"/>
      <c r="AD103" s="70"/>
      <c r="AE103" s="71"/>
      <c r="AF103" s="71"/>
      <c r="AG103" s="69">
        <f t="shared" si="18"/>
        <v>-128.00428571428571</v>
      </c>
      <c r="AH103" s="29">
        <f t="shared" si="19"/>
        <v>-4.2857142857144481E-3</v>
      </c>
    </row>
    <row r="104" spans="1:34" s="72" customFormat="1" ht="21" customHeight="1" x14ac:dyDescent="0.2">
      <c r="A104" s="65">
        <v>43368</v>
      </c>
      <c r="B104" s="66"/>
      <c r="C104" s="20" t="s">
        <v>745</v>
      </c>
      <c r="D104" s="20" t="s">
        <v>812</v>
      </c>
      <c r="E104" s="20" t="s">
        <v>277</v>
      </c>
      <c r="F104" s="21">
        <v>31961</v>
      </c>
      <c r="G104" s="22" t="s">
        <v>875</v>
      </c>
      <c r="H104" s="67"/>
      <c r="I104" s="67"/>
      <c r="J104" s="67"/>
      <c r="K104" s="67">
        <v>250</v>
      </c>
      <c r="L104" s="68"/>
      <c r="M104" s="69">
        <f t="shared" si="15"/>
        <v>223.21428571428569</v>
      </c>
      <c r="N104" s="69">
        <f t="shared" si="16"/>
        <v>26.785714285714281</v>
      </c>
      <c r="O104" s="69">
        <f t="shared" si="17"/>
        <v>0</v>
      </c>
      <c r="P104" s="69">
        <v>223.21</v>
      </c>
      <c r="Q104" s="69"/>
      <c r="R104" s="69"/>
      <c r="S104" s="69"/>
      <c r="T104" s="70"/>
      <c r="U104" s="70"/>
      <c r="V104" s="70"/>
      <c r="W104" s="70"/>
      <c r="X104" s="70"/>
      <c r="Y104" s="69"/>
      <c r="Z104" s="69"/>
      <c r="AA104" s="69"/>
      <c r="AB104" s="69"/>
      <c r="AC104" s="70"/>
      <c r="AD104" s="70"/>
      <c r="AE104" s="71"/>
      <c r="AF104" s="71"/>
      <c r="AG104" s="69">
        <f t="shared" si="18"/>
        <v>-249.99571428571429</v>
      </c>
      <c r="AH104" s="29">
        <f t="shared" si="19"/>
        <v>4.2857142857144481E-3</v>
      </c>
    </row>
    <row r="105" spans="1:34" s="72" customFormat="1" ht="21" customHeight="1" x14ac:dyDescent="0.2">
      <c r="A105" s="65">
        <v>43369</v>
      </c>
      <c r="B105" s="66"/>
      <c r="C105" s="20" t="s">
        <v>705</v>
      </c>
      <c r="D105" s="20" t="s">
        <v>706</v>
      </c>
      <c r="E105" s="20" t="s">
        <v>707</v>
      </c>
      <c r="F105" s="21">
        <v>114168</v>
      </c>
      <c r="G105" s="21" t="s">
        <v>40</v>
      </c>
      <c r="H105" s="67"/>
      <c r="I105" s="67"/>
      <c r="J105" s="67"/>
      <c r="K105" s="67">
        <v>170</v>
      </c>
      <c r="L105" s="68"/>
      <c r="M105" s="69">
        <f t="shared" si="15"/>
        <v>151.78571428571428</v>
      </c>
      <c r="N105" s="69">
        <f t="shared" si="16"/>
        <v>18.214285714285712</v>
      </c>
      <c r="O105" s="69">
        <f t="shared" si="17"/>
        <v>0</v>
      </c>
      <c r="P105" s="69"/>
      <c r="Q105" s="69">
        <v>151.79</v>
      </c>
      <c r="R105" s="69"/>
      <c r="S105" s="69"/>
      <c r="T105" s="70"/>
      <c r="U105" s="70"/>
      <c r="V105" s="70"/>
      <c r="W105" s="70"/>
      <c r="X105" s="70"/>
      <c r="Y105" s="69"/>
      <c r="Z105" s="69"/>
      <c r="AA105" s="69"/>
      <c r="AB105" s="69"/>
      <c r="AC105" s="70"/>
      <c r="AD105" s="70"/>
      <c r="AE105" s="71"/>
      <c r="AF105" s="71"/>
      <c r="AG105" s="69">
        <f t="shared" si="18"/>
        <v>-170.00428571428571</v>
      </c>
      <c r="AH105" s="29">
        <f t="shared" si="19"/>
        <v>-4.2857142857144481E-3</v>
      </c>
    </row>
    <row r="106" spans="1:34" s="72" customFormat="1" ht="24" customHeight="1" x14ac:dyDescent="0.2">
      <c r="A106" s="65">
        <v>43369</v>
      </c>
      <c r="B106" s="66"/>
      <c r="C106" s="20" t="s">
        <v>876</v>
      </c>
      <c r="D106" s="20" t="s">
        <v>877</v>
      </c>
      <c r="E106" s="20" t="s">
        <v>878</v>
      </c>
      <c r="F106" s="21">
        <v>574</v>
      </c>
      <c r="G106" s="22" t="s">
        <v>879</v>
      </c>
      <c r="H106" s="67">
        <v>93</v>
      </c>
      <c r="I106" s="67"/>
      <c r="J106" s="67"/>
      <c r="K106" s="67"/>
      <c r="L106" s="68"/>
      <c r="M106" s="69">
        <f t="shared" si="15"/>
        <v>93</v>
      </c>
      <c r="N106" s="69">
        <f t="shared" si="16"/>
        <v>0</v>
      </c>
      <c r="O106" s="69">
        <f t="shared" si="17"/>
        <v>0</v>
      </c>
      <c r="P106" s="69"/>
      <c r="Q106" s="69"/>
      <c r="R106" s="69"/>
      <c r="S106" s="69"/>
      <c r="T106" s="70"/>
      <c r="U106" s="70"/>
      <c r="V106" s="70"/>
      <c r="W106" s="70"/>
      <c r="X106" s="70"/>
      <c r="Y106" s="69"/>
      <c r="Z106" s="69"/>
      <c r="AA106" s="69"/>
      <c r="AB106" s="69"/>
      <c r="AC106" s="70"/>
      <c r="AD106" s="70">
        <v>93</v>
      </c>
      <c r="AE106" s="71"/>
      <c r="AF106" s="71"/>
      <c r="AG106" s="69">
        <f t="shared" si="18"/>
        <v>-93</v>
      </c>
      <c r="AH106" s="29">
        <f t="shared" si="19"/>
        <v>0</v>
      </c>
    </row>
    <row r="107" spans="1:34" s="72" customFormat="1" ht="24" customHeight="1" x14ac:dyDescent="0.2">
      <c r="A107" s="65">
        <v>43369</v>
      </c>
      <c r="B107" s="66"/>
      <c r="C107" s="20" t="s">
        <v>745</v>
      </c>
      <c r="D107" s="20" t="s">
        <v>812</v>
      </c>
      <c r="E107" s="20" t="s">
        <v>277</v>
      </c>
      <c r="F107" s="21">
        <v>31975</v>
      </c>
      <c r="G107" s="22" t="s">
        <v>82</v>
      </c>
      <c r="H107" s="67"/>
      <c r="I107" s="67"/>
      <c r="J107" s="67"/>
      <c r="K107" s="67">
        <v>131.47</v>
      </c>
      <c r="L107" s="68"/>
      <c r="M107" s="69">
        <f t="shared" si="15"/>
        <v>117.38392857142856</v>
      </c>
      <c r="N107" s="69">
        <f t="shared" si="16"/>
        <v>14.086071428571426</v>
      </c>
      <c r="O107" s="69">
        <f t="shared" si="17"/>
        <v>0</v>
      </c>
      <c r="P107" s="69">
        <v>117.38</v>
      </c>
      <c r="Q107" s="69"/>
      <c r="R107" s="69"/>
      <c r="S107" s="69"/>
      <c r="T107" s="70"/>
      <c r="U107" s="70"/>
      <c r="V107" s="70"/>
      <c r="W107" s="70"/>
      <c r="X107" s="70"/>
      <c r="Y107" s="69"/>
      <c r="Z107" s="69"/>
      <c r="AA107" s="69"/>
      <c r="AB107" s="69"/>
      <c r="AC107" s="70"/>
      <c r="AD107" s="70"/>
      <c r="AE107" s="71"/>
      <c r="AF107" s="71"/>
      <c r="AG107" s="69">
        <f t="shared" si="18"/>
        <v>-131.46607142857141</v>
      </c>
      <c r="AH107" s="29">
        <f t="shared" si="19"/>
        <v>3.9285714285881568E-3</v>
      </c>
    </row>
    <row r="108" spans="1:34" s="72" customFormat="1" ht="21" customHeight="1" x14ac:dyDescent="0.2">
      <c r="A108" s="65">
        <v>43369</v>
      </c>
      <c r="B108" s="66"/>
      <c r="C108" s="20" t="s">
        <v>862</v>
      </c>
      <c r="D108" s="20" t="s">
        <v>863</v>
      </c>
      <c r="E108" s="20" t="s">
        <v>120</v>
      </c>
      <c r="F108" s="21">
        <v>775</v>
      </c>
      <c r="G108" s="22" t="s">
        <v>880</v>
      </c>
      <c r="H108" s="67"/>
      <c r="I108" s="67"/>
      <c r="J108" s="67">
        <v>1162.5</v>
      </c>
      <c r="K108" s="67"/>
      <c r="L108" s="68"/>
      <c r="M108" s="69">
        <f t="shared" si="15"/>
        <v>1162.5</v>
      </c>
      <c r="N108" s="69">
        <f t="shared" si="16"/>
        <v>0</v>
      </c>
      <c r="O108" s="69">
        <f t="shared" si="17"/>
        <v>0</v>
      </c>
      <c r="P108" s="69">
        <v>1162.5</v>
      </c>
      <c r="Q108" s="69"/>
      <c r="R108" s="69"/>
      <c r="S108" s="69"/>
      <c r="T108" s="70"/>
      <c r="U108" s="70"/>
      <c r="V108" s="70"/>
      <c r="W108" s="70"/>
      <c r="X108" s="70"/>
      <c r="Y108" s="69"/>
      <c r="Z108" s="69"/>
      <c r="AA108" s="69"/>
      <c r="AB108" s="69"/>
      <c r="AC108" s="70"/>
      <c r="AD108" s="70"/>
      <c r="AE108" s="71"/>
      <c r="AF108" s="71"/>
      <c r="AG108" s="69">
        <f t="shared" si="18"/>
        <v>-1162.5</v>
      </c>
      <c r="AH108" s="29">
        <f t="shared" si="19"/>
        <v>0</v>
      </c>
    </row>
    <row r="109" spans="1:34" s="72" customFormat="1" ht="24" customHeight="1" x14ac:dyDescent="0.2">
      <c r="A109" s="65">
        <v>43369</v>
      </c>
      <c r="B109" s="66"/>
      <c r="C109" s="20" t="s">
        <v>545</v>
      </c>
      <c r="D109" s="20"/>
      <c r="E109" s="20"/>
      <c r="F109" s="21"/>
      <c r="G109" s="22" t="s">
        <v>881</v>
      </c>
      <c r="H109" s="67"/>
      <c r="I109" s="67"/>
      <c r="J109" s="67">
        <v>150</v>
      </c>
      <c r="K109" s="67"/>
      <c r="L109" s="68"/>
      <c r="M109" s="69">
        <f t="shared" si="15"/>
        <v>150</v>
      </c>
      <c r="N109" s="69">
        <f t="shared" si="16"/>
        <v>0</v>
      </c>
      <c r="O109" s="69">
        <f t="shared" si="17"/>
        <v>0</v>
      </c>
      <c r="P109" s="69">
        <v>150</v>
      </c>
      <c r="Q109" s="69"/>
      <c r="R109" s="69"/>
      <c r="S109" s="69"/>
      <c r="T109" s="70"/>
      <c r="U109" s="70"/>
      <c r="V109" s="70"/>
      <c r="W109" s="70"/>
      <c r="X109" s="70"/>
      <c r="Y109" s="69"/>
      <c r="Z109" s="69"/>
      <c r="AA109" s="69"/>
      <c r="AB109" s="69"/>
      <c r="AC109" s="70"/>
      <c r="AD109" s="70"/>
      <c r="AE109" s="71"/>
      <c r="AF109" s="71"/>
      <c r="AG109" s="69">
        <f t="shared" si="18"/>
        <v>-150</v>
      </c>
      <c r="AH109" s="29">
        <f t="shared" si="19"/>
        <v>0</v>
      </c>
    </row>
    <row r="110" spans="1:34" s="72" customFormat="1" ht="24" customHeight="1" x14ac:dyDescent="0.2">
      <c r="A110" s="65">
        <v>43369</v>
      </c>
      <c r="B110" s="66"/>
      <c r="C110" s="20" t="s">
        <v>745</v>
      </c>
      <c r="D110" s="20" t="s">
        <v>812</v>
      </c>
      <c r="E110" s="20" t="s">
        <v>277</v>
      </c>
      <c r="F110" s="21">
        <v>31981</v>
      </c>
      <c r="G110" s="22" t="s">
        <v>882</v>
      </c>
      <c r="H110" s="67"/>
      <c r="I110" s="67"/>
      <c r="J110" s="67"/>
      <c r="K110" s="67">
        <v>300</v>
      </c>
      <c r="L110" s="68"/>
      <c r="M110" s="69">
        <f t="shared" si="15"/>
        <v>267.85714285714283</v>
      </c>
      <c r="N110" s="69">
        <f t="shared" si="16"/>
        <v>32.142857142857139</v>
      </c>
      <c r="O110" s="69">
        <f t="shared" si="17"/>
        <v>0</v>
      </c>
      <c r="P110" s="69">
        <v>267.86</v>
      </c>
      <c r="Q110" s="69"/>
      <c r="R110" s="69"/>
      <c r="S110" s="69"/>
      <c r="T110" s="70"/>
      <c r="U110" s="70"/>
      <c r="V110" s="70"/>
      <c r="W110" s="70"/>
      <c r="X110" s="70"/>
      <c r="Y110" s="69"/>
      <c r="Z110" s="69"/>
      <c r="AA110" s="69"/>
      <c r="AB110" s="69"/>
      <c r="AC110" s="70"/>
      <c r="AD110" s="70"/>
      <c r="AE110" s="71"/>
      <c r="AF110" s="71"/>
      <c r="AG110" s="69">
        <f t="shared" si="18"/>
        <v>-300.00285714285712</v>
      </c>
      <c r="AH110" s="29">
        <f t="shared" si="19"/>
        <v>-2.8571428571240176E-3</v>
      </c>
    </row>
    <row r="111" spans="1:34" s="72" customFormat="1" ht="24" customHeight="1" x14ac:dyDescent="0.2">
      <c r="A111" s="65">
        <v>43370</v>
      </c>
      <c r="B111" s="66"/>
      <c r="C111" s="20" t="s">
        <v>745</v>
      </c>
      <c r="D111" s="20" t="s">
        <v>812</v>
      </c>
      <c r="E111" s="20" t="s">
        <v>277</v>
      </c>
      <c r="F111" s="21">
        <v>87206</v>
      </c>
      <c r="G111" s="22" t="s">
        <v>455</v>
      </c>
      <c r="H111" s="67"/>
      <c r="I111" s="67"/>
      <c r="J111" s="67"/>
      <c r="K111" s="67">
        <v>1021.93</v>
      </c>
      <c r="L111" s="68"/>
      <c r="M111" s="69">
        <f t="shared" si="15"/>
        <v>912.43749999999989</v>
      </c>
      <c r="N111" s="69">
        <f t="shared" si="16"/>
        <v>109.49249999999998</v>
      </c>
      <c r="O111" s="69">
        <f t="shared" si="17"/>
        <v>0</v>
      </c>
      <c r="P111" s="69">
        <v>912.44</v>
      </c>
      <c r="Q111" s="69"/>
      <c r="R111" s="69"/>
      <c r="S111" s="69"/>
      <c r="T111" s="70"/>
      <c r="U111" s="70"/>
      <c r="V111" s="70"/>
      <c r="W111" s="70"/>
      <c r="X111" s="70"/>
      <c r="Y111" s="69"/>
      <c r="Z111" s="69"/>
      <c r="AA111" s="69"/>
      <c r="AB111" s="69"/>
      <c r="AC111" s="70"/>
      <c r="AD111" s="70"/>
      <c r="AE111" s="71"/>
      <c r="AF111" s="71"/>
      <c r="AG111" s="69">
        <f t="shared" si="18"/>
        <v>-1021.9325</v>
      </c>
      <c r="AH111" s="29">
        <f t="shared" si="19"/>
        <v>-2.5000000000545697E-3</v>
      </c>
    </row>
    <row r="112" spans="1:34" s="72" customFormat="1" ht="21" customHeight="1" x14ac:dyDescent="0.2">
      <c r="A112" s="65">
        <v>43370</v>
      </c>
      <c r="B112" s="66"/>
      <c r="C112" s="20" t="s">
        <v>518</v>
      </c>
      <c r="D112" s="20" t="s">
        <v>519</v>
      </c>
      <c r="E112" s="20" t="s">
        <v>175</v>
      </c>
      <c r="F112" s="21">
        <v>1665</v>
      </c>
      <c r="G112" s="22" t="s">
        <v>883</v>
      </c>
      <c r="H112" s="67"/>
      <c r="I112" s="67"/>
      <c r="J112" s="67"/>
      <c r="K112" s="67">
        <v>6775</v>
      </c>
      <c r="L112" s="68">
        <v>0.01</v>
      </c>
      <c r="M112" s="69">
        <f t="shared" si="15"/>
        <v>6049.1071428571422</v>
      </c>
      <c r="N112" s="69">
        <f t="shared" si="16"/>
        <v>725.892857142857</v>
      </c>
      <c r="O112" s="69">
        <f t="shared" si="17"/>
        <v>-60.491071428571423</v>
      </c>
      <c r="P112" s="69">
        <v>6049.11</v>
      </c>
      <c r="Q112" s="69"/>
      <c r="R112" s="69"/>
      <c r="S112" s="69"/>
      <c r="T112" s="70"/>
      <c r="U112" s="70"/>
      <c r="V112" s="70"/>
      <c r="W112" s="70"/>
      <c r="X112" s="70"/>
      <c r="Y112" s="69"/>
      <c r="Z112" s="69"/>
      <c r="AA112" s="69"/>
      <c r="AB112" s="69"/>
      <c r="AC112" s="70"/>
      <c r="AD112" s="70"/>
      <c r="AE112" s="71"/>
      <c r="AF112" s="71"/>
      <c r="AG112" s="69">
        <f t="shared" si="18"/>
        <v>-6714.511785714285</v>
      </c>
      <c r="AH112" s="29">
        <f t="shared" si="19"/>
        <v>-2.8571428564205803E-3</v>
      </c>
    </row>
    <row r="113" spans="1:34" s="72" customFormat="1" ht="24" customHeight="1" x14ac:dyDescent="0.2">
      <c r="A113" s="65">
        <v>43370</v>
      </c>
      <c r="B113" s="66"/>
      <c r="C113" s="20" t="s">
        <v>851</v>
      </c>
      <c r="D113" s="20"/>
      <c r="E113" s="20"/>
      <c r="F113" s="21"/>
      <c r="G113" s="22" t="s">
        <v>871</v>
      </c>
      <c r="H113" s="67">
        <v>100</v>
      </c>
      <c r="I113" s="67"/>
      <c r="J113" s="67"/>
      <c r="K113" s="67"/>
      <c r="L113" s="68"/>
      <c r="M113" s="69">
        <f t="shared" si="15"/>
        <v>100</v>
      </c>
      <c r="N113" s="69">
        <f t="shared" si="16"/>
        <v>0</v>
      </c>
      <c r="O113" s="69">
        <f t="shared" si="17"/>
        <v>0</v>
      </c>
      <c r="P113" s="69"/>
      <c r="Q113" s="69"/>
      <c r="R113" s="69"/>
      <c r="S113" s="69"/>
      <c r="T113" s="70"/>
      <c r="U113" s="70"/>
      <c r="V113" s="70"/>
      <c r="W113" s="70"/>
      <c r="X113" s="70"/>
      <c r="Y113" s="69"/>
      <c r="Z113" s="69"/>
      <c r="AA113" s="69">
        <v>100</v>
      </c>
      <c r="AB113" s="69"/>
      <c r="AC113" s="70"/>
      <c r="AD113" s="70"/>
      <c r="AE113" s="71"/>
      <c r="AF113" s="71"/>
      <c r="AG113" s="69">
        <f t="shared" si="18"/>
        <v>-100</v>
      </c>
      <c r="AH113" s="29">
        <f t="shared" si="19"/>
        <v>0</v>
      </c>
    </row>
    <row r="114" spans="1:34" s="81" customFormat="1" ht="21" customHeight="1" x14ac:dyDescent="0.2">
      <c r="A114" s="74">
        <v>43370</v>
      </c>
      <c r="B114" s="75"/>
      <c r="C114" s="36" t="s">
        <v>96</v>
      </c>
      <c r="D114" s="36"/>
      <c r="E114" s="36"/>
      <c r="F114" s="37"/>
      <c r="G114" s="38" t="s">
        <v>884</v>
      </c>
      <c r="H114" s="76"/>
      <c r="I114" s="76"/>
      <c r="J114" s="76"/>
      <c r="K114" s="76">
        <v>380</v>
      </c>
      <c r="L114" s="77"/>
      <c r="M114" s="78">
        <f t="shared" si="15"/>
        <v>339.28571428571428</v>
      </c>
      <c r="N114" s="78">
        <f t="shared" si="16"/>
        <v>40.714285714285715</v>
      </c>
      <c r="O114" s="78">
        <f t="shared" si="17"/>
        <v>0</v>
      </c>
      <c r="P114" s="78"/>
      <c r="Q114" s="78"/>
      <c r="R114" s="78"/>
      <c r="S114" s="78"/>
      <c r="T114" s="79"/>
      <c r="U114" s="79">
        <v>339.29</v>
      </c>
      <c r="V114" s="79"/>
      <c r="W114" s="79"/>
      <c r="X114" s="79"/>
      <c r="Y114" s="78"/>
      <c r="Z114" s="78"/>
      <c r="AA114" s="78"/>
      <c r="AB114" s="78"/>
      <c r="AC114" s="79"/>
      <c r="AD114" s="79"/>
      <c r="AE114" s="80"/>
      <c r="AF114" s="80"/>
      <c r="AG114" s="78">
        <f t="shared" si="18"/>
        <v>-380.00428571428574</v>
      </c>
      <c r="AH114" s="45">
        <f t="shared" si="19"/>
        <v>-4.2857142857428698E-3</v>
      </c>
    </row>
    <row r="115" spans="1:34" s="72" customFormat="1" ht="21" customHeight="1" x14ac:dyDescent="0.2">
      <c r="A115" s="65">
        <v>43368</v>
      </c>
      <c r="B115" s="66"/>
      <c r="C115" s="20" t="s">
        <v>518</v>
      </c>
      <c r="D115" s="20" t="s">
        <v>519</v>
      </c>
      <c r="E115" s="20" t="s">
        <v>175</v>
      </c>
      <c r="F115" s="21">
        <v>1664</v>
      </c>
      <c r="G115" s="21" t="s">
        <v>885</v>
      </c>
      <c r="H115" s="67"/>
      <c r="I115" s="67"/>
      <c r="J115" s="67"/>
      <c r="K115" s="67">
        <v>974</v>
      </c>
      <c r="L115" s="68">
        <v>0.01</v>
      </c>
      <c r="M115" s="69">
        <f t="shared" si="15"/>
        <v>869.64285714285711</v>
      </c>
      <c r="N115" s="69">
        <f t="shared" si="16"/>
        <v>104.35714285714285</v>
      </c>
      <c r="O115" s="69">
        <f t="shared" si="17"/>
        <v>-8.6964285714285712</v>
      </c>
      <c r="P115" s="69">
        <v>869.64</v>
      </c>
      <c r="Q115" s="69"/>
      <c r="R115" s="69"/>
      <c r="S115" s="69"/>
      <c r="T115" s="70"/>
      <c r="U115" s="70"/>
      <c r="V115" s="70"/>
      <c r="W115" s="70"/>
      <c r="X115" s="70"/>
      <c r="Y115" s="69"/>
      <c r="Z115" s="69"/>
      <c r="AA115" s="69"/>
      <c r="AB115" s="69"/>
      <c r="AC115" s="70"/>
      <c r="AD115" s="70"/>
      <c r="AE115" s="71"/>
      <c r="AF115" s="71"/>
      <c r="AG115" s="69">
        <f t="shared" si="18"/>
        <v>-965.30071428571432</v>
      </c>
      <c r="AH115" s="29">
        <f t="shared" si="19"/>
        <v>2.8571428571080304E-3</v>
      </c>
    </row>
    <row r="116" spans="1:34" s="30" customFormat="1" ht="21.75" customHeight="1" x14ac:dyDescent="0.2">
      <c r="A116" s="18"/>
      <c r="B116" s="19"/>
      <c r="C116" s="20"/>
      <c r="D116" s="20"/>
      <c r="E116" s="20"/>
      <c r="F116" s="21"/>
      <c r="G116" s="22"/>
      <c r="H116" s="23"/>
      <c r="I116" s="23"/>
      <c r="J116" s="23"/>
      <c r="K116" s="23"/>
      <c r="L116" s="24"/>
      <c r="M116" s="25">
        <f t="shared" si="15"/>
        <v>0</v>
      </c>
      <c r="N116" s="25">
        <f t="shared" si="16"/>
        <v>0</v>
      </c>
      <c r="O116" s="25">
        <f t="shared" si="17"/>
        <v>0</v>
      </c>
      <c r="P116" s="25"/>
      <c r="Q116" s="25"/>
      <c r="R116" s="25"/>
      <c r="S116" s="25"/>
      <c r="T116" s="26"/>
      <c r="U116" s="26"/>
      <c r="V116" s="26"/>
      <c r="W116" s="26"/>
      <c r="X116" s="26"/>
      <c r="Y116" s="25"/>
      <c r="Z116" s="25"/>
      <c r="AA116" s="25"/>
      <c r="AB116" s="25"/>
      <c r="AC116" s="25"/>
      <c r="AD116" s="25"/>
      <c r="AE116" s="25"/>
      <c r="AF116" s="25"/>
      <c r="AG116" s="25">
        <f t="shared" si="18"/>
        <v>0</v>
      </c>
      <c r="AH116" s="29">
        <f t="shared" si="19"/>
        <v>0</v>
      </c>
    </row>
    <row r="117" spans="1:34" s="30" customFormat="1" ht="21.75" customHeight="1" x14ac:dyDescent="0.2">
      <c r="A117" s="18">
        <v>43368</v>
      </c>
      <c r="B117" s="19"/>
      <c r="C117" s="20" t="s">
        <v>518</v>
      </c>
      <c r="D117" s="20" t="s">
        <v>519</v>
      </c>
      <c r="E117" s="20" t="s">
        <v>175</v>
      </c>
      <c r="F117" s="21">
        <v>1662</v>
      </c>
      <c r="G117" s="22" t="s">
        <v>886</v>
      </c>
      <c r="H117" s="23"/>
      <c r="I117" s="23"/>
      <c r="J117" s="23"/>
      <c r="K117" s="23">
        <v>2190</v>
      </c>
      <c r="L117" s="24">
        <v>0.01</v>
      </c>
      <c r="M117" s="69">
        <f t="shared" si="15"/>
        <v>1955.3571428571427</v>
      </c>
      <c r="N117" s="69">
        <f t="shared" si="16"/>
        <v>234.64285714285711</v>
      </c>
      <c r="O117" s="69">
        <f t="shared" si="17"/>
        <v>-19.553571428571427</v>
      </c>
      <c r="P117" s="69">
        <v>1955.36</v>
      </c>
      <c r="Q117" s="69"/>
      <c r="R117" s="69"/>
      <c r="S117" s="69"/>
      <c r="T117" s="70"/>
      <c r="U117" s="70"/>
      <c r="V117" s="70"/>
      <c r="W117" s="70"/>
      <c r="X117" s="70"/>
      <c r="Y117" s="69"/>
      <c r="Z117" s="69"/>
      <c r="AA117" s="69"/>
      <c r="AB117" s="69"/>
      <c r="AC117" s="70"/>
      <c r="AD117" s="70"/>
      <c r="AE117" s="71"/>
      <c r="AF117" s="71"/>
      <c r="AG117" s="69">
        <f t="shared" si="18"/>
        <v>-2170.4492857142855</v>
      </c>
      <c r="AH117" s="29">
        <f t="shared" si="19"/>
        <v>-2.8571428568788804E-3</v>
      </c>
    </row>
    <row r="118" spans="1:34" s="30" customFormat="1" ht="21.75" customHeight="1" x14ac:dyDescent="0.2">
      <c r="A118" s="18">
        <v>43370</v>
      </c>
      <c r="B118" s="19"/>
      <c r="C118" s="20" t="s">
        <v>518</v>
      </c>
      <c r="D118" s="20" t="s">
        <v>519</v>
      </c>
      <c r="E118" s="20" t="s">
        <v>175</v>
      </c>
      <c r="F118" s="21">
        <v>1666</v>
      </c>
      <c r="G118" s="22" t="s">
        <v>887</v>
      </c>
      <c r="H118" s="23"/>
      <c r="I118" s="23"/>
      <c r="J118" s="23"/>
      <c r="K118" s="23">
        <v>1190</v>
      </c>
      <c r="L118" s="24">
        <v>0.01</v>
      </c>
      <c r="M118" s="69">
        <f t="shared" si="15"/>
        <v>1062.5</v>
      </c>
      <c r="N118" s="69">
        <f t="shared" si="16"/>
        <v>127.5</v>
      </c>
      <c r="O118" s="69">
        <f t="shared" si="17"/>
        <v>-10.625</v>
      </c>
      <c r="P118" s="69">
        <v>1062.5</v>
      </c>
      <c r="Q118" s="69"/>
      <c r="R118" s="69"/>
      <c r="S118" s="69"/>
      <c r="T118" s="70"/>
      <c r="U118" s="70"/>
      <c r="V118" s="70"/>
      <c r="W118" s="70"/>
      <c r="X118" s="70"/>
      <c r="Y118" s="69"/>
      <c r="Z118" s="69"/>
      <c r="AA118" s="69"/>
      <c r="AB118" s="69"/>
      <c r="AC118" s="70"/>
      <c r="AD118" s="70"/>
      <c r="AE118" s="71"/>
      <c r="AF118" s="71"/>
      <c r="AG118" s="69">
        <f t="shared" si="18"/>
        <v>-1179.375</v>
      </c>
      <c r="AH118" s="29">
        <f t="shared" si="19"/>
        <v>0</v>
      </c>
    </row>
    <row r="119" spans="1:34" s="30" customFormat="1" ht="21.75" customHeight="1" x14ac:dyDescent="0.2">
      <c r="A119" s="18">
        <v>43370</v>
      </c>
      <c r="B119" s="19"/>
      <c r="C119" s="20" t="s">
        <v>705</v>
      </c>
      <c r="D119" s="20" t="s">
        <v>706</v>
      </c>
      <c r="E119" s="20" t="s">
        <v>707</v>
      </c>
      <c r="F119" s="21">
        <v>112476</v>
      </c>
      <c r="G119" s="22" t="s">
        <v>40</v>
      </c>
      <c r="H119" s="23"/>
      <c r="I119" s="23"/>
      <c r="J119" s="23"/>
      <c r="K119" s="23">
        <v>170</v>
      </c>
      <c r="L119" s="24"/>
      <c r="M119" s="69">
        <f t="shared" si="15"/>
        <v>151.78571428571428</v>
      </c>
      <c r="N119" s="69">
        <f t="shared" si="16"/>
        <v>18.214285714285712</v>
      </c>
      <c r="O119" s="69">
        <f t="shared" si="17"/>
        <v>0</v>
      </c>
      <c r="P119" s="69"/>
      <c r="Q119" s="69">
        <v>151.79</v>
      </c>
      <c r="R119" s="69"/>
      <c r="S119" s="69"/>
      <c r="T119" s="70"/>
      <c r="U119" s="70"/>
      <c r="V119" s="70"/>
      <c r="W119" s="70"/>
      <c r="X119" s="70"/>
      <c r="Y119" s="69"/>
      <c r="Z119" s="69"/>
      <c r="AA119" s="69"/>
      <c r="AB119" s="69"/>
      <c r="AC119" s="70"/>
      <c r="AD119" s="70"/>
      <c r="AE119" s="71"/>
      <c r="AF119" s="71"/>
      <c r="AG119" s="69">
        <f t="shared" si="18"/>
        <v>-170.00428571428571</v>
      </c>
      <c r="AH119" s="29">
        <f t="shared" si="19"/>
        <v>-4.2857142857144481E-3</v>
      </c>
    </row>
    <row r="120" spans="1:34" s="30" customFormat="1" ht="21.75" customHeight="1" x14ac:dyDescent="0.2">
      <c r="A120" s="18">
        <v>43370</v>
      </c>
      <c r="B120" s="19"/>
      <c r="C120" s="20" t="s">
        <v>284</v>
      </c>
      <c r="D120" s="20" t="s">
        <v>184</v>
      </c>
      <c r="E120" s="20" t="s">
        <v>642</v>
      </c>
      <c r="F120" s="21">
        <v>161896</v>
      </c>
      <c r="G120" s="22" t="s">
        <v>888</v>
      </c>
      <c r="H120" s="23"/>
      <c r="I120" s="23"/>
      <c r="J120" s="23"/>
      <c r="K120" s="23">
        <v>453</v>
      </c>
      <c r="L120" s="24"/>
      <c r="M120" s="69">
        <f t="shared" si="15"/>
        <v>404.46428571428567</v>
      </c>
      <c r="N120" s="69">
        <f t="shared" si="16"/>
        <v>48.535714285714278</v>
      </c>
      <c r="O120" s="69">
        <f t="shared" si="17"/>
        <v>0</v>
      </c>
      <c r="P120" s="69"/>
      <c r="Q120" s="69"/>
      <c r="R120" s="69"/>
      <c r="S120" s="69"/>
      <c r="T120" s="70"/>
      <c r="U120" s="70"/>
      <c r="V120" s="70">
        <v>404.46</v>
      </c>
      <c r="W120" s="70"/>
      <c r="X120" s="70"/>
      <c r="Y120" s="69"/>
      <c r="Z120" s="69"/>
      <c r="AA120" s="69"/>
      <c r="AB120" s="69"/>
      <c r="AC120" s="70"/>
      <c r="AD120" s="70"/>
      <c r="AE120" s="71"/>
      <c r="AF120" s="71"/>
      <c r="AG120" s="69">
        <f t="shared" si="18"/>
        <v>-452.99571428571426</v>
      </c>
      <c r="AH120" s="29">
        <f t="shared" si="19"/>
        <v>4.2857142857428698E-3</v>
      </c>
    </row>
    <row r="121" spans="1:34" s="81" customFormat="1" ht="21" customHeight="1" x14ac:dyDescent="0.2">
      <c r="A121" s="74">
        <v>43370</v>
      </c>
      <c r="B121" s="75"/>
      <c r="C121" s="36" t="s">
        <v>96</v>
      </c>
      <c r="D121" s="36"/>
      <c r="E121" s="36"/>
      <c r="F121" s="37"/>
      <c r="G121" s="38" t="s">
        <v>889</v>
      </c>
      <c r="H121" s="76">
        <v>18</v>
      </c>
      <c r="I121" s="76"/>
      <c r="J121" s="76"/>
      <c r="K121" s="76"/>
      <c r="L121" s="77"/>
      <c r="M121" s="78">
        <f t="shared" si="15"/>
        <v>18</v>
      </c>
      <c r="N121" s="78">
        <f t="shared" si="16"/>
        <v>0</v>
      </c>
      <c r="O121" s="78">
        <f t="shared" si="17"/>
        <v>0</v>
      </c>
      <c r="P121" s="78"/>
      <c r="Q121" s="78"/>
      <c r="R121" s="78"/>
      <c r="S121" s="78"/>
      <c r="T121" s="79"/>
      <c r="U121" s="79"/>
      <c r="V121" s="79"/>
      <c r="W121" s="79"/>
      <c r="X121" s="79"/>
      <c r="Y121" s="78"/>
      <c r="Z121" s="78"/>
      <c r="AA121" s="78">
        <v>18</v>
      </c>
      <c r="AB121" s="78"/>
      <c r="AC121" s="79"/>
      <c r="AD121" s="79"/>
      <c r="AE121" s="80"/>
      <c r="AF121" s="80"/>
      <c r="AG121" s="78">
        <f t="shared" si="18"/>
        <v>-18</v>
      </c>
      <c r="AH121" s="45">
        <f t="shared" si="19"/>
        <v>0</v>
      </c>
    </row>
    <row r="122" spans="1:34" s="72" customFormat="1" ht="21" customHeight="1" x14ac:dyDescent="0.2">
      <c r="A122" s="65">
        <v>43361</v>
      </c>
      <c r="B122" s="66"/>
      <c r="C122" s="20" t="s">
        <v>583</v>
      </c>
      <c r="D122" s="20" t="s">
        <v>76</v>
      </c>
      <c r="E122" s="20" t="s">
        <v>120</v>
      </c>
      <c r="F122" s="21">
        <v>6947</v>
      </c>
      <c r="G122" s="21" t="s">
        <v>890</v>
      </c>
      <c r="H122" s="67"/>
      <c r="I122" s="67"/>
      <c r="J122" s="67"/>
      <c r="K122" s="67">
        <v>892.55</v>
      </c>
      <c r="L122" s="68"/>
      <c r="M122" s="69">
        <f t="shared" si="15"/>
        <v>796.91964285714278</v>
      </c>
      <c r="N122" s="69">
        <f t="shared" si="16"/>
        <v>95.630357142857136</v>
      </c>
      <c r="O122" s="69">
        <f t="shared" si="17"/>
        <v>0</v>
      </c>
      <c r="P122" s="69">
        <v>796.92</v>
      </c>
      <c r="Q122" s="69"/>
      <c r="R122" s="69"/>
      <c r="S122" s="69"/>
      <c r="T122" s="70"/>
      <c r="U122" s="70"/>
      <c r="V122" s="70"/>
      <c r="W122" s="70"/>
      <c r="X122" s="70"/>
      <c r="Y122" s="69"/>
      <c r="Z122" s="69"/>
      <c r="AA122" s="69"/>
      <c r="AB122" s="69"/>
      <c r="AC122" s="70"/>
      <c r="AD122" s="70"/>
      <c r="AE122" s="71"/>
      <c r="AF122" s="71"/>
      <c r="AG122" s="69">
        <f t="shared" si="18"/>
        <v>-892.55035714285714</v>
      </c>
      <c r="AH122" s="29">
        <f t="shared" si="19"/>
        <v>-3.5714285718313477E-4</v>
      </c>
    </row>
    <row r="123" spans="1:34" s="30" customFormat="1" ht="21.75" customHeight="1" x14ac:dyDescent="0.2">
      <c r="A123" s="18"/>
      <c r="B123" s="19"/>
      <c r="C123" s="20"/>
      <c r="D123" s="20"/>
      <c r="E123" s="20"/>
      <c r="F123" s="21"/>
      <c r="G123" s="22"/>
      <c r="H123" s="23"/>
      <c r="I123" s="23"/>
      <c r="J123" s="23"/>
      <c r="K123" s="23"/>
      <c r="L123" s="24"/>
      <c r="M123" s="25">
        <f t="shared" si="15"/>
        <v>0</v>
      </c>
      <c r="N123" s="25">
        <f t="shared" si="16"/>
        <v>0</v>
      </c>
      <c r="O123" s="25">
        <f t="shared" si="17"/>
        <v>0</v>
      </c>
      <c r="P123" s="25"/>
      <c r="Q123" s="25"/>
      <c r="R123" s="25"/>
      <c r="S123" s="25"/>
      <c r="T123" s="26"/>
      <c r="U123" s="26"/>
      <c r="V123" s="26"/>
      <c r="W123" s="26"/>
      <c r="X123" s="26"/>
      <c r="Y123" s="25"/>
      <c r="Z123" s="25"/>
      <c r="AA123" s="25"/>
      <c r="AB123" s="25"/>
      <c r="AC123" s="25"/>
      <c r="AD123" s="25"/>
      <c r="AE123" s="25"/>
      <c r="AF123" s="25"/>
      <c r="AG123" s="25">
        <f t="shared" si="18"/>
        <v>0</v>
      </c>
      <c r="AH123" s="29">
        <f t="shared" si="19"/>
        <v>0</v>
      </c>
    </row>
    <row r="124" spans="1:34" s="30" customFormat="1" ht="21.75" customHeight="1" x14ac:dyDescent="0.2">
      <c r="A124" s="18">
        <v>43361</v>
      </c>
      <c r="B124" s="19"/>
      <c r="C124" s="20" t="s">
        <v>68</v>
      </c>
      <c r="D124" s="20"/>
      <c r="E124" s="20"/>
      <c r="F124" s="21"/>
      <c r="G124" s="22" t="s">
        <v>891</v>
      </c>
      <c r="H124" s="23">
        <v>40</v>
      </c>
      <c r="I124" s="23"/>
      <c r="J124" s="23"/>
      <c r="K124" s="23"/>
      <c r="L124" s="24"/>
      <c r="M124" s="69">
        <f t="shared" si="15"/>
        <v>40</v>
      </c>
      <c r="N124" s="69">
        <f t="shared" si="16"/>
        <v>0</v>
      </c>
      <c r="O124" s="69">
        <f t="shared" si="17"/>
        <v>0</v>
      </c>
      <c r="P124" s="69"/>
      <c r="Q124" s="69"/>
      <c r="R124" s="69"/>
      <c r="S124" s="69"/>
      <c r="T124" s="70"/>
      <c r="U124" s="70"/>
      <c r="V124" s="70"/>
      <c r="W124" s="70"/>
      <c r="X124" s="70"/>
      <c r="Y124" s="69"/>
      <c r="Z124" s="69"/>
      <c r="AA124" s="69">
        <v>40</v>
      </c>
      <c r="AB124" s="69"/>
      <c r="AC124" s="70"/>
      <c r="AD124" s="70"/>
      <c r="AE124" s="71"/>
      <c r="AF124" s="71"/>
      <c r="AG124" s="69">
        <f t="shared" si="18"/>
        <v>-40</v>
      </c>
      <c r="AH124" s="29">
        <f t="shared" si="19"/>
        <v>0</v>
      </c>
    </row>
    <row r="125" spans="1:34" s="30" customFormat="1" ht="21.75" customHeight="1" x14ac:dyDescent="0.2">
      <c r="A125" s="18">
        <v>43361</v>
      </c>
      <c r="B125" s="19"/>
      <c r="C125" s="20" t="s">
        <v>892</v>
      </c>
      <c r="D125" s="20" t="s">
        <v>893</v>
      </c>
      <c r="E125" s="20" t="s">
        <v>120</v>
      </c>
      <c r="F125" s="21">
        <v>38103</v>
      </c>
      <c r="G125" s="22" t="s">
        <v>894</v>
      </c>
      <c r="H125" s="23"/>
      <c r="I125" s="23"/>
      <c r="J125" s="23"/>
      <c r="K125" s="23">
        <v>360</v>
      </c>
      <c r="L125" s="24"/>
      <c r="M125" s="69">
        <f t="shared" si="15"/>
        <v>321.42857142857139</v>
      </c>
      <c r="N125" s="69">
        <f t="shared" si="16"/>
        <v>38.571428571428562</v>
      </c>
      <c r="O125" s="69">
        <f t="shared" si="17"/>
        <v>0</v>
      </c>
      <c r="P125" s="69">
        <v>321.43</v>
      </c>
      <c r="Q125" s="69"/>
      <c r="R125" s="69"/>
      <c r="S125" s="69"/>
      <c r="T125" s="70"/>
      <c r="U125" s="70"/>
      <c r="V125" s="70"/>
      <c r="W125" s="70"/>
      <c r="X125" s="70"/>
      <c r="Y125" s="69"/>
      <c r="Z125" s="69"/>
      <c r="AA125" s="69"/>
      <c r="AB125" s="69"/>
      <c r="AC125" s="70"/>
      <c r="AD125" s="70"/>
      <c r="AE125" s="71"/>
      <c r="AF125" s="71"/>
      <c r="AG125" s="69">
        <f t="shared" si="18"/>
        <v>-360.00142857142856</v>
      </c>
      <c r="AH125" s="29">
        <f t="shared" si="19"/>
        <v>-1.4285714285620088E-3</v>
      </c>
    </row>
    <row r="126" spans="1:34" s="30" customFormat="1" ht="21.75" customHeight="1" x14ac:dyDescent="0.2">
      <c r="A126" s="18">
        <v>43361</v>
      </c>
      <c r="B126" s="19"/>
      <c r="C126" s="18" t="s">
        <v>895</v>
      </c>
      <c r="D126" s="20" t="s">
        <v>184</v>
      </c>
      <c r="E126" s="20" t="s">
        <v>261</v>
      </c>
      <c r="F126" s="21">
        <v>161849</v>
      </c>
      <c r="G126" s="22" t="s">
        <v>896</v>
      </c>
      <c r="H126" s="23"/>
      <c r="I126" s="23"/>
      <c r="J126" s="23"/>
      <c r="K126" s="23">
        <v>210</v>
      </c>
      <c r="L126" s="24"/>
      <c r="M126" s="69">
        <f t="shared" si="15"/>
        <v>187.49999999999997</v>
      </c>
      <c r="N126" s="69">
        <f t="shared" si="16"/>
        <v>22.499999999999996</v>
      </c>
      <c r="O126" s="69">
        <f t="shared" si="17"/>
        <v>0</v>
      </c>
      <c r="P126" s="69"/>
      <c r="Q126" s="69"/>
      <c r="R126" s="69"/>
      <c r="S126" s="69"/>
      <c r="T126" s="70"/>
      <c r="U126" s="70"/>
      <c r="V126" s="70"/>
      <c r="W126" s="70"/>
      <c r="X126" s="70"/>
      <c r="Y126" s="69"/>
      <c r="Z126" s="69">
        <v>187.5</v>
      </c>
      <c r="AA126" s="69"/>
      <c r="AB126" s="69"/>
      <c r="AC126" s="70"/>
      <c r="AD126" s="70"/>
      <c r="AE126" s="71"/>
      <c r="AF126" s="71"/>
      <c r="AG126" s="69">
        <f t="shared" si="18"/>
        <v>-210</v>
      </c>
      <c r="AH126" s="29">
        <f t="shared" si="19"/>
        <v>0</v>
      </c>
    </row>
    <row r="127" spans="1:34" s="30" customFormat="1" ht="21.75" customHeight="1" x14ac:dyDescent="0.2">
      <c r="A127" s="18">
        <v>43361</v>
      </c>
      <c r="B127" s="19"/>
      <c r="C127" s="20" t="s">
        <v>897</v>
      </c>
      <c r="D127" s="20"/>
      <c r="E127" s="20"/>
      <c r="F127" s="21"/>
      <c r="G127" s="22" t="s">
        <v>898</v>
      </c>
      <c r="H127" s="23"/>
      <c r="I127" s="23"/>
      <c r="J127" s="23">
        <v>800</v>
      </c>
      <c r="K127" s="23"/>
      <c r="L127" s="24"/>
      <c r="M127" s="69">
        <f t="shared" si="15"/>
        <v>800</v>
      </c>
      <c r="N127" s="69">
        <f t="shared" si="16"/>
        <v>0</v>
      </c>
      <c r="O127" s="69">
        <f t="shared" si="17"/>
        <v>0</v>
      </c>
      <c r="P127" s="69"/>
      <c r="Q127" s="69"/>
      <c r="R127" s="69"/>
      <c r="S127" s="69"/>
      <c r="T127" s="70"/>
      <c r="U127" s="70"/>
      <c r="V127" s="70"/>
      <c r="W127" s="70"/>
      <c r="X127" s="70">
        <v>800</v>
      </c>
      <c r="Y127" s="69"/>
      <c r="Z127" s="69"/>
      <c r="AA127" s="69"/>
      <c r="AB127" s="69"/>
      <c r="AC127" s="70"/>
      <c r="AD127" s="70"/>
      <c r="AE127" s="71"/>
      <c r="AF127" s="71"/>
      <c r="AG127" s="69">
        <f t="shared" si="18"/>
        <v>-800</v>
      </c>
      <c r="AH127" s="29">
        <f t="shared" si="19"/>
        <v>0</v>
      </c>
    </row>
    <row r="128" spans="1:34" s="72" customFormat="1" ht="21" customHeight="1" x14ac:dyDescent="0.2">
      <c r="A128" s="65">
        <v>43361</v>
      </c>
      <c r="B128" s="66"/>
      <c r="C128" s="20" t="s">
        <v>96</v>
      </c>
      <c r="D128" s="20"/>
      <c r="E128" s="20"/>
      <c r="F128" s="21"/>
      <c r="G128" s="22" t="s">
        <v>899</v>
      </c>
      <c r="H128" s="67">
        <v>250</v>
      </c>
      <c r="I128" s="67"/>
      <c r="J128" s="67"/>
      <c r="K128" s="67"/>
      <c r="L128" s="68"/>
      <c r="M128" s="69">
        <f t="shared" si="15"/>
        <v>250</v>
      </c>
      <c r="N128" s="69">
        <f t="shared" si="16"/>
        <v>0</v>
      </c>
      <c r="O128" s="69">
        <f t="shared" si="17"/>
        <v>0</v>
      </c>
      <c r="P128" s="69"/>
      <c r="Q128" s="69"/>
      <c r="R128" s="69"/>
      <c r="S128" s="69"/>
      <c r="T128" s="70"/>
      <c r="U128" s="70"/>
      <c r="V128" s="70"/>
      <c r="W128" s="70"/>
      <c r="X128" s="70"/>
      <c r="Y128" s="69"/>
      <c r="Z128" s="69"/>
      <c r="AA128" s="69">
        <v>250</v>
      </c>
      <c r="AB128" s="69"/>
      <c r="AC128" s="70"/>
      <c r="AD128" s="70"/>
      <c r="AE128" s="71"/>
      <c r="AF128" s="71"/>
      <c r="AG128" s="69">
        <f t="shared" si="18"/>
        <v>-250</v>
      </c>
      <c r="AH128" s="29">
        <f t="shared" si="19"/>
        <v>0</v>
      </c>
    </row>
    <row r="129" spans="1:34" s="72" customFormat="1" ht="21" customHeight="1" x14ac:dyDescent="0.2">
      <c r="A129" s="65">
        <v>43361</v>
      </c>
      <c r="B129" s="66"/>
      <c r="C129" s="20" t="s">
        <v>900</v>
      </c>
      <c r="D129" s="20"/>
      <c r="E129" s="20"/>
      <c r="F129" s="21"/>
      <c r="G129" s="22" t="s">
        <v>901</v>
      </c>
      <c r="H129" s="67">
        <v>937.5</v>
      </c>
      <c r="I129" s="67"/>
      <c r="J129" s="67"/>
      <c r="K129" s="67"/>
      <c r="L129" s="68"/>
      <c r="M129" s="69">
        <f t="shared" si="15"/>
        <v>937.5</v>
      </c>
      <c r="N129" s="69">
        <f t="shared" si="16"/>
        <v>0</v>
      </c>
      <c r="O129" s="69">
        <f t="shared" si="17"/>
        <v>0</v>
      </c>
      <c r="P129" s="69"/>
      <c r="Q129" s="69"/>
      <c r="R129" s="69"/>
      <c r="S129" s="69"/>
      <c r="T129" s="70"/>
      <c r="U129" s="70"/>
      <c r="V129" s="70"/>
      <c r="W129" s="70"/>
      <c r="X129" s="70"/>
      <c r="Y129" s="69"/>
      <c r="Z129" s="69"/>
      <c r="AA129" s="69"/>
      <c r="AB129" s="69"/>
      <c r="AC129" s="70"/>
      <c r="AD129" s="70">
        <v>937.5</v>
      </c>
      <c r="AE129" s="71"/>
      <c r="AF129" s="71"/>
      <c r="AG129" s="69">
        <f t="shared" si="18"/>
        <v>-937.5</v>
      </c>
      <c r="AH129" s="29">
        <f t="shared" si="19"/>
        <v>0</v>
      </c>
    </row>
    <row r="130" spans="1:34" s="72" customFormat="1" ht="21" customHeight="1" x14ac:dyDescent="0.2">
      <c r="A130" s="65">
        <v>43362</v>
      </c>
      <c r="B130" s="66"/>
      <c r="C130" s="20" t="s">
        <v>897</v>
      </c>
      <c r="D130" s="20"/>
      <c r="E130" s="20"/>
      <c r="F130" s="21"/>
      <c r="G130" s="22" t="s">
        <v>902</v>
      </c>
      <c r="H130" s="67"/>
      <c r="I130" s="67"/>
      <c r="J130" s="67">
        <v>3675</v>
      </c>
      <c r="K130" s="67"/>
      <c r="L130" s="68"/>
      <c r="M130" s="69">
        <f t="shared" si="15"/>
        <v>3675</v>
      </c>
      <c r="N130" s="69">
        <f t="shared" si="16"/>
        <v>0</v>
      </c>
      <c r="O130" s="69">
        <f t="shared" si="17"/>
        <v>0</v>
      </c>
      <c r="P130" s="69">
        <v>3675</v>
      </c>
      <c r="Q130" s="69"/>
      <c r="R130" s="69"/>
      <c r="S130" s="69"/>
      <c r="T130" s="70"/>
      <c r="U130" s="70"/>
      <c r="V130" s="70"/>
      <c r="W130" s="70"/>
      <c r="X130" s="70"/>
      <c r="Y130" s="69"/>
      <c r="Z130" s="69"/>
      <c r="AA130" s="69"/>
      <c r="AB130" s="69"/>
      <c r="AC130" s="70"/>
      <c r="AD130" s="70"/>
      <c r="AE130" s="71"/>
      <c r="AF130" s="71"/>
      <c r="AG130" s="69">
        <f t="shared" si="18"/>
        <v>-3675</v>
      </c>
      <c r="AH130" s="29">
        <f t="shared" si="19"/>
        <v>0</v>
      </c>
    </row>
    <row r="131" spans="1:34" s="72" customFormat="1" ht="21" customHeight="1" x14ac:dyDescent="0.2">
      <c r="A131" s="65">
        <v>43362</v>
      </c>
      <c r="B131" s="66"/>
      <c r="C131" s="20" t="s">
        <v>518</v>
      </c>
      <c r="D131" s="20" t="s">
        <v>519</v>
      </c>
      <c r="E131" s="20" t="s">
        <v>175</v>
      </c>
      <c r="F131" s="21">
        <v>1659</v>
      </c>
      <c r="G131" s="22" t="s">
        <v>903</v>
      </c>
      <c r="H131" s="67"/>
      <c r="I131" s="67"/>
      <c r="J131" s="67"/>
      <c r="K131" s="67">
        <v>1248</v>
      </c>
      <c r="L131" s="68">
        <v>0.01</v>
      </c>
      <c r="M131" s="69">
        <f t="shared" si="15"/>
        <v>1114.2857142857142</v>
      </c>
      <c r="N131" s="69">
        <f t="shared" si="16"/>
        <v>133.71428571428569</v>
      </c>
      <c r="O131" s="69">
        <f t="shared" si="17"/>
        <v>-11.142857142857142</v>
      </c>
      <c r="P131" s="69">
        <v>1114.29</v>
      </c>
      <c r="Q131" s="69"/>
      <c r="R131" s="69"/>
      <c r="S131" s="69"/>
      <c r="T131" s="70"/>
      <c r="U131" s="70"/>
      <c r="V131" s="70"/>
      <c r="W131" s="70"/>
      <c r="X131" s="70"/>
      <c r="Y131" s="69"/>
      <c r="Z131" s="69"/>
      <c r="AA131" s="69"/>
      <c r="AB131" s="69"/>
      <c r="AC131" s="70"/>
      <c r="AD131" s="70"/>
      <c r="AE131" s="71"/>
      <c r="AF131" s="71"/>
      <c r="AG131" s="69">
        <f t="shared" si="18"/>
        <v>-1236.8614285714284</v>
      </c>
      <c r="AH131" s="29">
        <f t="shared" si="19"/>
        <v>-4.2857142855474706E-3</v>
      </c>
    </row>
    <row r="132" spans="1:34" s="72" customFormat="1" ht="21" customHeight="1" x14ac:dyDescent="0.2">
      <c r="A132" s="65">
        <v>43362</v>
      </c>
      <c r="B132" s="66"/>
      <c r="C132" s="20" t="s">
        <v>904</v>
      </c>
      <c r="D132" s="20"/>
      <c r="E132" s="20"/>
      <c r="F132" s="21"/>
      <c r="G132" s="22" t="s">
        <v>905</v>
      </c>
      <c r="H132" s="67">
        <v>60</v>
      </c>
      <c r="I132" s="67"/>
      <c r="J132" s="67"/>
      <c r="K132" s="67"/>
      <c r="L132" s="68"/>
      <c r="M132" s="69">
        <f t="shared" si="15"/>
        <v>60</v>
      </c>
      <c r="N132" s="69">
        <f t="shared" si="16"/>
        <v>0</v>
      </c>
      <c r="O132" s="69">
        <f t="shared" si="17"/>
        <v>0</v>
      </c>
      <c r="P132" s="69"/>
      <c r="Q132" s="69"/>
      <c r="R132" s="69"/>
      <c r="S132" s="69"/>
      <c r="T132" s="70"/>
      <c r="U132" s="70"/>
      <c r="V132" s="70"/>
      <c r="W132" s="70"/>
      <c r="X132" s="70"/>
      <c r="Y132" s="69"/>
      <c r="Z132" s="69"/>
      <c r="AA132" s="69"/>
      <c r="AB132" s="69">
        <v>60</v>
      </c>
      <c r="AC132" s="70"/>
      <c r="AD132" s="70"/>
      <c r="AE132" s="71"/>
      <c r="AF132" s="71"/>
      <c r="AG132" s="69">
        <f t="shared" si="18"/>
        <v>-60</v>
      </c>
      <c r="AH132" s="29">
        <f t="shared" si="19"/>
        <v>0</v>
      </c>
    </row>
    <row r="133" spans="1:34" s="72" customFormat="1" ht="21" customHeight="1" x14ac:dyDescent="0.2">
      <c r="A133" s="65">
        <v>43362</v>
      </c>
      <c r="B133" s="66"/>
      <c r="C133" s="20" t="s">
        <v>705</v>
      </c>
      <c r="D133" s="20" t="s">
        <v>706</v>
      </c>
      <c r="E133" s="20" t="s">
        <v>707</v>
      </c>
      <c r="F133" s="21">
        <v>192246</v>
      </c>
      <c r="G133" s="22" t="s">
        <v>40</v>
      </c>
      <c r="H133" s="67"/>
      <c r="I133" s="67"/>
      <c r="J133" s="67"/>
      <c r="K133" s="67">
        <v>170</v>
      </c>
      <c r="L133" s="68"/>
      <c r="M133" s="69">
        <f t="shared" ref="M133:M162" si="20">SUM(H133:J133,K133/1.12)</f>
        <v>151.78571428571428</v>
      </c>
      <c r="N133" s="69">
        <f t="shared" ref="N133:N162" si="21">K133/1.12*0.12</f>
        <v>18.214285714285712</v>
      </c>
      <c r="O133" s="69">
        <f t="shared" ref="O133:O162" si="22">-SUM(I133:J133,K133/1.12)*L133</f>
        <v>0</v>
      </c>
      <c r="P133" s="69"/>
      <c r="Q133" s="69">
        <v>151.79</v>
      </c>
      <c r="R133" s="69"/>
      <c r="S133" s="69"/>
      <c r="T133" s="70"/>
      <c r="U133" s="70"/>
      <c r="V133" s="70"/>
      <c r="W133" s="70"/>
      <c r="X133" s="70"/>
      <c r="Y133" s="69"/>
      <c r="Z133" s="69"/>
      <c r="AA133" s="69"/>
      <c r="AB133" s="69"/>
      <c r="AC133" s="70"/>
      <c r="AD133" s="70"/>
      <c r="AE133" s="71"/>
      <c r="AF133" s="71"/>
      <c r="AG133" s="69">
        <f t="shared" ref="AG133:AG164" si="23">-SUM(N133:AF133)</f>
        <v>-170.00428571428571</v>
      </c>
      <c r="AH133" s="29">
        <f t="shared" ref="AH133:AH164" si="24">SUM(H133:K133)+AG133+O133</f>
        <v>-4.2857142857144481E-3</v>
      </c>
    </row>
    <row r="134" spans="1:34" s="72" customFormat="1" ht="21" customHeight="1" x14ac:dyDescent="0.2">
      <c r="A134" s="65">
        <v>43362</v>
      </c>
      <c r="B134" s="66"/>
      <c r="C134" s="20" t="s">
        <v>294</v>
      </c>
      <c r="D134" s="20" t="s">
        <v>295</v>
      </c>
      <c r="E134" s="20" t="s">
        <v>43</v>
      </c>
      <c r="F134" s="21">
        <v>11815</v>
      </c>
      <c r="G134" s="22" t="s">
        <v>906</v>
      </c>
      <c r="H134" s="67"/>
      <c r="I134" s="67"/>
      <c r="J134" s="67">
        <v>190</v>
      </c>
      <c r="K134" s="67"/>
      <c r="L134" s="68"/>
      <c r="M134" s="69">
        <f t="shared" si="20"/>
        <v>190</v>
      </c>
      <c r="N134" s="69">
        <f t="shared" si="21"/>
        <v>0</v>
      </c>
      <c r="O134" s="69">
        <f t="shared" si="22"/>
        <v>0</v>
      </c>
      <c r="P134" s="69">
        <v>190</v>
      </c>
      <c r="Q134" s="69"/>
      <c r="R134" s="69"/>
      <c r="S134" s="69"/>
      <c r="T134" s="70"/>
      <c r="U134" s="70"/>
      <c r="V134" s="70"/>
      <c r="W134" s="70"/>
      <c r="X134" s="70"/>
      <c r="Y134" s="69"/>
      <c r="Z134" s="69"/>
      <c r="AA134" s="69"/>
      <c r="AB134" s="69"/>
      <c r="AC134" s="70"/>
      <c r="AD134" s="70"/>
      <c r="AE134" s="71"/>
      <c r="AF134" s="71"/>
      <c r="AG134" s="69">
        <f t="shared" si="23"/>
        <v>-190</v>
      </c>
      <c r="AH134" s="29">
        <f t="shared" si="24"/>
        <v>0</v>
      </c>
    </row>
    <row r="135" spans="1:34" s="72" customFormat="1" ht="21" customHeight="1" x14ac:dyDescent="0.2">
      <c r="A135" s="65">
        <v>43362</v>
      </c>
      <c r="B135" s="66"/>
      <c r="C135" s="20" t="s">
        <v>45</v>
      </c>
      <c r="D135" s="20"/>
      <c r="E135" s="20"/>
      <c r="F135" s="21"/>
      <c r="G135" s="22" t="s">
        <v>196</v>
      </c>
      <c r="H135" s="67">
        <v>100</v>
      </c>
      <c r="I135" s="67"/>
      <c r="J135" s="67"/>
      <c r="K135" s="67"/>
      <c r="L135" s="68"/>
      <c r="M135" s="69">
        <f t="shared" si="20"/>
        <v>100</v>
      </c>
      <c r="N135" s="69">
        <f t="shared" si="21"/>
        <v>0</v>
      </c>
      <c r="O135" s="69">
        <f t="shared" si="22"/>
        <v>0</v>
      </c>
      <c r="P135" s="69"/>
      <c r="Q135" s="69"/>
      <c r="R135" s="69"/>
      <c r="S135" s="69"/>
      <c r="T135" s="70"/>
      <c r="U135" s="70"/>
      <c r="V135" s="70"/>
      <c r="W135" s="70"/>
      <c r="X135" s="70"/>
      <c r="Y135" s="69"/>
      <c r="Z135" s="69"/>
      <c r="AA135" s="69">
        <v>100</v>
      </c>
      <c r="AB135" s="69"/>
      <c r="AC135" s="70"/>
      <c r="AD135" s="70"/>
      <c r="AE135" s="71"/>
      <c r="AF135" s="71"/>
      <c r="AG135" s="69">
        <f t="shared" si="23"/>
        <v>-100</v>
      </c>
      <c r="AH135" s="29">
        <f t="shared" si="24"/>
        <v>0</v>
      </c>
    </row>
    <row r="136" spans="1:34" s="72" customFormat="1" ht="21" customHeight="1" x14ac:dyDescent="0.2">
      <c r="A136" s="65">
        <v>43362</v>
      </c>
      <c r="B136" s="66"/>
      <c r="C136" s="20" t="s">
        <v>41</v>
      </c>
      <c r="D136" s="20" t="s">
        <v>88</v>
      </c>
      <c r="E136" s="20" t="s">
        <v>43</v>
      </c>
      <c r="F136" s="21">
        <v>2650</v>
      </c>
      <c r="G136" s="22" t="s">
        <v>90</v>
      </c>
      <c r="H136" s="67"/>
      <c r="I136" s="67"/>
      <c r="J136" s="67">
        <v>435</v>
      </c>
      <c r="K136" s="67"/>
      <c r="L136" s="68"/>
      <c r="M136" s="69">
        <f t="shared" si="20"/>
        <v>435</v>
      </c>
      <c r="N136" s="69">
        <f t="shared" si="21"/>
        <v>0</v>
      </c>
      <c r="O136" s="69">
        <f t="shared" si="22"/>
        <v>0</v>
      </c>
      <c r="P136" s="69">
        <v>435</v>
      </c>
      <c r="Q136" s="69"/>
      <c r="R136" s="69"/>
      <c r="S136" s="69"/>
      <c r="T136" s="70"/>
      <c r="U136" s="70"/>
      <c r="V136" s="70"/>
      <c r="W136" s="70"/>
      <c r="X136" s="70"/>
      <c r="Y136" s="69"/>
      <c r="Z136" s="69"/>
      <c r="AA136" s="69"/>
      <c r="AB136" s="69"/>
      <c r="AC136" s="70"/>
      <c r="AD136" s="70"/>
      <c r="AE136" s="71"/>
      <c r="AF136" s="71"/>
      <c r="AG136" s="69">
        <f t="shared" si="23"/>
        <v>-435</v>
      </c>
      <c r="AH136" s="29">
        <f t="shared" si="24"/>
        <v>0</v>
      </c>
    </row>
    <row r="137" spans="1:34" s="72" customFormat="1" ht="21" customHeight="1" x14ac:dyDescent="0.2">
      <c r="A137" s="65">
        <v>43362</v>
      </c>
      <c r="B137" s="66"/>
      <c r="C137" s="20" t="s">
        <v>63</v>
      </c>
      <c r="D137" s="20" t="s">
        <v>64</v>
      </c>
      <c r="E137" s="20" t="s">
        <v>65</v>
      </c>
      <c r="F137" s="21">
        <v>118974</v>
      </c>
      <c r="G137" s="22" t="s">
        <v>907</v>
      </c>
      <c r="H137" s="67"/>
      <c r="I137" s="67"/>
      <c r="J137" s="67"/>
      <c r="K137" s="67">
        <f>220.13+26.42</f>
        <v>246.55</v>
      </c>
      <c r="L137" s="68"/>
      <c r="M137" s="69">
        <f t="shared" si="20"/>
        <v>220.13392857142856</v>
      </c>
      <c r="N137" s="69">
        <f t="shared" si="21"/>
        <v>26.416071428571424</v>
      </c>
      <c r="O137" s="69">
        <f t="shared" si="22"/>
        <v>0</v>
      </c>
      <c r="P137" s="69">
        <v>220.13</v>
      </c>
      <c r="Q137" s="69"/>
      <c r="R137" s="69"/>
      <c r="S137" s="69"/>
      <c r="T137" s="70"/>
      <c r="U137" s="70"/>
      <c r="V137" s="70"/>
      <c r="W137" s="70"/>
      <c r="X137" s="70"/>
      <c r="Y137" s="69"/>
      <c r="Z137" s="69"/>
      <c r="AA137" s="69"/>
      <c r="AB137" s="69"/>
      <c r="AC137" s="70"/>
      <c r="AD137" s="70"/>
      <c r="AE137" s="71"/>
      <c r="AF137" s="71"/>
      <c r="AG137" s="69">
        <f t="shared" si="23"/>
        <v>-246.54607142857142</v>
      </c>
      <c r="AH137" s="29">
        <f t="shared" si="24"/>
        <v>3.9285714285881568E-3</v>
      </c>
    </row>
    <row r="138" spans="1:34" s="72" customFormat="1" ht="21" customHeight="1" x14ac:dyDescent="0.2">
      <c r="A138" s="65">
        <v>43362</v>
      </c>
      <c r="B138" s="66"/>
      <c r="C138" s="20" t="s">
        <v>63</v>
      </c>
      <c r="D138" s="20" t="s">
        <v>64</v>
      </c>
      <c r="E138" s="20" t="s">
        <v>65</v>
      </c>
      <c r="F138" s="21">
        <v>118974</v>
      </c>
      <c r="G138" s="22" t="s">
        <v>908</v>
      </c>
      <c r="H138" s="67"/>
      <c r="I138" s="67"/>
      <c r="J138" s="67">
        <v>499</v>
      </c>
      <c r="K138" s="67"/>
      <c r="L138" s="68"/>
      <c r="M138" s="69">
        <f t="shared" si="20"/>
        <v>499</v>
      </c>
      <c r="N138" s="69">
        <f t="shared" si="21"/>
        <v>0</v>
      </c>
      <c r="O138" s="69">
        <f t="shared" si="22"/>
        <v>0</v>
      </c>
      <c r="P138" s="69">
        <v>499</v>
      </c>
      <c r="Q138" s="69"/>
      <c r="R138" s="69"/>
      <c r="S138" s="69"/>
      <c r="T138" s="70"/>
      <c r="U138" s="70"/>
      <c r="V138" s="70"/>
      <c r="W138" s="70"/>
      <c r="X138" s="70"/>
      <c r="Y138" s="69"/>
      <c r="Z138" s="69"/>
      <c r="AA138" s="69"/>
      <c r="AB138" s="69"/>
      <c r="AC138" s="70"/>
      <c r="AD138" s="70"/>
      <c r="AE138" s="71"/>
      <c r="AF138" s="71"/>
      <c r="AG138" s="69">
        <f t="shared" si="23"/>
        <v>-499</v>
      </c>
      <c r="AH138" s="29">
        <f t="shared" si="24"/>
        <v>0</v>
      </c>
    </row>
    <row r="139" spans="1:34" s="72" customFormat="1" ht="21" customHeight="1" x14ac:dyDescent="0.2">
      <c r="A139" s="65">
        <v>43362</v>
      </c>
      <c r="B139" s="66"/>
      <c r="C139" s="20" t="s">
        <v>745</v>
      </c>
      <c r="D139" s="20" t="s">
        <v>812</v>
      </c>
      <c r="E139" s="20" t="s">
        <v>277</v>
      </c>
      <c r="F139" s="21">
        <v>89575</v>
      </c>
      <c r="G139" s="22" t="s">
        <v>909</v>
      </c>
      <c r="H139" s="67"/>
      <c r="I139" s="67"/>
      <c r="J139" s="67"/>
      <c r="K139" s="67">
        <v>279.02</v>
      </c>
      <c r="L139" s="68"/>
      <c r="M139" s="69">
        <f t="shared" si="20"/>
        <v>249.12499999999997</v>
      </c>
      <c r="N139" s="69">
        <f t="shared" si="21"/>
        <v>29.894999999999996</v>
      </c>
      <c r="O139" s="69">
        <f t="shared" si="22"/>
        <v>0</v>
      </c>
      <c r="P139" s="69">
        <v>249.13</v>
      </c>
      <c r="Q139" s="69"/>
      <c r="R139" s="69"/>
      <c r="S139" s="69"/>
      <c r="T139" s="70"/>
      <c r="U139" s="70"/>
      <c r="V139" s="70"/>
      <c r="W139" s="70"/>
      <c r="X139" s="70"/>
      <c r="Y139" s="69"/>
      <c r="Z139" s="69"/>
      <c r="AA139" s="69"/>
      <c r="AB139" s="69"/>
      <c r="AC139" s="70"/>
      <c r="AD139" s="70"/>
      <c r="AE139" s="71"/>
      <c r="AF139" s="71"/>
      <c r="AG139" s="69">
        <f t="shared" si="23"/>
        <v>-279.02499999999998</v>
      </c>
      <c r="AH139" s="29">
        <f t="shared" si="24"/>
        <v>-4.9999999999954525E-3</v>
      </c>
    </row>
    <row r="140" spans="1:34" s="72" customFormat="1" ht="21" customHeight="1" x14ac:dyDescent="0.2">
      <c r="A140" s="65">
        <v>43362</v>
      </c>
      <c r="B140" s="66"/>
      <c r="C140" s="20" t="s">
        <v>745</v>
      </c>
      <c r="D140" s="20" t="s">
        <v>812</v>
      </c>
      <c r="E140" s="20" t="s">
        <v>277</v>
      </c>
      <c r="F140" s="21">
        <v>31505</v>
      </c>
      <c r="G140" s="22" t="s">
        <v>910</v>
      </c>
      <c r="H140" s="67"/>
      <c r="I140" s="67"/>
      <c r="J140" s="67"/>
      <c r="K140" s="67">
        <v>181.87</v>
      </c>
      <c r="L140" s="68"/>
      <c r="M140" s="69">
        <f t="shared" si="20"/>
        <v>162.38392857142856</v>
      </c>
      <c r="N140" s="69">
        <f t="shared" si="21"/>
        <v>19.486071428571424</v>
      </c>
      <c r="O140" s="69">
        <f t="shared" si="22"/>
        <v>0</v>
      </c>
      <c r="P140" s="69">
        <v>162.38</v>
      </c>
      <c r="Q140" s="69"/>
      <c r="R140" s="69"/>
      <c r="S140" s="69"/>
      <c r="T140" s="70"/>
      <c r="U140" s="70"/>
      <c r="V140" s="70"/>
      <c r="W140" s="70"/>
      <c r="X140" s="70"/>
      <c r="Y140" s="69"/>
      <c r="Z140" s="69"/>
      <c r="AA140" s="69"/>
      <c r="AB140" s="69"/>
      <c r="AC140" s="70"/>
      <c r="AD140" s="70"/>
      <c r="AE140" s="71"/>
      <c r="AF140" s="71"/>
      <c r="AG140" s="69">
        <f t="shared" si="23"/>
        <v>-181.86607142857142</v>
      </c>
      <c r="AH140" s="29">
        <f t="shared" si="24"/>
        <v>3.9285714285881568E-3</v>
      </c>
    </row>
    <row r="141" spans="1:34" s="72" customFormat="1" ht="21" customHeight="1" x14ac:dyDescent="0.2">
      <c r="A141" s="65">
        <v>43363</v>
      </c>
      <c r="B141" s="66"/>
      <c r="C141" s="20" t="s">
        <v>745</v>
      </c>
      <c r="D141" s="20" t="s">
        <v>812</v>
      </c>
      <c r="E141" s="20" t="s">
        <v>277</v>
      </c>
      <c r="F141" s="21">
        <v>31531</v>
      </c>
      <c r="G141" s="22" t="s">
        <v>649</v>
      </c>
      <c r="H141" s="67"/>
      <c r="I141" s="67"/>
      <c r="J141" s="67"/>
      <c r="K141" s="67">
        <v>157.5</v>
      </c>
      <c r="L141" s="68"/>
      <c r="M141" s="69">
        <f t="shared" si="20"/>
        <v>140.625</v>
      </c>
      <c r="N141" s="69">
        <f t="shared" si="21"/>
        <v>16.875</v>
      </c>
      <c r="O141" s="69">
        <f t="shared" si="22"/>
        <v>0</v>
      </c>
      <c r="P141" s="69">
        <v>140.63</v>
      </c>
      <c r="Q141" s="69"/>
      <c r="R141" s="69"/>
      <c r="S141" s="69"/>
      <c r="T141" s="70"/>
      <c r="U141" s="70"/>
      <c r="V141" s="70"/>
      <c r="W141" s="70"/>
      <c r="X141" s="70"/>
      <c r="Y141" s="69"/>
      <c r="Z141" s="69"/>
      <c r="AA141" s="69"/>
      <c r="AB141" s="69"/>
      <c r="AC141" s="70"/>
      <c r="AD141" s="70"/>
      <c r="AE141" s="71"/>
      <c r="AF141" s="71"/>
      <c r="AG141" s="69">
        <f t="shared" si="23"/>
        <v>-157.505</v>
      </c>
      <c r="AH141" s="29">
        <f t="shared" si="24"/>
        <v>-4.9999999999954525E-3</v>
      </c>
    </row>
    <row r="142" spans="1:34" s="72" customFormat="1" ht="21" customHeight="1" x14ac:dyDescent="0.2">
      <c r="A142" s="65">
        <v>43363</v>
      </c>
      <c r="B142" s="66"/>
      <c r="C142" s="20" t="s">
        <v>63</v>
      </c>
      <c r="D142" s="20" t="s">
        <v>64</v>
      </c>
      <c r="E142" s="20" t="s">
        <v>65</v>
      </c>
      <c r="F142" s="21">
        <v>135972</v>
      </c>
      <c r="G142" s="21" t="s">
        <v>911</v>
      </c>
      <c r="H142" s="67"/>
      <c r="I142" s="67"/>
      <c r="J142" s="67">
        <v>336.95</v>
      </c>
      <c r="K142" s="67"/>
      <c r="L142" s="68"/>
      <c r="M142" s="69">
        <f t="shared" si="20"/>
        <v>336.95</v>
      </c>
      <c r="N142" s="69">
        <f t="shared" si="21"/>
        <v>0</v>
      </c>
      <c r="O142" s="69">
        <f t="shared" si="22"/>
        <v>0</v>
      </c>
      <c r="P142" s="69">
        <v>336.95</v>
      </c>
      <c r="Q142" s="69"/>
      <c r="R142" s="69"/>
      <c r="S142" s="69"/>
      <c r="T142" s="70"/>
      <c r="U142" s="70"/>
      <c r="V142" s="70"/>
      <c r="W142" s="70"/>
      <c r="X142" s="70"/>
      <c r="Y142" s="69"/>
      <c r="Z142" s="69"/>
      <c r="AA142" s="69"/>
      <c r="AB142" s="69"/>
      <c r="AC142" s="70"/>
      <c r="AD142" s="70"/>
      <c r="AE142" s="71"/>
      <c r="AF142" s="71"/>
      <c r="AG142" s="69">
        <f t="shared" si="23"/>
        <v>-336.95</v>
      </c>
      <c r="AH142" s="29">
        <f t="shared" si="24"/>
        <v>0</v>
      </c>
    </row>
    <row r="143" spans="1:34" s="72" customFormat="1" ht="24" customHeight="1" x14ac:dyDescent="0.2">
      <c r="A143" s="65">
        <v>43363</v>
      </c>
      <c r="B143" s="66"/>
      <c r="C143" s="20" t="s">
        <v>63</v>
      </c>
      <c r="D143" s="20" t="s">
        <v>64</v>
      </c>
      <c r="E143" s="20" t="s">
        <v>65</v>
      </c>
      <c r="F143" s="21">
        <v>135972</v>
      </c>
      <c r="G143" s="22" t="s">
        <v>912</v>
      </c>
      <c r="H143" s="67"/>
      <c r="I143" s="67"/>
      <c r="J143" s="67"/>
      <c r="K143" s="67">
        <f>96.34+11.56</f>
        <v>107.9</v>
      </c>
      <c r="L143" s="68"/>
      <c r="M143" s="69">
        <f t="shared" si="20"/>
        <v>96.339285714285708</v>
      </c>
      <c r="N143" s="69">
        <f t="shared" si="21"/>
        <v>11.560714285714285</v>
      </c>
      <c r="O143" s="69">
        <f t="shared" si="22"/>
        <v>0</v>
      </c>
      <c r="P143" s="69">
        <v>96.34</v>
      </c>
      <c r="Q143" s="69"/>
      <c r="R143" s="69"/>
      <c r="S143" s="69"/>
      <c r="T143" s="70"/>
      <c r="U143" s="70"/>
      <c r="V143" s="70"/>
      <c r="W143" s="70"/>
      <c r="X143" s="70"/>
      <c r="Y143" s="69"/>
      <c r="Z143" s="69"/>
      <c r="AA143" s="69"/>
      <c r="AB143" s="69"/>
      <c r="AC143" s="70"/>
      <c r="AD143" s="70"/>
      <c r="AE143" s="71"/>
      <c r="AF143" s="71"/>
      <c r="AG143" s="69">
        <f t="shared" si="23"/>
        <v>-107.90071428571429</v>
      </c>
      <c r="AH143" s="29">
        <f t="shared" si="24"/>
        <v>-7.142857142810044E-4</v>
      </c>
    </row>
    <row r="144" spans="1:34" s="72" customFormat="1" ht="24" customHeight="1" x14ac:dyDescent="0.2">
      <c r="A144" s="65">
        <v>43363</v>
      </c>
      <c r="B144" s="66"/>
      <c r="C144" s="20" t="s">
        <v>745</v>
      </c>
      <c r="D144" s="20" t="s">
        <v>812</v>
      </c>
      <c r="E144" s="20" t="s">
        <v>277</v>
      </c>
      <c r="F144" s="21">
        <v>89587</v>
      </c>
      <c r="G144" s="22" t="s">
        <v>455</v>
      </c>
      <c r="H144" s="67"/>
      <c r="I144" s="67"/>
      <c r="J144" s="67"/>
      <c r="K144" s="67">
        <v>1022.57</v>
      </c>
      <c r="L144" s="68"/>
      <c r="M144" s="69">
        <f t="shared" si="20"/>
        <v>913.00892857142856</v>
      </c>
      <c r="N144" s="69">
        <f t="shared" si="21"/>
        <v>109.56107142857142</v>
      </c>
      <c r="O144" s="69">
        <f t="shared" si="22"/>
        <v>0</v>
      </c>
      <c r="P144" s="69">
        <v>913.01</v>
      </c>
      <c r="Q144" s="69"/>
      <c r="R144" s="69"/>
      <c r="S144" s="69"/>
      <c r="T144" s="70"/>
      <c r="U144" s="70"/>
      <c r="V144" s="70"/>
      <c r="W144" s="70"/>
      <c r="X144" s="70"/>
      <c r="Y144" s="69"/>
      <c r="Z144" s="69"/>
      <c r="AA144" s="69"/>
      <c r="AB144" s="69"/>
      <c r="AC144" s="70"/>
      <c r="AD144" s="70"/>
      <c r="AE144" s="71"/>
      <c r="AF144" s="71"/>
      <c r="AG144" s="69">
        <f t="shared" si="23"/>
        <v>-1022.5710714285714</v>
      </c>
      <c r="AH144" s="29">
        <f t="shared" si="24"/>
        <v>-1.0714285713220306E-3</v>
      </c>
    </row>
    <row r="145" spans="1:34" s="72" customFormat="1" ht="21" customHeight="1" x14ac:dyDescent="0.2">
      <c r="A145" s="65">
        <v>43362</v>
      </c>
      <c r="B145" s="66"/>
      <c r="C145" s="20" t="s">
        <v>705</v>
      </c>
      <c r="D145" s="20" t="s">
        <v>706</v>
      </c>
      <c r="E145" s="20" t="s">
        <v>707</v>
      </c>
      <c r="F145" s="21">
        <v>192290</v>
      </c>
      <c r="G145" s="22" t="s">
        <v>40</v>
      </c>
      <c r="H145" s="67"/>
      <c r="I145" s="67"/>
      <c r="J145" s="67"/>
      <c r="K145" s="67">
        <v>170</v>
      </c>
      <c r="L145" s="68"/>
      <c r="M145" s="69">
        <f t="shared" si="20"/>
        <v>151.78571428571428</v>
      </c>
      <c r="N145" s="69">
        <f t="shared" si="21"/>
        <v>18.214285714285712</v>
      </c>
      <c r="O145" s="69">
        <f t="shared" si="22"/>
        <v>0</v>
      </c>
      <c r="P145" s="69"/>
      <c r="Q145" s="69">
        <v>151.79</v>
      </c>
      <c r="R145" s="69"/>
      <c r="S145" s="69"/>
      <c r="T145" s="70"/>
      <c r="U145" s="70"/>
      <c r="V145" s="70"/>
      <c r="W145" s="70"/>
      <c r="X145" s="70"/>
      <c r="Y145" s="69"/>
      <c r="Z145" s="69"/>
      <c r="AA145" s="69"/>
      <c r="AB145" s="69"/>
      <c r="AC145" s="70"/>
      <c r="AD145" s="70"/>
      <c r="AE145" s="71"/>
      <c r="AF145" s="71"/>
      <c r="AG145" s="69">
        <f t="shared" si="23"/>
        <v>-170.00428571428571</v>
      </c>
      <c r="AH145" s="29">
        <f t="shared" si="24"/>
        <v>-4.2857142857144481E-3</v>
      </c>
    </row>
    <row r="146" spans="1:34" s="72" customFormat="1" ht="24" customHeight="1" x14ac:dyDescent="0.2">
      <c r="A146" s="65">
        <v>43363</v>
      </c>
      <c r="B146" s="66"/>
      <c r="C146" s="140" t="s">
        <v>913</v>
      </c>
      <c r="D146" s="20" t="s">
        <v>273</v>
      </c>
      <c r="E146" s="20" t="s">
        <v>125</v>
      </c>
      <c r="F146" s="21">
        <v>158120</v>
      </c>
      <c r="G146" s="22" t="s">
        <v>914</v>
      </c>
      <c r="H146" s="67"/>
      <c r="I146" s="67"/>
      <c r="J146" s="67"/>
      <c r="K146" s="67">
        <v>120</v>
      </c>
      <c r="L146" s="68"/>
      <c r="M146" s="69">
        <f t="shared" si="20"/>
        <v>107.14285714285714</v>
      </c>
      <c r="N146" s="69">
        <f t="shared" si="21"/>
        <v>12.857142857142856</v>
      </c>
      <c r="O146" s="69">
        <f t="shared" si="22"/>
        <v>0</v>
      </c>
      <c r="P146" s="69"/>
      <c r="Q146" s="69"/>
      <c r="R146" s="69"/>
      <c r="S146" s="69">
        <v>107.14</v>
      </c>
      <c r="T146" s="70"/>
      <c r="U146" s="70"/>
      <c r="V146" s="70"/>
      <c r="W146" s="70"/>
      <c r="X146" s="70"/>
      <c r="Y146" s="69"/>
      <c r="Z146" s="69"/>
      <c r="AA146" s="69"/>
      <c r="AB146" s="69"/>
      <c r="AC146" s="70"/>
      <c r="AD146" s="70"/>
      <c r="AE146" s="71"/>
      <c r="AF146" s="71"/>
      <c r="AG146" s="69">
        <f t="shared" si="23"/>
        <v>-119.99714285714286</v>
      </c>
      <c r="AH146" s="29">
        <f t="shared" si="24"/>
        <v>2.8571428571382285E-3</v>
      </c>
    </row>
    <row r="147" spans="1:34" s="72" customFormat="1" ht="24" customHeight="1" x14ac:dyDescent="0.2">
      <c r="A147" s="65">
        <v>43363</v>
      </c>
      <c r="B147" s="66"/>
      <c r="C147" s="20" t="s">
        <v>68</v>
      </c>
      <c r="D147" s="20"/>
      <c r="E147" s="20"/>
      <c r="F147" s="21"/>
      <c r="G147" s="22" t="s">
        <v>170</v>
      </c>
      <c r="H147" s="67">
        <v>30</v>
      </c>
      <c r="I147" s="67"/>
      <c r="J147" s="67"/>
      <c r="K147" s="67"/>
      <c r="L147" s="68"/>
      <c r="M147" s="69">
        <f t="shared" si="20"/>
        <v>30</v>
      </c>
      <c r="N147" s="69">
        <f t="shared" si="21"/>
        <v>0</v>
      </c>
      <c r="O147" s="69">
        <f t="shared" si="22"/>
        <v>0</v>
      </c>
      <c r="P147" s="69"/>
      <c r="Q147" s="69"/>
      <c r="R147" s="69"/>
      <c r="S147" s="69"/>
      <c r="T147" s="70"/>
      <c r="U147" s="70"/>
      <c r="V147" s="70"/>
      <c r="W147" s="70"/>
      <c r="X147" s="70"/>
      <c r="Y147" s="69"/>
      <c r="Z147" s="69"/>
      <c r="AA147" s="69">
        <v>30</v>
      </c>
      <c r="AB147" s="69"/>
      <c r="AC147" s="70"/>
      <c r="AD147" s="70"/>
      <c r="AE147" s="71"/>
      <c r="AF147" s="71"/>
      <c r="AG147" s="69">
        <f t="shared" si="23"/>
        <v>-30</v>
      </c>
      <c r="AH147" s="29">
        <f t="shared" si="24"/>
        <v>0</v>
      </c>
    </row>
    <row r="148" spans="1:34" s="72" customFormat="1" ht="24" customHeight="1" x14ac:dyDescent="0.2">
      <c r="A148" s="65">
        <v>43363</v>
      </c>
      <c r="B148" s="66"/>
      <c r="C148" s="20" t="s">
        <v>518</v>
      </c>
      <c r="D148" s="20" t="s">
        <v>519</v>
      </c>
      <c r="E148" s="20" t="s">
        <v>175</v>
      </c>
      <c r="F148" s="21">
        <v>1660</v>
      </c>
      <c r="G148" s="22" t="s">
        <v>829</v>
      </c>
      <c r="H148" s="67"/>
      <c r="I148" s="67"/>
      <c r="J148" s="67"/>
      <c r="K148" s="67">
        <v>144.69</v>
      </c>
      <c r="L148" s="68"/>
      <c r="M148" s="69">
        <f t="shared" si="20"/>
        <v>129.18749999999997</v>
      </c>
      <c r="N148" s="69">
        <f t="shared" si="21"/>
        <v>15.502499999999996</v>
      </c>
      <c r="O148" s="69">
        <f t="shared" si="22"/>
        <v>0</v>
      </c>
      <c r="P148" s="69">
        <v>129.19</v>
      </c>
      <c r="Q148" s="69"/>
      <c r="R148" s="69"/>
      <c r="S148" s="69"/>
      <c r="T148" s="70"/>
      <c r="U148" s="70"/>
      <c r="V148" s="70"/>
      <c r="W148" s="70"/>
      <c r="X148" s="70"/>
      <c r="Y148" s="69"/>
      <c r="Z148" s="69"/>
      <c r="AA148" s="69"/>
      <c r="AB148" s="69"/>
      <c r="AC148" s="70"/>
      <c r="AD148" s="70"/>
      <c r="AE148" s="71"/>
      <c r="AF148" s="71"/>
      <c r="AG148" s="69">
        <f t="shared" si="23"/>
        <v>-144.6925</v>
      </c>
      <c r="AH148" s="29">
        <f t="shared" si="24"/>
        <v>-2.4999999999977263E-3</v>
      </c>
    </row>
    <row r="149" spans="1:34" s="72" customFormat="1" ht="21" customHeight="1" x14ac:dyDescent="0.2">
      <c r="A149" s="65">
        <v>43364</v>
      </c>
      <c r="B149" s="66"/>
      <c r="C149" s="20" t="s">
        <v>63</v>
      </c>
      <c r="D149" s="20" t="s">
        <v>64</v>
      </c>
      <c r="E149" s="20" t="s">
        <v>65</v>
      </c>
      <c r="F149" s="21">
        <v>113095</v>
      </c>
      <c r="G149" s="22" t="s">
        <v>915</v>
      </c>
      <c r="H149" s="67"/>
      <c r="I149" s="67"/>
      <c r="J149" s="67"/>
      <c r="K149" s="67">
        <f>398.62+47.83</f>
        <v>446.45</v>
      </c>
      <c r="L149" s="68"/>
      <c r="M149" s="69">
        <f t="shared" si="20"/>
        <v>398.61607142857139</v>
      </c>
      <c r="N149" s="69">
        <f t="shared" si="21"/>
        <v>47.833928571428565</v>
      </c>
      <c r="O149" s="69">
        <f t="shared" si="22"/>
        <v>0</v>
      </c>
      <c r="P149" s="69">
        <v>398.62</v>
      </c>
      <c r="Q149" s="69"/>
      <c r="R149" s="69"/>
      <c r="S149" s="69"/>
      <c r="T149" s="70"/>
      <c r="U149" s="70"/>
      <c r="V149" s="70"/>
      <c r="W149" s="70"/>
      <c r="X149" s="70"/>
      <c r="Y149" s="69"/>
      <c r="Z149" s="69"/>
      <c r="AA149" s="69"/>
      <c r="AB149" s="69"/>
      <c r="AC149" s="70"/>
      <c r="AD149" s="70"/>
      <c r="AE149" s="71"/>
      <c r="AF149" s="71"/>
      <c r="AG149" s="69">
        <f t="shared" si="23"/>
        <v>-446.45392857142855</v>
      </c>
      <c r="AH149" s="29">
        <f t="shared" si="24"/>
        <v>-3.9285714285597351E-3</v>
      </c>
    </row>
    <row r="150" spans="1:34" s="72" customFormat="1" ht="24" customHeight="1" x14ac:dyDescent="0.2">
      <c r="A150" s="65">
        <v>43364</v>
      </c>
      <c r="B150" s="66"/>
      <c r="C150" s="20" t="s">
        <v>63</v>
      </c>
      <c r="D150" s="20" t="s">
        <v>64</v>
      </c>
      <c r="E150" s="20" t="s">
        <v>65</v>
      </c>
      <c r="F150" s="21">
        <v>113095</v>
      </c>
      <c r="G150" s="22" t="s">
        <v>916</v>
      </c>
      <c r="H150" s="67"/>
      <c r="I150" s="67"/>
      <c r="J150" s="67">
        <v>351.9</v>
      </c>
      <c r="K150" s="67"/>
      <c r="L150" s="68"/>
      <c r="M150" s="69">
        <f t="shared" si="20"/>
        <v>351.9</v>
      </c>
      <c r="N150" s="69">
        <f t="shared" si="21"/>
        <v>0</v>
      </c>
      <c r="O150" s="69">
        <f t="shared" si="22"/>
        <v>0</v>
      </c>
      <c r="P150" s="69">
        <v>351.9</v>
      </c>
      <c r="Q150" s="69"/>
      <c r="R150" s="69"/>
      <c r="S150" s="69"/>
      <c r="T150" s="70"/>
      <c r="U150" s="70"/>
      <c r="V150" s="70"/>
      <c r="W150" s="70"/>
      <c r="X150" s="70"/>
      <c r="Y150" s="69"/>
      <c r="Z150" s="69"/>
      <c r="AA150" s="69"/>
      <c r="AB150" s="69"/>
      <c r="AC150" s="70"/>
      <c r="AD150" s="70"/>
      <c r="AE150" s="71"/>
      <c r="AF150" s="71"/>
      <c r="AG150" s="69">
        <f t="shared" si="23"/>
        <v>-351.9</v>
      </c>
      <c r="AH150" s="29">
        <f t="shared" si="24"/>
        <v>0</v>
      </c>
    </row>
    <row r="151" spans="1:34" s="72" customFormat="1" ht="21" customHeight="1" x14ac:dyDescent="0.2">
      <c r="A151" s="65">
        <v>43364</v>
      </c>
      <c r="B151" s="66"/>
      <c r="C151" s="20" t="s">
        <v>705</v>
      </c>
      <c r="D151" s="20" t="s">
        <v>706</v>
      </c>
      <c r="E151" s="20" t="s">
        <v>707</v>
      </c>
      <c r="F151" s="21">
        <v>102133</v>
      </c>
      <c r="G151" s="22" t="s">
        <v>40</v>
      </c>
      <c r="H151" s="67"/>
      <c r="I151" s="67"/>
      <c r="J151" s="67"/>
      <c r="K151" s="67">
        <v>170</v>
      </c>
      <c r="L151" s="68"/>
      <c r="M151" s="69">
        <f t="shared" si="20"/>
        <v>151.78571428571428</v>
      </c>
      <c r="N151" s="69">
        <f t="shared" si="21"/>
        <v>18.214285714285712</v>
      </c>
      <c r="O151" s="69">
        <f t="shared" si="22"/>
        <v>0</v>
      </c>
      <c r="P151" s="69"/>
      <c r="Q151" s="69">
        <v>151.79</v>
      </c>
      <c r="R151" s="69"/>
      <c r="S151" s="69"/>
      <c r="T151" s="70"/>
      <c r="U151" s="70"/>
      <c r="V151" s="70"/>
      <c r="W151" s="70"/>
      <c r="X151" s="70"/>
      <c r="Y151" s="69"/>
      <c r="Z151" s="69"/>
      <c r="AA151" s="69"/>
      <c r="AB151" s="69"/>
      <c r="AC151" s="70"/>
      <c r="AD151" s="70"/>
      <c r="AE151" s="71"/>
      <c r="AF151" s="71"/>
      <c r="AG151" s="69">
        <f t="shared" si="23"/>
        <v>-170.00428571428571</v>
      </c>
      <c r="AH151" s="29">
        <f t="shared" si="24"/>
        <v>-4.2857142857144481E-3</v>
      </c>
    </row>
    <row r="152" spans="1:34" s="72" customFormat="1" ht="24" customHeight="1" x14ac:dyDescent="0.2">
      <c r="A152" s="65">
        <v>43364</v>
      </c>
      <c r="B152" s="66"/>
      <c r="C152" s="20" t="s">
        <v>745</v>
      </c>
      <c r="D152" s="20" t="s">
        <v>812</v>
      </c>
      <c r="E152" s="20" t="s">
        <v>277</v>
      </c>
      <c r="F152" s="21">
        <v>31908</v>
      </c>
      <c r="G152" s="22" t="s">
        <v>917</v>
      </c>
      <c r="H152" s="67"/>
      <c r="I152" s="67"/>
      <c r="J152" s="67"/>
      <c r="K152" s="67">
        <v>60</v>
      </c>
      <c r="L152" s="68"/>
      <c r="M152" s="69">
        <f t="shared" si="20"/>
        <v>53.571428571428569</v>
      </c>
      <c r="N152" s="69">
        <f t="shared" si="21"/>
        <v>6.4285714285714279</v>
      </c>
      <c r="O152" s="69">
        <f t="shared" si="22"/>
        <v>0</v>
      </c>
      <c r="P152" s="69"/>
      <c r="Q152" s="69"/>
      <c r="R152" s="69"/>
      <c r="S152" s="69"/>
      <c r="T152" s="70"/>
      <c r="U152" s="70"/>
      <c r="V152" s="70"/>
      <c r="W152" s="70"/>
      <c r="X152" s="70"/>
      <c r="Y152" s="69"/>
      <c r="Z152" s="69"/>
      <c r="AA152" s="69"/>
      <c r="AB152" s="69">
        <v>53.57</v>
      </c>
      <c r="AC152" s="70"/>
      <c r="AD152" s="70"/>
      <c r="AE152" s="71"/>
      <c r="AF152" s="71"/>
      <c r="AG152" s="69">
        <f t="shared" si="23"/>
        <v>-59.998571428571431</v>
      </c>
      <c r="AH152" s="29">
        <f t="shared" si="24"/>
        <v>1.4285714285691142E-3</v>
      </c>
    </row>
    <row r="153" spans="1:34" s="72" customFormat="1" ht="24" customHeight="1" x14ac:dyDescent="0.2">
      <c r="A153" s="65">
        <v>43364</v>
      </c>
      <c r="B153" s="66"/>
      <c r="C153" s="20" t="s">
        <v>613</v>
      </c>
      <c r="D153" s="20"/>
      <c r="E153" s="20"/>
      <c r="F153" s="21"/>
      <c r="G153" s="22" t="s">
        <v>546</v>
      </c>
      <c r="H153" s="67"/>
      <c r="I153" s="67"/>
      <c r="J153" s="67">
        <v>266</v>
      </c>
      <c r="K153" s="67"/>
      <c r="L153" s="68"/>
      <c r="M153" s="69">
        <f t="shared" si="20"/>
        <v>266</v>
      </c>
      <c r="N153" s="69">
        <f t="shared" si="21"/>
        <v>0</v>
      </c>
      <c r="O153" s="69">
        <f t="shared" si="22"/>
        <v>0</v>
      </c>
      <c r="P153" s="69">
        <v>266</v>
      </c>
      <c r="Q153" s="69"/>
      <c r="R153" s="69"/>
      <c r="S153" s="69"/>
      <c r="T153" s="70"/>
      <c r="U153" s="70"/>
      <c r="V153" s="70"/>
      <c r="W153" s="70"/>
      <c r="X153" s="70"/>
      <c r="Y153" s="69"/>
      <c r="Z153" s="69"/>
      <c r="AA153" s="69"/>
      <c r="AB153" s="69"/>
      <c r="AC153" s="70"/>
      <c r="AD153" s="70"/>
      <c r="AE153" s="71"/>
      <c r="AF153" s="71"/>
      <c r="AG153" s="69">
        <f t="shared" si="23"/>
        <v>-266</v>
      </c>
      <c r="AH153" s="29">
        <f t="shared" si="24"/>
        <v>0</v>
      </c>
    </row>
    <row r="154" spans="1:34" s="72" customFormat="1" ht="24" customHeight="1" x14ac:dyDescent="0.2">
      <c r="A154" s="65">
        <v>43371</v>
      </c>
      <c r="B154" s="66"/>
      <c r="C154" s="20" t="s">
        <v>349</v>
      </c>
      <c r="D154" s="20" t="s">
        <v>589</v>
      </c>
      <c r="E154" s="20" t="s">
        <v>56</v>
      </c>
      <c r="F154" s="21">
        <v>209</v>
      </c>
      <c r="G154" s="22" t="s">
        <v>590</v>
      </c>
      <c r="H154" s="67"/>
      <c r="I154" s="67"/>
      <c r="J154" s="67"/>
      <c r="K154" s="67">
        <v>1400</v>
      </c>
      <c r="L154" s="68"/>
      <c r="M154" s="69">
        <f t="shared" si="20"/>
        <v>1249.9999999999998</v>
      </c>
      <c r="N154" s="69">
        <f t="shared" si="21"/>
        <v>149.99999999999997</v>
      </c>
      <c r="O154" s="69">
        <f t="shared" si="22"/>
        <v>0</v>
      </c>
      <c r="P154" s="69"/>
      <c r="Q154" s="69"/>
      <c r="R154" s="69"/>
      <c r="S154" s="69"/>
      <c r="T154" s="70"/>
      <c r="U154" s="70"/>
      <c r="V154" s="70"/>
      <c r="W154" s="70"/>
      <c r="X154" s="70"/>
      <c r="Y154" s="69"/>
      <c r="Z154" s="69">
        <v>1250</v>
      </c>
      <c r="AA154" s="69"/>
      <c r="AB154" s="69"/>
      <c r="AC154" s="70"/>
      <c r="AD154" s="70"/>
      <c r="AE154" s="71"/>
      <c r="AF154" s="71"/>
      <c r="AG154" s="69">
        <f t="shared" si="23"/>
        <v>-1400</v>
      </c>
      <c r="AH154" s="29">
        <f t="shared" si="24"/>
        <v>0</v>
      </c>
    </row>
    <row r="155" spans="1:34" s="72" customFormat="1" ht="24" customHeight="1" x14ac:dyDescent="0.2">
      <c r="A155" s="65">
        <v>43371</v>
      </c>
      <c r="B155" s="66"/>
      <c r="C155" s="20" t="s">
        <v>96</v>
      </c>
      <c r="D155" s="20"/>
      <c r="E155" s="20"/>
      <c r="F155" s="21"/>
      <c r="G155" s="22" t="s">
        <v>810</v>
      </c>
      <c r="H155" s="67">
        <v>25</v>
      </c>
      <c r="I155" s="67"/>
      <c r="J155" s="67"/>
      <c r="K155" s="67"/>
      <c r="L155" s="68"/>
      <c r="M155" s="69">
        <f t="shared" si="20"/>
        <v>25</v>
      </c>
      <c r="N155" s="69">
        <f t="shared" si="21"/>
        <v>0</v>
      </c>
      <c r="O155" s="69">
        <f t="shared" si="22"/>
        <v>0</v>
      </c>
      <c r="P155" s="69"/>
      <c r="Q155" s="69"/>
      <c r="R155" s="69"/>
      <c r="S155" s="69"/>
      <c r="T155" s="70"/>
      <c r="U155" s="70"/>
      <c r="V155" s="70"/>
      <c r="W155" s="70"/>
      <c r="X155" s="70"/>
      <c r="Y155" s="69"/>
      <c r="Z155" s="69"/>
      <c r="AA155" s="69">
        <v>25</v>
      </c>
      <c r="AB155" s="69"/>
      <c r="AC155" s="70"/>
      <c r="AD155" s="70"/>
      <c r="AE155" s="71"/>
      <c r="AF155" s="71"/>
      <c r="AG155" s="69">
        <f t="shared" si="23"/>
        <v>-25</v>
      </c>
      <c r="AH155" s="29">
        <f t="shared" si="24"/>
        <v>0</v>
      </c>
    </row>
    <row r="156" spans="1:34" s="72" customFormat="1" ht="24" customHeight="1" x14ac:dyDescent="0.2">
      <c r="A156" s="65">
        <v>43371</v>
      </c>
      <c r="B156" s="66"/>
      <c r="C156" s="20" t="s">
        <v>59</v>
      </c>
      <c r="D156" s="20" t="s">
        <v>60</v>
      </c>
      <c r="E156" s="20" t="s">
        <v>61</v>
      </c>
      <c r="F156" s="21">
        <v>70110</v>
      </c>
      <c r="G156" s="22" t="s">
        <v>918</v>
      </c>
      <c r="H156" s="67"/>
      <c r="I156" s="67"/>
      <c r="J156" s="67"/>
      <c r="K156" s="67">
        <v>293</v>
      </c>
      <c r="L156" s="68"/>
      <c r="M156" s="69">
        <f t="shared" si="20"/>
        <v>261.60714285714283</v>
      </c>
      <c r="N156" s="69">
        <f t="shared" si="21"/>
        <v>31.392857142857139</v>
      </c>
      <c r="O156" s="69">
        <f t="shared" si="22"/>
        <v>0</v>
      </c>
      <c r="P156" s="69"/>
      <c r="Q156" s="69"/>
      <c r="R156" s="69"/>
      <c r="S156" s="69"/>
      <c r="T156" s="70">
        <v>261.61</v>
      </c>
      <c r="U156" s="70"/>
      <c r="V156" s="70"/>
      <c r="W156" s="70"/>
      <c r="X156" s="70"/>
      <c r="Y156" s="69"/>
      <c r="Z156" s="69"/>
      <c r="AA156" s="69"/>
      <c r="AB156" s="69"/>
      <c r="AC156" s="70"/>
      <c r="AD156" s="70"/>
      <c r="AE156" s="71"/>
      <c r="AF156" s="71"/>
      <c r="AG156" s="69">
        <f t="shared" si="23"/>
        <v>-293.00285714285712</v>
      </c>
      <c r="AH156" s="29">
        <f t="shared" si="24"/>
        <v>-2.8571428571240176E-3</v>
      </c>
    </row>
    <row r="157" spans="1:34" s="72" customFormat="1" ht="21" customHeight="1" x14ac:dyDescent="0.2">
      <c r="A157" s="65">
        <v>43371</v>
      </c>
      <c r="B157" s="66"/>
      <c r="C157" s="20" t="s">
        <v>705</v>
      </c>
      <c r="D157" s="20" t="s">
        <v>706</v>
      </c>
      <c r="E157" s="20" t="s">
        <v>707</v>
      </c>
      <c r="F157" s="21">
        <v>112522</v>
      </c>
      <c r="G157" s="22" t="s">
        <v>40</v>
      </c>
      <c r="H157" s="67"/>
      <c r="I157" s="67"/>
      <c r="J157" s="67"/>
      <c r="K157" s="67">
        <v>170</v>
      </c>
      <c r="L157" s="68"/>
      <c r="M157" s="69">
        <f t="shared" si="20"/>
        <v>151.78571428571428</v>
      </c>
      <c r="N157" s="69">
        <f t="shared" si="21"/>
        <v>18.214285714285712</v>
      </c>
      <c r="O157" s="69">
        <f t="shared" si="22"/>
        <v>0</v>
      </c>
      <c r="P157" s="69"/>
      <c r="Q157" s="69">
        <v>151.79</v>
      </c>
      <c r="R157" s="69"/>
      <c r="S157" s="69"/>
      <c r="T157" s="70"/>
      <c r="U157" s="70"/>
      <c r="V157" s="70"/>
      <c r="W157" s="70"/>
      <c r="X157" s="70"/>
      <c r="Y157" s="69"/>
      <c r="Z157" s="69"/>
      <c r="AA157" s="69"/>
      <c r="AB157" s="69"/>
      <c r="AC157" s="70"/>
      <c r="AD157" s="70"/>
      <c r="AE157" s="71"/>
      <c r="AF157" s="71"/>
      <c r="AG157" s="69">
        <f t="shared" si="23"/>
        <v>-170.00428571428571</v>
      </c>
      <c r="AH157" s="29">
        <f t="shared" si="24"/>
        <v>-4.2857142857144481E-3</v>
      </c>
    </row>
    <row r="158" spans="1:34" s="72" customFormat="1" ht="24" customHeight="1" x14ac:dyDescent="0.2">
      <c r="A158" s="65">
        <v>43371</v>
      </c>
      <c r="B158" s="66"/>
      <c r="C158" s="20" t="s">
        <v>518</v>
      </c>
      <c r="D158" s="20" t="s">
        <v>519</v>
      </c>
      <c r="E158" s="20" t="s">
        <v>175</v>
      </c>
      <c r="F158" s="21">
        <v>1479</v>
      </c>
      <c r="G158" s="22" t="s">
        <v>919</v>
      </c>
      <c r="H158" s="67"/>
      <c r="I158" s="67"/>
      <c r="J158" s="67"/>
      <c r="K158" s="67">
        <v>1800</v>
      </c>
      <c r="L158" s="68">
        <v>0.01</v>
      </c>
      <c r="M158" s="69">
        <f t="shared" si="20"/>
        <v>1607.1428571428569</v>
      </c>
      <c r="N158" s="69">
        <f t="shared" si="21"/>
        <v>192.85714285714283</v>
      </c>
      <c r="O158" s="69">
        <f t="shared" si="22"/>
        <v>-16.071428571428569</v>
      </c>
      <c r="P158" s="69">
        <v>1607.14</v>
      </c>
      <c r="Q158" s="69"/>
      <c r="R158" s="69"/>
      <c r="S158" s="69"/>
      <c r="T158" s="70"/>
      <c r="U158" s="70"/>
      <c r="V158" s="70"/>
      <c r="W158" s="70"/>
      <c r="X158" s="70"/>
      <c r="Y158" s="69"/>
      <c r="Z158" s="69"/>
      <c r="AA158" s="69"/>
      <c r="AB158" s="69"/>
      <c r="AC158" s="70"/>
      <c r="AD158" s="70"/>
      <c r="AE158" s="71"/>
      <c r="AF158" s="71"/>
      <c r="AG158" s="69">
        <f t="shared" si="23"/>
        <v>-1783.9257142857143</v>
      </c>
      <c r="AH158" s="29">
        <f t="shared" si="24"/>
        <v>2.8571428571098068E-3</v>
      </c>
    </row>
    <row r="159" spans="1:34" s="72" customFormat="1" ht="24" customHeight="1" x14ac:dyDescent="0.2">
      <c r="A159" s="65">
        <v>43371</v>
      </c>
      <c r="B159" s="66"/>
      <c r="C159" s="20" t="s">
        <v>41</v>
      </c>
      <c r="D159" s="20" t="s">
        <v>88</v>
      </c>
      <c r="E159" s="20" t="s">
        <v>43</v>
      </c>
      <c r="F159" s="21">
        <v>2666</v>
      </c>
      <c r="G159" s="22" t="s">
        <v>336</v>
      </c>
      <c r="H159" s="67"/>
      <c r="I159" s="67"/>
      <c r="J159" s="67">
        <v>220</v>
      </c>
      <c r="K159" s="67"/>
      <c r="L159" s="68"/>
      <c r="M159" s="69">
        <f t="shared" si="20"/>
        <v>220</v>
      </c>
      <c r="N159" s="69">
        <f t="shared" si="21"/>
        <v>0</v>
      </c>
      <c r="O159" s="69">
        <f t="shared" si="22"/>
        <v>0</v>
      </c>
      <c r="P159" s="69">
        <v>220</v>
      </c>
      <c r="Q159" s="69"/>
      <c r="R159" s="69"/>
      <c r="S159" s="69"/>
      <c r="T159" s="70"/>
      <c r="U159" s="70"/>
      <c r="V159" s="70"/>
      <c r="W159" s="70"/>
      <c r="X159" s="70"/>
      <c r="Y159" s="69"/>
      <c r="Z159" s="69"/>
      <c r="AA159" s="69"/>
      <c r="AB159" s="69"/>
      <c r="AC159" s="70"/>
      <c r="AD159" s="70"/>
      <c r="AE159" s="71"/>
      <c r="AF159" s="71"/>
      <c r="AG159" s="69">
        <f t="shared" si="23"/>
        <v>-220</v>
      </c>
      <c r="AH159" s="29">
        <f t="shared" si="24"/>
        <v>0</v>
      </c>
    </row>
    <row r="160" spans="1:34" s="72" customFormat="1" ht="24" customHeight="1" x14ac:dyDescent="0.2">
      <c r="A160" s="65">
        <v>43371</v>
      </c>
      <c r="B160" s="66"/>
      <c r="C160" s="20" t="s">
        <v>705</v>
      </c>
      <c r="D160" s="20" t="s">
        <v>706</v>
      </c>
      <c r="E160" s="20" t="s">
        <v>707</v>
      </c>
      <c r="F160" s="21">
        <v>110982</v>
      </c>
      <c r="G160" s="22" t="s">
        <v>40</v>
      </c>
      <c r="H160" s="67"/>
      <c r="I160" s="67"/>
      <c r="J160" s="67"/>
      <c r="K160" s="67">
        <v>85</v>
      </c>
      <c r="L160" s="68"/>
      <c r="M160" s="69">
        <f t="shared" si="20"/>
        <v>75.892857142857139</v>
      </c>
      <c r="N160" s="69">
        <f t="shared" si="21"/>
        <v>9.1071428571428559</v>
      </c>
      <c r="O160" s="69">
        <f t="shared" si="22"/>
        <v>0</v>
      </c>
      <c r="P160" s="69"/>
      <c r="Q160" s="69">
        <v>75.89</v>
      </c>
      <c r="R160" s="69"/>
      <c r="S160" s="69"/>
      <c r="T160" s="70"/>
      <c r="U160" s="70"/>
      <c r="V160" s="70"/>
      <c r="W160" s="70"/>
      <c r="X160" s="70"/>
      <c r="Y160" s="69"/>
      <c r="Z160" s="69"/>
      <c r="AA160" s="69"/>
      <c r="AB160" s="69"/>
      <c r="AC160" s="70"/>
      <c r="AD160" s="70"/>
      <c r="AE160" s="71"/>
      <c r="AF160" s="71"/>
      <c r="AG160" s="69">
        <f t="shared" si="23"/>
        <v>-84.997142857142862</v>
      </c>
      <c r="AH160" s="29">
        <f t="shared" si="24"/>
        <v>2.8571428571382285E-3</v>
      </c>
    </row>
    <row r="161" spans="1:34" s="72" customFormat="1" ht="24" customHeight="1" x14ac:dyDescent="0.2">
      <c r="A161" s="65">
        <v>43372</v>
      </c>
      <c r="B161" s="66"/>
      <c r="C161" s="20" t="s">
        <v>535</v>
      </c>
      <c r="D161" s="20"/>
      <c r="E161" s="20"/>
      <c r="F161" s="21"/>
      <c r="G161" s="22" t="s">
        <v>920</v>
      </c>
      <c r="H161" s="67">
        <v>570</v>
      </c>
      <c r="I161" s="67"/>
      <c r="J161" s="67"/>
      <c r="K161" s="67"/>
      <c r="L161" s="68"/>
      <c r="M161" s="69">
        <f t="shared" si="20"/>
        <v>570</v>
      </c>
      <c r="N161" s="69">
        <f t="shared" si="21"/>
        <v>0</v>
      </c>
      <c r="O161" s="69">
        <f t="shared" si="22"/>
        <v>0</v>
      </c>
      <c r="P161" s="69"/>
      <c r="Q161" s="69"/>
      <c r="R161" s="69"/>
      <c r="S161" s="69"/>
      <c r="T161" s="70"/>
      <c r="U161" s="70"/>
      <c r="V161" s="70"/>
      <c r="W161" s="70"/>
      <c r="X161" s="70"/>
      <c r="Y161" s="69"/>
      <c r="Z161" s="69"/>
      <c r="AA161" s="69"/>
      <c r="AB161" s="69"/>
      <c r="AC161" s="70"/>
      <c r="AD161" s="70">
        <v>570</v>
      </c>
      <c r="AE161" s="71"/>
      <c r="AF161" s="71"/>
      <c r="AG161" s="69">
        <f t="shared" si="23"/>
        <v>-570</v>
      </c>
      <c r="AH161" s="29">
        <f t="shared" si="24"/>
        <v>0</v>
      </c>
    </row>
    <row r="162" spans="1:34" s="72" customFormat="1" ht="24" customHeight="1" x14ac:dyDescent="0.2">
      <c r="A162" s="65">
        <v>43371</v>
      </c>
      <c r="B162" s="66"/>
      <c r="C162" s="20" t="s">
        <v>745</v>
      </c>
      <c r="D162" s="20" t="s">
        <v>812</v>
      </c>
      <c r="E162" s="20" t="s">
        <v>277</v>
      </c>
      <c r="F162" s="21">
        <v>32036</v>
      </c>
      <c r="G162" s="22" t="s">
        <v>327</v>
      </c>
      <c r="H162" s="67"/>
      <c r="I162" s="67"/>
      <c r="J162" s="67"/>
      <c r="K162" s="67">
        <v>98</v>
      </c>
      <c r="L162" s="68"/>
      <c r="M162" s="69">
        <f t="shared" si="20"/>
        <v>87.499999999999986</v>
      </c>
      <c r="N162" s="69">
        <f t="shared" si="21"/>
        <v>10.499999999999998</v>
      </c>
      <c r="O162" s="69">
        <f t="shared" si="22"/>
        <v>0</v>
      </c>
      <c r="P162" s="69">
        <v>87.5</v>
      </c>
      <c r="Q162" s="69"/>
      <c r="R162" s="69"/>
      <c r="S162" s="69"/>
      <c r="T162" s="70"/>
      <c r="U162" s="70"/>
      <c r="V162" s="70"/>
      <c r="W162" s="70"/>
      <c r="X162" s="70"/>
      <c r="Y162" s="69"/>
      <c r="Z162" s="69"/>
      <c r="AA162" s="69"/>
      <c r="AB162" s="69"/>
      <c r="AC162" s="70"/>
      <c r="AD162" s="70"/>
      <c r="AE162" s="71"/>
      <c r="AF162" s="71"/>
      <c r="AG162" s="69">
        <f t="shared" si="23"/>
        <v>-98</v>
      </c>
      <c r="AH162" s="29">
        <f t="shared" si="24"/>
        <v>0</v>
      </c>
    </row>
    <row r="163" spans="1:34" s="72" customFormat="1" ht="21" customHeight="1" x14ac:dyDescent="0.2">
      <c r="A163" s="65"/>
      <c r="B163" s="66"/>
      <c r="C163" s="20"/>
      <c r="D163" s="20"/>
      <c r="E163" s="20"/>
      <c r="F163" s="21"/>
      <c r="G163" s="22"/>
      <c r="H163" s="67"/>
      <c r="I163" s="67"/>
      <c r="J163" s="67"/>
      <c r="K163" s="67"/>
      <c r="L163" s="68"/>
      <c r="M163" s="69"/>
      <c r="N163" s="69"/>
      <c r="O163" s="69"/>
      <c r="P163" s="69"/>
      <c r="Q163" s="69"/>
      <c r="R163" s="69"/>
      <c r="S163" s="69"/>
      <c r="T163" s="70"/>
      <c r="U163" s="70"/>
      <c r="V163" s="70"/>
      <c r="W163" s="70"/>
      <c r="X163" s="70"/>
      <c r="Y163" s="69"/>
      <c r="Z163" s="69"/>
      <c r="AA163" s="69"/>
      <c r="AB163" s="69"/>
      <c r="AC163" s="70"/>
      <c r="AD163" s="70"/>
      <c r="AE163" s="71"/>
      <c r="AF163" s="71"/>
      <c r="AG163" s="69"/>
      <c r="AH163" s="29"/>
    </row>
    <row r="164" spans="1:34" s="30" customFormat="1" ht="21.75" customHeight="1" x14ac:dyDescent="0.2">
      <c r="A164" s="18"/>
      <c r="B164" s="19"/>
      <c r="C164" s="20"/>
      <c r="D164" s="20"/>
      <c r="E164" s="20"/>
      <c r="F164" s="21"/>
      <c r="G164" s="22"/>
      <c r="H164" s="23"/>
      <c r="I164" s="23"/>
      <c r="J164" s="23"/>
      <c r="K164" s="23"/>
      <c r="L164" s="24"/>
      <c r="M164" s="69"/>
      <c r="N164" s="69"/>
      <c r="O164" s="69"/>
      <c r="P164" s="69"/>
      <c r="Q164" s="69"/>
      <c r="R164" s="69"/>
      <c r="S164" s="69"/>
      <c r="T164" s="70"/>
      <c r="U164" s="70"/>
      <c r="V164" s="70"/>
      <c r="W164" s="70"/>
      <c r="X164" s="70"/>
      <c r="Y164" s="69"/>
      <c r="Z164" s="69"/>
      <c r="AA164" s="69"/>
      <c r="AB164" s="69"/>
      <c r="AC164" s="70"/>
      <c r="AD164" s="70"/>
      <c r="AE164" s="71"/>
      <c r="AF164" s="71"/>
      <c r="AG164" s="69"/>
      <c r="AH164" s="29"/>
    </row>
    <row r="165" spans="1:34" s="30" customFormat="1" ht="19.5" customHeight="1" x14ac:dyDescent="0.2">
      <c r="A165" s="18"/>
      <c r="B165" s="19"/>
      <c r="C165" s="47"/>
      <c r="D165" s="47"/>
      <c r="E165" s="47"/>
      <c r="F165" s="21"/>
      <c r="G165" s="22"/>
      <c r="H165" s="23"/>
      <c r="I165" s="23"/>
      <c r="J165" s="23"/>
      <c r="K165" s="23"/>
      <c r="L165" s="24"/>
      <c r="M165" s="25">
        <f>SUM(H165:J165,K165/1.12)</f>
        <v>0</v>
      </c>
      <c r="N165" s="25">
        <f>K165/1.12*0.12</f>
        <v>0</v>
      </c>
      <c r="O165" s="25">
        <f>-SUM(I165:J165,K165/1.12)*L165</f>
        <v>0</v>
      </c>
      <c r="P165" s="25"/>
      <c r="Q165" s="25"/>
      <c r="R165" s="25"/>
      <c r="S165" s="25"/>
      <c r="T165" s="26"/>
      <c r="U165" s="26"/>
      <c r="V165" s="26"/>
      <c r="W165" s="26"/>
      <c r="X165" s="26"/>
      <c r="Y165" s="31"/>
      <c r="Z165" s="25"/>
      <c r="AA165" s="25"/>
      <c r="AB165" s="25"/>
      <c r="AC165" s="26"/>
      <c r="AD165" s="26"/>
      <c r="AE165" s="27"/>
      <c r="AF165" s="27"/>
      <c r="AG165" s="28">
        <f>-SUM(N165:AF165)</f>
        <v>0</v>
      </c>
      <c r="AH165" s="29">
        <f>SUM(H165:K165)+AG165+O165</f>
        <v>0</v>
      </c>
    </row>
    <row r="166" spans="1:34" s="55" customFormat="1" ht="12" customHeight="1" x14ac:dyDescent="0.2">
      <c r="A166" s="48"/>
      <c r="B166" s="49"/>
      <c r="C166" s="50"/>
      <c r="D166" s="51"/>
      <c r="E166" s="51"/>
      <c r="F166" s="52"/>
      <c r="G166" s="50"/>
      <c r="H166" s="53">
        <f t="shared" ref="H166:AH166" si="25">SUM(H5:H165)</f>
        <v>11234.42</v>
      </c>
      <c r="I166" s="53">
        <f t="shared" si="25"/>
        <v>0</v>
      </c>
      <c r="J166" s="53">
        <f t="shared" si="25"/>
        <v>22007.000000000004</v>
      </c>
      <c r="K166" s="53">
        <f t="shared" si="25"/>
        <v>61485.80000000001</v>
      </c>
      <c r="L166" s="53">
        <f t="shared" si="25"/>
        <v>0.11999999999999998</v>
      </c>
      <c r="M166" s="53">
        <f t="shared" si="25"/>
        <v>88139.455714285708</v>
      </c>
      <c r="N166" s="53">
        <f t="shared" si="25"/>
        <v>6587.7642857142828</v>
      </c>
      <c r="O166" s="53">
        <f t="shared" si="25"/>
        <v>-217.29464285714283</v>
      </c>
      <c r="P166" s="53">
        <f t="shared" si="25"/>
        <v>59435.149999999994</v>
      </c>
      <c r="Q166" s="53">
        <f t="shared" si="25"/>
        <v>5147.3999999999996</v>
      </c>
      <c r="R166" s="53">
        <f t="shared" si="25"/>
        <v>621.42999999999995</v>
      </c>
      <c r="S166" s="53">
        <f t="shared" si="25"/>
        <v>1273.2100000000003</v>
      </c>
      <c r="T166" s="53">
        <f t="shared" si="25"/>
        <v>1264.51</v>
      </c>
      <c r="U166" s="53">
        <f t="shared" si="25"/>
        <v>339.29</v>
      </c>
      <c r="V166" s="53">
        <f t="shared" si="25"/>
        <v>649.77</v>
      </c>
      <c r="W166" s="53">
        <f t="shared" si="25"/>
        <v>0</v>
      </c>
      <c r="X166" s="53">
        <f t="shared" si="25"/>
        <v>4133.41</v>
      </c>
      <c r="Y166" s="53">
        <f t="shared" si="25"/>
        <v>1790.95</v>
      </c>
      <c r="Z166" s="53">
        <f t="shared" si="25"/>
        <v>2196.4300000000003</v>
      </c>
      <c r="AA166" s="53">
        <f t="shared" si="25"/>
        <v>3350.01</v>
      </c>
      <c r="AB166" s="53">
        <f t="shared" si="25"/>
        <v>3519.48</v>
      </c>
      <c r="AC166" s="53">
        <f t="shared" si="25"/>
        <v>0</v>
      </c>
      <c r="AD166" s="53">
        <f t="shared" si="25"/>
        <v>4418.5</v>
      </c>
      <c r="AE166" s="53">
        <f t="shared" si="25"/>
        <v>0</v>
      </c>
      <c r="AF166" s="54">
        <f t="shared" si="25"/>
        <v>0</v>
      </c>
      <c r="AG166" s="53">
        <f t="shared" si="25"/>
        <v>-94510.009642857127</v>
      </c>
      <c r="AH166" s="53">
        <f t="shared" si="25"/>
        <v>-8.4285714284201507E-2</v>
      </c>
    </row>
    <row r="167" spans="1:34" s="3" customFormat="1" ht="10.199999999999999" x14ac:dyDescent="0.2">
      <c r="K167" s="5"/>
      <c r="L167" s="6"/>
      <c r="M167" s="5"/>
      <c r="Y167" s="5"/>
    </row>
    <row r="174" spans="1:34" x14ac:dyDescent="0.25">
      <c r="Q174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K133"/>
  <sheetViews>
    <sheetView topLeftCell="A124" zoomScale="90" zoomScaleNormal="90" workbookViewId="0">
      <selection activeCell="G128" sqref="A128:XFD135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30.21875" style="3" customWidth="1"/>
    <col min="4" max="4" width="17.6640625" style="4" customWidth="1"/>
    <col min="5" max="5" width="28.6640625" style="4" customWidth="1"/>
    <col min="6" max="6" width="9.88671875" style="2" customWidth="1"/>
    <col min="7" max="7" width="39.77734375" style="3" customWidth="1"/>
    <col min="8" max="8" width="13.8867187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13.44140625" style="5" customWidth="1"/>
    <col min="19" max="19" width="10.21875" style="5" customWidth="1"/>
    <col min="20" max="21" width="11.5546875" style="5"/>
    <col min="22" max="23" width="8.6640625" style="5" customWidth="1"/>
    <col min="24" max="24" width="12.44140625" style="5" customWidth="1"/>
    <col min="25" max="25" width="11.6640625" style="5" customWidth="1"/>
    <col min="26" max="26" width="10.44140625" style="5" customWidth="1"/>
    <col min="27" max="27" width="11" style="5" customWidth="1"/>
    <col min="28" max="28" width="12.109375" style="5" customWidth="1"/>
    <col min="29" max="30" width="10.109375" style="5" customWidth="1"/>
    <col min="31" max="31" width="12.77734375" style="5" customWidth="1"/>
    <col min="32" max="32" width="0.21875" style="5" customWidth="1"/>
    <col min="33" max="33" width="13.44140625" style="5" customWidth="1"/>
    <col min="34" max="34" width="13.4414062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921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72" customFormat="1" ht="21" customHeight="1" x14ac:dyDescent="0.2">
      <c r="A5" s="65">
        <v>43374</v>
      </c>
      <c r="B5" s="66"/>
      <c r="C5" s="20" t="s">
        <v>41</v>
      </c>
      <c r="D5" s="20" t="s">
        <v>88</v>
      </c>
      <c r="E5" s="20" t="s">
        <v>43</v>
      </c>
      <c r="F5" s="21">
        <v>2670</v>
      </c>
      <c r="G5" s="21" t="s">
        <v>698</v>
      </c>
      <c r="H5" s="67"/>
      <c r="I5" s="67"/>
      <c r="J5" s="67">
        <v>1890</v>
      </c>
      <c r="K5" s="67"/>
      <c r="L5" s="68"/>
      <c r="M5" s="69">
        <f t="shared" ref="M5:M36" si="0">SUM(H5:J5,K5/1.12)</f>
        <v>1890</v>
      </c>
      <c r="N5" s="69">
        <f t="shared" ref="N5:N36" si="1">K5/1.12*0.12</f>
        <v>0</v>
      </c>
      <c r="O5" s="69">
        <f t="shared" ref="O5:O36" si="2">-SUM(I5:J5,K5/1.12)*L5</f>
        <v>0</v>
      </c>
      <c r="P5" s="69">
        <v>1890</v>
      </c>
      <c r="Q5" s="69"/>
      <c r="R5" s="69"/>
      <c r="S5" s="69"/>
      <c r="T5" s="70"/>
      <c r="U5" s="70"/>
      <c r="V5" s="70"/>
      <c r="W5" s="70"/>
      <c r="X5" s="70"/>
      <c r="Y5" s="69"/>
      <c r="Z5" s="69"/>
      <c r="AA5" s="69"/>
      <c r="AB5" s="69"/>
      <c r="AC5" s="70"/>
      <c r="AD5" s="70"/>
      <c r="AE5" s="71"/>
      <c r="AF5" s="71"/>
      <c r="AG5" s="69">
        <f t="shared" ref="AG5:AG36" si="3">-SUM(N5:AF5)</f>
        <v>-1890</v>
      </c>
      <c r="AH5" s="29">
        <f t="shared" ref="AH5:AH36" si="4">SUM(H5:K5)+AG5+O5</f>
        <v>0</v>
      </c>
    </row>
    <row r="6" spans="1:34" s="30" customFormat="1" ht="21.75" customHeight="1" x14ac:dyDescent="0.2">
      <c r="A6" s="18">
        <v>43374</v>
      </c>
      <c r="B6" s="19"/>
      <c r="C6" s="20" t="s">
        <v>68</v>
      </c>
      <c r="D6" s="20"/>
      <c r="E6" s="20"/>
      <c r="F6" s="21"/>
      <c r="G6" s="22" t="s">
        <v>170</v>
      </c>
      <c r="H6" s="23">
        <v>40</v>
      </c>
      <c r="I6" s="23"/>
      <c r="J6" s="23"/>
      <c r="K6" s="23"/>
      <c r="L6" s="24"/>
      <c r="M6" s="69">
        <f t="shared" si="0"/>
        <v>40</v>
      </c>
      <c r="N6" s="69">
        <f t="shared" si="1"/>
        <v>0</v>
      </c>
      <c r="O6" s="69">
        <f t="shared" si="2"/>
        <v>0</v>
      </c>
      <c r="P6" s="69"/>
      <c r="Q6" s="25"/>
      <c r="R6" s="25"/>
      <c r="S6" s="25"/>
      <c r="T6" s="26"/>
      <c r="U6" s="26"/>
      <c r="V6" s="26"/>
      <c r="W6" s="26"/>
      <c r="X6" s="26"/>
      <c r="Y6" s="25"/>
      <c r="Z6" s="25"/>
      <c r="AA6" s="25">
        <v>40</v>
      </c>
      <c r="AB6" s="25"/>
      <c r="AC6" s="26"/>
      <c r="AD6" s="26"/>
      <c r="AE6" s="25"/>
      <c r="AF6" s="25"/>
      <c r="AG6" s="69">
        <f t="shared" si="3"/>
        <v>-40</v>
      </c>
      <c r="AH6" s="29">
        <f t="shared" si="4"/>
        <v>0</v>
      </c>
    </row>
    <row r="7" spans="1:34" s="30" customFormat="1" ht="21.75" customHeight="1" x14ac:dyDescent="0.2">
      <c r="A7" s="18">
        <v>43374</v>
      </c>
      <c r="B7" s="19"/>
      <c r="C7" s="21" t="s">
        <v>922</v>
      </c>
      <c r="D7" s="20" t="s">
        <v>273</v>
      </c>
      <c r="E7" s="20" t="s">
        <v>382</v>
      </c>
      <c r="F7" s="21">
        <v>158983</v>
      </c>
      <c r="G7" s="22" t="s">
        <v>923</v>
      </c>
      <c r="H7" s="23"/>
      <c r="I7" s="23"/>
      <c r="J7" s="23"/>
      <c r="K7" s="23">
        <v>580</v>
      </c>
      <c r="L7" s="24"/>
      <c r="M7" s="69">
        <f t="shared" si="0"/>
        <v>517.85714285714278</v>
      </c>
      <c r="N7" s="69">
        <f t="shared" si="1"/>
        <v>62.142857142857132</v>
      </c>
      <c r="O7" s="69">
        <f t="shared" si="2"/>
        <v>0</v>
      </c>
      <c r="P7" s="69"/>
      <c r="Q7" s="25"/>
      <c r="R7" s="25"/>
      <c r="S7" s="25">
        <v>517.86</v>
      </c>
      <c r="T7" s="26"/>
      <c r="U7" s="26"/>
      <c r="V7" s="26"/>
      <c r="W7" s="26"/>
      <c r="X7" s="26"/>
      <c r="Y7" s="25"/>
      <c r="Z7" s="25"/>
      <c r="AA7" s="25"/>
      <c r="AB7" s="25"/>
      <c r="AC7" s="26"/>
      <c r="AD7" s="26"/>
      <c r="AE7" s="25"/>
      <c r="AF7" s="25"/>
      <c r="AG7" s="69">
        <f t="shared" si="3"/>
        <v>-580.00285714285712</v>
      </c>
      <c r="AH7" s="29">
        <f t="shared" si="4"/>
        <v>-2.8571428571240176E-3</v>
      </c>
    </row>
    <row r="8" spans="1:34" s="30" customFormat="1" ht="21.75" customHeight="1" x14ac:dyDescent="0.2">
      <c r="A8" s="18">
        <v>43374</v>
      </c>
      <c r="B8" s="19"/>
      <c r="C8" s="20" t="s">
        <v>924</v>
      </c>
      <c r="D8" s="20"/>
      <c r="E8" s="20"/>
      <c r="F8" s="21"/>
      <c r="G8" s="22" t="s">
        <v>925</v>
      </c>
      <c r="H8" s="23"/>
      <c r="I8" s="23"/>
      <c r="J8" s="23">
        <v>1605</v>
      </c>
      <c r="K8" s="23"/>
      <c r="L8" s="24"/>
      <c r="M8" s="69">
        <f t="shared" si="0"/>
        <v>1605</v>
      </c>
      <c r="N8" s="69">
        <f t="shared" si="1"/>
        <v>0</v>
      </c>
      <c r="O8" s="69">
        <f t="shared" si="2"/>
        <v>0</v>
      </c>
      <c r="P8" s="69">
        <v>1605</v>
      </c>
      <c r="Q8" s="25"/>
      <c r="R8" s="25"/>
      <c r="S8" s="25"/>
      <c r="T8" s="26"/>
      <c r="U8" s="26"/>
      <c r="V8" s="26"/>
      <c r="W8" s="26"/>
      <c r="X8" s="26"/>
      <c r="Y8" s="25"/>
      <c r="Z8" s="25"/>
      <c r="AA8" s="25"/>
      <c r="AB8" s="25"/>
      <c r="AC8" s="26"/>
      <c r="AD8" s="26"/>
      <c r="AE8" s="25"/>
      <c r="AF8" s="25"/>
      <c r="AG8" s="69">
        <f t="shared" si="3"/>
        <v>-1605</v>
      </c>
      <c r="AH8" s="29">
        <f t="shared" si="4"/>
        <v>0</v>
      </c>
    </row>
    <row r="9" spans="1:34" s="30" customFormat="1" ht="21.75" customHeight="1" x14ac:dyDescent="0.2">
      <c r="A9" s="18">
        <v>43374</v>
      </c>
      <c r="B9" s="19"/>
      <c r="C9" s="20" t="s">
        <v>45</v>
      </c>
      <c r="D9" s="20"/>
      <c r="E9" s="20"/>
      <c r="F9" s="21"/>
      <c r="G9" s="22" t="s">
        <v>926</v>
      </c>
      <c r="H9" s="23">
        <v>100</v>
      </c>
      <c r="I9" s="23"/>
      <c r="J9" s="23"/>
      <c r="K9" s="23"/>
      <c r="L9" s="24"/>
      <c r="M9" s="69">
        <f t="shared" si="0"/>
        <v>100</v>
      </c>
      <c r="N9" s="69">
        <f t="shared" si="1"/>
        <v>0</v>
      </c>
      <c r="O9" s="69">
        <f t="shared" si="2"/>
        <v>0</v>
      </c>
      <c r="P9" s="69"/>
      <c r="Q9" s="25"/>
      <c r="R9" s="25"/>
      <c r="S9" s="25"/>
      <c r="T9" s="26"/>
      <c r="U9" s="26"/>
      <c r="V9" s="26"/>
      <c r="W9" s="26"/>
      <c r="X9" s="26"/>
      <c r="Y9" s="25"/>
      <c r="Z9" s="25"/>
      <c r="AA9" s="25">
        <v>100</v>
      </c>
      <c r="AB9" s="25"/>
      <c r="AC9" s="26"/>
      <c r="AD9" s="26"/>
      <c r="AE9" s="25"/>
      <c r="AF9" s="25"/>
      <c r="AG9" s="69">
        <f t="shared" si="3"/>
        <v>-100</v>
      </c>
      <c r="AH9" s="29">
        <f t="shared" si="4"/>
        <v>0</v>
      </c>
    </row>
    <row r="10" spans="1:34" s="30" customFormat="1" ht="21.75" customHeight="1" x14ac:dyDescent="0.2">
      <c r="A10" s="18">
        <v>43374</v>
      </c>
      <c r="B10" s="19"/>
      <c r="C10" s="20" t="s">
        <v>789</v>
      </c>
      <c r="D10" s="20"/>
      <c r="E10" s="20"/>
      <c r="F10" s="21"/>
      <c r="G10" s="22" t="s">
        <v>927</v>
      </c>
      <c r="H10" s="23">
        <v>570</v>
      </c>
      <c r="I10" s="23"/>
      <c r="J10" s="23"/>
      <c r="K10" s="23"/>
      <c r="L10" s="24"/>
      <c r="M10" s="69">
        <f t="shared" si="0"/>
        <v>570</v>
      </c>
      <c r="N10" s="69">
        <f t="shared" si="1"/>
        <v>0</v>
      </c>
      <c r="O10" s="69">
        <f t="shared" si="2"/>
        <v>0</v>
      </c>
      <c r="P10" s="69"/>
      <c r="Q10" s="25"/>
      <c r="R10" s="25"/>
      <c r="S10" s="25"/>
      <c r="T10" s="26"/>
      <c r="U10" s="26"/>
      <c r="V10" s="26"/>
      <c r="W10" s="26"/>
      <c r="X10" s="26"/>
      <c r="Y10" s="25"/>
      <c r="Z10" s="25"/>
      <c r="AA10" s="25"/>
      <c r="AB10" s="25"/>
      <c r="AC10" s="26"/>
      <c r="AD10" s="26">
        <v>570</v>
      </c>
      <c r="AE10" s="25"/>
      <c r="AF10" s="25"/>
      <c r="AG10" s="69">
        <f t="shared" si="3"/>
        <v>-570</v>
      </c>
      <c r="AH10" s="29">
        <f t="shared" si="4"/>
        <v>0</v>
      </c>
    </row>
    <row r="11" spans="1:34" s="30" customFormat="1" ht="21.75" customHeight="1" x14ac:dyDescent="0.2">
      <c r="A11" s="18">
        <v>43374</v>
      </c>
      <c r="B11" s="19"/>
      <c r="C11" s="20" t="s">
        <v>705</v>
      </c>
      <c r="D11" s="20" t="s">
        <v>706</v>
      </c>
      <c r="E11" s="20" t="s">
        <v>707</v>
      </c>
      <c r="F11" s="21">
        <v>110855</v>
      </c>
      <c r="G11" s="22" t="s">
        <v>40</v>
      </c>
      <c r="H11" s="23"/>
      <c r="I11" s="23"/>
      <c r="J11" s="23"/>
      <c r="K11" s="23">
        <v>170</v>
      </c>
      <c r="L11" s="24"/>
      <c r="M11" s="69">
        <f t="shared" si="0"/>
        <v>151.78571428571428</v>
      </c>
      <c r="N11" s="69">
        <f t="shared" si="1"/>
        <v>18.214285714285712</v>
      </c>
      <c r="O11" s="69">
        <f t="shared" si="2"/>
        <v>0</v>
      </c>
      <c r="P11" s="69"/>
      <c r="Q11" s="25">
        <v>151.79</v>
      </c>
      <c r="R11" s="25"/>
      <c r="S11" s="25"/>
      <c r="T11" s="26"/>
      <c r="U11" s="26"/>
      <c r="V11" s="26"/>
      <c r="W11" s="26"/>
      <c r="X11" s="26"/>
      <c r="Y11" s="25"/>
      <c r="Z11" s="25"/>
      <c r="AA11" s="25"/>
      <c r="AB11" s="25"/>
      <c r="AC11" s="26"/>
      <c r="AD11" s="26"/>
      <c r="AE11" s="25"/>
      <c r="AF11" s="25"/>
      <c r="AG11" s="69">
        <f t="shared" si="3"/>
        <v>-170.00428571428571</v>
      </c>
      <c r="AH11" s="29">
        <f t="shared" si="4"/>
        <v>-4.2857142857144481E-3</v>
      </c>
    </row>
    <row r="12" spans="1:34" s="30" customFormat="1" ht="21.75" customHeight="1" x14ac:dyDescent="0.2">
      <c r="A12" s="18">
        <v>43374</v>
      </c>
      <c r="B12" s="19"/>
      <c r="C12" s="20" t="s">
        <v>63</v>
      </c>
      <c r="D12" s="20" t="s">
        <v>64</v>
      </c>
      <c r="E12" s="20" t="s">
        <v>120</v>
      </c>
      <c r="F12" s="21">
        <v>117875</v>
      </c>
      <c r="G12" s="22" t="s">
        <v>434</v>
      </c>
      <c r="H12" s="23"/>
      <c r="I12" s="23"/>
      <c r="J12" s="23">
        <v>62.5</v>
      </c>
      <c r="K12" s="23"/>
      <c r="L12" s="24"/>
      <c r="M12" s="69">
        <f t="shared" si="0"/>
        <v>62.5</v>
      </c>
      <c r="N12" s="69">
        <f t="shared" si="1"/>
        <v>0</v>
      </c>
      <c r="O12" s="69">
        <f t="shared" si="2"/>
        <v>0</v>
      </c>
      <c r="P12" s="69">
        <v>62.5</v>
      </c>
      <c r="Q12" s="25"/>
      <c r="R12" s="25"/>
      <c r="S12" s="25"/>
      <c r="T12" s="26"/>
      <c r="U12" s="26"/>
      <c r="V12" s="26"/>
      <c r="W12" s="26"/>
      <c r="X12" s="26"/>
      <c r="Y12" s="25"/>
      <c r="Z12" s="25"/>
      <c r="AA12" s="25"/>
      <c r="AB12" s="25"/>
      <c r="AC12" s="26"/>
      <c r="AD12" s="26"/>
      <c r="AE12" s="25"/>
      <c r="AF12" s="25"/>
      <c r="AG12" s="69">
        <f t="shared" si="3"/>
        <v>-62.5</v>
      </c>
      <c r="AH12" s="29">
        <f t="shared" si="4"/>
        <v>0</v>
      </c>
    </row>
    <row r="13" spans="1:34" s="30" customFormat="1" ht="21.75" customHeight="1" x14ac:dyDescent="0.2">
      <c r="A13" s="18">
        <v>43374</v>
      </c>
      <c r="B13" s="19"/>
      <c r="C13" s="20" t="s">
        <v>63</v>
      </c>
      <c r="D13" s="20" t="s">
        <v>64</v>
      </c>
      <c r="E13" s="20" t="s">
        <v>120</v>
      </c>
      <c r="F13" s="21">
        <v>117875</v>
      </c>
      <c r="G13" s="22" t="s">
        <v>928</v>
      </c>
      <c r="H13" s="23"/>
      <c r="I13" s="23"/>
      <c r="J13" s="23"/>
      <c r="K13" s="23">
        <f>1635.13+196.22</f>
        <v>1831.3500000000001</v>
      </c>
      <c r="L13" s="24"/>
      <c r="M13" s="69">
        <f t="shared" si="0"/>
        <v>1635.1339285714284</v>
      </c>
      <c r="N13" s="69">
        <f t="shared" si="1"/>
        <v>196.21607142857141</v>
      </c>
      <c r="O13" s="69">
        <f t="shared" si="2"/>
        <v>0</v>
      </c>
      <c r="P13" s="69">
        <v>1635.13</v>
      </c>
      <c r="Q13" s="69"/>
      <c r="R13" s="69"/>
      <c r="S13" s="69"/>
      <c r="T13" s="70"/>
      <c r="U13" s="70"/>
      <c r="V13" s="70"/>
      <c r="W13" s="70"/>
      <c r="X13" s="70"/>
      <c r="Y13" s="69"/>
      <c r="Z13" s="69"/>
      <c r="AA13" s="69"/>
      <c r="AB13" s="69"/>
      <c r="AC13" s="70"/>
      <c r="AD13" s="70"/>
      <c r="AE13" s="71"/>
      <c r="AF13" s="71"/>
      <c r="AG13" s="69">
        <f t="shared" si="3"/>
        <v>-1831.3460714285716</v>
      </c>
      <c r="AH13" s="29">
        <f t="shared" si="4"/>
        <v>3.9285714285597351E-3</v>
      </c>
    </row>
    <row r="14" spans="1:34" s="30" customFormat="1" ht="21.75" customHeight="1" x14ac:dyDescent="0.2">
      <c r="A14" s="18">
        <v>43375</v>
      </c>
      <c r="B14" s="19"/>
      <c r="C14" s="20" t="s">
        <v>705</v>
      </c>
      <c r="D14" s="20" t="s">
        <v>706</v>
      </c>
      <c r="E14" s="20" t="s">
        <v>707</v>
      </c>
      <c r="F14" s="21">
        <v>110896</v>
      </c>
      <c r="G14" s="22" t="s">
        <v>40</v>
      </c>
      <c r="H14" s="23"/>
      <c r="I14" s="23"/>
      <c r="J14" s="23"/>
      <c r="K14" s="23">
        <v>170</v>
      </c>
      <c r="L14" s="24"/>
      <c r="M14" s="69">
        <f t="shared" si="0"/>
        <v>151.78571428571428</v>
      </c>
      <c r="N14" s="69">
        <f t="shared" si="1"/>
        <v>18.214285714285712</v>
      </c>
      <c r="O14" s="69">
        <f t="shared" si="2"/>
        <v>0</v>
      </c>
      <c r="P14" s="69"/>
      <c r="Q14" s="25">
        <v>151.79</v>
      </c>
      <c r="R14" s="25"/>
      <c r="S14" s="25"/>
      <c r="T14" s="26"/>
      <c r="U14" s="26"/>
      <c r="V14" s="26"/>
      <c r="W14" s="26"/>
      <c r="X14" s="26"/>
      <c r="Y14" s="25"/>
      <c r="Z14" s="25"/>
      <c r="AA14" s="25"/>
      <c r="AB14" s="25"/>
      <c r="AC14" s="26"/>
      <c r="AD14" s="26"/>
      <c r="AE14" s="25"/>
      <c r="AF14" s="25"/>
      <c r="AG14" s="69">
        <f t="shared" si="3"/>
        <v>-170.00428571428571</v>
      </c>
      <c r="AH14" s="29">
        <f t="shared" si="4"/>
        <v>-4.2857142857144481E-3</v>
      </c>
    </row>
    <row r="15" spans="1:34" s="30" customFormat="1" ht="21.75" customHeight="1" x14ac:dyDescent="0.2">
      <c r="A15" s="18">
        <v>43375</v>
      </c>
      <c r="B15" s="19"/>
      <c r="C15" s="20" t="s">
        <v>745</v>
      </c>
      <c r="D15" s="20" t="s">
        <v>812</v>
      </c>
      <c r="E15" s="20" t="s">
        <v>277</v>
      </c>
      <c r="F15" s="21">
        <v>90792</v>
      </c>
      <c r="G15" s="22" t="s">
        <v>929</v>
      </c>
      <c r="H15" s="23"/>
      <c r="I15" s="23"/>
      <c r="J15" s="23"/>
      <c r="K15" s="23">
        <v>181.5</v>
      </c>
      <c r="L15" s="24"/>
      <c r="M15" s="69">
        <f t="shared" si="0"/>
        <v>162.05357142857142</v>
      </c>
      <c r="N15" s="69">
        <f t="shared" si="1"/>
        <v>19.446428571428569</v>
      </c>
      <c r="O15" s="69">
        <f t="shared" si="2"/>
        <v>0</v>
      </c>
      <c r="P15" s="69">
        <v>162.05000000000001</v>
      </c>
      <c r="Q15" s="69"/>
      <c r="R15" s="69"/>
      <c r="S15" s="69"/>
      <c r="T15" s="70"/>
      <c r="U15" s="70"/>
      <c r="V15" s="70"/>
      <c r="W15" s="70"/>
      <c r="X15" s="70"/>
      <c r="Y15" s="69"/>
      <c r="Z15" s="69"/>
      <c r="AA15" s="69"/>
      <c r="AB15" s="69"/>
      <c r="AC15" s="70"/>
      <c r="AD15" s="70"/>
      <c r="AE15" s="71"/>
      <c r="AF15" s="71"/>
      <c r="AG15" s="69">
        <f t="shared" si="3"/>
        <v>-181.49642857142857</v>
      </c>
      <c r="AH15" s="29">
        <f t="shared" si="4"/>
        <v>3.5714285714334437E-3</v>
      </c>
    </row>
    <row r="16" spans="1:34" s="30" customFormat="1" ht="21.75" customHeight="1" x14ac:dyDescent="0.2">
      <c r="A16" s="18">
        <v>43376</v>
      </c>
      <c r="B16" s="19"/>
      <c r="C16" s="20" t="s">
        <v>930</v>
      </c>
      <c r="D16" s="20" t="s">
        <v>931</v>
      </c>
      <c r="E16" s="20" t="s">
        <v>120</v>
      </c>
      <c r="F16" s="21">
        <v>5092</v>
      </c>
      <c r="G16" s="22" t="s">
        <v>932</v>
      </c>
      <c r="H16" s="23"/>
      <c r="I16" s="23"/>
      <c r="J16" s="23"/>
      <c r="K16" s="23">
        <v>300</v>
      </c>
      <c r="L16" s="24"/>
      <c r="M16" s="69">
        <f t="shared" si="0"/>
        <v>267.85714285714283</v>
      </c>
      <c r="N16" s="69">
        <f t="shared" si="1"/>
        <v>32.142857142857139</v>
      </c>
      <c r="O16" s="69">
        <f t="shared" si="2"/>
        <v>0</v>
      </c>
      <c r="P16" s="69">
        <v>267.86</v>
      </c>
      <c r="Q16" s="69"/>
      <c r="R16" s="69"/>
      <c r="S16" s="69"/>
      <c r="T16" s="70"/>
      <c r="U16" s="70"/>
      <c r="V16" s="70"/>
      <c r="W16" s="70"/>
      <c r="X16" s="70"/>
      <c r="Y16" s="69"/>
      <c r="Z16" s="69"/>
      <c r="AA16" s="69"/>
      <c r="AB16" s="69"/>
      <c r="AC16" s="70"/>
      <c r="AD16" s="70"/>
      <c r="AE16" s="71"/>
      <c r="AF16" s="71"/>
      <c r="AG16" s="69">
        <f t="shared" si="3"/>
        <v>-300.00285714285712</v>
      </c>
      <c r="AH16" s="29">
        <f t="shared" si="4"/>
        <v>-2.8571428571240176E-3</v>
      </c>
    </row>
    <row r="17" spans="1:34" s="72" customFormat="1" ht="21" customHeight="1" x14ac:dyDescent="0.2">
      <c r="A17" s="65">
        <v>43376</v>
      </c>
      <c r="B17" s="66"/>
      <c r="C17" s="20" t="s">
        <v>68</v>
      </c>
      <c r="D17" s="20"/>
      <c r="E17" s="20"/>
      <c r="F17" s="21"/>
      <c r="G17" s="22" t="s">
        <v>933</v>
      </c>
      <c r="H17" s="67">
        <v>30</v>
      </c>
      <c r="I17" s="67"/>
      <c r="J17" s="67"/>
      <c r="K17" s="67"/>
      <c r="L17" s="68"/>
      <c r="M17" s="69">
        <f t="shared" si="0"/>
        <v>30</v>
      </c>
      <c r="N17" s="69">
        <f t="shared" si="1"/>
        <v>0</v>
      </c>
      <c r="O17" s="69">
        <f t="shared" si="2"/>
        <v>0</v>
      </c>
      <c r="P17" s="69"/>
      <c r="Q17" s="69"/>
      <c r="R17" s="69"/>
      <c r="S17" s="69"/>
      <c r="T17" s="70"/>
      <c r="U17" s="70"/>
      <c r="V17" s="70"/>
      <c r="W17" s="70"/>
      <c r="X17" s="70"/>
      <c r="Y17" s="69"/>
      <c r="Z17" s="69"/>
      <c r="AA17" s="69">
        <v>30</v>
      </c>
      <c r="AB17" s="69"/>
      <c r="AC17" s="70"/>
      <c r="AD17" s="70"/>
      <c r="AE17" s="71"/>
      <c r="AF17" s="71"/>
      <c r="AG17" s="69">
        <f t="shared" si="3"/>
        <v>-30</v>
      </c>
      <c r="AH17" s="29">
        <f t="shared" si="4"/>
        <v>0</v>
      </c>
    </row>
    <row r="18" spans="1:34" s="30" customFormat="1" ht="21.75" customHeight="1" x14ac:dyDescent="0.2">
      <c r="A18" s="18">
        <v>43376</v>
      </c>
      <c r="B18" s="19"/>
      <c r="C18" s="20" t="s">
        <v>705</v>
      </c>
      <c r="D18" s="20" t="s">
        <v>706</v>
      </c>
      <c r="E18" s="20" t="s">
        <v>707</v>
      </c>
      <c r="F18" s="21">
        <v>114242</v>
      </c>
      <c r="G18" s="22" t="s">
        <v>40</v>
      </c>
      <c r="H18" s="23"/>
      <c r="I18" s="23"/>
      <c r="J18" s="23"/>
      <c r="K18" s="23">
        <v>170</v>
      </c>
      <c r="L18" s="24"/>
      <c r="M18" s="69">
        <f t="shared" si="0"/>
        <v>151.78571428571428</v>
      </c>
      <c r="N18" s="69">
        <f t="shared" si="1"/>
        <v>18.214285714285712</v>
      </c>
      <c r="O18" s="69">
        <f t="shared" si="2"/>
        <v>0</v>
      </c>
      <c r="P18" s="69"/>
      <c r="Q18" s="25">
        <v>151.79</v>
      </c>
      <c r="R18" s="25"/>
      <c r="S18" s="25"/>
      <c r="T18" s="26"/>
      <c r="U18" s="26"/>
      <c r="V18" s="26"/>
      <c r="W18" s="26"/>
      <c r="X18" s="26"/>
      <c r="Y18" s="25"/>
      <c r="Z18" s="25"/>
      <c r="AA18" s="25"/>
      <c r="AB18" s="25"/>
      <c r="AC18" s="26"/>
      <c r="AD18" s="26"/>
      <c r="AE18" s="25"/>
      <c r="AF18" s="25"/>
      <c r="AG18" s="69">
        <f t="shared" si="3"/>
        <v>-170.00428571428571</v>
      </c>
      <c r="AH18" s="29">
        <f t="shared" si="4"/>
        <v>-4.2857142857144481E-3</v>
      </c>
    </row>
    <row r="19" spans="1:34" s="72" customFormat="1" ht="21" customHeight="1" x14ac:dyDescent="0.2">
      <c r="A19" s="65">
        <v>43376</v>
      </c>
      <c r="B19" s="66"/>
      <c r="C19" s="20" t="s">
        <v>63</v>
      </c>
      <c r="D19" s="20" t="s">
        <v>64</v>
      </c>
      <c r="E19" s="20" t="s">
        <v>120</v>
      </c>
      <c r="F19" s="21">
        <v>140410</v>
      </c>
      <c r="G19" s="22" t="s">
        <v>934</v>
      </c>
      <c r="H19" s="67"/>
      <c r="I19" s="67"/>
      <c r="J19" s="67">
        <v>315</v>
      </c>
      <c r="K19" s="67"/>
      <c r="L19" s="68"/>
      <c r="M19" s="69">
        <f t="shared" si="0"/>
        <v>315</v>
      </c>
      <c r="N19" s="69">
        <f t="shared" si="1"/>
        <v>0</v>
      </c>
      <c r="O19" s="69">
        <f t="shared" si="2"/>
        <v>0</v>
      </c>
      <c r="P19" s="69">
        <v>315</v>
      </c>
      <c r="Q19" s="69"/>
      <c r="R19" s="69"/>
      <c r="S19" s="69"/>
      <c r="T19" s="70"/>
      <c r="U19" s="70"/>
      <c r="V19" s="70"/>
      <c r="W19" s="70"/>
      <c r="X19" s="70"/>
      <c r="Y19" s="69"/>
      <c r="Z19" s="69"/>
      <c r="AA19" s="69"/>
      <c r="AB19" s="69"/>
      <c r="AC19" s="70"/>
      <c r="AD19" s="70"/>
      <c r="AE19" s="71"/>
      <c r="AF19" s="71"/>
      <c r="AG19" s="69">
        <f t="shared" si="3"/>
        <v>-315</v>
      </c>
      <c r="AH19" s="29">
        <f t="shared" si="4"/>
        <v>0</v>
      </c>
    </row>
    <row r="20" spans="1:34" s="72" customFormat="1" ht="21" customHeight="1" x14ac:dyDescent="0.2">
      <c r="A20" s="65">
        <v>43376</v>
      </c>
      <c r="B20" s="66"/>
      <c r="C20" s="20" t="s">
        <v>63</v>
      </c>
      <c r="D20" s="20" t="s">
        <v>64</v>
      </c>
      <c r="E20" s="20" t="s">
        <v>120</v>
      </c>
      <c r="F20" s="21">
        <v>140410</v>
      </c>
      <c r="G20" s="22" t="s">
        <v>935</v>
      </c>
      <c r="H20" s="67"/>
      <c r="I20" s="67"/>
      <c r="J20" s="67"/>
      <c r="K20" s="67">
        <v>659.15</v>
      </c>
      <c r="L20" s="68"/>
      <c r="M20" s="69">
        <f t="shared" si="0"/>
        <v>588.52678571428567</v>
      </c>
      <c r="N20" s="69">
        <f t="shared" si="1"/>
        <v>70.623214285714283</v>
      </c>
      <c r="O20" s="69">
        <f t="shared" si="2"/>
        <v>0</v>
      </c>
      <c r="P20" s="69">
        <v>588.53</v>
      </c>
      <c r="Q20" s="69"/>
      <c r="R20" s="69"/>
      <c r="S20" s="69"/>
      <c r="T20" s="70"/>
      <c r="U20" s="70"/>
      <c r="V20" s="70"/>
      <c r="W20" s="70"/>
      <c r="X20" s="70"/>
      <c r="Y20" s="69"/>
      <c r="Z20" s="69"/>
      <c r="AA20" s="69"/>
      <c r="AB20" s="69"/>
      <c r="AC20" s="70"/>
      <c r="AD20" s="70"/>
      <c r="AE20" s="71"/>
      <c r="AF20" s="71"/>
      <c r="AG20" s="69">
        <f t="shared" si="3"/>
        <v>-659.15321428571428</v>
      </c>
      <c r="AH20" s="29">
        <f t="shared" si="4"/>
        <v>-3.2142857143071524E-3</v>
      </c>
    </row>
    <row r="21" spans="1:34" s="72" customFormat="1" ht="21" customHeight="1" x14ac:dyDescent="0.2">
      <c r="A21" s="65">
        <v>43377</v>
      </c>
      <c r="B21" s="66"/>
      <c r="C21" s="20" t="s">
        <v>745</v>
      </c>
      <c r="D21" s="20" t="s">
        <v>812</v>
      </c>
      <c r="E21" s="20" t="s">
        <v>277</v>
      </c>
      <c r="F21" s="21">
        <v>32117</v>
      </c>
      <c r="G21" s="22" t="s">
        <v>936</v>
      </c>
      <c r="H21" s="67"/>
      <c r="I21" s="67"/>
      <c r="J21" s="67"/>
      <c r="K21" s="67">
        <v>69</v>
      </c>
      <c r="L21" s="68"/>
      <c r="M21" s="69">
        <f t="shared" si="0"/>
        <v>61.607142857142854</v>
      </c>
      <c r="N21" s="69">
        <f t="shared" si="1"/>
        <v>7.3928571428571423</v>
      </c>
      <c r="O21" s="69">
        <f t="shared" si="2"/>
        <v>0</v>
      </c>
      <c r="P21" s="69"/>
      <c r="Q21" s="69">
        <v>61.61</v>
      </c>
      <c r="R21" s="69"/>
      <c r="S21" s="69"/>
      <c r="T21" s="70"/>
      <c r="U21" s="70"/>
      <c r="V21" s="70"/>
      <c r="W21" s="70"/>
      <c r="X21" s="70"/>
      <c r="Y21" s="69"/>
      <c r="Z21" s="69"/>
      <c r="AA21" s="69"/>
      <c r="AB21" s="69"/>
      <c r="AC21" s="70"/>
      <c r="AD21" s="70"/>
      <c r="AE21" s="71"/>
      <c r="AF21" s="71"/>
      <c r="AG21" s="69">
        <f t="shared" si="3"/>
        <v>-69.002857142857138</v>
      </c>
      <c r="AH21" s="29">
        <f t="shared" si="4"/>
        <v>-2.8571428571382285E-3</v>
      </c>
    </row>
    <row r="22" spans="1:34" s="30" customFormat="1" ht="21.75" customHeight="1" x14ac:dyDescent="0.2">
      <c r="A22" s="18">
        <v>43377</v>
      </c>
      <c r="B22" s="19"/>
      <c r="C22" s="20" t="s">
        <v>705</v>
      </c>
      <c r="D22" s="20" t="s">
        <v>706</v>
      </c>
      <c r="E22" s="20" t="s">
        <v>707</v>
      </c>
      <c r="F22" s="21">
        <v>118836</v>
      </c>
      <c r="G22" s="22" t="s">
        <v>40</v>
      </c>
      <c r="H22" s="23"/>
      <c r="I22" s="23"/>
      <c r="J22" s="23"/>
      <c r="K22" s="23">
        <v>170</v>
      </c>
      <c r="L22" s="24"/>
      <c r="M22" s="69">
        <f t="shared" si="0"/>
        <v>151.78571428571428</v>
      </c>
      <c r="N22" s="69">
        <f t="shared" si="1"/>
        <v>18.214285714285712</v>
      </c>
      <c r="O22" s="69">
        <f t="shared" si="2"/>
        <v>0</v>
      </c>
      <c r="P22" s="69"/>
      <c r="Q22" s="25">
        <v>151.79</v>
      </c>
      <c r="R22" s="25"/>
      <c r="S22" s="25"/>
      <c r="T22" s="26"/>
      <c r="U22" s="26"/>
      <c r="V22" s="26"/>
      <c r="W22" s="26"/>
      <c r="X22" s="26"/>
      <c r="Y22" s="25"/>
      <c r="Z22" s="25"/>
      <c r="AA22" s="25"/>
      <c r="AB22" s="25"/>
      <c r="AC22" s="26"/>
      <c r="AD22" s="26"/>
      <c r="AE22" s="25"/>
      <c r="AF22" s="25"/>
      <c r="AG22" s="69">
        <f t="shared" si="3"/>
        <v>-170.00428571428571</v>
      </c>
      <c r="AH22" s="29">
        <f t="shared" si="4"/>
        <v>-4.2857142857144481E-3</v>
      </c>
    </row>
    <row r="23" spans="1:34" s="72" customFormat="1" ht="21" customHeight="1" x14ac:dyDescent="0.2">
      <c r="A23" s="65">
        <v>43377</v>
      </c>
      <c r="B23" s="66"/>
      <c r="C23" s="20" t="s">
        <v>96</v>
      </c>
      <c r="D23" s="20"/>
      <c r="E23" s="20"/>
      <c r="F23" s="21"/>
      <c r="G23" s="22" t="s">
        <v>937</v>
      </c>
      <c r="H23" s="67">
        <v>220</v>
      </c>
      <c r="I23" s="67"/>
      <c r="J23" s="67"/>
      <c r="K23" s="67"/>
      <c r="L23" s="68"/>
      <c r="M23" s="69">
        <f t="shared" si="0"/>
        <v>220</v>
      </c>
      <c r="N23" s="69">
        <f t="shared" si="1"/>
        <v>0</v>
      </c>
      <c r="O23" s="69">
        <f t="shared" si="2"/>
        <v>0</v>
      </c>
      <c r="P23" s="69"/>
      <c r="Q23" s="69"/>
      <c r="R23" s="69"/>
      <c r="S23" s="69"/>
      <c r="T23" s="70"/>
      <c r="U23" s="70"/>
      <c r="V23" s="70"/>
      <c r="W23" s="70"/>
      <c r="X23" s="70"/>
      <c r="Y23" s="69"/>
      <c r="Z23" s="69"/>
      <c r="AA23" s="69">
        <v>220</v>
      </c>
      <c r="AB23" s="69"/>
      <c r="AC23" s="70"/>
      <c r="AD23" s="70"/>
      <c r="AE23" s="71"/>
      <c r="AF23" s="71"/>
      <c r="AG23" s="69">
        <f t="shared" si="3"/>
        <v>-220</v>
      </c>
      <c r="AH23" s="29">
        <f t="shared" si="4"/>
        <v>0</v>
      </c>
    </row>
    <row r="24" spans="1:34" s="72" customFormat="1" ht="21" customHeight="1" x14ac:dyDescent="0.2">
      <c r="A24" s="65">
        <v>43377</v>
      </c>
      <c r="B24" s="66"/>
      <c r="C24" s="20" t="s">
        <v>614</v>
      </c>
      <c r="D24" s="20"/>
      <c r="E24" s="20"/>
      <c r="F24" s="21"/>
      <c r="G24" s="22" t="s">
        <v>938</v>
      </c>
      <c r="H24" s="67">
        <v>502</v>
      </c>
      <c r="I24" s="67"/>
      <c r="J24" s="67"/>
      <c r="K24" s="67"/>
      <c r="L24" s="68"/>
      <c r="M24" s="69">
        <f t="shared" si="0"/>
        <v>502</v>
      </c>
      <c r="N24" s="69">
        <f t="shared" si="1"/>
        <v>0</v>
      </c>
      <c r="O24" s="69">
        <f t="shared" si="2"/>
        <v>0</v>
      </c>
      <c r="P24" s="69"/>
      <c r="Q24" s="69"/>
      <c r="R24" s="69"/>
      <c r="S24" s="69"/>
      <c r="T24" s="70"/>
      <c r="U24" s="70"/>
      <c r="V24" s="70"/>
      <c r="W24" s="70"/>
      <c r="X24" s="70"/>
      <c r="Y24" s="69"/>
      <c r="Z24" s="69"/>
      <c r="AA24" s="69"/>
      <c r="AB24" s="69">
        <v>502</v>
      </c>
      <c r="AC24" s="70"/>
      <c r="AD24" s="70"/>
      <c r="AE24" s="71"/>
      <c r="AF24" s="71"/>
      <c r="AG24" s="69">
        <f t="shared" si="3"/>
        <v>-502</v>
      </c>
      <c r="AH24" s="29">
        <f t="shared" si="4"/>
        <v>0</v>
      </c>
    </row>
    <row r="25" spans="1:34" s="72" customFormat="1" ht="21" customHeight="1" x14ac:dyDescent="0.2">
      <c r="A25" s="65">
        <v>43377</v>
      </c>
      <c r="B25" s="66"/>
      <c r="C25" s="20" t="s">
        <v>745</v>
      </c>
      <c r="D25" s="20" t="s">
        <v>812</v>
      </c>
      <c r="E25" s="20" t="s">
        <v>277</v>
      </c>
      <c r="F25" s="21">
        <v>32126</v>
      </c>
      <c r="G25" s="22" t="s">
        <v>939</v>
      </c>
      <c r="H25" s="67"/>
      <c r="I25" s="67"/>
      <c r="J25" s="67"/>
      <c r="K25" s="67">
        <v>274.5</v>
      </c>
      <c r="L25" s="68"/>
      <c r="M25" s="69">
        <f t="shared" si="0"/>
        <v>245.08928571428569</v>
      </c>
      <c r="N25" s="69">
        <f t="shared" si="1"/>
        <v>29.410714285714281</v>
      </c>
      <c r="O25" s="69">
        <f t="shared" si="2"/>
        <v>0</v>
      </c>
      <c r="P25" s="69"/>
      <c r="Q25" s="69"/>
      <c r="R25" s="69">
        <v>245.09</v>
      </c>
      <c r="S25" s="69"/>
      <c r="T25" s="70"/>
      <c r="U25" s="70"/>
      <c r="V25" s="70"/>
      <c r="W25" s="70"/>
      <c r="X25" s="70"/>
      <c r="Y25" s="69"/>
      <c r="Z25" s="69"/>
      <c r="AA25" s="69"/>
      <c r="AB25" s="69"/>
      <c r="AC25" s="70"/>
      <c r="AD25" s="70"/>
      <c r="AE25" s="71"/>
      <c r="AF25" s="71"/>
      <c r="AG25" s="69">
        <f t="shared" si="3"/>
        <v>-274.50071428571431</v>
      </c>
      <c r="AH25" s="29">
        <f t="shared" si="4"/>
        <v>-7.1428571430942611E-4</v>
      </c>
    </row>
    <row r="26" spans="1:34" s="30" customFormat="1" ht="21.75" customHeight="1" x14ac:dyDescent="0.2">
      <c r="A26" s="18">
        <v>43378</v>
      </c>
      <c r="B26" s="19"/>
      <c r="C26" s="20" t="s">
        <v>705</v>
      </c>
      <c r="D26" s="20" t="s">
        <v>706</v>
      </c>
      <c r="E26" s="20" t="s">
        <v>707</v>
      </c>
      <c r="F26" s="21">
        <v>118883</v>
      </c>
      <c r="G26" s="22" t="s">
        <v>40</v>
      </c>
      <c r="H26" s="23"/>
      <c r="I26" s="23"/>
      <c r="J26" s="23"/>
      <c r="K26" s="23">
        <v>170</v>
      </c>
      <c r="L26" s="24"/>
      <c r="M26" s="69">
        <f t="shared" si="0"/>
        <v>151.78571428571428</v>
      </c>
      <c r="N26" s="69">
        <f t="shared" si="1"/>
        <v>18.214285714285712</v>
      </c>
      <c r="O26" s="69">
        <f t="shared" si="2"/>
        <v>0</v>
      </c>
      <c r="P26" s="69"/>
      <c r="Q26" s="25">
        <v>151.79</v>
      </c>
      <c r="R26" s="25"/>
      <c r="S26" s="25"/>
      <c r="T26" s="26"/>
      <c r="U26" s="26"/>
      <c r="V26" s="26"/>
      <c r="W26" s="26"/>
      <c r="X26" s="26"/>
      <c r="Y26" s="25"/>
      <c r="Z26" s="25"/>
      <c r="AA26" s="25"/>
      <c r="AB26" s="25"/>
      <c r="AC26" s="26"/>
      <c r="AD26" s="26"/>
      <c r="AE26" s="25"/>
      <c r="AF26" s="25"/>
      <c r="AG26" s="69">
        <f t="shared" si="3"/>
        <v>-170.00428571428571</v>
      </c>
      <c r="AH26" s="29">
        <f t="shared" si="4"/>
        <v>-4.2857142857144481E-3</v>
      </c>
    </row>
    <row r="27" spans="1:34" s="72" customFormat="1" ht="21" customHeight="1" x14ac:dyDescent="0.2">
      <c r="A27" s="65">
        <v>43378</v>
      </c>
      <c r="B27" s="66"/>
      <c r="C27" s="20" t="s">
        <v>745</v>
      </c>
      <c r="D27" s="20" t="s">
        <v>812</v>
      </c>
      <c r="E27" s="20" t="s">
        <v>277</v>
      </c>
      <c r="F27" s="21">
        <v>32145</v>
      </c>
      <c r="G27" s="22" t="s">
        <v>485</v>
      </c>
      <c r="H27" s="67"/>
      <c r="I27" s="67"/>
      <c r="J27" s="67"/>
      <c r="K27" s="67">
        <v>128.25</v>
      </c>
      <c r="L27" s="68"/>
      <c r="M27" s="69">
        <f t="shared" si="0"/>
        <v>114.50892857142856</v>
      </c>
      <c r="N27" s="69">
        <f t="shared" si="1"/>
        <v>13.741071428571425</v>
      </c>
      <c r="O27" s="69">
        <f t="shared" si="2"/>
        <v>0</v>
      </c>
      <c r="P27" s="69">
        <v>114.51</v>
      </c>
      <c r="Q27" s="69"/>
      <c r="R27" s="69"/>
      <c r="S27" s="69"/>
      <c r="T27" s="70"/>
      <c r="U27" s="70"/>
      <c r="V27" s="70"/>
      <c r="W27" s="70"/>
      <c r="X27" s="70"/>
      <c r="Y27" s="69"/>
      <c r="Z27" s="69"/>
      <c r="AA27" s="69"/>
      <c r="AB27" s="69"/>
      <c r="AC27" s="70"/>
      <c r="AD27" s="70"/>
      <c r="AE27" s="71"/>
      <c r="AF27" s="71"/>
      <c r="AG27" s="69">
        <f t="shared" si="3"/>
        <v>-128.25107142857144</v>
      </c>
      <c r="AH27" s="29">
        <f t="shared" si="4"/>
        <v>-1.0714285714357175E-3</v>
      </c>
    </row>
    <row r="28" spans="1:34" s="72" customFormat="1" ht="21" customHeight="1" x14ac:dyDescent="0.2">
      <c r="A28" s="65">
        <v>43378</v>
      </c>
      <c r="B28" s="66"/>
      <c r="C28" s="20" t="s">
        <v>63</v>
      </c>
      <c r="D28" s="20" t="s">
        <v>64</v>
      </c>
      <c r="E28" s="20" t="s">
        <v>120</v>
      </c>
      <c r="F28" s="21">
        <v>74446</v>
      </c>
      <c r="G28" s="22" t="s">
        <v>940</v>
      </c>
      <c r="H28" s="67"/>
      <c r="I28" s="67"/>
      <c r="J28" s="67">
        <v>187.3</v>
      </c>
      <c r="K28" s="67"/>
      <c r="L28" s="68"/>
      <c r="M28" s="69">
        <f t="shared" si="0"/>
        <v>187.3</v>
      </c>
      <c r="N28" s="69">
        <f t="shared" si="1"/>
        <v>0</v>
      </c>
      <c r="O28" s="69">
        <f t="shared" si="2"/>
        <v>0</v>
      </c>
      <c r="P28" s="69">
        <v>187.3</v>
      </c>
      <c r="Q28" s="69"/>
      <c r="R28" s="69"/>
      <c r="S28" s="69"/>
      <c r="T28" s="70"/>
      <c r="U28" s="70"/>
      <c r="V28" s="70"/>
      <c r="W28" s="70"/>
      <c r="X28" s="70"/>
      <c r="Y28" s="69"/>
      <c r="Z28" s="69"/>
      <c r="AA28" s="69"/>
      <c r="AB28" s="69"/>
      <c r="AC28" s="70"/>
      <c r="AD28" s="70"/>
      <c r="AE28" s="71"/>
      <c r="AF28" s="71"/>
      <c r="AG28" s="69">
        <f t="shared" si="3"/>
        <v>-187.3</v>
      </c>
      <c r="AH28" s="29">
        <f t="shared" si="4"/>
        <v>0</v>
      </c>
    </row>
    <row r="29" spans="1:34" s="72" customFormat="1" ht="21" customHeight="1" x14ac:dyDescent="0.2">
      <c r="A29" s="65">
        <v>43378</v>
      </c>
      <c r="B29" s="66"/>
      <c r="C29" s="20" t="s">
        <v>63</v>
      </c>
      <c r="D29" s="20" t="s">
        <v>64</v>
      </c>
      <c r="E29" s="20" t="s">
        <v>120</v>
      </c>
      <c r="F29" s="21">
        <v>74446</v>
      </c>
      <c r="G29" s="22" t="s">
        <v>941</v>
      </c>
      <c r="H29" s="67"/>
      <c r="I29" s="67"/>
      <c r="J29" s="67"/>
      <c r="K29" s="67">
        <f>255.04+30.61</f>
        <v>285.64999999999998</v>
      </c>
      <c r="L29" s="68"/>
      <c r="M29" s="69">
        <f t="shared" si="0"/>
        <v>255.0446428571428</v>
      </c>
      <c r="N29" s="69">
        <f t="shared" si="1"/>
        <v>30.605357142857134</v>
      </c>
      <c r="O29" s="69">
        <f t="shared" si="2"/>
        <v>0</v>
      </c>
      <c r="P29" s="69">
        <v>255.04</v>
      </c>
      <c r="Q29" s="69"/>
      <c r="R29" s="69"/>
      <c r="S29" s="69"/>
      <c r="T29" s="70"/>
      <c r="U29" s="70"/>
      <c r="V29" s="70"/>
      <c r="W29" s="70"/>
      <c r="X29" s="70"/>
      <c r="Y29" s="69"/>
      <c r="Z29" s="69"/>
      <c r="AA29" s="69"/>
      <c r="AB29" s="69"/>
      <c r="AC29" s="70"/>
      <c r="AD29" s="70"/>
      <c r="AE29" s="71"/>
      <c r="AF29" s="71"/>
      <c r="AG29" s="69">
        <f t="shared" si="3"/>
        <v>-285.64535714285711</v>
      </c>
      <c r="AH29" s="29">
        <f t="shared" si="4"/>
        <v>4.6428571428691612E-3</v>
      </c>
    </row>
    <row r="30" spans="1:34" s="72" customFormat="1" ht="21" customHeight="1" x14ac:dyDescent="0.2">
      <c r="A30" s="65">
        <v>43378</v>
      </c>
      <c r="B30" s="66"/>
      <c r="C30" s="20" t="s">
        <v>63</v>
      </c>
      <c r="D30" s="20" t="s">
        <v>64</v>
      </c>
      <c r="E30" s="20" t="s">
        <v>120</v>
      </c>
      <c r="F30" s="21">
        <v>56267</v>
      </c>
      <c r="G30" s="22" t="s">
        <v>942</v>
      </c>
      <c r="H30" s="67"/>
      <c r="I30" s="67"/>
      <c r="J30" s="67"/>
      <c r="K30" s="67">
        <v>199.5</v>
      </c>
      <c r="L30" s="68"/>
      <c r="M30" s="69">
        <f t="shared" si="0"/>
        <v>178.12499999999997</v>
      </c>
      <c r="N30" s="69">
        <f t="shared" si="1"/>
        <v>21.374999999999996</v>
      </c>
      <c r="O30" s="69">
        <f t="shared" si="2"/>
        <v>0</v>
      </c>
      <c r="P30" s="69"/>
      <c r="Q30" s="69"/>
      <c r="R30" s="69"/>
      <c r="S30" s="69"/>
      <c r="T30" s="70"/>
      <c r="U30" s="70"/>
      <c r="V30" s="70"/>
      <c r="W30" s="70"/>
      <c r="X30" s="70">
        <v>178.13</v>
      </c>
      <c r="Y30" s="69"/>
      <c r="Z30" s="69"/>
      <c r="AA30" s="69"/>
      <c r="AB30" s="69"/>
      <c r="AC30" s="70"/>
      <c r="AD30" s="70"/>
      <c r="AE30" s="71"/>
      <c r="AF30" s="71"/>
      <c r="AG30" s="69">
        <f t="shared" si="3"/>
        <v>-199.505</v>
      </c>
      <c r="AH30" s="29">
        <f t="shared" si="4"/>
        <v>-4.9999999999954525E-3</v>
      </c>
    </row>
    <row r="31" spans="1:34" s="72" customFormat="1" ht="21" customHeight="1" x14ac:dyDescent="0.2">
      <c r="A31" s="65">
        <v>43379</v>
      </c>
      <c r="B31" s="66"/>
      <c r="C31" s="20" t="s">
        <v>528</v>
      </c>
      <c r="D31" s="20" t="s">
        <v>943</v>
      </c>
      <c r="E31" s="20" t="s">
        <v>120</v>
      </c>
      <c r="F31" s="21">
        <v>343</v>
      </c>
      <c r="G31" s="21" t="s">
        <v>40</v>
      </c>
      <c r="H31" s="67"/>
      <c r="I31" s="67"/>
      <c r="J31" s="67"/>
      <c r="K31" s="67">
        <v>38</v>
      </c>
      <c r="L31" s="68"/>
      <c r="M31" s="69">
        <f t="shared" si="0"/>
        <v>33.928571428571423</v>
      </c>
      <c r="N31" s="69">
        <f t="shared" si="1"/>
        <v>4.0714285714285703</v>
      </c>
      <c r="O31" s="69">
        <f t="shared" si="2"/>
        <v>0</v>
      </c>
      <c r="P31" s="69"/>
      <c r="Q31" s="69">
        <v>33.93</v>
      </c>
      <c r="R31" s="69"/>
      <c r="S31" s="69"/>
      <c r="T31" s="70"/>
      <c r="U31" s="70"/>
      <c r="V31" s="70"/>
      <c r="W31" s="70"/>
      <c r="X31" s="70"/>
      <c r="Y31" s="69"/>
      <c r="Z31" s="69"/>
      <c r="AA31" s="69"/>
      <c r="AB31" s="69"/>
      <c r="AC31" s="70"/>
      <c r="AD31" s="70"/>
      <c r="AE31" s="71"/>
      <c r="AF31" s="71"/>
      <c r="AG31" s="69">
        <f t="shared" si="3"/>
        <v>-38.001428571428569</v>
      </c>
      <c r="AH31" s="29">
        <f t="shared" si="4"/>
        <v>-1.4285714285691142E-3</v>
      </c>
    </row>
    <row r="32" spans="1:34" s="30" customFormat="1" ht="21.75" customHeight="1" x14ac:dyDescent="0.2">
      <c r="A32" s="18">
        <v>43379</v>
      </c>
      <c r="B32" s="19"/>
      <c r="C32" s="20" t="s">
        <v>705</v>
      </c>
      <c r="D32" s="20" t="s">
        <v>706</v>
      </c>
      <c r="E32" s="20" t="s">
        <v>707</v>
      </c>
      <c r="F32" s="21">
        <v>118948</v>
      </c>
      <c r="G32" s="22" t="s">
        <v>40</v>
      </c>
      <c r="H32" s="23"/>
      <c r="I32" s="23"/>
      <c r="J32" s="23"/>
      <c r="K32" s="23">
        <v>85</v>
      </c>
      <c r="L32" s="24"/>
      <c r="M32" s="69">
        <f t="shared" si="0"/>
        <v>75.892857142857139</v>
      </c>
      <c r="N32" s="69">
        <f t="shared" si="1"/>
        <v>9.1071428571428559</v>
      </c>
      <c r="O32" s="69">
        <f t="shared" si="2"/>
        <v>0</v>
      </c>
      <c r="P32" s="69"/>
      <c r="Q32" s="25">
        <v>75.89</v>
      </c>
      <c r="R32" s="25"/>
      <c r="S32" s="25"/>
      <c r="T32" s="26"/>
      <c r="U32" s="26"/>
      <c r="V32" s="26"/>
      <c r="W32" s="26"/>
      <c r="X32" s="26"/>
      <c r="Y32" s="25"/>
      <c r="Z32" s="25"/>
      <c r="AA32" s="25"/>
      <c r="AB32" s="25"/>
      <c r="AC32" s="26"/>
      <c r="AD32" s="26"/>
      <c r="AE32" s="25"/>
      <c r="AF32" s="25"/>
      <c r="AG32" s="69">
        <f t="shared" si="3"/>
        <v>-84.997142857142862</v>
      </c>
      <c r="AH32" s="29">
        <f t="shared" si="4"/>
        <v>2.8571428571382285E-3</v>
      </c>
    </row>
    <row r="33" spans="1:34" s="72" customFormat="1" ht="24" customHeight="1" x14ac:dyDescent="0.2">
      <c r="A33" s="65">
        <v>43381</v>
      </c>
      <c r="B33" s="66"/>
      <c r="C33" s="20" t="s">
        <v>745</v>
      </c>
      <c r="D33" s="20" t="s">
        <v>812</v>
      </c>
      <c r="E33" s="20" t="s">
        <v>277</v>
      </c>
      <c r="F33" s="21">
        <v>87461</v>
      </c>
      <c r="G33" s="22" t="s">
        <v>944</v>
      </c>
      <c r="H33" s="67"/>
      <c r="I33" s="67"/>
      <c r="J33" s="67"/>
      <c r="K33" s="67">
        <v>152.22</v>
      </c>
      <c r="L33" s="68"/>
      <c r="M33" s="69">
        <f t="shared" si="0"/>
        <v>135.91071428571428</v>
      </c>
      <c r="N33" s="69">
        <f t="shared" si="1"/>
        <v>16.309285714285714</v>
      </c>
      <c r="O33" s="69">
        <f t="shared" si="2"/>
        <v>0</v>
      </c>
      <c r="P33" s="69">
        <v>135.91</v>
      </c>
      <c r="Q33" s="69"/>
      <c r="R33" s="69"/>
      <c r="S33" s="69"/>
      <c r="T33" s="70"/>
      <c r="U33" s="70"/>
      <c r="V33" s="70"/>
      <c r="W33" s="70"/>
      <c r="X33" s="70"/>
      <c r="Y33" s="69"/>
      <c r="Z33" s="69"/>
      <c r="AA33" s="69"/>
      <c r="AB33" s="69"/>
      <c r="AC33" s="70"/>
      <c r="AD33" s="70"/>
      <c r="AE33" s="71"/>
      <c r="AF33" s="71"/>
      <c r="AG33" s="69">
        <f t="shared" si="3"/>
        <v>-152.21928571428572</v>
      </c>
      <c r="AH33" s="29">
        <f t="shared" si="4"/>
        <v>7.142857142810044E-4</v>
      </c>
    </row>
    <row r="34" spans="1:34" s="72" customFormat="1" ht="21" customHeight="1" x14ac:dyDescent="0.2">
      <c r="A34" s="65">
        <v>43381</v>
      </c>
      <c r="B34" s="66"/>
      <c r="C34" s="20" t="s">
        <v>63</v>
      </c>
      <c r="D34" s="20" t="s">
        <v>64</v>
      </c>
      <c r="E34" s="20" t="s">
        <v>120</v>
      </c>
      <c r="F34" s="21">
        <v>148121</v>
      </c>
      <c r="G34" s="22" t="s">
        <v>945</v>
      </c>
      <c r="H34" s="67"/>
      <c r="I34" s="67"/>
      <c r="J34" s="67"/>
      <c r="K34" s="67">
        <v>796.85</v>
      </c>
      <c r="L34" s="68"/>
      <c r="M34" s="69">
        <f t="shared" si="0"/>
        <v>711.47321428571422</v>
      </c>
      <c r="N34" s="69">
        <f t="shared" si="1"/>
        <v>85.376785714285703</v>
      </c>
      <c r="O34" s="69">
        <f t="shared" si="2"/>
        <v>0</v>
      </c>
      <c r="P34" s="69">
        <v>711.47</v>
      </c>
      <c r="Q34" s="69"/>
      <c r="R34" s="69"/>
      <c r="S34" s="69"/>
      <c r="T34" s="70"/>
      <c r="U34" s="70"/>
      <c r="V34" s="70"/>
      <c r="W34" s="70"/>
      <c r="X34" s="70"/>
      <c r="Y34" s="69"/>
      <c r="Z34" s="69"/>
      <c r="AA34" s="69"/>
      <c r="AB34" s="69"/>
      <c r="AC34" s="70"/>
      <c r="AD34" s="70"/>
      <c r="AE34" s="71"/>
      <c r="AF34" s="71"/>
      <c r="AG34" s="69">
        <f t="shared" si="3"/>
        <v>-796.84678571428572</v>
      </c>
      <c r="AH34" s="29">
        <f t="shared" si="4"/>
        <v>3.2142857143071524E-3</v>
      </c>
    </row>
    <row r="35" spans="1:34" s="72" customFormat="1" ht="24" customHeight="1" x14ac:dyDescent="0.2">
      <c r="A35" s="65">
        <v>43381</v>
      </c>
      <c r="B35" s="66"/>
      <c r="C35" s="20" t="s">
        <v>63</v>
      </c>
      <c r="D35" s="20" t="s">
        <v>64</v>
      </c>
      <c r="E35" s="20" t="s">
        <v>120</v>
      </c>
      <c r="F35" s="21">
        <v>175455</v>
      </c>
      <c r="G35" s="22" t="s">
        <v>393</v>
      </c>
      <c r="H35" s="67"/>
      <c r="I35" s="67"/>
      <c r="J35" s="67"/>
      <c r="K35" s="67">
        <v>155.25</v>
      </c>
      <c r="L35" s="68"/>
      <c r="M35" s="69">
        <f t="shared" si="0"/>
        <v>138.61607142857142</v>
      </c>
      <c r="N35" s="69">
        <f t="shared" si="1"/>
        <v>16.633928571428569</v>
      </c>
      <c r="O35" s="69">
        <f t="shared" si="2"/>
        <v>0</v>
      </c>
      <c r="P35" s="69"/>
      <c r="Q35" s="69">
        <v>138.62</v>
      </c>
      <c r="R35" s="69"/>
      <c r="S35" s="69"/>
      <c r="T35" s="70"/>
      <c r="U35" s="70"/>
      <c r="V35" s="70"/>
      <c r="W35" s="70"/>
      <c r="X35" s="70"/>
      <c r="Y35" s="69"/>
      <c r="Z35" s="69"/>
      <c r="AA35" s="69"/>
      <c r="AB35" s="69"/>
      <c r="AC35" s="70"/>
      <c r="AD35" s="70"/>
      <c r="AE35" s="71"/>
      <c r="AF35" s="71"/>
      <c r="AG35" s="69">
        <f t="shared" si="3"/>
        <v>-155.25392857142856</v>
      </c>
      <c r="AH35" s="29">
        <f t="shared" si="4"/>
        <v>-3.9285714285597351E-3</v>
      </c>
    </row>
    <row r="36" spans="1:34" s="72" customFormat="1" ht="24" customHeight="1" x14ac:dyDescent="0.2">
      <c r="A36" s="65">
        <v>43381</v>
      </c>
      <c r="B36" s="66"/>
      <c r="C36" s="20" t="s">
        <v>745</v>
      </c>
      <c r="D36" s="20" t="s">
        <v>812</v>
      </c>
      <c r="E36" s="20" t="s">
        <v>277</v>
      </c>
      <c r="F36" s="21">
        <v>987367</v>
      </c>
      <c r="G36" s="22" t="s">
        <v>82</v>
      </c>
      <c r="H36" s="67"/>
      <c r="I36" s="67"/>
      <c r="J36" s="67"/>
      <c r="K36" s="67">
        <v>195.71</v>
      </c>
      <c r="L36" s="68"/>
      <c r="M36" s="69">
        <f t="shared" si="0"/>
        <v>174.74107142857142</v>
      </c>
      <c r="N36" s="69">
        <f t="shared" si="1"/>
        <v>20.96892857142857</v>
      </c>
      <c r="O36" s="69">
        <f t="shared" si="2"/>
        <v>0</v>
      </c>
      <c r="P36" s="69">
        <v>174.74</v>
      </c>
      <c r="Q36" s="69"/>
      <c r="R36" s="69"/>
      <c r="S36" s="69"/>
      <c r="T36" s="70"/>
      <c r="U36" s="70"/>
      <c r="V36" s="70"/>
      <c r="W36" s="70"/>
      <c r="X36" s="70"/>
      <c r="Y36" s="69"/>
      <c r="Z36" s="69"/>
      <c r="AA36" s="69"/>
      <c r="AB36" s="69"/>
      <c r="AC36" s="70"/>
      <c r="AD36" s="70"/>
      <c r="AE36" s="71"/>
      <c r="AF36" s="71"/>
      <c r="AG36" s="69">
        <f t="shared" si="3"/>
        <v>-195.70892857142857</v>
      </c>
      <c r="AH36" s="29">
        <f t="shared" si="4"/>
        <v>1.0714285714357175E-3</v>
      </c>
    </row>
    <row r="37" spans="1:34" s="72" customFormat="1" ht="24" customHeight="1" x14ac:dyDescent="0.2">
      <c r="A37" s="65">
        <v>43381</v>
      </c>
      <c r="B37" s="66"/>
      <c r="C37" s="20" t="s">
        <v>745</v>
      </c>
      <c r="D37" s="20" t="s">
        <v>812</v>
      </c>
      <c r="E37" s="20" t="s">
        <v>277</v>
      </c>
      <c r="F37" s="21">
        <v>32162</v>
      </c>
      <c r="G37" s="22" t="s">
        <v>485</v>
      </c>
      <c r="H37" s="67"/>
      <c r="I37" s="67"/>
      <c r="J37" s="67"/>
      <c r="K37" s="67">
        <v>256.5</v>
      </c>
      <c r="L37" s="68"/>
      <c r="M37" s="69">
        <f t="shared" ref="M37:M68" si="5">SUM(H37:J37,K37/1.12)</f>
        <v>229.01785714285711</v>
      </c>
      <c r="N37" s="69">
        <f t="shared" ref="N37:N68" si="6">K37/1.12*0.12</f>
        <v>27.482142857142851</v>
      </c>
      <c r="O37" s="69">
        <f t="shared" ref="O37:O68" si="7">-SUM(I37:J37,K37/1.12)*L37</f>
        <v>0</v>
      </c>
      <c r="P37" s="69">
        <v>229.02</v>
      </c>
      <c r="Q37" s="69"/>
      <c r="R37" s="69"/>
      <c r="S37" s="69"/>
      <c r="T37" s="70"/>
      <c r="U37" s="70"/>
      <c r="V37" s="70"/>
      <c r="W37" s="70"/>
      <c r="X37" s="70"/>
      <c r="Y37" s="69"/>
      <c r="Z37" s="69"/>
      <c r="AA37" s="69"/>
      <c r="AB37" s="69"/>
      <c r="AC37" s="70"/>
      <c r="AD37" s="70"/>
      <c r="AE37" s="71"/>
      <c r="AF37" s="71"/>
      <c r="AG37" s="69">
        <f t="shared" ref="AG37:AG68" si="8">-SUM(N37:AF37)</f>
        <v>-256.50214285714287</v>
      </c>
      <c r="AH37" s="29">
        <f t="shared" ref="AH37:AH68" si="9">SUM(H37:K37)+AG37+O37</f>
        <v>-2.1428571428714349E-3</v>
      </c>
    </row>
    <row r="38" spans="1:34" s="72" customFormat="1" ht="24" customHeight="1" x14ac:dyDescent="0.2">
      <c r="A38" s="65">
        <v>43381</v>
      </c>
      <c r="B38" s="66"/>
      <c r="C38" s="20" t="s">
        <v>41</v>
      </c>
      <c r="D38" s="20" t="s">
        <v>88</v>
      </c>
      <c r="E38" s="20" t="s">
        <v>43</v>
      </c>
      <c r="F38" s="21">
        <v>2684</v>
      </c>
      <c r="G38" s="22" t="s">
        <v>392</v>
      </c>
      <c r="H38" s="67"/>
      <c r="I38" s="67"/>
      <c r="J38" s="67">
        <v>1755</v>
      </c>
      <c r="K38" s="67"/>
      <c r="L38" s="68"/>
      <c r="M38" s="69">
        <f t="shared" si="5"/>
        <v>1755</v>
      </c>
      <c r="N38" s="69">
        <f t="shared" si="6"/>
        <v>0</v>
      </c>
      <c r="O38" s="69">
        <f t="shared" si="7"/>
        <v>0</v>
      </c>
      <c r="P38" s="69">
        <v>1755</v>
      </c>
      <c r="Q38" s="69"/>
      <c r="R38" s="69"/>
      <c r="S38" s="69"/>
      <c r="T38" s="70"/>
      <c r="U38" s="70"/>
      <c r="V38" s="70"/>
      <c r="W38" s="70"/>
      <c r="X38" s="70"/>
      <c r="Y38" s="69"/>
      <c r="Z38" s="69"/>
      <c r="AA38" s="69"/>
      <c r="AB38" s="69"/>
      <c r="AC38" s="70"/>
      <c r="AD38" s="70"/>
      <c r="AE38" s="71"/>
      <c r="AF38" s="71"/>
      <c r="AG38" s="69">
        <f t="shared" si="8"/>
        <v>-1755</v>
      </c>
      <c r="AH38" s="29">
        <f t="shared" si="9"/>
        <v>0</v>
      </c>
    </row>
    <row r="39" spans="1:34" s="72" customFormat="1" ht="24" customHeight="1" x14ac:dyDescent="0.2">
      <c r="A39" s="65">
        <v>43381</v>
      </c>
      <c r="B39" s="66"/>
      <c r="C39" s="20" t="s">
        <v>45</v>
      </c>
      <c r="D39" s="20"/>
      <c r="E39" s="20"/>
      <c r="F39" s="21"/>
      <c r="G39" s="22" t="s">
        <v>946</v>
      </c>
      <c r="H39" s="67">
        <v>100</v>
      </c>
      <c r="I39" s="67"/>
      <c r="J39" s="67"/>
      <c r="K39" s="67"/>
      <c r="L39" s="68"/>
      <c r="M39" s="69">
        <f t="shared" si="5"/>
        <v>100</v>
      </c>
      <c r="N39" s="69">
        <f t="shared" si="6"/>
        <v>0</v>
      </c>
      <c r="O39" s="69">
        <f t="shared" si="7"/>
        <v>0</v>
      </c>
      <c r="P39" s="69"/>
      <c r="Q39" s="69"/>
      <c r="R39" s="69"/>
      <c r="S39" s="69"/>
      <c r="T39" s="70"/>
      <c r="U39" s="70"/>
      <c r="V39" s="70"/>
      <c r="W39" s="70"/>
      <c r="X39" s="70"/>
      <c r="Y39" s="69"/>
      <c r="Z39" s="69"/>
      <c r="AA39" s="69">
        <v>100</v>
      </c>
      <c r="AB39" s="69"/>
      <c r="AC39" s="70"/>
      <c r="AD39" s="70"/>
      <c r="AE39" s="71"/>
      <c r="AF39" s="71"/>
      <c r="AG39" s="69">
        <f t="shared" si="8"/>
        <v>-100</v>
      </c>
      <c r="AH39" s="29">
        <f t="shared" si="9"/>
        <v>0</v>
      </c>
    </row>
    <row r="40" spans="1:34" s="30" customFormat="1" ht="21.75" customHeight="1" x14ac:dyDescent="0.2">
      <c r="A40" s="18">
        <v>43381</v>
      </c>
      <c r="B40" s="19"/>
      <c r="C40" s="20" t="s">
        <v>705</v>
      </c>
      <c r="D40" s="20" t="s">
        <v>706</v>
      </c>
      <c r="E40" s="20" t="s">
        <v>707</v>
      </c>
      <c r="F40" s="21">
        <v>135981</v>
      </c>
      <c r="G40" s="22" t="s">
        <v>40</v>
      </c>
      <c r="H40" s="23"/>
      <c r="I40" s="23"/>
      <c r="J40" s="23"/>
      <c r="K40" s="23">
        <v>170</v>
      </c>
      <c r="L40" s="24"/>
      <c r="M40" s="69">
        <f t="shared" si="5"/>
        <v>151.78571428571428</v>
      </c>
      <c r="N40" s="69">
        <f t="shared" si="6"/>
        <v>18.214285714285712</v>
      </c>
      <c r="O40" s="69">
        <f t="shared" si="7"/>
        <v>0</v>
      </c>
      <c r="P40" s="69"/>
      <c r="Q40" s="25">
        <v>151.79</v>
      </c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6"/>
      <c r="AD40" s="26"/>
      <c r="AE40" s="25"/>
      <c r="AF40" s="25"/>
      <c r="AG40" s="69">
        <f t="shared" si="8"/>
        <v>-170.00428571428571</v>
      </c>
      <c r="AH40" s="29">
        <f t="shared" si="9"/>
        <v>-4.2857142857144481E-3</v>
      </c>
    </row>
    <row r="41" spans="1:34" s="30" customFormat="1" ht="21.75" customHeight="1" x14ac:dyDescent="0.2">
      <c r="A41" s="18">
        <v>43382</v>
      </c>
      <c r="B41" s="19"/>
      <c r="C41" s="20" t="s">
        <v>705</v>
      </c>
      <c r="D41" s="20" t="s">
        <v>706</v>
      </c>
      <c r="E41" s="20" t="s">
        <v>707</v>
      </c>
      <c r="F41" s="21">
        <v>135995</v>
      </c>
      <c r="G41" s="22" t="s">
        <v>40</v>
      </c>
      <c r="H41" s="23"/>
      <c r="I41" s="23"/>
      <c r="J41" s="23"/>
      <c r="K41" s="23">
        <v>170</v>
      </c>
      <c r="L41" s="24"/>
      <c r="M41" s="69">
        <f t="shared" si="5"/>
        <v>151.78571428571428</v>
      </c>
      <c r="N41" s="69">
        <f t="shared" si="6"/>
        <v>18.214285714285712</v>
      </c>
      <c r="O41" s="69">
        <f t="shared" si="7"/>
        <v>0</v>
      </c>
      <c r="P41" s="69"/>
      <c r="Q41" s="25">
        <v>151.79</v>
      </c>
      <c r="R41" s="25"/>
      <c r="S41" s="25"/>
      <c r="T41" s="26"/>
      <c r="U41" s="26"/>
      <c r="V41" s="26"/>
      <c r="W41" s="26"/>
      <c r="X41" s="26"/>
      <c r="Y41" s="25"/>
      <c r="Z41" s="25"/>
      <c r="AA41" s="25"/>
      <c r="AB41" s="25"/>
      <c r="AC41" s="26"/>
      <c r="AD41" s="26"/>
      <c r="AE41" s="25"/>
      <c r="AF41" s="25"/>
      <c r="AG41" s="69">
        <f t="shared" si="8"/>
        <v>-170.00428571428571</v>
      </c>
      <c r="AH41" s="29">
        <f t="shared" si="9"/>
        <v>-4.2857142857144481E-3</v>
      </c>
    </row>
    <row r="42" spans="1:34" s="30" customFormat="1" ht="21.75" customHeight="1" x14ac:dyDescent="0.2">
      <c r="A42" s="18">
        <v>43382</v>
      </c>
      <c r="B42" s="19"/>
      <c r="C42" s="20" t="s">
        <v>96</v>
      </c>
      <c r="D42" s="20"/>
      <c r="E42" s="20"/>
      <c r="F42" s="21"/>
      <c r="G42" s="22" t="s">
        <v>82</v>
      </c>
      <c r="H42" s="23"/>
      <c r="I42" s="23"/>
      <c r="J42" s="23">
        <v>170</v>
      </c>
      <c r="K42" s="23"/>
      <c r="L42" s="24"/>
      <c r="M42" s="69">
        <f t="shared" si="5"/>
        <v>170</v>
      </c>
      <c r="N42" s="69">
        <f t="shared" si="6"/>
        <v>0</v>
      </c>
      <c r="O42" s="69">
        <f t="shared" si="7"/>
        <v>0</v>
      </c>
      <c r="P42" s="69">
        <v>170</v>
      </c>
      <c r="Q42" s="25"/>
      <c r="R42" s="25"/>
      <c r="S42" s="25"/>
      <c r="T42" s="26"/>
      <c r="U42" s="26"/>
      <c r="V42" s="26"/>
      <c r="W42" s="26"/>
      <c r="X42" s="26"/>
      <c r="Y42" s="25"/>
      <c r="Z42" s="25"/>
      <c r="AA42" s="25"/>
      <c r="AB42" s="25"/>
      <c r="AC42" s="26"/>
      <c r="AD42" s="26"/>
      <c r="AE42" s="25"/>
      <c r="AF42" s="25"/>
      <c r="AG42" s="69">
        <f t="shared" si="8"/>
        <v>-170</v>
      </c>
      <c r="AH42" s="29">
        <f t="shared" si="9"/>
        <v>0</v>
      </c>
    </row>
    <row r="43" spans="1:34" s="30" customFormat="1" ht="21.75" customHeight="1" x14ac:dyDescent="0.2">
      <c r="A43" s="18">
        <v>43382</v>
      </c>
      <c r="B43" s="19"/>
      <c r="C43" s="20" t="s">
        <v>59</v>
      </c>
      <c r="D43" s="20" t="s">
        <v>872</v>
      </c>
      <c r="E43" s="20" t="s">
        <v>120</v>
      </c>
      <c r="F43" s="21">
        <v>703120</v>
      </c>
      <c r="G43" s="22" t="s">
        <v>947</v>
      </c>
      <c r="H43" s="23"/>
      <c r="I43" s="23"/>
      <c r="J43" s="23"/>
      <c r="K43" s="23">
        <v>52.5</v>
      </c>
      <c r="L43" s="24"/>
      <c r="M43" s="69">
        <f t="shared" si="5"/>
        <v>46.874999999999993</v>
      </c>
      <c r="N43" s="69">
        <f t="shared" si="6"/>
        <v>5.6249999999999991</v>
      </c>
      <c r="O43" s="69">
        <f t="shared" si="7"/>
        <v>0</v>
      </c>
      <c r="P43" s="69"/>
      <c r="Q43" s="25"/>
      <c r="R43" s="25"/>
      <c r="S43" s="25"/>
      <c r="T43" s="26"/>
      <c r="U43" s="26"/>
      <c r="V43" s="26"/>
      <c r="W43" s="26"/>
      <c r="X43" s="26"/>
      <c r="Y43" s="25"/>
      <c r="Z43" s="25">
        <v>46.88</v>
      </c>
      <c r="AA43" s="25"/>
      <c r="AB43" s="25"/>
      <c r="AC43" s="26"/>
      <c r="AD43" s="26"/>
      <c r="AE43" s="25"/>
      <c r="AF43" s="25"/>
      <c r="AG43" s="69">
        <f t="shared" si="8"/>
        <v>-52.505000000000003</v>
      </c>
      <c r="AH43" s="29">
        <f t="shared" si="9"/>
        <v>-5.000000000002558E-3</v>
      </c>
    </row>
    <row r="44" spans="1:34" s="30" customFormat="1" ht="21.75" customHeight="1" x14ac:dyDescent="0.2">
      <c r="A44" s="18">
        <v>43382</v>
      </c>
      <c r="B44" s="19"/>
      <c r="C44" s="20" t="s">
        <v>59</v>
      </c>
      <c r="D44" s="20" t="s">
        <v>872</v>
      </c>
      <c r="E44" s="20" t="s">
        <v>120</v>
      </c>
      <c r="F44" s="21">
        <v>703120</v>
      </c>
      <c r="G44" s="22" t="s">
        <v>243</v>
      </c>
      <c r="H44" s="23"/>
      <c r="I44" s="23"/>
      <c r="J44" s="23"/>
      <c r="K44" s="23">
        <v>430</v>
      </c>
      <c r="L44" s="24"/>
      <c r="M44" s="69">
        <f t="shared" si="5"/>
        <v>383.92857142857139</v>
      </c>
      <c r="N44" s="69">
        <f t="shared" si="6"/>
        <v>46.071428571428562</v>
      </c>
      <c r="O44" s="69">
        <f t="shared" si="7"/>
        <v>0</v>
      </c>
      <c r="P44" s="69"/>
      <c r="Q44" s="25"/>
      <c r="R44" s="25"/>
      <c r="S44" s="25"/>
      <c r="T44" s="26">
        <v>383.93</v>
      </c>
      <c r="U44" s="26"/>
      <c r="V44" s="26"/>
      <c r="W44" s="26"/>
      <c r="X44" s="26"/>
      <c r="Y44" s="25"/>
      <c r="Z44" s="25"/>
      <c r="AA44" s="25"/>
      <c r="AB44" s="25"/>
      <c r="AC44" s="26"/>
      <c r="AD44" s="26"/>
      <c r="AE44" s="25"/>
      <c r="AF44" s="25"/>
      <c r="AG44" s="69">
        <f t="shared" si="8"/>
        <v>-430.00142857142856</v>
      </c>
      <c r="AH44" s="29">
        <f t="shared" si="9"/>
        <v>-1.4285714285620088E-3</v>
      </c>
    </row>
    <row r="45" spans="1:34" s="72" customFormat="1" ht="21" customHeight="1" x14ac:dyDescent="0.2">
      <c r="A45" s="65">
        <v>43382</v>
      </c>
      <c r="B45" s="66"/>
      <c r="C45" s="20" t="s">
        <v>63</v>
      </c>
      <c r="D45" s="20" t="s">
        <v>64</v>
      </c>
      <c r="E45" s="20" t="s">
        <v>120</v>
      </c>
      <c r="F45" s="21">
        <v>130451</v>
      </c>
      <c r="G45" s="22" t="s">
        <v>948</v>
      </c>
      <c r="H45" s="67"/>
      <c r="I45" s="67"/>
      <c r="J45" s="67">
        <v>500.95</v>
      </c>
      <c r="K45" s="67"/>
      <c r="L45" s="68"/>
      <c r="M45" s="69">
        <f t="shared" si="5"/>
        <v>500.95</v>
      </c>
      <c r="N45" s="69">
        <f t="shared" si="6"/>
        <v>0</v>
      </c>
      <c r="O45" s="69">
        <f t="shared" si="7"/>
        <v>0</v>
      </c>
      <c r="P45" s="69">
        <v>500.95</v>
      </c>
      <c r="Q45" s="69"/>
      <c r="R45" s="69"/>
      <c r="S45" s="69"/>
      <c r="T45" s="70"/>
      <c r="U45" s="70"/>
      <c r="V45" s="70"/>
      <c r="W45" s="70"/>
      <c r="X45" s="70"/>
      <c r="Y45" s="69"/>
      <c r="Z45" s="69"/>
      <c r="AA45" s="69"/>
      <c r="AB45" s="69"/>
      <c r="AC45" s="70"/>
      <c r="AD45" s="70"/>
      <c r="AE45" s="71"/>
      <c r="AF45" s="71"/>
      <c r="AG45" s="69">
        <f t="shared" si="8"/>
        <v>-500.95</v>
      </c>
      <c r="AH45" s="29">
        <f t="shared" si="9"/>
        <v>0</v>
      </c>
    </row>
    <row r="46" spans="1:34" s="72" customFormat="1" ht="24" customHeight="1" x14ac:dyDescent="0.2">
      <c r="A46" s="65">
        <v>43382</v>
      </c>
      <c r="B46" s="66"/>
      <c r="C46" s="20" t="s">
        <v>63</v>
      </c>
      <c r="D46" s="20" t="s">
        <v>64</v>
      </c>
      <c r="E46" s="20" t="s">
        <v>120</v>
      </c>
      <c r="F46" s="21">
        <v>130451</v>
      </c>
      <c r="G46" s="22" t="s">
        <v>949</v>
      </c>
      <c r="H46" s="67"/>
      <c r="I46" s="67"/>
      <c r="J46" s="67"/>
      <c r="K46" s="67">
        <f>498.79+59.86</f>
        <v>558.65</v>
      </c>
      <c r="L46" s="68"/>
      <c r="M46" s="69">
        <f t="shared" si="5"/>
        <v>498.79464285714278</v>
      </c>
      <c r="N46" s="69">
        <f t="shared" si="6"/>
        <v>59.85535714285713</v>
      </c>
      <c r="O46" s="69">
        <f t="shared" si="7"/>
        <v>0</v>
      </c>
      <c r="P46" s="69">
        <v>498.79</v>
      </c>
      <c r="Q46" s="69"/>
      <c r="R46" s="69"/>
      <c r="S46" s="69"/>
      <c r="T46" s="70"/>
      <c r="U46" s="70"/>
      <c r="V46" s="70"/>
      <c r="W46" s="70"/>
      <c r="X46" s="70"/>
      <c r="Y46" s="69"/>
      <c r="Z46" s="69"/>
      <c r="AA46" s="69"/>
      <c r="AB46" s="69"/>
      <c r="AC46" s="70"/>
      <c r="AD46" s="70"/>
      <c r="AE46" s="71"/>
      <c r="AF46" s="71"/>
      <c r="AG46" s="69">
        <f t="shared" si="8"/>
        <v>-558.64535714285716</v>
      </c>
      <c r="AH46" s="29">
        <f t="shared" si="9"/>
        <v>4.6428571428123178E-3</v>
      </c>
    </row>
    <row r="47" spans="1:34" s="72" customFormat="1" ht="21" customHeight="1" x14ac:dyDescent="0.2">
      <c r="A47" s="65">
        <v>43383</v>
      </c>
      <c r="B47" s="66"/>
      <c r="C47" s="20" t="s">
        <v>924</v>
      </c>
      <c r="D47" s="20"/>
      <c r="E47" s="20"/>
      <c r="F47" s="21"/>
      <c r="G47" s="22" t="s">
        <v>950</v>
      </c>
      <c r="H47" s="67"/>
      <c r="I47" s="67"/>
      <c r="J47" s="67">
        <v>1123</v>
      </c>
      <c r="K47" s="67"/>
      <c r="L47" s="68"/>
      <c r="M47" s="69">
        <f t="shared" si="5"/>
        <v>1123</v>
      </c>
      <c r="N47" s="69">
        <f t="shared" si="6"/>
        <v>0</v>
      </c>
      <c r="O47" s="69">
        <f t="shared" si="7"/>
        <v>0</v>
      </c>
      <c r="P47" s="69">
        <v>1123</v>
      </c>
      <c r="Q47" s="69"/>
      <c r="R47" s="69"/>
      <c r="S47" s="69"/>
      <c r="T47" s="70"/>
      <c r="U47" s="70"/>
      <c r="V47" s="70"/>
      <c r="W47" s="70"/>
      <c r="X47" s="70"/>
      <c r="Y47" s="69"/>
      <c r="Z47" s="69"/>
      <c r="AA47" s="69"/>
      <c r="AB47" s="69"/>
      <c r="AC47" s="70"/>
      <c r="AD47" s="70"/>
      <c r="AE47" s="71"/>
      <c r="AF47" s="71"/>
      <c r="AG47" s="69">
        <f t="shared" si="8"/>
        <v>-1123</v>
      </c>
      <c r="AH47" s="29">
        <f t="shared" si="9"/>
        <v>0</v>
      </c>
    </row>
    <row r="48" spans="1:34" s="81" customFormat="1" ht="21" customHeight="1" x14ac:dyDescent="0.2">
      <c r="A48" s="74">
        <v>43383</v>
      </c>
      <c r="B48" s="75"/>
      <c r="C48" s="36" t="s">
        <v>45</v>
      </c>
      <c r="D48" s="36"/>
      <c r="E48" s="36"/>
      <c r="F48" s="37"/>
      <c r="G48" s="38" t="s">
        <v>951</v>
      </c>
      <c r="H48" s="76">
        <v>50</v>
      </c>
      <c r="I48" s="76"/>
      <c r="J48" s="76"/>
      <c r="K48" s="76"/>
      <c r="L48" s="77"/>
      <c r="M48" s="78">
        <f t="shared" si="5"/>
        <v>50</v>
      </c>
      <c r="N48" s="78">
        <f t="shared" si="6"/>
        <v>0</v>
      </c>
      <c r="O48" s="78">
        <f t="shared" si="7"/>
        <v>0</v>
      </c>
      <c r="P48" s="78"/>
      <c r="Q48" s="78"/>
      <c r="R48" s="78"/>
      <c r="S48" s="78"/>
      <c r="T48" s="79"/>
      <c r="U48" s="79"/>
      <c r="V48" s="79"/>
      <c r="W48" s="79"/>
      <c r="X48" s="79"/>
      <c r="Y48" s="78"/>
      <c r="Z48" s="78"/>
      <c r="AA48" s="78">
        <v>50</v>
      </c>
      <c r="AB48" s="78"/>
      <c r="AC48" s="79"/>
      <c r="AD48" s="79"/>
      <c r="AE48" s="80"/>
      <c r="AF48" s="80"/>
      <c r="AG48" s="78">
        <f t="shared" si="8"/>
        <v>-50</v>
      </c>
      <c r="AH48" s="45">
        <f t="shared" si="9"/>
        <v>0</v>
      </c>
    </row>
    <row r="49" spans="1:34" s="30" customFormat="1" ht="21.75" customHeight="1" x14ac:dyDescent="0.2">
      <c r="A49" s="18">
        <v>43383</v>
      </c>
      <c r="B49" s="19"/>
      <c r="C49" s="20" t="s">
        <v>705</v>
      </c>
      <c r="D49" s="20" t="s">
        <v>706</v>
      </c>
      <c r="E49" s="20" t="s">
        <v>707</v>
      </c>
      <c r="F49" s="21">
        <v>129676</v>
      </c>
      <c r="G49" s="22" t="s">
        <v>40</v>
      </c>
      <c r="H49" s="23"/>
      <c r="I49" s="23"/>
      <c r="J49" s="23"/>
      <c r="K49" s="23">
        <v>170</v>
      </c>
      <c r="L49" s="24"/>
      <c r="M49" s="69">
        <f t="shared" si="5"/>
        <v>151.78571428571428</v>
      </c>
      <c r="N49" s="69">
        <f t="shared" si="6"/>
        <v>18.214285714285712</v>
      </c>
      <c r="O49" s="69">
        <f t="shared" si="7"/>
        <v>0</v>
      </c>
      <c r="P49" s="69"/>
      <c r="Q49" s="25">
        <v>151.79</v>
      </c>
      <c r="R49" s="25"/>
      <c r="S49" s="25"/>
      <c r="T49" s="26"/>
      <c r="U49" s="26"/>
      <c r="V49" s="26"/>
      <c r="W49" s="26"/>
      <c r="X49" s="26"/>
      <c r="Y49" s="25"/>
      <c r="Z49" s="25"/>
      <c r="AA49" s="25"/>
      <c r="AB49" s="25"/>
      <c r="AC49" s="26"/>
      <c r="AD49" s="26"/>
      <c r="AE49" s="25"/>
      <c r="AF49" s="25"/>
      <c r="AG49" s="69">
        <f t="shared" si="8"/>
        <v>-170.00428571428571</v>
      </c>
      <c r="AH49" s="29">
        <f t="shared" si="9"/>
        <v>-4.2857142857144481E-3</v>
      </c>
    </row>
    <row r="50" spans="1:34" s="30" customFormat="1" ht="21.75" customHeight="1" x14ac:dyDescent="0.2">
      <c r="A50" s="18">
        <v>43384</v>
      </c>
      <c r="B50" s="19"/>
      <c r="C50" s="20" t="s">
        <v>202</v>
      </c>
      <c r="D50" s="20" t="s">
        <v>76</v>
      </c>
      <c r="E50" s="20" t="s">
        <v>120</v>
      </c>
      <c r="F50" s="21">
        <v>56031</v>
      </c>
      <c r="G50" s="22" t="s">
        <v>451</v>
      </c>
      <c r="H50" s="23"/>
      <c r="I50" s="23"/>
      <c r="J50" s="23"/>
      <c r="K50" s="23">
        <v>684.16</v>
      </c>
      <c r="L50" s="24"/>
      <c r="M50" s="69">
        <f t="shared" si="5"/>
        <v>610.85714285714278</v>
      </c>
      <c r="N50" s="69">
        <f t="shared" si="6"/>
        <v>73.302857142857135</v>
      </c>
      <c r="O50" s="69">
        <f t="shared" si="7"/>
        <v>0</v>
      </c>
      <c r="P50" s="69">
        <v>610.86</v>
      </c>
      <c r="Q50" s="25"/>
      <c r="R50" s="25"/>
      <c r="S50" s="25"/>
      <c r="T50" s="26"/>
      <c r="U50" s="26"/>
      <c r="V50" s="26"/>
      <c r="W50" s="26"/>
      <c r="X50" s="26"/>
      <c r="Y50" s="25"/>
      <c r="Z50" s="25"/>
      <c r="AA50" s="25"/>
      <c r="AB50" s="25"/>
      <c r="AC50" s="26"/>
      <c r="AD50" s="26"/>
      <c r="AE50" s="25"/>
      <c r="AF50" s="25"/>
      <c r="AG50" s="69">
        <f t="shared" si="8"/>
        <v>-684.16285714285709</v>
      </c>
      <c r="AH50" s="29">
        <f t="shared" si="9"/>
        <v>-2.8571428571240176E-3</v>
      </c>
    </row>
    <row r="51" spans="1:34" s="30" customFormat="1" ht="21.75" customHeight="1" x14ac:dyDescent="0.2">
      <c r="A51" s="18">
        <v>43384</v>
      </c>
      <c r="B51" s="19"/>
      <c r="C51" s="20" t="s">
        <v>705</v>
      </c>
      <c r="D51" s="20" t="s">
        <v>706</v>
      </c>
      <c r="E51" s="20" t="s">
        <v>707</v>
      </c>
      <c r="F51" s="21">
        <v>129569</v>
      </c>
      <c r="G51" s="22" t="s">
        <v>40</v>
      </c>
      <c r="H51" s="23"/>
      <c r="I51" s="23"/>
      <c r="J51" s="23"/>
      <c r="K51" s="23">
        <v>170</v>
      </c>
      <c r="L51" s="24"/>
      <c r="M51" s="69">
        <f t="shared" si="5"/>
        <v>151.78571428571428</v>
      </c>
      <c r="N51" s="69">
        <f t="shared" si="6"/>
        <v>18.214285714285712</v>
      </c>
      <c r="O51" s="69">
        <f t="shared" si="7"/>
        <v>0</v>
      </c>
      <c r="P51" s="69"/>
      <c r="Q51" s="25">
        <v>151.79</v>
      </c>
      <c r="R51" s="25"/>
      <c r="S51" s="25"/>
      <c r="T51" s="26"/>
      <c r="U51" s="26"/>
      <c r="V51" s="26"/>
      <c r="W51" s="26"/>
      <c r="X51" s="26"/>
      <c r="Y51" s="25"/>
      <c r="Z51" s="25"/>
      <c r="AA51" s="25"/>
      <c r="AB51" s="25"/>
      <c r="AC51" s="26"/>
      <c r="AD51" s="26"/>
      <c r="AE51" s="25"/>
      <c r="AF51" s="25"/>
      <c r="AG51" s="69">
        <f t="shared" si="8"/>
        <v>-170.00428571428571</v>
      </c>
      <c r="AH51" s="29">
        <f t="shared" si="9"/>
        <v>-4.2857142857144481E-3</v>
      </c>
    </row>
    <row r="52" spans="1:34" s="30" customFormat="1" ht="21.75" customHeight="1" x14ac:dyDescent="0.2">
      <c r="A52" s="18">
        <v>43385</v>
      </c>
      <c r="B52" s="19"/>
      <c r="C52" s="20" t="s">
        <v>63</v>
      </c>
      <c r="D52" s="20" t="s">
        <v>64</v>
      </c>
      <c r="E52" s="20" t="s">
        <v>120</v>
      </c>
      <c r="F52" s="21">
        <v>176560</v>
      </c>
      <c r="G52" s="22" t="s">
        <v>952</v>
      </c>
      <c r="H52" s="23"/>
      <c r="I52" s="23"/>
      <c r="J52" s="23"/>
      <c r="K52" s="23">
        <v>91.55</v>
      </c>
      <c r="L52" s="24"/>
      <c r="M52" s="69">
        <f t="shared" si="5"/>
        <v>81.741071428571416</v>
      </c>
      <c r="N52" s="69">
        <f t="shared" si="6"/>
        <v>9.8089285714285701</v>
      </c>
      <c r="O52" s="69">
        <f t="shared" si="7"/>
        <v>0</v>
      </c>
      <c r="P52" s="69">
        <v>81.739999999999995</v>
      </c>
      <c r="Q52" s="25"/>
      <c r="R52" s="25"/>
      <c r="S52" s="25"/>
      <c r="T52" s="26"/>
      <c r="U52" s="26"/>
      <c r="V52" s="26"/>
      <c r="W52" s="26"/>
      <c r="X52" s="26"/>
      <c r="Y52" s="25"/>
      <c r="Z52" s="25"/>
      <c r="AA52" s="25"/>
      <c r="AB52" s="25"/>
      <c r="AC52" s="26"/>
      <c r="AD52" s="26"/>
      <c r="AE52" s="25"/>
      <c r="AF52" s="25"/>
      <c r="AG52" s="69">
        <f t="shared" si="8"/>
        <v>-91.548928571428561</v>
      </c>
      <c r="AH52" s="29">
        <f t="shared" si="9"/>
        <v>1.0714285714357175E-3</v>
      </c>
    </row>
    <row r="53" spans="1:34" s="30" customFormat="1" ht="21.75" customHeight="1" x14ac:dyDescent="0.2">
      <c r="A53" s="18">
        <v>43385</v>
      </c>
      <c r="B53" s="19"/>
      <c r="C53" s="20" t="s">
        <v>63</v>
      </c>
      <c r="D53" s="20" t="s">
        <v>64</v>
      </c>
      <c r="E53" s="20" t="s">
        <v>120</v>
      </c>
      <c r="F53" s="21">
        <v>176558</v>
      </c>
      <c r="G53" s="22" t="s">
        <v>953</v>
      </c>
      <c r="H53" s="23"/>
      <c r="I53" s="23"/>
      <c r="J53" s="23">
        <v>400.25</v>
      </c>
      <c r="K53" s="23"/>
      <c r="L53" s="24"/>
      <c r="M53" s="69">
        <f t="shared" si="5"/>
        <v>400.25</v>
      </c>
      <c r="N53" s="69">
        <f t="shared" si="6"/>
        <v>0</v>
      </c>
      <c r="O53" s="69">
        <f t="shared" si="7"/>
        <v>0</v>
      </c>
      <c r="P53" s="69">
        <v>400.25</v>
      </c>
      <c r="Q53" s="25"/>
      <c r="R53" s="25"/>
      <c r="S53" s="25"/>
      <c r="T53" s="26"/>
      <c r="U53" s="26"/>
      <c r="V53" s="26"/>
      <c r="W53" s="26"/>
      <c r="X53" s="26"/>
      <c r="Y53" s="25"/>
      <c r="Z53" s="25"/>
      <c r="AA53" s="25"/>
      <c r="AB53" s="25"/>
      <c r="AC53" s="26"/>
      <c r="AD53" s="26"/>
      <c r="AE53" s="25"/>
      <c r="AF53" s="25"/>
      <c r="AG53" s="69">
        <f t="shared" si="8"/>
        <v>-400.25</v>
      </c>
      <c r="AH53" s="29">
        <f t="shared" si="9"/>
        <v>0</v>
      </c>
    </row>
    <row r="54" spans="1:34" s="30" customFormat="1" ht="21.75" customHeight="1" x14ac:dyDescent="0.2">
      <c r="A54" s="18">
        <v>43385</v>
      </c>
      <c r="B54" s="19"/>
      <c r="C54" s="20" t="s">
        <v>63</v>
      </c>
      <c r="D54" s="20" t="s">
        <v>64</v>
      </c>
      <c r="E54" s="20" t="s">
        <v>120</v>
      </c>
      <c r="F54" s="21">
        <v>176558</v>
      </c>
      <c r="G54" s="22" t="s">
        <v>954</v>
      </c>
      <c r="H54" s="23"/>
      <c r="I54" s="23"/>
      <c r="J54" s="23"/>
      <c r="K54" s="23">
        <f>465.76+55.89</f>
        <v>521.65</v>
      </c>
      <c r="L54" s="24"/>
      <c r="M54" s="69">
        <f t="shared" si="5"/>
        <v>465.7589285714285</v>
      </c>
      <c r="N54" s="69">
        <f t="shared" si="6"/>
        <v>55.891071428571415</v>
      </c>
      <c r="O54" s="69">
        <f t="shared" si="7"/>
        <v>0</v>
      </c>
      <c r="P54" s="69">
        <v>465.76</v>
      </c>
      <c r="Q54" s="25"/>
      <c r="R54" s="25"/>
      <c r="S54" s="25"/>
      <c r="T54" s="26"/>
      <c r="U54" s="26"/>
      <c r="V54" s="26"/>
      <c r="W54" s="26"/>
      <c r="X54" s="26"/>
      <c r="Y54" s="25"/>
      <c r="Z54" s="25"/>
      <c r="AA54" s="25"/>
      <c r="AB54" s="25"/>
      <c r="AC54" s="26"/>
      <c r="AD54" s="26"/>
      <c r="AE54" s="25"/>
      <c r="AF54" s="25"/>
      <c r="AG54" s="69">
        <f t="shared" si="8"/>
        <v>-521.65107142857141</v>
      </c>
      <c r="AH54" s="29">
        <f t="shared" si="9"/>
        <v>-1.0714285714357175E-3</v>
      </c>
    </row>
    <row r="55" spans="1:34" s="30" customFormat="1" ht="21.75" customHeight="1" x14ac:dyDescent="0.2">
      <c r="A55" s="18">
        <v>43385</v>
      </c>
      <c r="B55" s="19"/>
      <c r="C55" s="20" t="s">
        <v>705</v>
      </c>
      <c r="D55" s="20" t="s">
        <v>706</v>
      </c>
      <c r="E55" s="20" t="s">
        <v>707</v>
      </c>
      <c r="F55" s="21">
        <v>134714</v>
      </c>
      <c r="G55" s="22" t="s">
        <v>40</v>
      </c>
      <c r="H55" s="23"/>
      <c r="I55" s="23"/>
      <c r="J55" s="23"/>
      <c r="K55" s="23">
        <v>170</v>
      </c>
      <c r="L55" s="24"/>
      <c r="M55" s="69">
        <f t="shared" si="5"/>
        <v>151.78571428571428</v>
      </c>
      <c r="N55" s="69">
        <f t="shared" si="6"/>
        <v>18.214285714285712</v>
      </c>
      <c r="O55" s="69">
        <f t="shared" si="7"/>
        <v>0</v>
      </c>
      <c r="P55" s="69"/>
      <c r="Q55" s="25">
        <v>151.79</v>
      </c>
      <c r="R55" s="25"/>
      <c r="S55" s="25"/>
      <c r="T55" s="26"/>
      <c r="U55" s="26"/>
      <c r="V55" s="26"/>
      <c r="W55" s="26"/>
      <c r="X55" s="26"/>
      <c r="Y55" s="25"/>
      <c r="Z55" s="25"/>
      <c r="AA55" s="25"/>
      <c r="AB55" s="25"/>
      <c r="AC55" s="26"/>
      <c r="AD55" s="26"/>
      <c r="AE55" s="25"/>
      <c r="AF55" s="25"/>
      <c r="AG55" s="69">
        <f t="shared" si="8"/>
        <v>-170.00428571428571</v>
      </c>
      <c r="AH55" s="29">
        <f t="shared" si="9"/>
        <v>-4.2857142857144481E-3</v>
      </c>
    </row>
    <row r="56" spans="1:34" s="30" customFormat="1" ht="21.75" customHeight="1" x14ac:dyDescent="0.2">
      <c r="A56" s="18">
        <v>43385</v>
      </c>
      <c r="B56" s="19"/>
      <c r="C56" s="58" t="s">
        <v>955</v>
      </c>
      <c r="D56" s="20" t="s">
        <v>956</v>
      </c>
      <c r="E56" s="20" t="s">
        <v>120</v>
      </c>
      <c r="F56" s="21">
        <v>42186</v>
      </c>
      <c r="G56" s="22" t="s">
        <v>957</v>
      </c>
      <c r="H56" s="23"/>
      <c r="I56" s="23"/>
      <c r="J56" s="23"/>
      <c r="K56" s="23">
        <v>1500</v>
      </c>
      <c r="L56" s="24">
        <v>0.02</v>
      </c>
      <c r="M56" s="69">
        <f t="shared" si="5"/>
        <v>1339.2857142857142</v>
      </c>
      <c r="N56" s="69">
        <f t="shared" si="6"/>
        <v>160.71428571428569</v>
      </c>
      <c r="O56" s="69">
        <f t="shared" si="7"/>
        <v>-26.785714285714285</v>
      </c>
      <c r="P56" s="69"/>
      <c r="Q56" s="25"/>
      <c r="R56" s="25"/>
      <c r="S56" s="25"/>
      <c r="T56" s="26"/>
      <c r="U56" s="26"/>
      <c r="V56" s="26"/>
      <c r="W56" s="26"/>
      <c r="X56" s="26"/>
      <c r="Y56" s="25">
        <v>1339.29</v>
      </c>
      <c r="Z56" s="25"/>
      <c r="AA56" s="25"/>
      <c r="AB56" s="25"/>
      <c r="AC56" s="26"/>
      <c r="AD56" s="26"/>
      <c r="AE56" s="25"/>
      <c r="AF56" s="25"/>
      <c r="AG56" s="69">
        <f t="shared" si="8"/>
        <v>-1473.2185714285713</v>
      </c>
      <c r="AH56" s="29">
        <f t="shared" si="9"/>
        <v>-4.285714285579445E-3</v>
      </c>
    </row>
    <row r="57" spans="1:34" s="30" customFormat="1" ht="21.75" customHeight="1" x14ac:dyDescent="0.2">
      <c r="A57" s="18">
        <v>43385</v>
      </c>
      <c r="B57" s="19"/>
      <c r="C57" s="20" t="s">
        <v>614</v>
      </c>
      <c r="D57" s="20"/>
      <c r="E57" s="20"/>
      <c r="F57" s="21"/>
      <c r="G57" s="22" t="s">
        <v>958</v>
      </c>
      <c r="H57" s="23">
        <v>502</v>
      </c>
      <c r="I57" s="23"/>
      <c r="J57" s="23"/>
      <c r="K57" s="23"/>
      <c r="L57" s="24"/>
      <c r="M57" s="69">
        <f t="shared" si="5"/>
        <v>502</v>
      </c>
      <c r="N57" s="69">
        <f t="shared" si="6"/>
        <v>0</v>
      </c>
      <c r="O57" s="69">
        <f t="shared" si="7"/>
        <v>0</v>
      </c>
      <c r="P57" s="69"/>
      <c r="Q57" s="69"/>
      <c r="R57" s="69"/>
      <c r="S57" s="69"/>
      <c r="T57" s="70"/>
      <c r="U57" s="70"/>
      <c r="V57" s="70"/>
      <c r="W57" s="70"/>
      <c r="X57" s="70"/>
      <c r="Y57" s="69"/>
      <c r="Z57" s="69"/>
      <c r="AA57" s="69"/>
      <c r="AB57" s="69">
        <v>502</v>
      </c>
      <c r="AC57" s="70"/>
      <c r="AD57" s="70"/>
      <c r="AE57" s="71"/>
      <c r="AF57" s="71"/>
      <c r="AG57" s="69">
        <f t="shared" si="8"/>
        <v>-502</v>
      </c>
      <c r="AH57" s="29">
        <f t="shared" si="9"/>
        <v>0</v>
      </c>
    </row>
    <row r="58" spans="1:34" s="30" customFormat="1" ht="21.75" customHeight="1" x14ac:dyDescent="0.2">
      <c r="A58" s="18">
        <v>43385</v>
      </c>
      <c r="B58" s="19"/>
      <c r="C58" s="20" t="s">
        <v>924</v>
      </c>
      <c r="D58" s="20"/>
      <c r="E58" s="20"/>
      <c r="F58" s="21"/>
      <c r="G58" s="22" t="s">
        <v>959</v>
      </c>
      <c r="H58" s="23"/>
      <c r="I58" s="23"/>
      <c r="J58" s="23">
        <v>1605</v>
      </c>
      <c r="K58" s="23"/>
      <c r="L58" s="24"/>
      <c r="M58" s="69">
        <f t="shared" si="5"/>
        <v>1605</v>
      </c>
      <c r="N58" s="69">
        <f t="shared" si="6"/>
        <v>0</v>
      </c>
      <c r="O58" s="69">
        <f t="shared" si="7"/>
        <v>0</v>
      </c>
      <c r="P58" s="69">
        <v>1605</v>
      </c>
      <c r="Q58" s="25"/>
      <c r="R58" s="25"/>
      <c r="S58" s="25"/>
      <c r="T58" s="26"/>
      <c r="U58" s="26"/>
      <c r="V58" s="26"/>
      <c r="W58" s="26"/>
      <c r="X58" s="26"/>
      <c r="Y58" s="25"/>
      <c r="Z58" s="25"/>
      <c r="AA58" s="25"/>
      <c r="AB58" s="25"/>
      <c r="AC58" s="26"/>
      <c r="AD58" s="26"/>
      <c r="AE58" s="25"/>
      <c r="AF58" s="25"/>
      <c r="AG58" s="69">
        <f t="shared" si="8"/>
        <v>-1605</v>
      </c>
      <c r="AH58" s="29">
        <f t="shared" si="9"/>
        <v>0</v>
      </c>
    </row>
    <row r="59" spans="1:34" s="30" customFormat="1" ht="21.75" customHeight="1" x14ac:dyDescent="0.2">
      <c r="A59" s="18">
        <v>43385</v>
      </c>
      <c r="B59" s="19"/>
      <c r="C59" s="20" t="s">
        <v>45</v>
      </c>
      <c r="D59" s="20"/>
      <c r="E59" s="20"/>
      <c r="F59" s="21"/>
      <c r="G59" s="22" t="s">
        <v>960</v>
      </c>
      <c r="H59" s="23">
        <v>100</v>
      </c>
      <c r="I59" s="23"/>
      <c r="J59" s="23"/>
      <c r="K59" s="23"/>
      <c r="L59" s="24"/>
      <c r="M59" s="69">
        <f t="shared" si="5"/>
        <v>100</v>
      </c>
      <c r="N59" s="69">
        <f t="shared" si="6"/>
        <v>0</v>
      </c>
      <c r="O59" s="69">
        <f t="shared" si="7"/>
        <v>0</v>
      </c>
      <c r="P59" s="69"/>
      <c r="Q59" s="69"/>
      <c r="R59" s="69"/>
      <c r="S59" s="69"/>
      <c r="T59" s="70"/>
      <c r="U59" s="70"/>
      <c r="V59" s="70"/>
      <c r="W59" s="70"/>
      <c r="X59" s="70"/>
      <c r="Y59" s="69"/>
      <c r="Z59" s="69"/>
      <c r="AA59" s="69">
        <v>100</v>
      </c>
      <c r="AB59" s="69"/>
      <c r="AC59" s="70"/>
      <c r="AD59" s="70"/>
      <c r="AE59" s="71"/>
      <c r="AF59" s="71"/>
      <c r="AG59" s="69">
        <f t="shared" si="8"/>
        <v>-100</v>
      </c>
      <c r="AH59" s="29">
        <f t="shared" si="9"/>
        <v>0</v>
      </c>
    </row>
    <row r="60" spans="1:34" s="30" customFormat="1" ht="21.75" customHeight="1" x14ac:dyDescent="0.2">
      <c r="A60" s="18">
        <v>43386</v>
      </c>
      <c r="B60" s="19"/>
      <c r="C60" s="20" t="s">
        <v>59</v>
      </c>
      <c r="D60" s="20" t="s">
        <v>872</v>
      </c>
      <c r="E60" s="20" t="s">
        <v>120</v>
      </c>
      <c r="F60" s="21">
        <v>703981</v>
      </c>
      <c r="G60" s="22" t="s">
        <v>961</v>
      </c>
      <c r="H60" s="23"/>
      <c r="I60" s="23"/>
      <c r="J60" s="23"/>
      <c r="K60" s="23">
        <v>30</v>
      </c>
      <c r="L60" s="24"/>
      <c r="M60" s="69">
        <f t="shared" si="5"/>
        <v>26.785714285714285</v>
      </c>
      <c r="N60" s="69">
        <f t="shared" si="6"/>
        <v>3.214285714285714</v>
      </c>
      <c r="O60" s="69">
        <f t="shared" si="7"/>
        <v>0</v>
      </c>
      <c r="P60" s="69"/>
      <c r="Q60" s="69"/>
      <c r="R60" s="69"/>
      <c r="S60" s="69"/>
      <c r="T60" s="70"/>
      <c r="U60" s="70"/>
      <c r="V60" s="70"/>
      <c r="W60" s="70"/>
      <c r="X60" s="70"/>
      <c r="Y60" s="69"/>
      <c r="Z60" s="69">
        <v>26.79</v>
      </c>
      <c r="AA60" s="69"/>
      <c r="AB60" s="69"/>
      <c r="AC60" s="70"/>
      <c r="AD60" s="70"/>
      <c r="AE60" s="71"/>
      <c r="AF60" s="71"/>
      <c r="AG60" s="69">
        <f t="shared" si="8"/>
        <v>-30.004285714285714</v>
      </c>
      <c r="AH60" s="29">
        <f t="shared" si="9"/>
        <v>-4.2857142857144481E-3</v>
      </c>
    </row>
    <row r="61" spans="1:34" s="30" customFormat="1" ht="21.75" customHeight="1" x14ac:dyDescent="0.2">
      <c r="A61" s="18">
        <v>43386</v>
      </c>
      <c r="B61" s="19"/>
      <c r="C61" s="20" t="s">
        <v>705</v>
      </c>
      <c r="D61" s="20" t="s">
        <v>706</v>
      </c>
      <c r="E61" s="20" t="s">
        <v>707</v>
      </c>
      <c r="F61" s="21">
        <v>134779</v>
      </c>
      <c r="G61" s="22" t="s">
        <v>40</v>
      </c>
      <c r="H61" s="23"/>
      <c r="I61" s="23"/>
      <c r="J61" s="23"/>
      <c r="K61" s="23">
        <v>85</v>
      </c>
      <c r="L61" s="24"/>
      <c r="M61" s="69">
        <f t="shared" si="5"/>
        <v>75.892857142857139</v>
      </c>
      <c r="N61" s="69">
        <f t="shared" si="6"/>
        <v>9.1071428571428559</v>
      </c>
      <c r="O61" s="69">
        <f t="shared" si="7"/>
        <v>0</v>
      </c>
      <c r="P61" s="69"/>
      <c r="Q61" s="25">
        <v>75.89</v>
      </c>
      <c r="R61" s="25"/>
      <c r="S61" s="25"/>
      <c r="T61" s="26"/>
      <c r="U61" s="26"/>
      <c r="V61" s="26"/>
      <c r="W61" s="26"/>
      <c r="X61" s="26"/>
      <c r="Y61" s="25"/>
      <c r="Z61" s="25"/>
      <c r="AA61" s="25"/>
      <c r="AB61" s="25"/>
      <c r="AC61" s="26"/>
      <c r="AD61" s="26"/>
      <c r="AE61" s="25"/>
      <c r="AF61" s="25"/>
      <c r="AG61" s="69">
        <f t="shared" si="8"/>
        <v>-84.997142857142862</v>
      </c>
      <c r="AH61" s="29">
        <f t="shared" si="9"/>
        <v>2.8571428571382285E-3</v>
      </c>
    </row>
    <row r="62" spans="1:34" s="30" customFormat="1" ht="21.75" customHeight="1" x14ac:dyDescent="0.2">
      <c r="A62" s="18">
        <v>43388</v>
      </c>
      <c r="B62" s="19"/>
      <c r="C62" s="20" t="s">
        <v>518</v>
      </c>
      <c r="D62" s="20" t="s">
        <v>519</v>
      </c>
      <c r="E62" s="20" t="s">
        <v>175</v>
      </c>
      <c r="F62" s="21">
        <v>1687</v>
      </c>
      <c r="G62" s="22" t="s">
        <v>962</v>
      </c>
      <c r="H62" s="23"/>
      <c r="I62" s="23"/>
      <c r="J62" s="23"/>
      <c r="K62" s="23">
        <v>360</v>
      </c>
      <c r="L62" s="24">
        <v>0.01</v>
      </c>
      <c r="M62" s="69">
        <f t="shared" si="5"/>
        <v>321.42857142857139</v>
      </c>
      <c r="N62" s="69">
        <f t="shared" si="6"/>
        <v>38.571428571428562</v>
      </c>
      <c r="O62" s="69">
        <f t="shared" si="7"/>
        <v>-3.214285714285714</v>
      </c>
      <c r="P62" s="69">
        <v>321.43</v>
      </c>
      <c r="Q62" s="25"/>
      <c r="R62" s="25"/>
      <c r="S62" s="25"/>
      <c r="T62" s="26"/>
      <c r="U62" s="26"/>
      <c r="V62" s="26"/>
      <c r="W62" s="26"/>
      <c r="X62" s="26"/>
      <c r="Y62" s="25"/>
      <c r="Z62" s="25"/>
      <c r="AA62" s="25"/>
      <c r="AB62" s="25"/>
      <c r="AC62" s="26"/>
      <c r="AD62" s="26"/>
      <c r="AE62" s="25"/>
      <c r="AF62" s="25"/>
      <c r="AG62" s="69">
        <f t="shared" si="8"/>
        <v>-356.78714285714284</v>
      </c>
      <c r="AH62" s="29">
        <f t="shared" si="9"/>
        <v>-1.4285714285535711E-3</v>
      </c>
    </row>
    <row r="63" spans="1:34" s="30" customFormat="1" ht="21.75" customHeight="1" x14ac:dyDescent="0.2">
      <c r="A63" s="18">
        <v>43388</v>
      </c>
      <c r="B63" s="19"/>
      <c r="C63" s="20" t="s">
        <v>614</v>
      </c>
      <c r="D63" s="20"/>
      <c r="E63" s="20"/>
      <c r="F63" s="21"/>
      <c r="G63" s="22" t="s">
        <v>958</v>
      </c>
      <c r="H63" s="23">
        <v>502</v>
      </c>
      <c r="I63" s="23"/>
      <c r="J63" s="23"/>
      <c r="K63" s="23"/>
      <c r="L63" s="24"/>
      <c r="M63" s="69">
        <f t="shared" si="5"/>
        <v>502</v>
      </c>
      <c r="N63" s="69">
        <f t="shared" si="6"/>
        <v>0</v>
      </c>
      <c r="O63" s="69">
        <f t="shared" si="7"/>
        <v>0</v>
      </c>
      <c r="P63" s="69"/>
      <c r="Q63" s="69"/>
      <c r="R63" s="69"/>
      <c r="S63" s="69"/>
      <c r="T63" s="70"/>
      <c r="U63" s="70"/>
      <c r="V63" s="70"/>
      <c r="W63" s="70"/>
      <c r="X63" s="70"/>
      <c r="Y63" s="69"/>
      <c r="Z63" s="69"/>
      <c r="AA63" s="69"/>
      <c r="AB63" s="69">
        <v>502</v>
      </c>
      <c r="AC63" s="70"/>
      <c r="AD63" s="70"/>
      <c r="AE63" s="71"/>
      <c r="AF63" s="71"/>
      <c r="AG63" s="69">
        <f t="shared" si="8"/>
        <v>-502</v>
      </c>
      <c r="AH63" s="29">
        <f t="shared" si="9"/>
        <v>0</v>
      </c>
    </row>
    <row r="64" spans="1:34" s="30" customFormat="1" ht="21.75" customHeight="1" x14ac:dyDescent="0.2">
      <c r="A64" s="18">
        <v>43388</v>
      </c>
      <c r="B64" s="19"/>
      <c r="C64" s="20" t="s">
        <v>705</v>
      </c>
      <c r="D64" s="20" t="s">
        <v>706</v>
      </c>
      <c r="E64" s="20" t="s">
        <v>707</v>
      </c>
      <c r="F64" s="21">
        <v>139559</v>
      </c>
      <c r="G64" s="22" t="s">
        <v>40</v>
      </c>
      <c r="H64" s="23"/>
      <c r="I64" s="23"/>
      <c r="J64" s="23"/>
      <c r="K64" s="23">
        <v>170</v>
      </c>
      <c r="L64" s="24"/>
      <c r="M64" s="69">
        <f t="shared" si="5"/>
        <v>151.78571428571428</v>
      </c>
      <c r="N64" s="69">
        <f t="shared" si="6"/>
        <v>18.214285714285712</v>
      </c>
      <c r="O64" s="69">
        <f t="shared" si="7"/>
        <v>0</v>
      </c>
      <c r="P64" s="69"/>
      <c r="Q64" s="25">
        <v>151.79</v>
      </c>
      <c r="R64" s="25"/>
      <c r="S64" s="25"/>
      <c r="T64" s="26"/>
      <c r="U64" s="26"/>
      <c r="V64" s="26"/>
      <c r="W64" s="26"/>
      <c r="X64" s="26"/>
      <c r="Y64" s="25"/>
      <c r="Z64" s="25"/>
      <c r="AA64" s="25"/>
      <c r="AB64" s="25"/>
      <c r="AC64" s="26"/>
      <c r="AD64" s="26"/>
      <c r="AE64" s="25"/>
      <c r="AF64" s="25"/>
      <c r="AG64" s="69">
        <f t="shared" si="8"/>
        <v>-170.00428571428571</v>
      </c>
      <c r="AH64" s="29">
        <f t="shared" si="9"/>
        <v>-4.2857142857144481E-3</v>
      </c>
    </row>
    <row r="65" spans="1:34" s="30" customFormat="1" ht="21.75" customHeight="1" x14ac:dyDescent="0.2">
      <c r="A65" s="18">
        <v>43389</v>
      </c>
      <c r="B65" s="19"/>
      <c r="C65" s="20" t="s">
        <v>705</v>
      </c>
      <c r="D65" s="20" t="s">
        <v>706</v>
      </c>
      <c r="E65" s="20" t="s">
        <v>707</v>
      </c>
      <c r="F65" s="21">
        <v>139606</v>
      </c>
      <c r="G65" s="22" t="s">
        <v>40</v>
      </c>
      <c r="H65" s="23"/>
      <c r="I65" s="23"/>
      <c r="J65" s="23"/>
      <c r="K65" s="23">
        <v>170</v>
      </c>
      <c r="L65" s="24"/>
      <c r="M65" s="69">
        <f t="shared" si="5"/>
        <v>151.78571428571428</v>
      </c>
      <c r="N65" s="69">
        <f t="shared" si="6"/>
        <v>18.214285714285712</v>
      </c>
      <c r="O65" s="69">
        <f t="shared" si="7"/>
        <v>0</v>
      </c>
      <c r="P65" s="69"/>
      <c r="Q65" s="25">
        <v>151.79</v>
      </c>
      <c r="R65" s="25"/>
      <c r="S65" s="25"/>
      <c r="T65" s="26"/>
      <c r="U65" s="26"/>
      <c r="V65" s="26"/>
      <c r="W65" s="26"/>
      <c r="X65" s="26"/>
      <c r="Y65" s="25"/>
      <c r="Z65" s="25"/>
      <c r="AA65" s="25"/>
      <c r="AB65" s="25"/>
      <c r="AC65" s="26"/>
      <c r="AD65" s="26"/>
      <c r="AE65" s="25"/>
      <c r="AF65" s="25"/>
      <c r="AG65" s="69">
        <f t="shared" si="8"/>
        <v>-170.00428571428571</v>
      </c>
      <c r="AH65" s="29">
        <f t="shared" si="9"/>
        <v>-4.2857142857144481E-3</v>
      </c>
    </row>
    <row r="66" spans="1:34" s="30" customFormat="1" ht="21.75" customHeight="1" x14ac:dyDescent="0.2">
      <c r="A66" s="18">
        <v>43389</v>
      </c>
      <c r="B66" s="19"/>
      <c r="C66" s="20" t="s">
        <v>59</v>
      </c>
      <c r="D66" s="20" t="s">
        <v>872</v>
      </c>
      <c r="E66" s="20" t="s">
        <v>120</v>
      </c>
      <c r="F66" s="21">
        <v>704519</v>
      </c>
      <c r="G66" s="22" t="s">
        <v>963</v>
      </c>
      <c r="H66" s="23"/>
      <c r="I66" s="23"/>
      <c r="J66" s="23"/>
      <c r="K66" s="23">
        <f>34+15+27.5+56+43.5+260</f>
        <v>436</v>
      </c>
      <c r="L66" s="24"/>
      <c r="M66" s="69">
        <f t="shared" si="5"/>
        <v>389.28571428571422</v>
      </c>
      <c r="N66" s="69">
        <f t="shared" si="6"/>
        <v>46.714285714285708</v>
      </c>
      <c r="O66" s="69">
        <f t="shared" si="7"/>
        <v>0</v>
      </c>
      <c r="P66" s="69"/>
      <c r="Q66" s="25"/>
      <c r="R66" s="25"/>
      <c r="S66" s="25"/>
      <c r="T66" s="26">
        <v>389.29</v>
      </c>
      <c r="U66" s="26"/>
      <c r="V66" s="26"/>
      <c r="W66" s="26"/>
      <c r="X66" s="26"/>
      <c r="Y66" s="25"/>
      <c r="Z66" s="25"/>
      <c r="AA66" s="25"/>
      <c r="AB66" s="25"/>
      <c r="AC66" s="26"/>
      <c r="AD66" s="26"/>
      <c r="AE66" s="25"/>
      <c r="AF66" s="25"/>
      <c r="AG66" s="69">
        <f t="shared" si="8"/>
        <v>-436.00428571428574</v>
      </c>
      <c r="AH66" s="29">
        <f t="shared" si="9"/>
        <v>-4.2857142857428698E-3</v>
      </c>
    </row>
    <row r="67" spans="1:34" s="72" customFormat="1" ht="21" customHeight="1" x14ac:dyDescent="0.2">
      <c r="A67" s="18">
        <v>43389</v>
      </c>
      <c r="B67" s="19"/>
      <c r="C67" s="20" t="s">
        <v>59</v>
      </c>
      <c r="D67" s="20" t="s">
        <v>872</v>
      </c>
      <c r="E67" s="20" t="s">
        <v>120</v>
      </c>
      <c r="F67" s="21">
        <v>704519</v>
      </c>
      <c r="G67" s="22" t="s">
        <v>212</v>
      </c>
      <c r="H67" s="67"/>
      <c r="I67" s="67"/>
      <c r="J67" s="67"/>
      <c r="K67" s="67">
        <v>38</v>
      </c>
      <c r="L67" s="68"/>
      <c r="M67" s="69">
        <f t="shared" si="5"/>
        <v>33.928571428571423</v>
      </c>
      <c r="N67" s="69">
        <f t="shared" si="6"/>
        <v>4.0714285714285703</v>
      </c>
      <c r="O67" s="69">
        <f t="shared" si="7"/>
        <v>0</v>
      </c>
      <c r="P67" s="69"/>
      <c r="Q67" s="69"/>
      <c r="R67" s="69">
        <v>33.93</v>
      </c>
      <c r="S67" s="69"/>
      <c r="T67" s="70"/>
      <c r="U67" s="70"/>
      <c r="V67" s="70"/>
      <c r="W67" s="70"/>
      <c r="X67" s="70"/>
      <c r="Y67" s="69"/>
      <c r="Z67" s="69"/>
      <c r="AA67" s="69"/>
      <c r="AB67" s="69"/>
      <c r="AC67" s="70"/>
      <c r="AD67" s="70"/>
      <c r="AE67" s="71"/>
      <c r="AF67" s="71"/>
      <c r="AG67" s="69">
        <f t="shared" si="8"/>
        <v>-38.001428571428569</v>
      </c>
      <c r="AH67" s="29">
        <f t="shared" si="9"/>
        <v>-1.4285714285691142E-3</v>
      </c>
    </row>
    <row r="68" spans="1:34" s="72" customFormat="1" ht="21" customHeight="1" x14ac:dyDescent="0.2">
      <c r="A68" s="65">
        <v>43389</v>
      </c>
      <c r="B68" s="66"/>
      <c r="C68" s="20" t="s">
        <v>59</v>
      </c>
      <c r="D68" s="20" t="s">
        <v>872</v>
      </c>
      <c r="E68" s="20" t="s">
        <v>120</v>
      </c>
      <c r="F68" s="21">
        <v>704661</v>
      </c>
      <c r="G68" s="22" t="s">
        <v>964</v>
      </c>
      <c r="H68" s="67"/>
      <c r="I68" s="67"/>
      <c r="J68" s="67"/>
      <c r="K68" s="67">
        <v>29.75</v>
      </c>
      <c r="L68" s="68"/>
      <c r="M68" s="69">
        <f t="shared" si="5"/>
        <v>26.562499999999996</v>
      </c>
      <c r="N68" s="69">
        <f t="shared" si="6"/>
        <v>3.1874999999999996</v>
      </c>
      <c r="O68" s="69">
        <f t="shared" si="7"/>
        <v>0</v>
      </c>
      <c r="P68" s="69"/>
      <c r="Q68" s="69"/>
      <c r="R68" s="69"/>
      <c r="S68" s="69"/>
      <c r="T68" s="70"/>
      <c r="U68" s="70"/>
      <c r="V68" s="70"/>
      <c r="W68" s="70"/>
      <c r="X68" s="70"/>
      <c r="Y68" s="69"/>
      <c r="Z68" s="69">
        <v>26.56</v>
      </c>
      <c r="AA68" s="69"/>
      <c r="AB68" s="69"/>
      <c r="AC68" s="70"/>
      <c r="AD68" s="70"/>
      <c r="AE68" s="71"/>
      <c r="AF68" s="71"/>
      <c r="AG68" s="69">
        <f t="shared" si="8"/>
        <v>-29.747499999999999</v>
      </c>
      <c r="AH68" s="29">
        <f t="shared" si="9"/>
        <v>2.500000000001279E-3</v>
      </c>
    </row>
    <row r="69" spans="1:34" s="72" customFormat="1" ht="21" customHeight="1" x14ac:dyDescent="0.2">
      <c r="A69" s="65">
        <v>43389</v>
      </c>
      <c r="B69" s="66"/>
      <c r="C69" s="20" t="s">
        <v>59</v>
      </c>
      <c r="D69" s="20" t="s">
        <v>872</v>
      </c>
      <c r="E69" s="20" t="s">
        <v>120</v>
      </c>
      <c r="F69" s="21">
        <v>704661</v>
      </c>
      <c r="G69" s="22" t="s">
        <v>965</v>
      </c>
      <c r="H69" s="67"/>
      <c r="I69" s="67"/>
      <c r="J69" s="67"/>
      <c r="K69" s="67">
        <f>9+9.75+16.75</f>
        <v>35.5</v>
      </c>
      <c r="L69" s="68"/>
      <c r="M69" s="69">
        <f t="shared" ref="M69:M100" si="10">SUM(H69:J69,K69/1.12)</f>
        <v>31.696428571428569</v>
      </c>
      <c r="N69" s="69">
        <f t="shared" ref="N69:N100" si="11">K69/1.12*0.12</f>
        <v>3.8035714285714284</v>
      </c>
      <c r="O69" s="69">
        <f t="shared" ref="O69:O100" si="12">-SUM(I69:J69,K69/1.12)*L69</f>
        <v>0</v>
      </c>
      <c r="P69" s="69"/>
      <c r="Q69" s="69"/>
      <c r="R69" s="69"/>
      <c r="S69" s="69"/>
      <c r="T69" s="70">
        <v>31.7</v>
      </c>
      <c r="U69" s="70"/>
      <c r="V69" s="70"/>
      <c r="W69" s="70"/>
      <c r="X69" s="70"/>
      <c r="Y69" s="69"/>
      <c r="Z69" s="69"/>
      <c r="AA69" s="69"/>
      <c r="AB69" s="69"/>
      <c r="AC69" s="70"/>
      <c r="AD69" s="70"/>
      <c r="AE69" s="71"/>
      <c r="AF69" s="71"/>
      <c r="AG69" s="69">
        <f t="shared" ref="AG69:AG100" si="13">-SUM(N69:AF69)</f>
        <v>-35.503571428571426</v>
      </c>
      <c r="AH69" s="29">
        <f t="shared" ref="AH69:AH100" si="14">SUM(H69:K69)+AG69+O69</f>
        <v>-3.5714285714263383E-3</v>
      </c>
    </row>
    <row r="70" spans="1:34" s="30" customFormat="1" ht="21.75" customHeight="1" x14ac:dyDescent="0.2">
      <c r="A70" s="18">
        <v>43389</v>
      </c>
      <c r="B70" s="19"/>
      <c r="C70" s="20" t="s">
        <v>614</v>
      </c>
      <c r="D70" s="20"/>
      <c r="E70" s="20"/>
      <c r="F70" s="21"/>
      <c r="G70" s="22" t="s">
        <v>958</v>
      </c>
      <c r="H70" s="23">
        <v>502</v>
      </c>
      <c r="I70" s="23"/>
      <c r="J70" s="23"/>
      <c r="K70" s="23"/>
      <c r="L70" s="24"/>
      <c r="M70" s="69">
        <f t="shared" si="10"/>
        <v>502</v>
      </c>
      <c r="N70" s="69">
        <f t="shared" si="11"/>
        <v>0</v>
      </c>
      <c r="O70" s="69">
        <f t="shared" si="12"/>
        <v>0</v>
      </c>
      <c r="P70" s="69"/>
      <c r="Q70" s="69"/>
      <c r="R70" s="69"/>
      <c r="S70" s="69"/>
      <c r="T70" s="70"/>
      <c r="U70" s="70"/>
      <c r="V70" s="70"/>
      <c r="W70" s="70"/>
      <c r="X70" s="70"/>
      <c r="Y70" s="69"/>
      <c r="Z70" s="69"/>
      <c r="AA70" s="69"/>
      <c r="AB70" s="69">
        <v>502</v>
      </c>
      <c r="AC70" s="70"/>
      <c r="AD70" s="70"/>
      <c r="AE70" s="71"/>
      <c r="AF70" s="71"/>
      <c r="AG70" s="69">
        <f t="shared" si="13"/>
        <v>-502</v>
      </c>
      <c r="AH70" s="29">
        <f t="shared" si="14"/>
        <v>0</v>
      </c>
    </row>
    <row r="71" spans="1:34" s="30" customFormat="1" ht="21.75" customHeight="1" x14ac:dyDescent="0.2">
      <c r="A71" s="18">
        <v>43390</v>
      </c>
      <c r="B71" s="19"/>
      <c r="C71" s="20" t="s">
        <v>705</v>
      </c>
      <c r="D71" s="20" t="s">
        <v>706</v>
      </c>
      <c r="E71" s="20" t="s">
        <v>707</v>
      </c>
      <c r="F71" s="21">
        <v>139647</v>
      </c>
      <c r="G71" s="22" t="s">
        <v>40</v>
      </c>
      <c r="H71" s="23"/>
      <c r="I71" s="23"/>
      <c r="J71" s="23"/>
      <c r="K71" s="23">
        <v>170</v>
      </c>
      <c r="L71" s="24"/>
      <c r="M71" s="69">
        <f t="shared" si="10"/>
        <v>151.78571428571428</v>
      </c>
      <c r="N71" s="69">
        <f t="shared" si="11"/>
        <v>18.214285714285712</v>
      </c>
      <c r="O71" s="69">
        <f t="shared" si="12"/>
        <v>0</v>
      </c>
      <c r="P71" s="69"/>
      <c r="Q71" s="25">
        <v>151.79</v>
      </c>
      <c r="R71" s="25"/>
      <c r="S71" s="25"/>
      <c r="T71" s="26"/>
      <c r="U71" s="26"/>
      <c r="V71" s="26"/>
      <c r="W71" s="26"/>
      <c r="X71" s="26"/>
      <c r="Y71" s="25"/>
      <c r="Z71" s="25"/>
      <c r="AA71" s="25"/>
      <c r="AB71" s="25"/>
      <c r="AC71" s="26"/>
      <c r="AD71" s="26"/>
      <c r="AE71" s="25"/>
      <c r="AF71" s="25"/>
      <c r="AG71" s="69">
        <f t="shared" si="13"/>
        <v>-170.00428571428571</v>
      </c>
      <c r="AH71" s="29">
        <f t="shared" si="14"/>
        <v>-4.2857142857144481E-3</v>
      </c>
    </row>
    <row r="72" spans="1:34" s="72" customFormat="1" ht="21" customHeight="1" x14ac:dyDescent="0.2">
      <c r="A72" s="65">
        <v>43390</v>
      </c>
      <c r="B72" s="66"/>
      <c r="C72" s="20" t="s">
        <v>96</v>
      </c>
      <c r="D72" s="20"/>
      <c r="E72" s="20"/>
      <c r="F72" s="21"/>
      <c r="G72" s="22" t="s">
        <v>687</v>
      </c>
      <c r="H72" s="67">
        <v>250</v>
      </c>
      <c r="I72" s="67"/>
      <c r="J72" s="67"/>
      <c r="K72" s="67"/>
      <c r="L72" s="68"/>
      <c r="M72" s="69">
        <f t="shared" si="10"/>
        <v>250</v>
      </c>
      <c r="N72" s="69">
        <f t="shared" si="11"/>
        <v>0</v>
      </c>
      <c r="O72" s="69">
        <f t="shared" si="12"/>
        <v>0</v>
      </c>
      <c r="P72" s="69"/>
      <c r="Q72" s="69"/>
      <c r="R72" s="69"/>
      <c r="S72" s="69"/>
      <c r="T72" s="70"/>
      <c r="U72" s="70"/>
      <c r="V72" s="70"/>
      <c r="W72" s="70"/>
      <c r="X72" s="70"/>
      <c r="Y72" s="69"/>
      <c r="Z72" s="69"/>
      <c r="AA72" s="69"/>
      <c r="AB72" s="69">
        <v>250</v>
      </c>
      <c r="AC72" s="70"/>
      <c r="AD72" s="70"/>
      <c r="AE72" s="71"/>
      <c r="AF72" s="71"/>
      <c r="AG72" s="69">
        <f t="shared" si="13"/>
        <v>-250</v>
      </c>
      <c r="AH72" s="29">
        <f t="shared" si="14"/>
        <v>0</v>
      </c>
    </row>
    <row r="73" spans="1:34" s="72" customFormat="1" ht="21" customHeight="1" x14ac:dyDescent="0.2">
      <c r="A73" s="65">
        <v>43390</v>
      </c>
      <c r="B73" s="66"/>
      <c r="C73" s="20" t="s">
        <v>848</v>
      </c>
      <c r="D73" s="20"/>
      <c r="E73" s="20"/>
      <c r="F73" s="21"/>
      <c r="G73" s="22" t="s">
        <v>966</v>
      </c>
      <c r="H73" s="67">
        <v>12.04</v>
      </c>
      <c r="I73" s="67"/>
      <c r="J73" s="67"/>
      <c r="K73" s="67"/>
      <c r="L73" s="68"/>
      <c r="M73" s="69">
        <f t="shared" si="10"/>
        <v>12.04</v>
      </c>
      <c r="N73" s="69">
        <f t="shared" si="11"/>
        <v>0</v>
      </c>
      <c r="O73" s="69">
        <f t="shared" si="12"/>
        <v>0</v>
      </c>
      <c r="P73" s="69"/>
      <c r="Q73" s="69"/>
      <c r="R73" s="69"/>
      <c r="S73" s="69"/>
      <c r="T73" s="70"/>
      <c r="U73" s="70"/>
      <c r="V73" s="70"/>
      <c r="W73" s="70"/>
      <c r="X73" s="70"/>
      <c r="Y73" s="69"/>
      <c r="Z73" s="69"/>
      <c r="AA73" s="69"/>
      <c r="AB73" s="69"/>
      <c r="AC73" s="70"/>
      <c r="AD73" s="70">
        <v>12.04</v>
      </c>
      <c r="AE73" s="71"/>
      <c r="AF73" s="71"/>
      <c r="AG73" s="69">
        <f t="shared" si="13"/>
        <v>-12.04</v>
      </c>
      <c r="AH73" s="29">
        <f t="shared" si="14"/>
        <v>0</v>
      </c>
    </row>
    <row r="74" spans="1:34" s="72" customFormat="1" ht="21" customHeight="1" x14ac:dyDescent="0.2">
      <c r="A74" s="65">
        <v>43390</v>
      </c>
      <c r="B74" s="66"/>
      <c r="C74" s="20" t="s">
        <v>745</v>
      </c>
      <c r="D74" s="20" t="s">
        <v>812</v>
      </c>
      <c r="E74" s="20" t="s">
        <v>277</v>
      </c>
      <c r="F74" s="21">
        <v>89880</v>
      </c>
      <c r="G74" s="22" t="s">
        <v>967</v>
      </c>
      <c r="H74" s="67"/>
      <c r="I74" s="67"/>
      <c r="J74" s="67"/>
      <c r="K74" s="67">
        <v>244.86</v>
      </c>
      <c r="L74" s="68"/>
      <c r="M74" s="69">
        <f t="shared" si="10"/>
        <v>218.625</v>
      </c>
      <c r="N74" s="69">
        <f t="shared" si="11"/>
        <v>26.234999999999999</v>
      </c>
      <c r="O74" s="69">
        <f t="shared" si="12"/>
        <v>0</v>
      </c>
      <c r="P74" s="69">
        <v>218.63</v>
      </c>
      <c r="Q74" s="69"/>
      <c r="R74" s="69"/>
      <c r="S74" s="69"/>
      <c r="T74" s="70"/>
      <c r="U74" s="70"/>
      <c r="V74" s="70"/>
      <c r="W74" s="70"/>
      <c r="X74" s="70"/>
      <c r="Y74" s="69"/>
      <c r="Z74" s="69"/>
      <c r="AA74" s="69"/>
      <c r="AB74" s="69"/>
      <c r="AC74" s="70"/>
      <c r="AD74" s="70"/>
      <c r="AE74" s="71"/>
      <c r="AF74" s="71"/>
      <c r="AG74" s="69">
        <f t="shared" si="13"/>
        <v>-244.86500000000001</v>
      </c>
      <c r="AH74" s="29">
        <f t="shared" si="14"/>
        <v>-4.9999999999954525E-3</v>
      </c>
    </row>
    <row r="75" spans="1:34" s="72" customFormat="1" ht="21" customHeight="1" x14ac:dyDescent="0.2">
      <c r="A75" s="65">
        <v>43390</v>
      </c>
      <c r="B75" s="66"/>
      <c r="C75" s="20" t="s">
        <v>63</v>
      </c>
      <c r="D75" s="20" t="s">
        <v>64</v>
      </c>
      <c r="E75" s="20" t="s">
        <v>120</v>
      </c>
      <c r="F75" s="21">
        <v>120344</v>
      </c>
      <c r="G75" s="21" t="s">
        <v>968</v>
      </c>
      <c r="H75" s="67"/>
      <c r="I75" s="67"/>
      <c r="J75" s="67">
        <v>852.25</v>
      </c>
      <c r="K75" s="67"/>
      <c r="L75" s="68"/>
      <c r="M75" s="69">
        <f t="shared" si="10"/>
        <v>852.25</v>
      </c>
      <c r="N75" s="69">
        <f t="shared" si="11"/>
        <v>0</v>
      </c>
      <c r="O75" s="69">
        <f t="shared" si="12"/>
        <v>0</v>
      </c>
      <c r="P75" s="69">
        <v>852.25</v>
      </c>
      <c r="Q75" s="69"/>
      <c r="R75" s="69"/>
      <c r="S75" s="69"/>
      <c r="T75" s="70"/>
      <c r="U75" s="70"/>
      <c r="V75" s="70"/>
      <c r="W75" s="70"/>
      <c r="X75" s="70"/>
      <c r="Y75" s="69"/>
      <c r="Z75" s="69"/>
      <c r="AA75" s="69"/>
      <c r="AB75" s="69"/>
      <c r="AC75" s="70"/>
      <c r="AD75" s="70"/>
      <c r="AE75" s="71"/>
      <c r="AF75" s="71"/>
      <c r="AG75" s="69">
        <f t="shared" si="13"/>
        <v>-852.25</v>
      </c>
      <c r="AH75" s="29">
        <f t="shared" si="14"/>
        <v>0</v>
      </c>
    </row>
    <row r="76" spans="1:34" s="30" customFormat="1" ht="21.75" customHeight="1" x14ac:dyDescent="0.2">
      <c r="A76" s="65">
        <v>43390</v>
      </c>
      <c r="B76" s="19"/>
      <c r="C76" s="20" t="s">
        <v>63</v>
      </c>
      <c r="D76" s="20" t="s">
        <v>64</v>
      </c>
      <c r="E76" s="20" t="s">
        <v>120</v>
      </c>
      <c r="F76" s="21">
        <v>120344</v>
      </c>
      <c r="G76" s="22" t="s">
        <v>969</v>
      </c>
      <c r="H76" s="23"/>
      <c r="I76" s="23"/>
      <c r="J76" s="23"/>
      <c r="K76" s="23">
        <f>1535.09+184.21</f>
        <v>1719.3</v>
      </c>
      <c r="L76" s="24"/>
      <c r="M76" s="69">
        <f t="shared" si="10"/>
        <v>1535.0892857142856</v>
      </c>
      <c r="N76" s="69">
        <f t="shared" si="11"/>
        <v>184.21071428571426</v>
      </c>
      <c r="O76" s="69">
        <f t="shared" si="12"/>
        <v>0</v>
      </c>
      <c r="P76" s="69">
        <v>1535.09</v>
      </c>
      <c r="Q76" s="25"/>
      <c r="R76" s="25"/>
      <c r="S76" s="25"/>
      <c r="T76" s="26"/>
      <c r="U76" s="26"/>
      <c r="V76" s="26"/>
      <c r="W76" s="26"/>
      <c r="X76" s="26"/>
      <c r="Y76" s="25"/>
      <c r="Z76" s="25"/>
      <c r="AA76" s="25"/>
      <c r="AB76" s="25"/>
      <c r="AC76" s="26"/>
      <c r="AD76" s="26"/>
      <c r="AE76" s="25"/>
      <c r="AF76" s="25"/>
      <c r="AG76" s="69">
        <f t="shared" si="13"/>
        <v>-1719.3007142857141</v>
      </c>
      <c r="AH76" s="29">
        <f t="shared" si="14"/>
        <v>-7.1428571413889586E-4</v>
      </c>
    </row>
    <row r="77" spans="1:34" s="72" customFormat="1" ht="24" customHeight="1" x14ac:dyDescent="0.2">
      <c r="A77" s="65">
        <v>43391</v>
      </c>
      <c r="B77" s="66"/>
      <c r="C77" s="20" t="s">
        <v>41</v>
      </c>
      <c r="D77" s="20" t="s">
        <v>88</v>
      </c>
      <c r="E77" s="20" t="s">
        <v>43</v>
      </c>
      <c r="F77" s="21">
        <v>2705</v>
      </c>
      <c r="G77" s="22" t="s">
        <v>533</v>
      </c>
      <c r="H77" s="67"/>
      <c r="I77" s="67"/>
      <c r="J77" s="67">
        <v>1140</v>
      </c>
      <c r="K77" s="67"/>
      <c r="L77" s="68"/>
      <c r="M77" s="69">
        <f t="shared" si="10"/>
        <v>1140</v>
      </c>
      <c r="N77" s="69">
        <f t="shared" si="11"/>
        <v>0</v>
      </c>
      <c r="O77" s="69">
        <f t="shared" si="12"/>
        <v>0</v>
      </c>
      <c r="P77" s="69">
        <v>1140</v>
      </c>
      <c r="Q77" s="69"/>
      <c r="R77" s="69"/>
      <c r="S77" s="69"/>
      <c r="T77" s="70"/>
      <c r="U77" s="70"/>
      <c r="V77" s="70"/>
      <c r="W77" s="70"/>
      <c r="X77" s="70"/>
      <c r="Y77" s="69"/>
      <c r="Z77" s="69"/>
      <c r="AA77" s="69"/>
      <c r="AB77" s="69"/>
      <c r="AC77" s="70"/>
      <c r="AD77" s="70"/>
      <c r="AE77" s="71"/>
      <c r="AF77" s="71"/>
      <c r="AG77" s="69">
        <f t="shared" si="13"/>
        <v>-1140</v>
      </c>
      <c r="AH77" s="29">
        <f t="shared" si="14"/>
        <v>0</v>
      </c>
    </row>
    <row r="78" spans="1:34" s="72" customFormat="1" ht="21" customHeight="1" x14ac:dyDescent="0.2">
      <c r="A78" s="65">
        <v>43391</v>
      </c>
      <c r="B78" s="66"/>
      <c r="C78" s="20" t="s">
        <v>45</v>
      </c>
      <c r="D78" s="20"/>
      <c r="E78" s="20"/>
      <c r="F78" s="21"/>
      <c r="G78" s="22" t="s">
        <v>482</v>
      </c>
      <c r="H78" s="67">
        <v>100</v>
      </c>
      <c r="I78" s="67"/>
      <c r="J78" s="67"/>
      <c r="K78" s="67"/>
      <c r="L78" s="68"/>
      <c r="M78" s="69">
        <f t="shared" si="10"/>
        <v>100</v>
      </c>
      <c r="N78" s="69">
        <f t="shared" si="11"/>
        <v>0</v>
      </c>
      <c r="O78" s="69">
        <f t="shared" si="12"/>
        <v>0</v>
      </c>
      <c r="P78" s="69"/>
      <c r="Q78" s="69"/>
      <c r="R78" s="69"/>
      <c r="S78" s="69"/>
      <c r="T78" s="70"/>
      <c r="U78" s="70"/>
      <c r="V78" s="70"/>
      <c r="W78" s="70"/>
      <c r="X78" s="70"/>
      <c r="Y78" s="69"/>
      <c r="Z78" s="69"/>
      <c r="AA78" s="69">
        <v>100</v>
      </c>
      <c r="AB78" s="69"/>
      <c r="AC78" s="70"/>
      <c r="AD78" s="70"/>
      <c r="AE78" s="71"/>
      <c r="AF78" s="71"/>
      <c r="AG78" s="69">
        <f t="shared" si="13"/>
        <v>-100</v>
      </c>
      <c r="AH78" s="29">
        <f t="shared" si="14"/>
        <v>0</v>
      </c>
    </row>
    <row r="79" spans="1:34" s="72" customFormat="1" ht="24" customHeight="1" x14ac:dyDescent="0.2">
      <c r="A79" s="65">
        <v>43391</v>
      </c>
      <c r="B79" s="66"/>
      <c r="C79" s="20" t="s">
        <v>321</v>
      </c>
      <c r="D79" s="20" t="s">
        <v>378</v>
      </c>
      <c r="E79" s="20" t="s">
        <v>277</v>
      </c>
      <c r="F79" s="21">
        <v>31435</v>
      </c>
      <c r="G79" s="22" t="s">
        <v>970</v>
      </c>
      <c r="H79" s="67"/>
      <c r="I79" s="67"/>
      <c r="J79" s="67"/>
      <c r="K79" s="67">
        <v>213.75</v>
      </c>
      <c r="L79" s="68"/>
      <c r="M79" s="69">
        <f t="shared" si="10"/>
        <v>190.84821428571428</v>
      </c>
      <c r="N79" s="69">
        <f t="shared" si="11"/>
        <v>22.901785714285712</v>
      </c>
      <c r="O79" s="69">
        <f t="shared" si="12"/>
        <v>0</v>
      </c>
      <c r="P79" s="69"/>
      <c r="Q79" s="69">
        <v>190.85</v>
      </c>
      <c r="R79" s="69"/>
      <c r="S79" s="69"/>
      <c r="T79" s="70"/>
      <c r="U79" s="70"/>
      <c r="V79" s="70"/>
      <c r="W79" s="70"/>
      <c r="X79" s="70"/>
      <c r="Y79" s="69"/>
      <c r="Z79" s="69"/>
      <c r="AA79" s="69"/>
      <c r="AB79" s="69"/>
      <c r="AC79" s="70"/>
      <c r="AD79" s="70"/>
      <c r="AE79" s="71"/>
      <c r="AF79" s="71"/>
      <c r="AG79" s="69">
        <f t="shared" si="13"/>
        <v>-213.75178571428572</v>
      </c>
      <c r="AH79" s="29">
        <f t="shared" si="14"/>
        <v>-1.7857142857167219E-3</v>
      </c>
    </row>
    <row r="80" spans="1:34" s="30" customFormat="1" ht="21.75" customHeight="1" x14ac:dyDescent="0.2">
      <c r="A80" s="18">
        <v>43391</v>
      </c>
      <c r="B80" s="19"/>
      <c r="C80" s="20" t="s">
        <v>705</v>
      </c>
      <c r="D80" s="20" t="s">
        <v>706</v>
      </c>
      <c r="E80" s="20" t="s">
        <v>707</v>
      </c>
      <c r="F80" s="21">
        <v>136045</v>
      </c>
      <c r="G80" s="22" t="s">
        <v>40</v>
      </c>
      <c r="H80" s="23"/>
      <c r="I80" s="23"/>
      <c r="J80" s="23"/>
      <c r="K80" s="23">
        <v>170</v>
      </c>
      <c r="L80" s="24"/>
      <c r="M80" s="69">
        <f t="shared" si="10"/>
        <v>151.78571428571428</v>
      </c>
      <c r="N80" s="69">
        <f t="shared" si="11"/>
        <v>18.214285714285712</v>
      </c>
      <c r="O80" s="69">
        <f t="shared" si="12"/>
        <v>0</v>
      </c>
      <c r="P80" s="69"/>
      <c r="Q80" s="25">
        <v>151.79</v>
      </c>
      <c r="R80" s="25"/>
      <c r="S80" s="25"/>
      <c r="T80" s="26"/>
      <c r="U80" s="26"/>
      <c r="V80" s="26"/>
      <c r="W80" s="26"/>
      <c r="X80" s="26"/>
      <c r="Y80" s="25"/>
      <c r="Z80" s="25"/>
      <c r="AA80" s="25"/>
      <c r="AB80" s="25"/>
      <c r="AC80" s="26"/>
      <c r="AD80" s="26"/>
      <c r="AE80" s="25"/>
      <c r="AF80" s="25"/>
      <c r="AG80" s="69">
        <f t="shared" si="13"/>
        <v>-170.00428571428571</v>
      </c>
      <c r="AH80" s="29">
        <f t="shared" si="14"/>
        <v>-4.2857142857144481E-3</v>
      </c>
    </row>
    <row r="81" spans="1:34" s="72" customFormat="1" ht="24" customHeight="1" x14ac:dyDescent="0.2">
      <c r="A81" s="65">
        <v>43391</v>
      </c>
      <c r="B81" s="66"/>
      <c r="C81" s="20" t="s">
        <v>59</v>
      </c>
      <c r="D81" s="20" t="s">
        <v>872</v>
      </c>
      <c r="E81" s="20" t="s">
        <v>120</v>
      </c>
      <c r="F81" s="21">
        <v>705176</v>
      </c>
      <c r="G81" s="22" t="s">
        <v>961</v>
      </c>
      <c r="H81" s="67"/>
      <c r="I81" s="67"/>
      <c r="J81" s="67"/>
      <c r="K81" s="67">
        <v>70</v>
      </c>
      <c r="L81" s="68"/>
      <c r="M81" s="69">
        <f t="shared" si="10"/>
        <v>62.499999999999993</v>
      </c>
      <c r="N81" s="69">
        <f t="shared" si="11"/>
        <v>7.4999999999999991</v>
      </c>
      <c r="O81" s="69">
        <f t="shared" si="12"/>
        <v>0</v>
      </c>
      <c r="P81" s="69"/>
      <c r="Q81" s="69"/>
      <c r="R81" s="69"/>
      <c r="S81" s="69"/>
      <c r="T81" s="70"/>
      <c r="U81" s="70"/>
      <c r="V81" s="70"/>
      <c r="W81" s="70"/>
      <c r="X81" s="70"/>
      <c r="Y81" s="69"/>
      <c r="Z81" s="69">
        <v>62.5</v>
      </c>
      <c r="AA81" s="69"/>
      <c r="AB81" s="69"/>
      <c r="AC81" s="70"/>
      <c r="AD81" s="70"/>
      <c r="AE81" s="71"/>
      <c r="AF81" s="71"/>
      <c r="AG81" s="69">
        <f t="shared" si="13"/>
        <v>-70</v>
      </c>
      <c r="AH81" s="29">
        <f t="shared" si="14"/>
        <v>0</v>
      </c>
    </row>
    <row r="82" spans="1:34" s="46" customFormat="1" ht="21.75" customHeight="1" x14ac:dyDescent="0.2">
      <c r="A82" s="33">
        <v>43392</v>
      </c>
      <c r="B82" s="34"/>
      <c r="C82" s="36" t="s">
        <v>705</v>
      </c>
      <c r="D82" s="36" t="s">
        <v>706</v>
      </c>
      <c r="E82" s="36" t="s">
        <v>707</v>
      </c>
      <c r="F82" s="37">
        <v>144991</v>
      </c>
      <c r="G82" s="38" t="s">
        <v>40</v>
      </c>
      <c r="H82" s="39"/>
      <c r="I82" s="39"/>
      <c r="J82" s="39"/>
      <c r="K82" s="39">
        <v>170</v>
      </c>
      <c r="L82" s="40"/>
      <c r="M82" s="78">
        <f t="shared" si="10"/>
        <v>151.78571428571428</v>
      </c>
      <c r="N82" s="78">
        <f t="shared" si="11"/>
        <v>18.214285714285712</v>
      </c>
      <c r="O82" s="78">
        <f t="shared" si="12"/>
        <v>0</v>
      </c>
      <c r="P82" s="78"/>
      <c r="Q82" s="41">
        <v>151.79</v>
      </c>
      <c r="R82" s="41"/>
      <c r="S82" s="41"/>
      <c r="T82" s="42"/>
      <c r="U82" s="42"/>
      <c r="V82" s="42"/>
      <c r="W82" s="42"/>
      <c r="X82" s="42"/>
      <c r="Y82" s="41"/>
      <c r="Z82" s="41"/>
      <c r="AA82" s="41"/>
      <c r="AB82" s="41"/>
      <c r="AC82" s="42"/>
      <c r="AD82" s="42"/>
      <c r="AE82" s="41"/>
      <c r="AF82" s="41"/>
      <c r="AG82" s="78">
        <f t="shared" si="13"/>
        <v>-170.00428571428571</v>
      </c>
      <c r="AH82" s="45">
        <f t="shared" si="14"/>
        <v>-4.2857142857144481E-3</v>
      </c>
    </row>
    <row r="83" spans="1:34" s="30" customFormat="1" ht="21.75" customHeight="1" x14ac:dyDescent="0.2">
      <c r="A83" s="18">
        <v>43392</v>
      </c>
      <c r="B83" s="19"/>
      <c r="C83" s="20" t="s">
        <v>63</v>
      </c>
      <c r="D83" s="20" t="s">
        <v>64</v>
      </c>
      <c r="E83" s="20" t="s">
        <v>120</v>
      </c>
      <c r="F83" s="21">
        <v>160921</v>
      </c>
      <c r="G83" s="22" t="s">
        <v>971</v>
      </c>
      <c r="H83" s="23"/>
      <c r="I83" s="23"/>
      <c r="J83" s="23">
        <v>136.5</v>
      </c>
      <c r="K83" s="23"/>
      <c r="L83" s="24"/>
      <c r="M83" s="69">
        <f t="shared" si="10"/>
        <v>136.5</v>
      </c>
      <c r="N83" s="69">
        <f t="shared" si="11"/>
        <v>0</v>
      </c>
      <c r="O83" s="69">
        <f t="shared" si="12"/>
        <v>0</v>
      </c>
      <c r="P83" s="69">
        <v>136.5</v>
      </c>
      <c r="Q83" s="25"/>
      <c r="R83" s="25"/>
      <c r="S83" s="25"/>
      <c r="T83" s="26"/>
      <c r="U83" s="26"/>
      <c r="V83" s="26"/>
      <c r="W83" s="26"/>
      <c r="X83" s="26"/>
      <c r="Y83" s="25"/>
      <c r="Z83" s="25"/>
      <c r="AA83" s="25"/>
      <c r="AB83" s="25"/>
      <c r="AC83" s="26"/>
      <c r="AD83" s="26"/>
      <c r="AE83" s="25"/>
      <c r="AF83" s="25"/>
      <c r="AG83" s="69">
        <f t="shared" si="13"/>
        <v>-136.5</v>
      </c>
      <c r="AH83" s="29">
        <f t="shared" si="14"/>
        <v>0</v>
      </c>
    </row>
    <row r="84" spans="1:34" s="30" customFormat="1" ht="21.75" customHeight="1" x14ac:dyDescent="0.2">
      <c r="A84" s="18">
        <v>43392</v>
      </c>
      <c r="B84" s="19"/>
      <c r="C84" s="20" t="s">
        <v>63</v>
      </c>
      <c r="D84" s="20" t="s">
        <v>64</v>
      </c>
      <c r="E84" s="20" t="s">
        <v>120</v>
      </c>
      <c r="F84" s="21">
        <v>160921</v>
      </c>
      <c r="G84" s="22" t="s">
        <v>433</v>
      </c>
      <c r="H84" s="23"/>
      <c r="I84" s="23"/>
      <c r="J84" s="23"/>
      <c r="K84" s="23">
        <f>273.21+32.79</f>
        <v>306</v>
      </c>
      <c r="L84" s="24"/>
      <c r="M84" s="69">
        <f t="shared" si="10"/>
        <v>273.21428571428567</v>
      </c>
      <c r="N84" s="69">
        <f t="shared" si="11"/>
        <v>32.785714285714278</v>
      </c>
      <c r="O84" s="69">
        <f t="shared" si="12"/>
        <v>0</v>
      </c>
      <c r="P84" s="69">
        <v>273.20999999999998</v>
      </c>
      <c r="Q84" s="25"/>
      <c r="R84" s="25"/>
      <c r="S84" s="25"/>
      <c r="T84" s="26"/>
      <c r="U84" s="26"/>
      <c r="V84" s="26"/>
      <c r="W84" s="26"/>
      <c r="X84" s="26"/>
      <c r="Y84" s="25"/>
      <c r="Z84" s="25"/>
      <c r="AA84" s="25"/>
      <c r="AB84" s="25"/>
      <c r="AC84" s="26"/>
      <c r="AD84" s="26"/>
      <c r="AE84" s="25"/>
      <c r="AF84" s="25"/>
      <c r="AG84" s="69">
        <f t="shared" si="13"/>
        <v>-305.99571428571426</v>
      </c>
      <c r="AH84" s="29">
        <f t="shared" si="14"/>
        <v>4.2857142857428698E-3</v>
      </c>
    </row>
    <row r="85" spans="1:34" s="30" customFormat="1" ht="21.75" customHeight="1" x14ac:dyDescent="0.2">
      <c r="A85" s="18">
        <v>43392</v>
      </c>
      <c r="B85" s="19"/>
      <c r="C85" s="20" t="s">
        <v>703</v>
      </c>
      <c r="D85" s="20"/>
      <c r="E85" s="20"/>
      <c r="F85" s="21"/>
      <c r="G85" s="22" t="s">
        <v>972</v>
      </c>
      <c r="H85" s="23">
        <v>375</v>
      </c>
      <c r="I85" s="23"/>
      <c r="J85" s="23"/>
      <c r="K85" s="23"/>
      <c r="L85" s="24"/>
      <c r="M85" s="69">
        <f t="shared" si="10"/>
        <v>375</v>
      </c>
      <c r="N85" s="69">
        <f t="shared" si="11"/>
        <v>0</v>
      </c>
      <c r="O85" s="69">
        <f t="shared" si="12"/>
        <v>0</v>
      </c>
      <c r="P85" s="69"/>
      <c r="Q85" s="25"/>
      <c r="R85" s="25"/>
      <c r="S85" s="25"/>
      <c r="T85" s="26"/>
      <c r="U85" s="26"/>
      <c r="V85" s="26"/>
      <c r="W85" s="26"/>
      <c r="X85" s="26"/>
      <c r="Y85" s="25"/>
      <c r="Z85" s="25"/>
      <c r="AA85" s="25"/>
      <c r="AB85" s="25"/>
      <c r="AC85" s="26"/>
      <c r="AD85" s="26">
        <v>375</v>
      </c>
      <c r="AE85" s="25"/>
      <c r="AF85" s="25"/>
      <c r="AG85" s="69">
        <f t="shared" si="13"/>
        <v>-375</v>
      </c>
      <c r="AH85" s="29">
        <f t="shared" si="14"/>
        <v>0</v>
      </c>
    </row>
    <row r="86" spans="1:34" s="30" customFormat="1" ht="21.75" customHeight="1" x14ac:dyDescent="0.2">
      <c r="A86" s="18">
        <v>43392</v>
      </c>
      <c r="B86" s="19"/>
      <c r="C86" s="20" t="s">
        <v>474</v>
      </c>
      <c r="D86" s="20"/>
      <c r="E86" s="20"/>
      <c r="F86" s="21"/>
      <c r="G86" s="22" t="s">
        <v>973</v>
      </c>
      <c r="H86" s="23">
        <v>68</v>
      </c>
      <c r="I86" s="23"/>
      <c r="J86" s="23"/>
      <c r="K86" s="23"/>
      <c r="L86" s="24"/>
      <c r="M86" s="69">
        <f t="shared" si="10"/>
        <v>68</v>
      </c>
      <c r="N86" s="69">
        <f t="shared" si="11"/>
        <v>0</v>
      </c>
      <c r="O86" s="69">
        <f t="shared" si="12"/>
        <v>0</v>
      </c>
      <c r="P86" s="69"/>
      <c r="Q86" s="25"/>
      <c r="R86" s="25"/>
      <c r="S86" s="25"/>
      <c r="T86" s="26"/>
      <c r="U86" s="26"/>
      <c r="V86" s="26"/>
      <c r="W86" s="26"/>
      <c r="X86" s="26"/>
      <c r="Y86" s="25"/>
      <c r="Z86" s="25"/>
      <c r="AA86" s="25">
        <v>68</v>
      </c>
      <c r="AB86" s="25"/>
      <c r="AC86" s="26"/>
      <c r="AD86" s="26"/>
      <c r="AE86" s="25"/>
      <c r="AF86" s="25"/>
      <c r="AG86" s="69">
        <f t="shared" si="13"/>
        <v>-68</v>
      </c>
      <c r="AH86" s="29">
        <f t="shared" si="14"/>
        <v>0</v>
      </c>
    </row>
    <row r="87" spans="1:34" s="30" customFormat="1" ht="21.75" customHeight="1" x14ac:dyDescent="0.2">
      <c r="A87" s="18">
        <v>43393</v>
      </c>
      <c r="B87" s="19"/>
      <c r="C87" s="20" t="s">
        <v>705</v>
      </c>
      <c r="D87" s="20" t="s">
        <v>706</v>
      </c>
      <c r="E87" s="20" t="s">
        <v>707</v>
      </c>
      <c r="F87" s="21">
        <v>150159</v>
      </c>
      <c r="G87" s="22" t="s">
        <v>40</v>
      </c>
      <c r="H87" s="23"/>
      <c r="I87" s="23"/>
      <c r="J87" s="23"/>
      <c r="K87" s="23">
        <v>85</v>
      </c>
      <c r="L87" s="24"/>
      <c r="M87" s="69">
        <f t="shared" si="10"/>
        <v>75.892857142857139</v>
      </c>
      <c r="N87" s="69">
        <f t="shared" si="11"/>
        <v>9.1071428571428559</v>
      </c>
      <c r="O87" s="69">
        <f t="shared" si="12"/>
        <v>0</v>
      </c>
      <c r="P87" s="69"/>
      <c r="Q87" s="25">
        <v>75.89</v>
      </c>
      <c r="R87" s="25"/>
      <c r="S87" s="25"/>
      <c r="T87" s="26"/>
      <c r="U87" s="26"/>
      <c r="V87" s="26"/>
      <c r="W87" s="26"/>
      <c r="X87" s="26"/>
      <c r="Y87" s="25"/>
      <c r="Z87" s="25"/>
      <c r="AA87" s="25"/>
      <c r="AB87" s="25"/>
      <c r="AC87" s="26"/>
      <c r="AD87" s="26"/>
      <c r="AE87" s="25"/>
      <c r="AF87" s="25"/>
      <c r="AG87" s="69">
        <f t="shared" si="13"/>
        <v>-84.997142857142862</v>
      </c>
      <c r="AH87" s="29">
        <f t="shared" si="14"/>
        <v>2.8571428571382285E-3</v>
      </c>
    </row>
    <row r="88" spans="1:34" s="30" customFormat="1" ht="21.75" customHeight="1" x14ac:dyDescent="0.2">
      <c r="A88" s="18">
        <v>43393</v>
      </c>
      <c r="B88" s="19"/>
      <c r="C88" s="20" t="s">
        <v>63</v>
      </c>
      <c r="D88" s="20" t="s">
        <v>64</v>
      </c>
      <c r="E88" s="20" t="s">
        <v>120</v>
      </c>
      <c r="F88" s="21">
        <v>141873</v>
      </c>
      <c r="G88" s="22" t="s">
        <v>974</v>
      </c>
      <c r="H88" s="23"/>
      <c r="I88" s="23"/>
      <c r="J88" s="23"/>
      <c r="K88" s="23">
        <f>761.43+91.37</f>
        <v>852.8</v>
      </c>
      <c r="L88" s="24"/>
      <c r="M88" s="69">
        <f t="shared" si="10"/>
        <v>761.42857142857133</v>
      </c>
      <c r="N88" s="69">
        <f t="shared" si="11"/>
        <v>91.371428571428552</v>
      </c>
      <c r="O88" s="69">
        <f t="shared" si="12"/>
        <v>0</v>
      </c>
      <c r="P88" s="69">
        <v>761.43</v>
      </c>
      <c r="Q88" s="25"/>
      <c r="R88" s="25"/>
      <c r="S88" s="25"/>
      <c r="T88" s="26"/>
      <c r="U88" s="26"/>
      <c r="V88" s="26"/>
      <c r="W88" s="26"/>
      <c r="X88" s="26"/>
      <c r="Y88" s="25"/>
      <c r="Z88" s="25"/>
      <c r="AA88" s="25"/>
      <c r="AB88" s="25"/>
      <c r="AC88" s="26"/>
      <c r="AD88" s="26"/>
      <c r="AE88" s="25"/>
      <c r="AF88" s="25"/>
      <c r="AG88" s="69">
        <f t="shared" si="13"/>
        <v>-852.80142857142846</v>
      </c>
      <c r="AH88" s="29">
        <f t="shared" si="14"/>
        <v>-1.4285714285051654E-3</v>
      </c>
    </row>
    <row r="89" spans="1:34" s="30" customFormat="1" ht="21.75" customHeight="1" x14ac:dyDescent="0.2">
      <c r="A89" s="18">
        <v>43393</v>
      </c>
      <c r="B89" s="19"/>
      <c r="C89" s="20" t="s">
        <v>63</v>
      </c>
      <c r="D89" s="20" t="s">
        <v>64</v>
      </c>
      <c r="E89" s="20" t="s">
        <v>120</v>
      </c>
      <c r="F89" s="21">
        <v>141873</v>
      </c>
      <c r="G89" s="22" t="s">
        <v>434</v>
      </c>
      <c r="H89" s="23"/>
      <c r="I89" s="23"/>
      <c r="J89" s="23">
        <v>75</v>
      </c>
      <c r="K89" s="23"/>
      <c r="L89" s="24"/>
      <c r="M89" s="69">
        <f t="shared" si="10"/>
        <v>75</v>
      </c>
      <c r="N89" s="69">
        <f t="shared" si="11"/>
        <v>0</v>
      </c>
      <c r="O89" s="69">
        <f t="shared" si="12"/>
        <v>0</v>
      </c>
      <c r="P89" s="69">
        <v>75</v>
      </c>
      <c r="Q89" s="25"/>
      <c r="R89" s="25"/>
      <c r="S89" s="25"/>
      <c r="T89" s="26"/>
      <c r="U89" s="26"/>
      <c r="V89" s="26"/>
      <c r="W89" s="26"/>
      <c r="X89" s="26"/>
      <c r="Y89" s="25"/>
      <c r="Z89" s="25"/>
      <c r="AA89" s="25"/>
      <c r="AB89" s="25"/>
      <c r="AC89" s="26"/>
      <c r="AD89" s="26"/>
      <c r="AE89" s="25"/>
      <c r="AF89" s="25"/>
      <c r="AG89" s="69">
        <f t="shared" si="13"/>
        <v>-75</v>
      </c>
      <c r="AH89" s="29">
        <f t="shared" si="14"/>
        <v>0</v>
      </c>
    </row>
    <row r="90" spans="1:34" s="30" customFormat="1" ht="21.75" customHeight="1" x14ac:dyDescent="0.2">
      <c r="A90" s="18">
        <v>43395</v>
      </c>
      <c r="B90" s="19"/>
      <c r="C90" s="58" t="s">
        <v>975</v>
      </c>
      <c r="D90" s="20"/>
      <c r="E90" s="20"/>
      <c r="F90" s="21"/>
      <c r="G90" s="22" t="s">
        <v>976</v>
      </c>
      <c r="H90" s="23"/>
      <c r="I90" s="23"/>
      <c r="J90" s="23">
        <v>1605</v>
      </c>
      <c r="K90" s="23"/>
      <c r="L90" s="24"/>
      <c r="M90" s="69">
        <f t="shared" si="10"/>
        <v>1605</v>
      </c>
      <c r="N90" s="69">
        <f t="shared" si="11"/>
        <v>0</v>
      </c>
      <c r="O90" s="69">
        <f t="shared" si="12"/>
        <v>0</v>
      </c>
      <c r="P90" s="69">
        <v>1605</v>
      </c>
      <c r="Q90" s="25"/>
      <c r="R90" s="25"/>
      <c r="S90" s="25"/>
      <c r="T90" s="26"/>
      <c r="U90" s="26"/>
      <c r="V90" s="26"/>
      <c r="W90" s="26"/>
      <c r="X90" s="26"/>
      <c r="Y90" s="25"/>
      <c r="Z90" s="25"/>
      <c r="AA90" s="25"/>
      <c r="AB90" s="25"/>
      <c r="AC90" s="26"/>
      <c r="AD90" s="26"/>
      <c r="AE90" s="25"/>
      <c r="AF90" s="25"/>
      <c r="AG90" s="69">
        <f t="shared" si="13"/>
        <v>-1605</v>
      </c>
      <c r="AH90" s="29">
        <f t="shared" si="14"/>
        <v>0</v>
      </c>
    </row>
    <row r="91" spans="1:34" s="30" customFormat="1" ht="21.75" customHeight="1" x14ac:dyDescent="0.2">
      <c r="A91" s="18">
        <v>43395</v>
      </c>
      <c r="B91" s="19"/>
      <c r="C91" s="20" t="s">
        <v>705</v>
      </c>
      <c r="D91" s="20" t="s">
        <v>706</v>
      </c>
      <c r="E91" s="20" t="s">
        <v>707</v>
      </c>
      <c r="F91" s="21">
        <v>150333</v>
      </c>
      <c r="G91" s="22" t="s">
        <v>40</v>
      </c>
      <c r="H91" s="23"/>
      <c r="I91" s="23"/>
      <c r="J91" s="23"/>
      <c r="K91" s="23">
        <v>170</v>
      </c>
      <c r="L91" s="24"/>
      <c r="M91" s="69">
        <f t="shared" si="10"/>
        <v>151.78571428571428</v>
      </c>
      <c r="N91" s="69">
        <f t="shared" si="11"/>
        <v>18.214285714285712</v>
      </c>
      <c r="O91" s="69">
        <f t="shared" si="12"/>
        <v>0</v>
      </c>
      <c r="P91" s="69"/>
      <c r="Q91" s="69">
        <v>151.79</v>
      </c>
      <c r="R91" s="69"/>
      <c r="S91" s="69"/>
      <c r="T91" s="70"/>
      <c r="U91" s="70"/>
      <c r="V91" s="70"/>
      <c r="W91" s="70"/>
      <c r="X91" s="70"/>
      <c r="Y91" s="69"/>
      <c r="Z91" s="69"/>
      <c r="AA91" s="69"/>
      <c r="AB91" s="69"/>
      <c r="AC91" s="70"/>
      <c r="AD91" s="70"/>
      <c r="AE91" s="71"/>
      <c r="AF91" s="71"/>
      <c r="AG91" s="69">
        <f t="shared" si="13"/>
        <v>-170.00428571428571</v>
      </c>
      <c r="AH91" s="29">
        <f t="shared" si="14"/>
        <v>-4.2857142857144481E-3</v>
      </c>
    </row>
    <row r="92" spans="1:34" s="30" customFormat="1" ht="21.75" customHeight="1" x14ac:dyDescent="0.2">
      <c r="A92" s="18">
        <v>43395</v>
      </c>
      <c r="B92" s="19"/>
      <c r="C92" s="20" t="s">
        <v>745</v>
      </c>
      <c r="D92" s="20" t="s">
        <v>812</v>
      </c>
      <c r="E92" s="20" t="s">
        <v>277</v>
      </c>
      <c r="F92" s="21">
        <v>90935</v>
      </c>
      <c r="G92" s="22" t="s">
        <v>977</v>
      </c>
      <c r="H92" s="23"/>
      <c r="I92" s="23"/>
      <c r="J92" s="23"/>
      <c r="K92" s="23">
        <v>374.42</v>
      </c>
      <c r="L92" s="24"/>
      <c r="M92" s="69">
        <f t="shared" si="10"/>
        <v>334.30357142857139</v>
      </c>
      <c r="N92" s="69">
        <f t="shared" si="11"/>
        <v>40.116428571428564</v>
      </c>
      <c r="O92" s="69">
        <f t="shared" si="12"/>
        <v>0</v>
      </c>
      <c r="P92" s="69">
        <v>334.3</v>
      </c>
      <c r="Q92" s="25"/>
      <c r="R92" s="25"/>
      <c r="S92" s="25"/>
      <c r="T92" s="26"/>
      <c r="U92" s="26"/>
      <c r="V92" s="26"/>
      <c r="W92" s="26"/>
      <c r="X92" s="26"/>
      <c r="Y92" s="25"/>
      <c r="Z92" s="25"/>
      <c r="AA92" s="25"/>
      <c r="AB92" s="25"/>
      <c r="AC92" s="26"/>
      <c r="AD92" s="26"/>
      <c r="AE92" s="25"/>
      <c r="AF92" s="25"/>
      <c r="AG92" s="69">
        <f t="shared" si="13"/>
        <v>-374.41642857142858</v>
      </c>
      <c r="AH92" s="29">
        <f t="shared" si="14"/>
        <v>3.5714285714334437E-3</v>
      </c>
    </row>
    <row r="93" spans="1:34" s="30" customFormat="1" ht="21.75" customHeight="1" x14ac:dyDescent="0.2">
      <c r="A93" s="18">
        <v>43396</v>
      </c>
      <c r="B93" s="19"/>
      <c r="C93" s="20" t="s">
        <v>68</v>
      </c>
      <c r="D93" s="20"/>
      <c r="E93" s="20"/>
      <c r="F93" s="21"/>
      <c r="G93" s="22" t="s">
        <v>978</v>
      </c>
      <c r="H93" s="23">
        <v>40</v>
      </c>
      <c r="I93" s="23"/>
      <c r="J93" s="23"/>
      <c r="K93" s="23"/>
      <c r="L93" s="24"/>
      <c r="M93" s="69">
        <f t="shared" si="10"/>
        <v>40</v>
      </c>
      <c r="N93" s="69">
        <f t="shared" si="11"/>
        <v>0</v>
      </c>
      <c r="O93" s="69">
        <f t="shared" si="12"/>
        <v>0</v>
      </c>
      <c r="P93" s="69"/>
      <c r="Q93" s="69"/>
      <c r="R93" s="69"/>
      <c r="S93" s="69"/>
      <c r="T93" s="70"/>
      <c r="U93" s="70"/>
      <c r="V93" s="70"/>
      <c r="W93" s="70"/>
      <c r="X93" s="70"/>
      <c r="Y93" s="69"/>
      <c r="Z93" s="69"/>
      <c r="AA93" s="69">
        <v>40</v>
      </c>
      <c r="AB93" s="69"/>
      <c r="AC93" s="70"/>
      <c r="AD93" s="70"/>
      <c r="AE93" s="71"/>
      <c r="AF93" s="71"/>
      <c r="AG93" s="69">
        <f t="shared" si="13"/>
        <v>-40</v>
      </c>
      <c r="AH93" s="29">
        <f t="shared" si="14"/>
        <v>0</v>
      </c>
    </row>
    <row r="94" spans="1:34" s="30" customFormat="1" ht="21.75" customHeight="1" x14ac:dyDescent="0.2">
      <c r="A94" s="18">
        <v>43396</v>
      </c>
      <c r="B94" s="19"/>
      <c r="C94" s="20" t="s">
        <v>63</v>
      </c>
      <c r="D94" s="20" t="s">
        <v>64</v>
      </c>
      <c r="E94" s="20" t="s">
        <v>120</v>
      </c>
      <c r="F94" s="21">
        <v>113298</v>
      </c>
      <c r="G94" s="22" t="s">
        <v>979</v>
      </c>
      <c r="H94" s="23"/>
      <c r="I94" s="23"/>
      <c r="J94" s="23"/>
      <c r="K94" s="23">
        <v>64.75</v>
      </c>
      <c r="L94" s="24"/>
      <c r="M94" s="69">
        <f t="shared" si="10"/>
        <v>57.812499999999993</v>
      </c>
      <c r="N94" s="69">
        <f t="shared" si="11"/>
        <v>6.9374999999999991</v>
      </c>
      <c r="O94" s="69">
        <f t="shared" si="12"/>
        <v>0</v>
      </c>
      <c r="P94" s="69"/>
      <c r="Q94" s="69"/>
      <c r="R94" s="69"/>
      <c r="S94" s="69"/>
      <c r="T94" s="70"/>
      <c r="U94" s="70"/>
      <c r="V94" s="70"/>
      <c r="W94" s="70"/>
      <c r="X94" s="70"/>
      <c r="Y94" s="69">
        <v>57.81</v>
      </c>
      <c r="Z94" s="69"/>
      <c r="AA94" s="69"/>
      <c r="AB94" s="69"/>
      <c r="AC94" s="70"/>
      <c r="AD94" s="70"/>
      <c r="AE94" s="71"/>
      <c r="AF94" s="71"/>
      <c r="AG94" s="69">
        <f t="shared" si="13"/>
        <v>-64.747500000000002</v>
      </c>
      <c r="AH94" s="29">
        <f t="shared" si="14"/>
        <v>2.4999999999977263E-3</v>
      </c>
    </row>
    <row r="95" spans="1:34" s="30" customFormat="1" ht="21.75" customHeight="1" x14ac:dyDescent="0.2">
      <c r="A95" s="18">
        <v>43396</v>
      </c>
      <c r="B95" s="19"/>
      <c r="C95" s="20" t="s">
        <v>63</v>
      </c>
      <c r="D95" s="20" t="s">
        <v>64</v>
      </c>
      <c r="E95" s="20" t="s">
        <v>120</v>
      </c>
      <c r="F95" s="21">
        <v>100111</v>
      </c>
      <c r="G95" s="22" t="s">
        <v>980</v>
      </c>
      <c r="H95" s="23"/>
      <c r="I95" s="23"/>
      <c r="J95" s="23"/>
      <c r="K95" s="23">
        <v>1475</v>
      </c>
      <c r="L95" s="24"/>
      <c r="M95" s="69">
        <f t="shared" si="10"/>
        <v>1316.9642857142856</v>
      </c>
      <c r="N95" s="69">
        <f t="shared" si="11"/>
        <v>158.03571428571425</v>
      </c>
      <c r="O95" s="69">
        <f t="shared" si="12"/>
        <v>0</v>
      </c>
      <c r="P95" s="69">
        <v>1316.96</v>
      </c>
      <c r="Q95" s="25"/>
      <c r="R95" s="25"/>
      <c r="S95" s="25"/>
      <c r="T95" s="26"/>
      <c r="U95" s="26"/>
      <c r="V95" s="26"/>
      <c r="W95" s="26"/>
      <c r="X95" s="26"/>
      <c r="Y95" s="25"/>
      <c r="Z95" s="25"/>
      <c r="AA95" s="25"/>
      <c r="AB95" s="25"/>
      <c r="AC95" s="26"/>
      <c r="AD95" s="26"/>
      <c r="AE95" s="25"/>
      <c r="AF95" s="25"/>
      <c r="AG95" s="69">
        <f t="shared" si="13"/>
        <v>-1474.9957142857143</v>
      </c>
      <c r="AH95" s="29">
        <f t="shared" si="14"/>
        <v>4.2857142857428698E-3</v>
      </c>
    </row>
    <row r="96" spans="1:34" s="30" customFormat="1" ht="21.75" customHeight="1" x14ac:dyDescent="0.2">
      <c r="A96" s="18">
        <v>43396</v>
      </c>
      <c r="B96" s="19"/>
      <c r="C96" s="20" t="s">
        <v>63</v>
      </c>
      <c r="D96" s="20" t="s">
        <v>64</v>
      </c>
      <c r="E96" s="20" t="s">
        <v>120</v>
      </c>
      <c r="F96" s="21">
        <v>10011</v>
      </c>
      <c r="G96" s="22" t="s">
        <v>981</v>
      </c>
      <c r="H96" s="23"/>
      <c r="I96" s="23"/>
      <c r="J96" s="23">
        <v>245.5</v>
      </c>
      <c r="K96" s="23"/>
      <c r="L96" s="24"/>
      <c r="M96" s="69">
        <f t="shared" si="10"/>
        <v>245.5</v>
      </c>
      <c r="N96" s="69">
        <f t="shared" si="11"/>
        <v>0</v>
      </c>
      <c r="O96" s="69">
        <f t="shared" si="12"/>
        <v>0</v>
      </c>
      <c r="P96" s="69">
        <v>245.5</v>
      </c>
      <c r="Q96" s="25"/>
      <c r="R96" s="25"/>
      <c r="S96" s="25"/>
      <c r="T96" s="26"/>
      <c r="U96" s="26"/>
      <c r="V96" s="26"/>
      <c r="W96" s="26"/>
      <c r="X96" s="26"/>
      <c r="Y96" s="25"/>
      <c r="Z96" s="25"/>
      <c r="AA96" s="25"/>
      <c r="AB96" s="25"/>
      <c r="AC96" s="26"/>
      <c r="AD96" s="26"/>
      <c r="AE96" s="25"/>
      <c r="AF96" s="25"/>
      <c r="AG96" s="69">
        <f t="shared" si="13"/>
        <v>-245.5</v>
      </c>
      <c r="AH96" s="29">
        <f t="shared" si="14"/>
        <v>0</v>
      </c>
    </row>
    <row r="97" spans="1:34" s="30" customFormat="1" ht="21.75" customHeight="1" x14ac:dyDescent="0.2">
      <c r="A97" s="18">
        <v>43396</v>
      </c>
      <c r="B97" s="19"/>
      <c r="C97" s="20" t="s">
        <v>63</v>
      </c>
      <c r="D97" s="20" t="s">
        <v>64</v>
      </c>
      <c r="E97" s="20" t="s">
        <v>120</v>
      </c>
      <c r="F97" s="21">
        <v>113301</v>
      </c>
      <c r="G97" s="22" t="s">
        <v>982</v>
      </c>
      <c r="H97" s="23"/>
      <c r="I97" s="23"/>
      <c r="J97" s="23"/>
      <c r="K97" s="23">
        <v>25</v>
      </c>
      <c r="L97" s="24"/>
      <c r="M97" s="69">
        <f t="shared" si="10"/>
        <v>22.321428571428569</v>
      </c>
      <c r="N97" s="69">
        <f t="shared" si="11"/>
        <v>2.6785714285714284</v>
      </c>
      <c r="O97" s="69">
        <f t="shared" si="12"/>
        <v>0</v>
      </c>
      <c r="P97" s="69">
        <v>22.32</v>
      </c>
      <c r="Q97" s="69"/>
      <c r="R97" s="69"/>
      <c r="S97" s="69"/>
      <c r="T97" s="70"/>
      <c r="U97" s="70"/>
      <c r="V97" s="70"/>
      <c r="W97" s="70"/>
      <c r="X97" s="70"/>
      <c r="Y97" s="69"/>
      <c r="Z97" s="69"/>
      <c r="AA97" s="69"/>
      <c r="AB97" s="69"/>
      <c r="AC97" s="70"/>
      <c r="AD97" s="70"/>
      <c r="AE97" s="71"/>
      <c r="AF97" s="71"/>
      <c r="AG97" s="69">
        <f t="shared" si="13"/>
        <v>-24.998571428571427</v>
      </c>
      <c r="AH97" s="29">
        <f t="shared" si="14"/>
        <v>1.4285714285726669E-3</v>
      </c>
    </row>
    <row r="98" spans="1:34" s="30" customFormat="1" ht="21.75" customHeight="1" x14ac:dyDescent="0.2">
      <c r="A98" s="18">
        <v>43396</v>
      </c>
      <c r="B98" s="19"/>
      <c r="C98" s="20" t="s">
        <v>705</v>
      </c>
      <c r="D98" s="20" t="s">
        <v>706</v>
      </c>
      <c r="E98" s="20" t="s">
        <v>707</v>
      </c>
      <c r="F98" s="21">
        <v>145030</v>
      </c>
      <c r="G98" s="22" t="s">
        <v>40</v>
      </c>
      <c r="H98" s="23"/>
      <c r="I98" s="23"/>
      <c r="J98" s="23"/>
      <c r="K98" s="23">
        <v>170</v>
      </c>
      <c r="L98" s="24"/>
      <c r="M98" s="69">
        <f t="shared" si="10"/>
        <v>151.78571428571428</v>
      </c>
      <c r="N98" s="69">
        <f t="shared" si="11"/>
        <v>18.214285714285712</v>
      </c>
      <c r="O98" s="69">
        <f t="shared" si="12"/>
        <v>0</v>
      </c>
      <c r="P98" s="69"/>
      <c r="Q98" s="25">
        <v>151.79</v>
      </c>
      <c r="R98" s="25"/>
      <c r="S98" s="25"/>
      <c r="T98" s="26"/>
      <c r="U98" s="26"/>
      <c r="V98" s="26"/>
      <c r="W98" s="26"/>
      <c r="X98" s="26"/>
      <c r="Y98" s="25"/>
      <c r="Z98" s="25"/>
      <c r="AA98" s="25"/>
      <c r="AB98" s="25"/>
      <c r="AC98" s="26"/>
      <c r="AD98" s="26"/>
      <c r="AE98" s="25"/>
      <c r="AF98" s="25"/>
      <c r="AG98" s="69">
        <f t="shared" si="13"/>
        <v>-170.00428571428571</v>
      </c>
      <c r="AH98" s="29">
        <f t="shared" si="14"/>
        <v>-4.2857142857144481E-3</v>
      </c>
    </row>
    <row r="99" spans="1:34" s="30" customFormat="1" ht="21.75" customHeight="1" x14ac:dyDescent="0.2">
      <c r="A99" s="18">
        <v>43397</v>
      </c>
      <c r="B99" s="19"/>
      <c r="C99" s="20" t="s">
        <v>983</v>
      </c>
      <c r="D99" s="20"/>
      <c r="E99" s="20"/>
      <c r="F99" s="21"/>
      <c r="G99" s="22" t="s">
        <v>984</v>
      </c>
      <c r="H99" s="23">
        <v>34</v>
      </c>
      <c r="I99" s="23"/>
      <c r="J99" s="23"/>
      <c r="K99" s="23"/>
      <c r="L99" s="24"/>
      <c r="M99" s="69">
        <f t="shared" si="10"/>
        <v>34</v>
      </c>
      <c r="N99" s="69">
        <f t="shared" si="11"/>
        <v>0</v>
      </c>
      <c r="O99" s="69">
        <f t="shared" si="12"/>
        <v>0</v>
      </c>
      <c r="P99" s="69"/>
      <c r="Q99" s="25"/>
      <c r="R99" s="25"/>
      <c r="S99" s="25"/>
      <c r="T99" s="26"/>
      <c r="U99" s="26"/>
      <c r="V99" s="26"/>
      <c r="W99" s="26"/>
      <c r="X99" s="26"/>
      <c r="Y99" s="25"/>
      <c r="Z99" s="25"/>
      <c r="AA99" s="25"/>
      <c r="AB99" s="25"/>
      <c r="AC99" s="26"/>
      <c r="AD99" s="26">
        <v>34</v>
      </c>
      <c r="AE99" s="25"/>
      <c r="AF99" s="25"/>
      <c r="AG99" s="69">
        <f t="shared" si="13"/>
        <v>-34</v>
      </c>
      <c r="AH99" s="29">
        <f t="shared" si="14"/>
        <v>0</v>
      </c>
    </row>
    <row r="100" spans="1:34" s="30" customFormat="1" ht="21.75" customHeight="1" x14ac:dyDescent="0.2">
      <c r="A100" s="18">
        <v>43396</v>
      </c>
      <c r="B100" s="19"/>
      <c r="C100" s="20" t="s">
        <v>614</v>
      </c>
      <c r="D100" s="20"/>
      <c r="E100" s="20"/>
      <c r="F100" s="21"/>
      <c r="G100" s="22" t="s">
        <v>938</v>
      </c>
      <c r="H100" s="23">
        <v>502</v>
      </c>
      <c r="I100" s="23"/>
      <c r="J100" s="23"/>
      <c r="K100" s="23"/>
      <c r="L100" s="24"/>
      <c r="M100" s="69">
        <f t="shared" si="10"/>
        <v>502</v>
      </c>
      <c r="N100" s="69">
        <f t="shared" si="11"/>
        <v>0</v>
      </c>
      <c r="O100" s="69">
        <f t="shared" si="12"/>
        <v>0</v>
      </c>
      <c r="P100" s="69"/>
      <c r="Q100" s="25"/>
      <c r="R100" s="25"/>
      <c r="S100" s="25"/>
      <c r="T100" s="26"/>
      <c r="U100" s="26"/>
      <c r="V100" s="26"/>
      <c r="W100" s="26"/>
      <c r="X100" s="26"/>
      <c r="Y100" s="25"/>
      <c r="Z100" s="25"/>
      <c r="AA100" s="25">
        <v>502</v>
      </c>
      <c r="AB100" s="25"/>
      <c r="AC100" s="26"/>
      <c r="AD100" s="26"/>
      <c r="AE100" s="25"/>
      <c r="AF100" s="25"/>
      <c r="AG100" s="69">
        <f t="shared" si="13"/>
        <v>-502</v>
      </c>
      <c r="AH100" s="29">
        <f t="shared" si="14"/>
        <v>0</v>
      </c>
    </row>
    <row r="101" spans="1:34" s="72" customFormat="1" ht="21" customHeight="1" x14ac:dyDescent="0.2">
      <c r="A101" s="18">
        <v>43397</v>
      </c>
      <c r="B101" s="19"/>
      <c r="C101" s="20" t="s">
        <v>41</v>
      </c>
      <c r="D101" s="20" t="s">
        <v>88</v>
      </c>
      <c r="E101" s="20" t="s">
        <v>43</v>
      </c>
      <c r="F101" s="21">
        <v>2711</v>
      </c>
      <c r="G101" s="22" t="s">
        <v>985</v>
      </c>
      <c r="H101" s="67"/>
      <c r="I101" s="67"/>
      <c r="J101" s="67">
        <f>875+880</f>
        <v>1755</v>
      </c>
      <c r="K101" s="67"/>
      <c r="L101" s="68"/>
      <c r="M101" s="69">
        <f t="shared" ref="M101:M126" si="15">SUM(H101:J101,K101/1.12)</f>
        <v>1755</v>
      </c>
      <c r="N101" s="69">
        <f t="shared" ref="N101:N126" si="16">K101/1.12*0.12</f>
        <v>0</v>
      </c>
      <c r="O101" s="69">
        <f t="shared" ref="O101:O126" si="17">-SUM(I101:J101,K101/1.12)*L101</f>
        <v>0</v>
      </c>
      <c r="P101" s="69">
        <v>1755</v>
      </c>
      <c r="Q101" s="69"/>
      <c r="R101" s="69"/>
      <c r="S101" s="69"/>
      <c r="T101" s="70"/>
      <c r="U101" s="70"/>
      <c r="V101" s="70"/>
      <c r="W101" s="70"/>
      <c r="X101" s="70"/>
      <c r="Y101" s="69"/>
      <c r="Z101" s="69"/>
      <c r="AA101" s="69"/>
      <c r="AB101" s="69"/>
      <c r="AC101" s="70"/>
      <c r="AD101" s="70"/>
      <c r="AE101" s="71"/>
      <c r="AF101" s="71"/>
      <c r="AG101" s="69">
        <f t="shared" ref="AG101:AG126" si="18">-SUM(N101:AF101)</f>
        <v>-1755</v>
      </c>
      <c r="AH101" s="29">
        <f t="shared" ref="AH101:AH126" si="19">SUM(H101:K101)+AG101+O101</f>
        <v>0</v>
      </c>
    </row>
    <row r="102" spans="1:34" s="72" customFormat="1" ht="21" customHeight="1" x14ac:dyDescent="0.2">
      <c r="A102" s="65">
        <v>43397</v>
      </c>
      <c r="B102" s="66"/>
      <c r="C102" s="20" t="s">
        <v>45</v>
      </c>
      <c r="D102" s="20"/>
      <c r="E102" s="20"/>
      <c r="F102" s="21"/>
      <c r="G102" s="22" t="s">
        <v>986</v>
      </c>
      <c r="H102" s="67">
        <v>100</v>
      </c>
      <c r="I102" s="67"/>
      <c r="J102" s="67"/>
      <c r="K102" s="67"/>
      <c r="L102" s="68"/>
      <c r="M102" s="69">
        <f t="shared" si="15"/>
        <v>100</v>
      </c>
      <c r="N102" s="69">
        <f t="shared" si="16"/>
        <v>0</v>
      </c>
      <c r="O102" s="69">
        <f t="shared" si="17"/>
        <v>0</v>
      </c>
      <c r="P102" s="69"/>
      <c r="Q102" s="69"/>
      <c r="R102" s="69"/>
      <c r="S102" s="69"/>
      <c r="T102" s="70"/>
      <c r="U102" s="70"/>
      <c r="V102" s="70"/>
      <c r="W102" s="70"/>
      <c r="X102" s="70"/>
      <c r="Y102" s="69"/>
      <c r="Z102" s="69"/>
      <c r="AA102" s="69">
        <v>100</v>
      </c>
      <c r="AB102" s="69"/>
      <c r="AC102" s="70"/>
      <c r="AD102" s="70"/>
      <c r="AE102" s="71"/>
      <c r="AF102" s="71"/>
      <c r="AG102" s="69">
        <f t="shared" si="18"/>
        <v>-100</v>
      </c>
      <c r="AH102" s="29">
        <f t="shared" si="19"/>
        <v>0</v>
      </c>
    </row>
    <row r="103" spans="1:34" s="72" customFormat="1" ht="21" customHeight="1" x14ac:dyDescent="0.2">
      <c r="A103" s="65">
        <v>43397</v>
      </c>
      <c r="B103" s="66"/>
      <c r="C103" s="20" t="s">
        <v>535</v>
      </c>
      <c r="D103" s="20"/>
      <c r="E103" s="20"/>
      <c r="F103" s="21"/>
      <c r="G103" s="22" t="s">
        <v>987</v>
      </c>
      <c r="H103" s="67">
        <v>1353.27</v>
      </c>
      <c r="I103" s="67"/>
      <c r="J103" s="67"/>
      <c r="K103" s="67"/>
      <c r="L103" s="68"/>
      <c r="M103" s="69">
        <f t="shared" si="15"/>
        <v>1353.27</v>
      </c>
      <c r="N103" s="69">
        <f t="shared" si="16"/>
        <v>0</v>
      </c>
      <c r="O103" s="69">
        <f t="shared" si="17"/>
        <v>0</v>
      </c>
      <c r="P103" s="69"/>
      <c r="Q103" s="69"/>
      <c r="R103" s="69"/>
      <c r="S103" s="69"/>
      <c r="T103" s="70"/>
      <c r="U103" s="70"/>
      <c r="V103" s="70"/>
      <c r="W103" s="70"/>
      <c r="X103" s="70"/>
      <c r="Y103" s="69"/>
      <c r="Z103" s="69"/>
      <c r="AA103" s="69"/>
      <c r="AB103" s="69"/>
      <c r="AC103" s="70"/>
      <c r="AD103" s="70">
        <v>1353.27</v>
      </c>
      <c r="AE103" s="71"/>
      <c r="AF103" s="71"/>
      <c r="AG103" s="69">
        <f t="shared" si="18"/>
        <v>-1353.27</v>
      </c>
      <c r="AH103" s="29">
        <f t="shared" si="19"/>
        <v>0</v>
      </c>
    </row>
    <row r="104" spans="1:34" s="30" customFormat="1" ht="21.75" customHeight="1" x14ac:dyDescent="0.2">
      <c r="A104" s="18">
        <v>43397</v>
      </c>
      <c r="B104" s="19"/>
      <c r="C104" s="20" t="s">
        <v>705</v>
      </c>
      <c r="D104" s="20" t="s">
        <v>706</v>
      </c>
      <c r="E104" s="20" t="s">
        <v>707</v>
      </c>
      <c r="F104" s="21">
        <v>136066</v>
      </c>
      <c r="G104" s="22" t="s">
        <v>40</v>
      </c>
      <c r="H104" s="23"/>
      <c r="I104" s="23"/>
      <c r="J104" s="23"/>
      <c r="K104" s="23">
        <v>170</v>
      </c>
      <c r="L104" s="24"/>
      <c r="M104" s="69">
        <f t="shared" si="15"/>
        <v>151.78571428571428</v>
      </c>
      <c r="N104" s="69">
        <f t="shared" si="16"/>
        <v>18.214285714285712</v>
      </c>
      <c r="O104" s="69">
        <f t="shared" si="17"/>
        <v>0</v>
      </c>
      <c r="P104" s="69"/>
      <c r="Q104" s="69">
        <v>151.79</v>
      </c>
      <c r="R104" s="69"/>
      <c r="S104" s="69"/>
      <c r="T104" s="70"/>
      <c r="U104" s="70"/>
      <c r="V104" s="70"/>
      <c r="W104" s="70"/>
      <c r="X104" s="70"/>
      <c r="Y104" s="69"/>
      <c r="Z104" s="69"/>
      <c r="AA104" s="69"/>
      <c r="AB104" s="69"/>
      <c r="AC104" s="70"/>
      <c r="AD104" s="70"/>
      <c r="AE104" s="71"/>
      <c r="AF104" s="71"/>
      <c r="AG104" s="69">
        <f t="shared" si="18"/>
        <v>-170.00428571428571</v>
      </c>
      <c r="AH104" s="29">
        <f t="shared" si="19"/>
        <v>-4.2857142857144481E-3</v>
      </c>
    </row>
    <row r="105" spans="1:34" s="30" customFormat="1" ht="21.75" customHeight="1" x14ac:dyDescent="0.2">
      <c r="A105" s="18">
        <v>43398</v>
      </c>
      <c r="B105" s="19"/>
      <c r="C105" s="20" t="s">
        <v>518</v>
      </c>
      <c r="D105" s="20" t="s">
        <v>519</v>
      </c>
      <c r="E105" s="20" t="s">
        <v>175</v>
      </c>
      <c r="F105" s="21">
        <v>1698</v>
      </c>
      <c r="G105" s="22" t="s">
        <v>988</v>
      </c>
      <c r="H105" s="23"/>
      <c r="I105" s="23"/>
      <c r="J105" s="23"/>
      <c r="K105" s="23">
        <v>3150</v>
      </c>
      <c r="L105" s="24">
        <v>0.01</v>
      </c>
      <c r="M105" s="69">
        <f t="shared" si="15"/>
        <v>2812.4999999999995</v>
      </c>
      <c r="N105" s="69">
        <f t="shared" si="16"/>
        <v>337.49999999999994</v>
      </c>
      <c r="O105" s="69">
        <f t="shared" si="17"/>
        <v>-28.124999999999996</v>
      </c>
      <c r="P105" s="69">
        <v>2812.5</v>
      </c>
      <c r="Q105" s="25"/>
      <c r="R105" s="25"/>
      <c r="S105" s="25"/>
      <c r="T105" s="26"/>
      <c r="U105" s="26"/>
      <c r="V105" s="26"/>
      <c r="W105" s="26"/>
      <c r="X105" s="26"/>
      <c r="Y105" s="25"/>
      <c r="Z105" s="25"/>
      <c r="AA105" s="25"/>
      <c r="AB105" s="25"/>
      <c r="AC105" s="26"/>
      <c r="AD105" s="26"/>
      <c r="AE105" s="25"/>
      <c r="AF105" s="25"/>
      <c r="AG105" s="69">
        <f t="shared" si="18"/>
        <v>-3121.875</v>
      </c>
      <c r="AH105" s="29">
        <f t="shared" si="19"/>
        <v>0</v>
      </c>
    </row>
    <row r="106" spans="1:34" s="72" customFormat="1" ht="21" customHeight="1" x14ac:dyDescent="0.2">
      <c r="A106" s="65">
        <v>43398</v>
      </c>
      <c r="B106" s="66"/>
      <c r="C106" s="20" t="s">
        <v>705</v>
      </c>
      <c r="D106" s="20" t="s">
        <v>706</v>
      </c>
      <c r="E106" s="20" t="s">
        <v>707</v>
      </c>
      <c r="F106" s="21">
        <v>157119</v>
      </c>
      <c r="G106" s="22" t="s">
        <v>40</v>
      </c>
      <c r="H106" s="67"/>
      <c r="I106" s="67"/>
      <c r="J106" s="67"/>
      <c r="K106" s="67">
        <v>170</v>
      </c>
      <c r="L106" s="68"/>
      <c r="M106" s="69">
        <f t="shared" si="15"/>
        <v>151.78571428571428</v>
      </c>
      <c r="N106" s="69">
        <f t="shared" si="16"/>
        <v>18.214285714285712</v>
      </c>
      <c r="O106" s="69">
        <f t="shared" si="17"/>
        <v>0</v>
      </c>
      <c r="P106" s="69">
        <v>151.79</v>
      </c>
      <c r="Q106" s="69"/>
      <c r="R106" s="69"/>
      <c r="S106" s="69"/>
      <c r="T106" s="70"/>
      <c r="U106" s="70"/>
      <c r="V106" s="70"/>
      <c r="W106" s="70"/>
      <c r="X106" s="70"/>
      <c r="Y106" s="69"/>
      <c r="Z106" s="69"/>
      <c r="AA106" s="69"/>
      <c r="AB106" s="69"/>
      <c r="AC106" s="70"/>
      <c r="AD106" s="70"/>
      <c r="AE106" s="71"/>
      <c r="AF106" s="71"/>
      <c r="AG106" s="69">
        <f t="shared" si="18"/>
        <v>-170.00428571428571</v>
      </c>
      <c r="AH106" s="29">
        <f t="shared" si="19"/>
        <v>-4.2857142857144481E-3</v>
      </c>
    </row>
    <row r="107" spans="1:34" s="72" customFormat="1" ht="21" customHeight="1" x14ac:dyDescent="0.2">
      <c r="A107" s="65">
        <v>43398</v>
      </c>
      <c r="B107" s="66"/>
      <c r="C107" s="20" t="s">
        <v>45</v>
      </c>
      <c r="D107" s="20"/>
      <c r="E107" s="20"/>
      <c r="F107" s="21"/>
      <c r="G107" s="22" t="s">
        <v>783</v>
      </c>
      <c r="H107" s="67">
        <v>100</v>
      </c>
      <c r="I107" s="67"/>
      <c r="J107" s="67"/>
      <c r="K107" s="67"/>
      <c r="L107" s="68"/>
      <c r="M107" s="69">
        <f t="shared" si="15"/>
        <v>100</v>
      </c>
      <c r="N107" s="69">
        <f t="shared" si="16"/>
        <v>0</v>
      </c>
      <c r="O107" s="69">
        <f t="shared" si="17"/>
        <v>0</v>
      </c>
      <c r="P107" s="69"/>
      <c r="Q107" s="69"/>
      <c r="R107" s="69"/>
      <c r="S107" s="69"/>
      <c r="T107" s="70"/>
      <c r="U107" s="70"/>
      <c r="V107" s="70"/>
      <c r="W107" s="70"/>
      <c r="X107" s="70"/>
      <c r="Y107" s="69"/>
      <c r="Z107" s="69"/>
      <c r="AA107" s="69">
        <v>100</v>
      </c>
      <c r="AB107" s="69"/>
      <c r="AC107" s="70"/>
      <c r="AD107" s="70"/>
      <c r="AE107" s="71"/>
      <c r="AF107" s="71"/>
      <c r="AG107" s="69">
        <f t="shared" si="18"/>
        <v>-100</v>
      </c>
      <c r="AH107" s="29">
        <f t="shared" si="19"/>
        <v>0</v>
      </c>
    </row>
    <row r="108" spans="1:34" s="72" customFormat="1" ht="21" customHeight="1" x14ac:dyDescent="0.2">
      <c r="A108" s="65">
        <v>1026</v>
      </c>
      <c r="B108" s="66"/>
      <c r="C108" s="20" t="s">
        <v>63</v>
      </c>
      <c r="D108" s="20" t="s">
        <v>64</v>
      </c>
      <c r="E108" s="20" t="s">
        <v>120</v>
      </c>
      <c r="F108" s="21">
        <v>152301</v>
      </c>
      <c r="G108" s="22" t="s">
        <v>989</v>
      </c>
      <c r="H108" s="67"/>
      <c r="I108" s="67"/>
      <c r="J108" s="67">
        <v>622.54999999999995</v>
      </c>
      <c r="K108" s="67"/>
      <c r="L108" s="68"/>
      <c r="M108" s="69">
        <f t="shared" si="15"/>
        <v>622.54999999999995</v>
      </c>
      <c r="N108" s="69">
        <f t="shared" si="16"/>
        <v>0</v>
      </c>
      <c r="O108" s="69">
        <f t="shared" si="17"/>
        <v>0</v>
      </c>
      <c r="P108" s="69">
        <v>622.54999999999995</v>
      </c>
      <c r="Q108" s="69"/>
      <c r="R108" s="69"/>
      <c r="S108" s="69"/>
      <c r="T108" s="70"/>
      <c r="U108" s="70"/>
      <c r="V108" s="70"/>
      <c r="W108" s="70"/>
      <c r="X108" s="70"/>
      <c r="Y108" s="69"/>
      <c r="Z108" s="69"/>
      <c r="AA108" s="69"/>
      <c r="AB108" s="69"/>
      <c r="AC108" s="70"/>
      <c r="AD108" s="70"/>
      <c r="AE108" s="71"/>
      <c r="AF108" s="71"/>
      <c r="AG108" s="69">
        <f t="shared" si="18"/>
        <v>-622.54999999999995</v>
      </c>
      <c r="AH108" s="29">
        <f t="shared" si="19"/>
        <v>0</v>
      </c>
    </row>
    <row r="109" spans="1:34" s="72" customFormat="1" ht="21" customHeight="1" x14ac:dyDescent="0.2">
      <c r="A109" s="65">
        <v>1026</v>
      </c>
      <c r="B109" s="66"/>
      <c r="C109" s="20" t="s">
        <v>63</v>
      </c>
      <c r="D109" s="20" t="s">
        <v>64</v>
      </c>
      <c r="E109" s="20" t="s">
        <v>120</v>
      </c>
      <c r="F109" s="21">
        <v>152301</v>
      </c>
      <c r="G109" s="21" t="s">
        <v>990</v>
      </c>
      <c r="H109" s="67"/>
      <c r="I109" s="67"/>
      <c r="J109" s="67"/>
      <c r="K109" s="67">
        <f>272.14+32.66</f>
        <v>304.79999999999995</v>
      </c>
      <c r="L109" s="68"/>
      <c r="M109" s="69">
        <f t="shared" si="15"/>
        <v>272.14285714285705</v>
      </c>
      <c r="N109" s="69">
        <f t="shared" si="16"/>
        <v>32.657142857142844</v>
      </c>
      <c r="O109" s="69">
        <f t="shared" si="17"/>
        <v>0</v>
      </c>
      <c r="P109" s="69">
        <v>272.14</v>
      </c>
      <c r="Q109" s="69"/>
      <c r="R109" s="69"/>
      <c r="S109" s="69"/>
      <c r="T109" s="70"/>
      <c r="U109" s="70"/>
      <c r="V109" s="70"/>
      <c r="W109" s="70"/>
      <c r="X109" s="70"/>
      <c r="Y109" s="69"/>
      <c r="Z109" s="69"/>
      <c r="AA109" s="69"/>
      <c r="AB109" s="69"/>
      <c r="AC109" s="70"/>
      <c r="AD109" s="70"/>
      <c r="AE109" s="71"/>
      <c r="AF109" s="71"/>
      <c r="AG109" s="69">
        <f t="shared" si="18"/>
        <v>-304.79714285714283</v>
      </c>
      <c r="AH109" s="29">
        <f t="shared" si="19"/>
        <v>2.8571428571240176E-3</v>
      </c>
    </row>
    <row r="110" spans="1:34" s="30" customFormat="1" ht="21.75" customHeight="1" x14ac:dyDescent="0.2">
      <c r="A110" s="65">
        <v>43399</v>
      </c>
      <c r="B110" s="19"/>
      <c r="C110" s="20" t="s">
        <v>705</v>
      </c>
      <c r="D110" s="20" t="s">
        <v>706</v>
      </c>
      <c r="E110" s="20" t="s">
        <v>707</v>
      </c>
      <c r="F110" s="21">
        <v>157668</v>
      </c>
      <c r="G110" s="22" t="s">
        <v>40</v>
      </c>
      <c r="H110" s="23"/>
      <c r="I110" s="23"/>
      <c r="J110" s="23"/>
      <c r="K110" s="23">
        <v>170</v>
      </c>
      <c r="L110" s="24"/>
      <c r="M110" s="69">
        <f t="shared" si="15"/>
        <v>151.78571428571428</v>
      </c>
      <c r="N110" s="69">
        <f t="shared" si="16"/>
        <v>18.214285714285712</v>
      </c>
      <c r="O110" s="69">
        <f t="shared" si="17"/>
        <v>0</v>
      </c>
      <c r="P110" s="69"/>
      <c r="Q110" s="25">
        <v>151.79</v>
      </c>
      <c r="R110" s="25"/>
      <c r="S110" s="25"/>
      <c r="T110" s="26"/>
      <c r="U110" s="26"/>
      <c r="V110" s="26"/>
      <c r="W110" s="26"/>
      <c r="X110" s="26"/>
      <c r="Y110" s="25"/>
      <c r="Z110" s="25"/>
      <c r="AA110" s="25"/>
      <c r="AB110" s="25"/>
      <c r="AC110" s="26"/>
      <c r="AD110" s="26"/>
      <c r="AE110" s="25"/>
      <c r="AF110" s="25"/>
      <c r="AG110" s="69">
        <f t="shared" si="18"/>
        <v>-170.00428571428571</v>
      </c>
      <c r="AH110" s="29">
        <f t="shared" si="19"/>
        <v>-4.2857142857144481E-3</v>
      </c>
    </row>
    <row r="111" spans="1:34" s="72" customFormat="1" ht="24" customHeight="1" x14ac:dyDescent="0.2">
      <c r="A111" s="65">
        <v>43399</v>
      </c>
      <c r="B111" s="66"/>
      <c r="C111" s="20" t="s">
        <v>96</v>
      </c>
      <c r="D111" s="20"/>
      <c r="E111" s="20"/>
      <c r="F111" s="21"/>
      <c r="G111" s="22" t="s">
        <v>991</v>
      </c>
      <c r="H111" s="67">
        <v>220</v>
      </c>
      <c r="I111" s="67"/>
      <c r="J111" s="67"/>
      <c r="K111" s="67"/>
      <c r="L111" s="68"/>
      <c r="M111" s="69">
        <f t="shared" si="15"/>
        <v>220</v>
      </c>
      <c r="N111" s="69">
        <f t="shared" si="16"/>
        <v>0</v>
      </c>
      <c r="O111" s="69">
        <f t="shared" si="17"/>
        <v>0</v>
      </c>
      <c r="P111" s="69"/>
      <c r="Q111" s="69"/>
      <c r="R111" s="69"/>
      <c r="S111" s="69"/>
      <c r="T111" s="70"/>
      <c r="U111" s="70"/>
      <c r="V111" s="70"/>
      <c r="W111" s="70"/>
      <c r="X111" s="70"/>
      <c r="Y111" s="69"/>
      <c r="Z111" s="69"/>
      <c r="AA111" s="69">
        <v>220</v>
      </c>
      <c r="AB111" s="69"/>
      <c r="AC111" s="70"/>
      <c r="AD111" s="70"/>
      <c r="AE111" s="71"/>
      <c r="AF111" s="71"/>
      <c r="AG111" s="69">
        <f t="shared" si="18"/>
        <v>-220</v>
      </c>
      <c r="AH111" s="29">
        <f t="shared" si="19"/>
        <v>0</v>
      </c>
    </row>
    <row r="112" spans="1:34" s="72" customFormat="1" ht="21" customHeight="1" x14ac:dyDescent="0.2">
      <c r="A112" s="65">
        <v>43399</v>
      </c>
      <c r="B112" s="66"/>
      <c r="C112" s="20" t="s">
        <v>59</v>
      </c>
      <c r="D112" s="20" t="s">
        <v>872</v>
      </c>
      <c r="E112" s="20" t="s">
        <v>120</v>
      </c>
      <c r="F112" s="21">
        <v>707372</v>
      </c>
      <c r="G112" s="22" t="s">
        <v>992</v>
      </c>
      <c r="H112" s="67"/>
      <c r="I112" s="67"/>
      <c r="J112" s="67"/>
      <c r="K112" s="67">
        <v>45</v>
      </c>
      <c r="L112" s="68"/>
      <c r="M112" s="69">
        <f t="shared" si="15"/>
        <v>40.178571428571423</v>
      </c>
      <c r="N112" s="69">
        <f t="shared" si="16"/>
        <v>4.8214285714285703</v>
      </c>
      <c r="O112" s="69">
        <f t="shared" si="17"/>
        <v>0</v>
      </c>
      <c r="P112" s="69"/>
      <c r="Q112" s="69"/>
      <c r="R112" s="69"/>
      <c r="S112" s="69"/>
      <c r="T112" s="70"/>
      <c r="U112" s="70"/>
      <c r="V112" s="70"/>
      <c r="W112" s="70"/>
      <c r="X112" s="70"/>
      <c r="Y112" s="69"/>
      <c r="Z112" s="69">
        <v>40.18</v>
      </c>
      <c r="AA112" s="69"/>
      <c r="AB112" s="69"/>
      <c r="AC112" s="70"/>
      <c r="AD112" s="70"/>
      <c r="AE112" s="71"/>
      <c r="AF112" s="71"/>
      <c r="AG112" s="69">
        <f t="shared" si="18"/>
        <v>-45.001428571428569</v>
      </c>
      <c r="AH112" s="29">
        <f t="shared" si="19"/>
        <v>-1.4285714285691142E-3</v>
      </c>
    </row>
    <row r="113" spans="1:34" s="72" customFormat="1" ht="24" customHeight="1" x14ac:dyDescent="0.2">
      <c r="A113" s="65">
        <v>43400</v>
      </c>
      <c r="B113" s="66"/>
      <c r="C113" s="20" t="s">
        <v>614</v>
      </c>
      <c r="D113" s="20"/>
      <c r="E113" s="20"/>
      <c r="F113" s="21"/>
      <c r="G113" s="22" t="s">
        <v>993</v>
      </c>
      <c r="H113" s="67">
        <v>2008</v>
      </c>
      <c r="I113" s="67"/>
      <c r="J113" s="67"/>
      <c r="K113" s="67"/>
      <c r="L113" s="68"/>
      <c r="M113" s="69">
        <f t="shared" si="15"/>
        <v>2008</v>
      </c>
      <c r="N113" s="69">
        <f t="shared" si="16"/>
        <v>0</v>
      </c>
      <c r="O113" s="69">
        <f t="shared" si="17"/>
        <v>0</v>
      </c>
      <c r="P113" s="69"/>
      <c r="Q113" s="69"/>
      <c r="R113" s="69"/>
      <c r="S113" s="69"/>
      <c r="T113" s="70"/>
      <c r="U113" s="70"/>
      <c r="V113" s="70"/>
      <c r="W113" s="70"/>
      <c r="X113" s="70"/>
      <c r="Y113" s="69"/>
      <c r="Z113" s="69"/>
      <c r="AA113" s="69"/>
      <c r="AB113" s="69">
        <v>2008</v>
      </c>
      <c r="AC113" s="70"/>
      <c r="AD113" s="70"/>
      <c r="AE113" s="71"/>
      <c r="AF113" s="71"/>
      <c r="AG113" s="69">
        <f t="shared" si="18"/>
        <v>-2008</v>
      </c>
      <c r="AH113" s="29">
        <f t="shared" si="19"/>
        <v>0</v>
      </c>
    </row>
    <row r="114" spans="1:34" s="30" customFormat="1" ht="21.75" customHeight="1" x14ac:dyDescent="0.2">
      <c r="A114" s="18">
        <v>43400</v>
      </c>
      <c r="B114" s="19"/>
      <c r="C114" s="20" t="s">
        <v>466</v>
      </c>
      <c r="D114" s="20" t="s">
        <v>467</v>
      </c>
      <c r="E114" s="20" t="s">
        <v>120</v>
      </c>
      <c r="F114" s="21">
        <v>391</v>
      </c>
      <c r="G114" s="22" t="s">
        <v>40</v>
      </c>
      <c r="H114" s="23"/>
      <c r="I114" s="23"/>
      <c r="J114" s="23"/>
      <c r="K114" s="23">
        <v>38</v>
      </c>
      <c r="L114" s="24"/>
      <c r="M114" s="69">
        <f t="shared" si="15"/>
        <v>33.928571428571423</v>
      </c>
      <c r="N114" s="69">
        <f t="shared" si="16"/>
        <v>4.0714285714285703</v>
      </c>
      <c r="O114" s="69">
        <f t="shared" si="17"/>
        <v>0</v>
      </c>
      <c r="P114" s="69"/>
      <c r="Q114" s="25">
        <v>33.93</v>
      </c>
      <c r="R114" s="25"/>
      <c r="S114" s="25"/>
      <c r="T114" s="26"/>
      <c r="U114" s="26"/>
      <c r="V114" s="26"/>
      <c r="W114" s="26"/>
      <c r="X114" s="26"/>
      <c r="Y114" s="25"/>
      <c r="Z114" s="25"/>
      <c r="AA114" s="25"/>
      <c r="AB114" s="25"/>
      <c r="AC114" s="26"/>
      <c r="AD114" s="26"/>
      <c r="AE114" s="25"/>
      <c r="AF114" s="25"/>
      <c r="AG114" s="69">
        <f t="shared" si="18"/>
        <v>-38.001428571428569</v>
      </c>
      <c r="AH114" s="29">
        <f t="shared" si="19"/>
        <v>-1.4285714285691142E-3</v>
      </c>
    </row>
    <row r="115" spans="1:34" s="72" customFormat="1" ht="24" customHeight="1" x14ac:dyDescent="0.2">
      <c r="A115" s="65">
        <v>43400</v>
      </c>
      <c r="B115" s="66"/>
      <c r="C115" s="20" t="s">
        <v>745</v>
      </c>
      <c r="D115" s="20" t="s">
        <v>812</v>
      </c>
      <c r="E115" s="20" t="s">
        <v>277</v>
      </c>
      <c r="F115" s="21">
        <v>32574</v>
      </c>
      <c r="G115" s="22" t="s">
        <v>994</v>
      </c>
      <c r="H115" s="67"/>
      <c r="I115" s="67"/>
      <c r="J115" s="67"/>
      <c r="K115" s="67">
        <v>237</v>
      </c>
      <c r="L115" s="68"/>
      <c r="M115" s="69">
        <f t="shared" si="15"/>
        <v>211.60714285714283</v>
      </c>
      <c r="N115" s="69">
        <f t="shared" si="16"/>
        <v>25.392857142857139</v>
      </c>
      <c r="O115" s="69">
        <f t="shared" si="17"/>
        <v>0</v>
      </c>
      <c r="P115" s="69">
        <v>211.61</v>
      </c>
      <c r="Q115" s="69"/>
      <c r="R115" s="69"/>
      <c r="S115" s="69"/>
      <c r="T115" s="70"/>
      <c r="U115" s="70"/>
      <c r="V115" s="70"/>
      <c r="W115" s="70"/>
      <c r="X115" s="70"/>
      <c r="Y115" s="69"/>
      <c r="Z115" s="69"/>
      <c r="AA115" s="69"/>
      <c r="AB115" s="69"/>
      <c r="AC115" s="70"/>
      <c r="AD115" s="70"/>
      <c r="AE115" s="71"/>
      <c r="AF115" s="71"/>
      <c r="AG115" s="69">
        <f t="shared" si="18"/>
        <v>-237.00285714285715</v>
      </c>
      <c r="AH115" s="29">
        <f t="shared" si="19"/>
        <v>-2.8571428571524393E-3</v>
      </c>
    </row>
    <row r="116" spans="1:34" s="30" customFormat="1" ht="21.75" customHeight="1" x14ac:dyDescent="0.2">
      <c r="A116" s="18">
        <v>43400</v>
      </c>
      <c r="B116" s="19"/>
      <c r="C116" s="20" t="s">
        <v>745</v>
      </c>
      <c r="D116" s="20" t="s">
        <v>812</v>
      </c>
      <c r="E116" s="20" t="s">
        <v>277</v>
      </c>
      <c r="F116" s="21">
        <v>32573</v>
      </c>
      <c r="G116" s="22" t="s">
        <v>995</v>
      </c>
      <c r="H116" s="23"/>
      <c r="I116" s="23"/>
      <c r="J116" s="23"/>
      <c r="K116" s="23">
        <v>48</v>
      </c>
      <c r="L116" s="24"/>
      <c r="M116" s="69">
        <f t="shared" si="15"/>
        <v>42.857142857142854</v>
      </c>
      <c r="N116" s="69">
        <f t="shared" si="16"/>
        <v>5.1428571428571423</v>
      </c>
      <c r="O116" s="69">
        <f t="shared" si="17"/>
        <v>0</v>
      </c>
      <c r="P116" s="69"/>
      <c r="Q116" s="25"/>
      <c r="R116" s="25">
        <v>42.86</v>
      </c>
      <c r="S116" s="25"/>
      <c r="T116" s="26"/>
      <c r="U116" s="26"/>
      <c r="V116" s="26"/>
      <c r="W116" s="26"/>
      <c r="X116" s="26"/>
      <c r="Y116" s="25"/>
      <c r="Z116" s="25"/>
      <c r="AA116" s="25"/>
      <c r="AB116" s="25"/>
      <c r="AC116" s="26"/>
      <c r="AD116" s="26"/>
      <c r="AE116" s="25"/>
      <c r="AF116" s="25"/>
      <c r="AG116" s="69">
        <f t="shared" si="18"/>
        <v>-48.002857142857138</v>
      </c>
      <c r="AH116" s="29">
        <f t="shared" si="19"/>
        <v>-2.8571428571382285E-3</v>
      </c>
    </row>
    <row r="117" spans="1:34" s="30" customFormat="1" ht="21.75" customHeight="1" x14ac:dyDescent="0.2">
      <c r="A117" s="18">
        <v>43400</v>
      </c>
      <c r="B117" s="19"/>
      <c r="C117" s="20" t="s">
        <v>518</v>
      </c>
      <c r="D117" s="20" t="s">
        <v>519</v>
      </c>
      <c r="E117" s="20" t="s">
        <v>175</v>
      </c>
      <c r="F117" s="21">
        <v>21218</v>
      </c>
      <c r="G117" s="22" t="s">
        <v>952</v>
      </c>
      <c r="H117" s="23"/>
      <c r="I117" s="23"/>
      <c r="J117" s="23"/>
      <c r="K117" s="23">
        <v>448</v>
      </c>
      <c r="L117" s="24">
        <v>0.01</v>
      </c>
      <c r="M117" s="69">
        <f t="shared" si="15"/>
        <v>399.99999999999994</v>
      </c>
      <c r="N117" s="69">
        <f t="shared" si="16"/>
        <v>47.999999999999993</v>
      </c>
      <c r="O117" s="69">
        <f t="shared" si="17"/>
        <v>-3.9999999999999996</v>
      </c>
      <c r="P117" s="69">
        <v>400</v>
      </c>
      <c r="Q117" s="25"/>
      <c r="R117" s="25"/>
      <c r="S117" s="25"/>
      <c r="T117" s="26"/>
      <c r="U117" s="26"/>
      <c r="V117" s="26"/>
      <c r="W117" s="26"/>
      <c r="X117" s="26"/>
      <c r="Y117" s="25"/>
      <c r="Z117" s="25"/>
      <c r="AA117" s="25"/>
      <c r="AB117" s="25"/>
      <c r="AC117" s="26"/>
      <c r="AD117" s="26"/>
      <c r="AE117" s="25"/>
      <c r="AF117" s="25"/>
      <c r="AG117" s="69">
        <f t="shared" si="18"/>
        <v>-444</v>
      </c>
      <c r="AH117" s="29">
        <f t="shared" si="19"/>
        <v>0</v>
      </c>
    </row>
    <row r="118" spans="1:34" s="30" customFormat="1" ht="21.75" customHeight="1" x14ac:dyDescent="0.2">
      <c r="A118" s="18">
        <v>43402</v>
      </c>
      <c r="B118" s="19"/>
      <c r="C118" s="20" t="s">
        <v>45</v>
      </c>
      <c r="D118" s="20"/>
      <c r="E118" s="20"/>
      <c r="F118" s="21"/>
      <c r="G118" s="22" t="s">
        <v>996</v>
      </c>
      <c r="H118" s="23"/>
      <c r="I118" s="23"/>
      <c r="J118" s="23">
        <v>70</v>
      </c>
      <c r="K118" s="23"/>
      <c r="L118" s="24"/>
      <c r="M118" s="69">
        <f t="shared" si="15"/>
        <v>70</v>
      </c>
      <c r="N118" s="69">
        <f t="shared" si="16"/>
        <v>0</v>
      </c>
      <c r="O118" s="69">
        <f t="shared" si="17"/>
        <v>0</v>
      </c>
      <c r="P118" s="69">
        <v>70</v>
      </c>
      <c r="Q118" s="25"/>
      <c r="R118" s="25"/>
      <c r="S118" s="25"/>
      <c r="T118" s="26"/>
      <c r="U118" s="26"/>
      <c r="V118" s="26"/>
      <c r="W118" s="26"/>
      <c r="X118" s="26"/>
      <c r="Y118" s="25"/>
      <c r="Z118" s="25"/>
      <c r="AA118" s="25"/>
      <c r="AB118" s="25"/>
      <c r="AC118" s="26"/>
      <c r="AD118" s="26"/>
      <c r="AE118" s="25"/>
      <c r="AF118" s="25"/>
      <c r="AG118" s="69">
        <f t="shared" si="18"/>
        <v>-70</v>
      </c>
      <c r="AH118" s="29">
        <f t="shared" si="19"/>
        <v>0</v>
      </c>
    </row>
    <row r="119" spans="1:34" s="30" customFormat="1" ht="21.75" customHeight="1" x14ac:dyDescent="0.2">
      <c r="A119" s="18">
        <v>43402</v>
      </c>
      <c r="B119" s="19"/>
      <c r="C119" s="20" t="s">
        <v>705</v>
      </c>
      <c r="D119" s="20" t="s">
        <v>706</v>
      </c>
      <c r="E119" s="20" t="s">
        <v>707</v>
      </c>
      <c r="F119" s="21">
        <v>178407</v>
      </c>
      <c r="G119" s="22" t="s">
        <v>40</v>
      </c>
      <c r="H119" s="23"/>
      <c r="I119" s="23"/>
      <c r="J119" s="23"/>
      <c r="K119" s="23">
        <v>170</v>
      </c>
      <c r="L119" s="24"/>
      <c r="M119" s="69">
        <f t="shared" si="15"/>
        <v>151.78571428571428</v>
      </c>
      <c r="N119" s="69">
        <f t="shared" si="16"/>
        <v>18.214285714285712</v>
      </c>
      <c r="O119" s="69">
        <f t="shared" si="17"/>
        <v>0</v>
      </c>
      <c r="P119" s="69"/>
      <c r="Q119" s="25">
        <v>151.79</v>
      </c>
      <c r="R119" s="25"/>
      <c r="S119" s="25"/>
      <c r="T119" s="26"/>
      <c r="U119" s="26"/>
      <c r="V119" s="26"/>
      <c r="W119" s="26"/>
      <c r="X119" s="26"/>
      <c r="Y119" s="25"/>
      <c r="Z119" s="25"/>
      <c r="AA119" s="25"/>
      <c r="AB119" s="25"/>
      <c r="AC119" s="26"/>
      <c r="AD119" s="26"/>
      <c r="AE119" s="25"/>
      <c r="AF119" s="25"/>
      <c r="AG119" s="69">
        <f t="shared" si="18"/>
        <v>-170.00428571428571</v>
      </c>
      <c r="AH119" s="29">
        <f t="shared" si="19"/>
        <v>-4.2857142857144481E-3</v>
      </c>
    </row>
    <row r="120" spans="1:34" s="30" customFormat="1" ht="21.75" customHeight="1" x14ac:dyDescent="0.2">
      <c r="A120" s="18">
        <v>43402</v>
      </c>
      <c r="B120" s="19"/>
      <c r="C120" s="20" t="s">
        <v>614</v>
      </c>
      <c r="D120" s="20"/>
      <c r="E120" s="20"/>
      <c r="F120" s="21"/>
      <c r="G120" s="22" t="s">
        <v>644</v>
      </c>
      <c r="H120" s="23">
        <v>502</v>
      </c>
      <c r="I120" s="23"/>
      <c r="J120" s="23"/>
      <c r="K120" s="23"/>
      <c r="L120" s="24"/>
      <c r="M120" s="69">
        <f t="shared" si="15"/>
        <v>502</v>
      </c>
      <c r="N120" s="69">
        <f t="shared" si="16"/>
        <v>0</v>
      </c>
      <c r="O120" s="69">
        <f t="shared" si="17"/>
        <v>0</v>
      </c>
      <c r="P120" s="69"/>
      <c r="Q120" s="25"/>
      <c r="R120" s="25"/>
      <c r="S120" s="25"/>
      <c r="T120" s="26"/>
      <c r="U120" s="26"/>
      <c r="V120" s="26"/>
      <c r="W120" s="26"/>
      <c r="X120" s="26"/>
      <c r="Y120" s="25"/>
      <c r="Z120" s="25"/>
      <c r="AA120" s="25"/>
      <c r="AB120" s="25">
        <v>502</v>
      </c>
      <c r="AC120" s="26"/>
      <c r="AD120" s="26"/>
      <c r="AE120" s="25"/>
      <c r="AF120" s="25"/>
      <c r="AG120" s="69">
        <f t="shared" si="18"/>
        <v>-502</v>
      </c>
      <c r="AH120" s="29">
        <f t="shared" si="19"/>
        <v>0</v>
      </c>
    </row>
    <row r="121" spans="1:34" s="30" customFormat="1" ht="21.75" customHeight="1" x14ac:dyDescent="0.2">
      <c r="A121" s="18">
        <v>43403</v>
      </c>
      <c r="B121" s="19"/>
      <c r="C121" s="20" t="s">
        <v>202</v>
      </c>
      <c r="D121" s="20" t="s">
        <v>76</v>
      </c>
      <c r="E121" s="20" t="s">
        <v>642</v>
      </c>
      <c r="F121" s="21">
        <v>8693</v>
      </c>
      <c r="G121" s="22" t="s">
        <v>451</v>
      </c>
      <c r="H121" s="23"/>
      <c r="I121" s="23"/>
      <c r="J121" s="23"/>
      <c r="K121" s="23">
        <v>694.09</v>
      </c>
      <c r="L121" s="24"/>
      <c r="M121" s="69">
        <f t="shared" si="15"/>
        <v>619.72321428571422</v>
      </c>
      <c r="N121" s="69">
        <f t="shared" si="16"/>
        <v>74.366785714285697</v>
      </c>
      <c r="O121" s="69">
        <f t="shared" si="17"/>
        <v>0</v>
      </c>
      <c r="P121" s="69">
        <v>619.72</v>
      </c>
      <c r="Q121" s="25"/>
      <c r="R121" s="25"/>
      <c r="S121" s="25"/>
      <c r="T121" s="26"/>
      <c r="U121" s="26"/>
      <c r="V121" s="26"/>
      <c r="W121" s="26"/>
      <c r="X121" s="26"/>
      <c r="Y121" s="25"/>
      <c r="Z121" s="25"/>
      <c r="AA121" s="25"/>
      <c r="AB121" s="25"/>
      <c r="AC121" s="26"/>
      <c r="AD121" s="26"/>
      <c r="AE121" s="25"/>
      <c r="AF121" s="25"/>
      <c r="AG121" s="69">
        <f t="shared" si="18"/>
        <v>-694.08678571428572</v>
      </c>
      <c r="AH121" s="29">
        <f t="shared" si="19"/>
        <v>3.2142857143071524E-3</v>
      </c>
    </row>
    <row r="122" spans="1:34" s="30" customFormat="1" ht="21.75" customHeight="1" x14ac:dyDescent="0.2">
      <c r="A122" s="18">
        <v>43403</v>
      </c>
      <c r="B122" s="19"/>
      <c r="C122" s="20" t="s">
        <v>705</v>
      </c>
      <c r="D122" s="20" t="s">
        <v>706</v>
      </c>
      <c r="E122" s="20" t="s">
        <v>707</v>
      </c>
      <c r="F122" s="21">
        <v>178451</v>
      </c>
      <c r="G122" s="22" t="s">
        <v>40</v>
      </c>
      <c r="H122" s="23"/>
      <c r="I122" s="23"/>
      <c r="J122" s="23"/>
      <c r="K122" s="23">
        <v>170</v>
      </c>
      <c r="L122" s="24"/>
      <c r="M122" s="69">
        <f t="shared" si="15"/>
        <v>151.78571428571428</v>
      </c>
      <c r="N122" s="69">
        <f t="shared" si="16"/>
        <v>18.214285714285712</v>
      </c>
      <c r="O122" s="69">
        <f t="shared" si="17"/>
        <v>0</v>
      </c>
      <c r="P122" s="69"/>
      <c r="Q122" s="25">
        <v>151.79</v>
      </c>
      <c r="R122" s="25"/>
      <c r="S122" s="25"/>
      <c r="T122" s="26"/>
      <c r="U122" s="26"/>
      <c r="V122" s="26"/>
      <c r="W122" s="26"/>
      <c r="X122" s="26"/>
      <c r="Y122" s="25"/>
      <c r="Z122" s="25"/>
      <c r="AA122" s="25"/>
      <c r="AB122" s="25"/>
      <c r="AC122" s="26"/>
      <c r="AD122" s="26"/>
      <c r="AE122" s="25"/>
      <c r="AF122" s="25"/>
      <c r="AG122" s="69">
        <f t="shared" si="18"/>
        <v>-170.00428571428571</v>
      </c>
      <c r="AH122" s="29">
        <f t="shared" si="19"/>
        <v>-4.2857142857144481E-3</v>
      </c>
    </row>
    <row r="123" spans="1:34" s="30" customFormat="1" ht="21.75" customHeight="1" x14ac:dyDescent="0.2">
      <c r="A123" s="18">
        <v>43403</v>
      </c>
      <c r="B123" s="19"/>
      <c r="C123" s="20" t="s">
        <v>745</v>
      </c>
      <c r="D123" s="20" t="s">
        <v>812</v>
      </c>
      <c r="E123" s="20" t="s">
        <v>277</v>
      </c>
      <c r="F123" s="21">
        <v>32614</v>
      </c>
      <c r="G123" s="22" t="s">
        <v>997</v>
      </c>
      <c r="H123" s="23"/>
      <c r="I123" s="23"/>
      <c r="J123" s="23"/>
      <c r="K123" s="23">
        <v>1066.25</v>
      </c>
      <c r="L123" s="24"/>
      <c r="M123" s="69">
        <f t="shared" si="15"/>
        <v>952.00892857142844</v>
      </c>
      <c r="N123" s="69">
        <f t="shared" si="16"/>
        <v>114.2410714285714</v>
      </c>
      <c r="O123" s="69">
        <f t="shared" si="17"/>
        <v>0</v>
      </c>
      <c r="P123" s="69">
        <v>952.01</v>
      </c>
      <c r="Q123" s="25"/>
      <c r="R123" s="25"/>
      <c r="S123" s="25"/>
      <c r="T123" s="26"/>
      <c r="U123" s="26"/>
      <c r="V123" s="26"/>
      <c r="W123" s="26"/>
      <c r="X123" s="26"/>
      <c r="Y123" s="25"/>
      <c r="Z123" s="25"/>
      <c r="AA123" s="25"/>
      <c r="AB123" s="25"/>
      <c r="AC123" s="26"/>
      <c r="AD123" s="26"/>
      <c r="AE123" s="25"/>
      <c r="AF123" s="25"/>
      <c r="AG123" s="69">
        <f t="shared" si="18"/>
        <v>-1066.2510714285713</v>
      </c>
      <c r="AH123" s="29">
        <f t="shared" si="19"/>
        <v>-1.0714285713220306E-3</v>
      </c>
    </row>
    <row r="124" spans="1:34" s="30" customFormat="1" ht="21.75" customHeight="1" x14ac:dyDescent="0.2">
      <c r="A124" s="18">
        <v>43404</v>
      </c>
      <c r="B124" s="19"/>
      <c r="C124" s="20" t="s">
        <v>705</v>
      </c>
      <c r="D124" s="20" t="s">
        <v>706</v>
      </c>
      <c r="E124" s="20" t="s">
        <v>707</v>
      </c>
      <c r="F124" s="21">
        <v>178498</v>
      </c>
      <c r="G124" s="22" t="s">
        <v>40</v>
      </c>
      <c r="H124" s="23"/>
      <c r="I124" s="23"/>
      <c r="J124" s="23"/>
      <c r="K124" s="23">
        <v>170</v>
      </c>
      <c r="L124" s="24"/>
      <c r="M124" s="69">
        <f t="shared" si="15"/>
        <v>151.78571428571428</v>
      </c>
      <c r="N124" s="69">
        <f t="shared" si="16"/>
        <v>18.214285714285712</v>
      </c>
      <c r="O124" s="69">
        <f t="shared" si="17"/>
        <v>0</v>
      </c>
      <c r="P124" s="69"/>
      <c r="Q124" s="25">
        <v>151.79</v>
      </c>
      <c r="R124" s="25"/>
      <c r="S124" s="25"/>
      <c r="T124" s="26"/>
      <c r="U124" s="26"/>
      <c r="V124" s="26"/>
      <c r="W124" s="26"/>
      <c r="X124" s="26"/>
      <c r="Y124" s="25"/>
      <c r="Z124" s="25"/>
      <c r="AA124" s="25"/>
      <c r="AB124" s="25"/>
      <c r="AC124" s="26"/>
      <c r="AD124" s="26"/>
      <c r="AE124" s="25"/>
      <c r="AF124" s="25"/>
      <c r="AG124" s="69">
        <f t="shared" si="18"/>
        <v>-170.00428571428571</v>
      </c>
      <c r="AH124" s="29">
        <f t="shared" si="19"/>
        <v>-4.2857142857144481E-3</v>
      </c>
    </row>
    <row r="125" spans="1:34" s="30" customFormat="1" ht="21.75" customHeight="1" x14ac:dyDescent="0.2">
      <c r="A125" s="18">
        <v>43404</v>
      </c>
      <c r="B125" s="19"/>
      <c r="C125" s="20" t="s">
        <v>63</v>
      </c>
      <c r="D125" s="20" t="s">
        <v>64</v>
      </c>
      <c r="E125" s="20" t="s">
        <v>120</v>
      </c>
      <c r="F125" s="21">
        <v>120680</v>
      </c>
      <c r="G125" s="22" t="s">
        <v>998</v>
      </c>
      <c r="H125" s="23"/>
      <c r="I125" s="23"/>
      <c r="J125" s="23"/>
      <c r="K125" s="23">
        <v>412</v>
      </c>
      <c r="L125" s="24"/>
      <c r="M125" s="69">
        <f t="shared" si="15"/>
        <v>367.85714285714283</v>
      </c>
      <c r="N125" s="69">
        <f t="shared" si="16"/>
        <v>44.142857142857139</v>
      </c>
      <c r="O125" s="69">
        <f t="shared" si="17"/>
        <v>0</v>
      </c>
      <c r="P125" s="69">
        <v>367.86</v>
      </c>
      <c r="Q125" s="25"/>
      <c r="R125" s="25"/>
      <c r="S125" s="25"/>
      <c r="T125" s="26"/>
      <c r="U125" s="26"/>
      <c r="V125" s="26"/>
      <c r="W125" s="26"/>
      <c r="X125" s="26"/>
      <c r="Y125" s="25"/>
      <c r="Z125" s="25"/>
      <c r="AA125" s="25"/>
      <c r="AB125" s="25"/>
      <c r="AC125" s="26"/>
      <c r="AD125" s="26"/>
      <c r="AE125" s="25"/>
      <c r="AF125" s="25"/>
      <c r="AG125" s="69">
        <f t="shared" si="18"/>
        <v>-412.00285714285712</v>
      </c>
      <c r="AH125" s="29">
        <f t="shared" si="19"/>
        <v>-2.8571428571240176E-3</v>
      </c>
    </row>
    <row r="126" spans="1:34" s="30" customFormat="1" ht="19.5" customHeight="1" x14ac:dyDescent="0.2">
      <c r="A126" s="18"/>
      <c r="B126" s="19"/>
      <c r="C126" s="47"/>
      <c r="D126" s="47"/>
      <c r="E126" s="47"/>
      <c r="F126" s="21"/>
      <c r="G126" s="22"/>
      <c r="H126" s="23"/>
      <c r="I126" s="23"/>
      <c r="J126" s="23"/>
      <c r="K126" s="23"/>
      <c r="L126" s="24"/>
      <c r="M126" s="25">
        <f t="shared" si="15"/>
        <v>0</v>
      </c>
      <c r="N126" s="25">
        <f t="shared" si="16"/>
        <v>0</v>
      </c>
      <c r="O126" s="25">
        <f t="shared" si="17"/>
        <v>0</v>
      </c>
      <c r="P126" s="25"/>
      <c r="Q126" s="25"/>
      <c r="R126" s="25"/>
      <c r="S126" s="25"/>
      <c r="T126" s="26"/>
      <c r="U126" s="26"/>
      <c r="V126" s="26"/>
      <c r="W126" s="26"/>
      <c r="X126" s="26"/>
      <c r="Y126" s="31"/>
      <c r="Z126" s="25"/>
      <c r="AA126" s="25"/>
      <c r="AB126" s="25"/>
      <c r="AC126" s="26"/>
      <c r="AD126" s="26"/>
      <c r="AE126" s="27"/>
      <c r="AF126" s="27"/>
      <c r="AG126" s="28">
        <f t="shared" si="18"/>
        <v>0</v>
      </c>
      <c r="AH126" s="29">
        <f t="shared" si="19"/>
        <v>0</v>
      </c>
    </row>
    <row r="127" spans="1:34" s="55" customFormat="1" ht="12" customHeight="1" x14ac:dyDescent="0.2">
      <c r="A127" s="48"/>
      <c r="B127" s="49"/>
      <c r="C127" s="50"/>
      <c r="D127" s="51"/>
      <c r="E127" s="51"/>
      <c r="F127" s="52"/>
      <c r="G127" s="50"/>
      <c r="H127" s="53">
        <f t="shared" ref="H127:AH127" si="20">SUM(H5:H126)</f>
        <v>8882.31</v>
      </c>
      <c r="I127" s="53">
        <f t="shared" si="20"/>
        <v>0</v>
      </c>
      <c r="J127" s="53">
        <f t="shared" si="20"/>
        <v>16115.8</v>
      </c>
      <c r="K127" s="53">
        <f t="shared" si="20"/>
        <v>26825.209999999995</v>
      </c>
      <c r="L127" s="53">
        <f t="shared" si="20"/>
        <v>0.05</v>
      </c>
      <c r="M127" s="53">
        <f t="shared" si="20"/>
        <v>48949.190357142877</v>
      </c>
      <c r="N127" s="53">
        <f t="shared" si="20"/>
        <v>2874.1296428571445</v>
      </c>
      <c r="O127" s="53">
        <f t="shared" si="20"/>
        <v>-62.125</v>
      </c>
      <c r="P127" s="53">
        <f t="shared" si="20"/>
        <v>32618.21</v>
      </c>
      <c r="Q127" s="53">
        <f t="shared" si="20"/>
        <v>4025.9899999999993</v>
      </c>
      <c r="R127" s="53">
        <f t="shared" si="20"/>
        <v>321.88</v>
      </c>
      <c r="S127" s="53">
        <f t="shared" si="20"/>
        <v>517.86</v>
      </c>
      <c r="T127" s="53">
        <f t="shared" si="20"/>
        <v>804.92000000000007</v>
      </c>
      <c r="U127" s="53">
        <f t="shared" si="20"/>
        <v>0</v>
      </c>
      <c r="V127" s="53">
        <f t="shared" si="20"/>
        <v>0</v>
      </c>
      <c r="W127" s="53">
        <f t="shared" si="20"/>
        <v>0</v>
      </c>
      <c r="X127" s="53">
        <f t="shared" si="20"/>
        <v>178.13</v>
      </c>
      <c r="Y127" s="53">
        <f t="shared" si="20"/>
        <v>1397.1</v>
      </c>
      <c r="Z127" s="53">
        <f t="shared" si="20"/>
        <v>202.91000000000003</v>
      </c>
      <c r="AA127" s="53">
        <f t="shared" si="20"/>
        <v>1770</v>
      </c>
      <c r="AB127" s="53">
        <f t="shared" si="20"/>
        <v>4768</v>
      </c>
      <c r="AC127" s="53">
        <f t="shared" si="20"/>
        <v>0</v>
      </c>
      <c r="AD127" s="53">
        <f t="shared" si="20"/>
        <v>2344.31</v>
      </c>
      <c r="AE127" s="53">
        <f t="shared" si="20"/>
        <v>0</v>
      </c>
      <c r="AF127" s="54">
        <f t="shared" si="20"/>
        <v>0</v>
      </c>
      <c r="AG127" s="53">
        <f t="shared" si="20"/>
        <v>-51761.314642857127</v>
      </c>
      <c r="AH127" s="53">
        <f t="shared" si="20"/>
        <v>-0.11964285714233691</v>
      </c>
    </row>
    <row r="133" spans="17:17" x14ac:dyDescent="0.25">
      <c r="Q133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K139"/>
  <sheetViews>
    <sheetView topLeftCell="A121" zoomScale="90" zoomScaleNormal="90" workbookViewId="0">
      <selection activeCell="G131" sqref="A131:XFD135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30.21875" style="3" customWidth="1"/>
    <col min="4" max="4" width="17.6640625" style="4" customWidth="1"/>
    <col min="5" max="5" width="28.6640625" style="4" customWidth="1"/>
    <col min="6" max="6" width="9.88671875" style="2" customWidth="1"/>
    <col min="7" max="7" width="39.77734375" style="3" customWidth="1"/>
    <col min="8" max="8" width="13.8867187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13.44140625" style="5" customWidth="1"/>
    <col min="19" max="19" width="10.21875" style="5" customWidth="1"/>
    <col min="20" max="21" width="11.5546875" style="5"/>
    <col min="22" max="22" width="13.33203125" style="5" customWidth="1"/>
    <col min="23" max="23" width="8.6640625" style="5" customWidth="1"/>
    <col min="24" max="24" width="12.44140625" style="5" customWidth="1"/>
    <col min="25" max="25" width="11.6640625" style="5" customWidth="1"/>
    <col min="26" max="26" width="10.44140625" style="5" customWidth="1"/>
    <col min="27" max="27" width="11" style="5" customWidth="1"/>
    <col min="28" max="28" width="12.109375" style="5" customWidth="1"/>
    <col min="29" max="30" width="10.109375" style="5" customWidth="1"/>
    <col min="31" max="31" width="12.77734375" style="5" customWidth="1"/>
    <col min="32" max="32" width="0.21875" style="5" customWidth="1"/>
    <col min="33" max="33" width="13.44140625" style="5" customWidth="1"/>
    <col min="34" max="34" width="13.4414062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999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30" customFormat="1" ht="21.75" customHeight="1" x14ac:dyDescent="0.2">
      <c r="A5" s="18">
        <v>43407</v>
      </c>
      <c r="B5" s="19"/>
      <c r="C5" s="20" t="s">
        <v>705</v>
      </c>
      <c r="D5" s="20" t="s">
        <v>706</v>
      </c>
      <c r="E5" s="20" t="s">
        <v>707</v>
      </c>
      <c r="F5" s="21">
        <v>113870</v>
      </c>
      <c r="G5" s="22" t="s">
        <v>40</v>
      </c>
      <c r="H5" s="23"/>
      <c r="I5" s="23"/>
      <c r="J5" s="23"/>
      <c r="K5" s="23">
        <v>90</v>
      </c>
      <c r="L5" s="24"/>
      <c r="M5" s="69">
        <f t="shared" ref="M5:M36" si="0">SUM(H5:J5,K5/1.12)</f>
        <v>80.357142857142847</v>
      </c>
      <c r="N5" s="69">
        <f t="shared" ref="N5:N36" si="1">K5/1.12*0.12</f>
        <v>9.6428571428571406</v>
      </c>
      <c r="O5" s="69">
        <f t="shared" ref="O5:O36" si="2">-SUM(I5:J5,K5/1.12)*L5</f>
        <v>0</v>
      </c>
      <c r="P5" s="69"/>
      <c r="Q5" s="25">
        <v>80.36</v>
      </c>
      <c r="R5" s="25"/>
      <c r="S5" s="25"/>
      <c r="T5" s="26"/>
      <c r="U5" s="26"/>
      <c r="V5" s="26"/>
      <c r="W5" s="26"/>
      <c r="X5" s="26"/>
      <c r="Y5" s="25"/>
      <c r="Z5" s="25"/>
      <c r="AA5" s="25"/>
      <c r="AB5" s="25"/>
      <c r="AC5" s="26"/>
      <c r="AD5" s="26"/>
      <c r="AE5" s="25"/>
      <c r="AF5" s="25"/>
      <c r="AG5" s="69">
        <f t="shared" ref="AG5:AG36" si="3">-SUM(N5:AF5)</f>
        <v>-90.002857142857138</v>
      </c>
      <c r="AH5" s="29">
        <f t="shared" ref="AH5:AH36" si="4">SUM(H5:K5)+AG5+O5</f>
        <v>-2.8571428571382285E-3</v>
      </c>
    </row>
    <row r="6" spans="1:34" s="30" customFormat="1" ht="21.75" customHeight="1" x14ac:dyDescent="0.2">
      <c r="A6" s="18">
        <v>43407</v>
      </c>
      <c r="B6" s="19"/>
      <c r="C6" s="20" t="s">
        <v>614</v>
      </c>
      <c r="D6" s="20"/>
      <c r="E6" s="20"/>
      <c r="F6" s="21"/>
      <c r="G6" s="22" t="s">
        <v>644</v>
      </c>
      <c r="H6" s="23">
        <v>502</v>
      </c>
      <c r="I6" s="23"/>
      <c r="J6" s="23"/>
      <c r="K6" s="23"/>
      <c r="L6" s="24"/>
      <c r="M6" s="69">
        <f t="shared" si="0"/>
        <v>502</v>
      </c>
      <c r="N6" s="69">
        <f t="shared" si="1"/>
        <v>0</v>
      </c>
      <c r="O6" s="69">
        <f t="shared" si="2"/>
        <v>0</v>
      </c>
      <c r="P6" s="69"/>
      <c r="Q6" s="25"/>
      <c r="R6" s="25"/>
      <c r="S6" s="25"/>
      <c r="T6" s="26"/>
      <c r="U6" s="26"/>
      <c r="V6" s="26"/>
      <c r="W6" s="26"/>
      <c r="X6" s="26"/>
      <c r="Y6" s="25"/>
      <c r="Z6" s="25"/>
      <c r="AA6" s="25"/>
      <c r="AB6" s="25">
        <v>502</v>
      </c>
      <c r="AC6" s="26"/>
      <c r="AD6" s="26"/>
      <c r="AE6" s="25"/>
      <c r="AF6" s="25"/>
      <c r="AG6" s="69">
        <f t="shared" si="3"/>
        <v>-502</v>
      </c>
      <c r="AH6" s="29">
        <f t="shared" si="4"/>
        <v>0</v>
      </c>
    </row>
    <row r="7" spans="1:34" s="30" customFormat="1" ht="21.75" customHeight="1" x14ac:dyDescent="0.2">
      <c r="A7" s="18">
        <v>43407</v>
      </c>
      <c r="B7" s="19"/>
      <c r="C7" s="20" t="s">
        <v>745</v>
      </c>
      <c r="D7" s="20" t="s">
        <v>812</v>
      </c>
      <c r="E7" s="20" t="s">
        <v>277</v>
      </c>
      <c r="F7" s="21">
        <v>32658</v>
      </c>
      <c r="G7" s="22" t="s">
        <v>1000</v>
      </c>
      <c r="H7" s="23"/>
      <c r="I7" s="23"/>
      <c r="J7" s="23"/>
      <c r="K7" s="23">
        <v>830</v>
      </c>
      <c r="L7" s="24"/>
      <c r="M7" s="69">
        <f t="shared" si="0"/>
        <v>741.07142857142856</v>
      </c>
      <c r="N7" s="69">
        <f t="shared" si="1"/>
        <v>88.928571428571416</v>
      </c>
      <c r="O7" s="69">
        <f t="shared" si="2"/>
        <v>0</v>
      </c>
      <c r="P7" s="69">
        <v>741.07</v>
      </c>
      <c r="Q7" s="25"/>
      <c r="R7" s="25"/>
      <c r="S7" s="25"/>
      <c r="T7" s="26"/>
      <c r="U7" s="26"/>
      <c r="V7" s="26"/>
      <c r="W7" s="26"/>
      <c r="X7" s="26"/>
      <c r="Y7" s="25"/>
      <c r="Z7" s="25"/>
      <c r="AA7" s="25"/>
      <c r="AB7" s="25"/>
      <c r="AC7" s="26"/>
      <c r="AD7" s="26"/>
      <c r="AE7" s="25"/>
      <c r="AF7" s="25"/>
      <c r="AG7" s="69">
        <f t="shared" si="3"/>
        <v>-829.99857142857149</v>
      </c>
      <c r="AH7" s="29">
        <f t="shared" si="4"/>
        <v>1.4285714285051654E-3</v>
      </c>
    </row>
    <row r="8" spans="1:34" s="30" customFormat="1" ht="21.75" customHeight="1" x14ac:dyDescent="0.2">
      <c r="A8" s="18">
        <v>43409</v>
      </c>
      <c r="B8" s="19"/>
      <c r="C8" s="20" t="s">
        <v>45</v>
      </c>
      <c r="D8" s="20"/>
      <c r="E8" s="20"/>
      <c r="F8" s="21"/>
      <c r="G8" s="22" t="s">
        <v>1001</v>
      </c>
      <c r="H8" s="23">
        <v>100</v>
      </c>
      <c r="I8" s="23"/>
      <c r="J8" s="23"/>
      <c r="K8" s="23"/>
      <c r="L8" s="24"/>
      <c r="M8" s="69">
        <f t="shared" si="0"/>
        <v>100</v>
      </c>
      <c r="N8" s="69">
        <f t="shared" si="1"/>
        <v>0</v>
      </c>
      <c r="O8" s="69">
        <f t="shared" si="2"/>
        <v>0</v>
      </c>
      <c r="P8" s="69"/>
      <c r="Q8" s="25"/>
      <c r="R8" s="25"/>
      <c r="S8" s="25"/>
      <c r="T8" s="26"/>
      <c r="U8" s="26"/>
      <c r="V8" s="26"/>
      <c r="W8" s="26"/>
      <c r="X8" s="26"/>
      <c r="Y8" s="25"/>
      <c r="Z8" s="25">
        <v>100</v>
      </c>
      <c r="AA8" s="25"/>
      <c r="AB8" s="25"/>
      <c r="AC8" s="26"/>
      <c r="AD8" s="26"/>
      <c r="AE8" s="25"/>
      <c r="AF8" s="25"/>
      <c r="AG8" s="69">
        <f t="shared" si="3"/>
        <v>-100</v>
      </c>
      <c r="AH8" s="29">
        <f t="shared" si="4"/>
        <v>0</v>
      </c>
    </row>
    <row r="9" spans="1:34" s="30" customFormat="1" ht="21.75" customHeight="1" x14ac:dyDescent="0.2">
      <c r="A9" s="18">
        <v>43409</v>
      </c>
      <c r="B9" s="19"/>
      <c r="C9" s="20" t="s">
        <v>924</v>
      </c>
      <c r="D9" s="20"/>
      <c r="E9" s="20"/>
      <c r="F9" s="21"/>
      <c r="G9" s="22" t="s">
        <v>1002</v>
      </c>
      <c r="H9" s="23"/>
      <c r="I9" s="23"/>
      <c r="J9" s="23">
        <v>1256</v>
      </c>
      <c r="K9" s="23"/>
      <c r="L9" s="24"/>
      <c r="M9" s="69">
        <f t="shared" si="0"/>
        <v>1256</v>
      </c>
      <c r="N9" s="69">
        <f t="shared" si="1"/>
        <v>0</v>
      </c>
      <c r="O9" s="69">
        <f t="shared" si="2"/>
        <v>0</v>
      </c>
      <c r="P9" s="69">
        <v>1256</v>
      </c>
      <c r="Q9" s="25"/>
      <c r="R9" s="25"/>
      <c r="S9" s="25"/>
      <c r="T9" s="26"/>
      <c r="U9" s="26"/>
      <c r="V9" s="26"/>
      <c r="W9" s="26"/>
      <c r="X9" s="26"/>
      <c r="Y9" s="25"/>
      <c r="Z9" s="25"/>
      <c r="AA9" s="25"/>
      <c r="AB9" s="25"/>
      <c r="AC9" s="26"/>
      <c r="AD9" s="26"/>
      <c r="AE9" s="25"/>
      <c r="AF9" s="25"/>
      <c r="AG9" s="69">
        <f t="shared" si="3"/>
        <v>-1256</v>
      </c>
      <c r="AH9" s="29">
        <f t="shared" si="4"/>
        <v>0</v>
      </c>
    </row>
    <row r="10" spans="1:34" s="30" customFormat="1" ht="21.75" customHeight="1" x14ac:dyDescent="0.2">
      <c r="A10" s="18">
        <v>43409</v>
      </c>
      <c r="B10" s="19"/>
      <c r="C10" s="20" t="s">
        <v>41</v>
      </c>
      <c r="D10" s="20" t="s">
        <v>88</v>
      </c>
      <c r="E10" s="20" t="s">
        <v>43</v>
      </c>
      <c r="F10" s="21">
        <v>2727</v>
      </c>
      <c r="G10" s="22" t="s">
        <v>1003</v>
      </c>
      <c r="H10" s="23"/>
      <c r="I10" s="23"/>
      <c r="J10" s="23">
        <v>1945</v>
      </c>
      <c r="K10" s="23"/>
      <c r="L10" s="24"/>
      <c r="M10" s="69">
        <f t="shared" si="0"/>
        <v>1945</v>
      </c>
      <c r="N10" s="69">
        <f t="shared" si="1"/>
        <v>0</v>
      </c>
      <c r="O10" s="69">
        <f t="shared" si="2"/>
        <v>0</v>
      </c>
      <c r="P10" s="69">
        <v>1945</v>
      </c>
      <c r="Q10" s="25"/>
      <c r="R10" s="25"/>
      <c r="S10" s="25"/>
      <c r="T10" s="26"/>
      <c r="U10" s="26"/>
      <c r="V10" s="26"/>
      <c r="W10" s="26"/>
      <c r="X10" s="26"/>
      <c r="Y10" s="25"/>
      <c r="Z10" s="25"/>
      <c r="AA10" s="25"/>
      <c r="AB10" s="25"/>
      <c r="AC10" s="26"/>
      <c r="AD10" s="26"/>
      <c r="AE10" s="25"/>
      <c r="AF10" s="25"/>
      <c r="AG10" s="69">
        <f t="shared" si="3"/>
        <v>-1945</v>
      </c>
      <c r="AH10" s="29">
        <f t="shared" si="4"/>
        <v>0</v>
      </c>
    </row>
    <row r="11" spans="1:34" s="30" customFormat="1" ht="21.75" customHeight="1" x14ac:dyDescent="0.2">
      <c r="A11" s="18">
        <v>43409</v>
      </c>
      <c r="B11" s="19"/>
      <c r="C11" s="20" t="s">
        <v>45</v>
      </c>
      <c r="D11" s="20"/>
      <c r="E11" s="20"/>
      <c r="F11" s="21"/>
      <c r="G11" s="22" t="s">
        <v>1004</v>
      </c>
      <c r="H11" s="23">
        <v>100</v>
      </c>
      <c r="I11" s="23"/>
      <c r="J11" s="23"/>
      <c r="K11" s="23"/>
      <c r="L11" s="24"/>
      <c r="M11" s="69">
        <f t="shared" si="0"/>
        <v>100</v>
      </c>
      <c r="N11" s="69">
        <f t="shared" si="1"/>
        <v>0</v>
      </c>
      <c r="O11" s="69">
        <f t="shared" si="2"/>
        <v>0</v>
      </c>
      <c r="P11" s="69"/>
      <c r="Q11" s="25"/>
      <c r="R11" s="25"/>
      <c r="S11" s="25"/>
      <c r="T11" s="26"/>
      <c r="U11" s="26"/>
      <c r="V11" s="26"/>
      <c r="W11" s="26"/>
      <c r="X11" s="26"/>
      <c r="Y11" s="25"/>
      <c r="Z11" s="25"/>
      <c r="AA11" s="25">
        <v>100</v>
      </c>
      <c r="AB11" s="25"/>
      <c r="AC11" s="26"/>
      <c r="AD11" s="26"/>
      <c r="AE11" s="25"/>
      <c r="AF11" s="25"/>
      <c r="AG11" s="69">
        <f t="shared" si="3"/>
        <v>-100</v>
      </c>
      <c r="AH11" s="29">
        <f t="shared" si="4"/>
        <v>0</v>
      </c>
    </row>
    <row r="12" spans="1:34" s="30" customFormat="1" ht="21.75" customHeight="1" x14ac:dyDescent="0.2">
      <c r="A12" s="18">
        <v>43409</v>
      </c>
      <c r="B12" s="19"/>
      <c r="C12" s="20" t="s">
        <v>705</v>
      </c>
      <c r="D12" s="20" t="s">
        <v>706</v>
      </c>
      <c r="E12" s="20" t="s">
        <v>707</v>
      </c>
      <c r="F12" s="21">
        <v>179063</v>
      </c>
      <c r="G12" s="22" t="s">
        <v>40</v>
      </c>
      <c r="H12" s="23"/>
      <c r="I12" s="23"/>
      <c r="J12" s="23"/>
      <c r="K12" s="23">
        <v>180</v>
      </c>
      <c r="L12" s="24"/>
      <c r="M12" s="69">
        <f t="shared" si="0"/>
        <v>160.71428571428569</v>
      </c>
      <c r="N12" s="69">
        <f t="shared" si="1"/>
        <v>19.285714285714281</v>
      </c>
      <c r="O12" s="69">
        <f t="shared" si="2"/>
        <v>0</v>
      </c>
      <c r="P12" s="69"/>
      <c r="Q12" s="25">
        <v>160.71</v>
      </c>
      <c r="R12" s="25"/>
      <c r="S12" s="25"/>
      <c r="T12" s="26"/>
      <c r="U12" s="26"/>
      <c r="V12" s="26"/>
      <c r="W12" s="26"/>
      <c r="X12" s="26"/>
      <c r="Y12" s="25"/>
      <c r="Z12" s="25"/>
      <c r="AA12" s="25"/>
      <c r="AB12" s="25"/>
      <c r="AC12" s="26"/>
      <c r="AD12" s="26"/>
      <c r="AE12" s="25"/>
      <c r="AF12" s="25"/>
      <c r="AG12" s="69">
        <f t="shared" si="3"/>
        <v>-179.99571428571429</v>
      </c>
      <c r="AH12" s="29">
        <f t="shared" si="4"/>
        <v>4.2857142857144481E-3</v>
      </c>
    </row>
    <row r="13" spans="1:34" s="30" customFormat="1" ht="21.75" customHeight="1" x14ac:dyDescent="0.2">
      <c r="A13" s="18">
        <v>43409</v>
      </c>
      <c r="B13" s="19"/>
      <c r="C13" s="20" t="s">
        <v>63</v>
      </c>
      <c r="D13" s="20" t="s">
        <v>64</v>
      </c>
      <c r="E13" s="20" t="s">
        <v>120</v>
      </c>
      <c r="F13" s="21">
        <v>129411</v>
      </c>
      <c r="G13" s="22" t="s">
        <v>1005</v>
      </c>
      <c r="H13" s="23"/>
      <c r="I13" s="23"/>
      <c r="J13" s="23"/>
      <c r="K13" s="23">
        <f>1618.75+194.25</f>
        <v>1813</v>
      </c>
      <c r="L13" s="24"/>
      <c r="M13" s="69">
        <f t="shared" si="0"/>
        <v>1618.7499999999998</v>
      </c>
      <c r="N13" s="69">
        <f t="shared" si="1"/>
        <v>194.24999999999997</v>
      </c>
      <c r="O13" s="69">
        <f t="shared" si="2"/>
        <v>0</v>
      </c>
      <c r="P13" s="69">
        <v>1618.75</v>
      </c>
      <c r="Q13" s="25"/>
      <c r="R13" s="25"/>
      <c r="S13" s="25"/>
      <c r="T13" s="26"/>
      <c r="U13" s="26"/>
      <c r="V13" s="26"/>
      <c r="W13" s="26"/>
      <c r="X13" s="26"/>
      <c r="Y13" s="25"/>
      <c r="Z13" s="25"/>
      <c r="AA13" s="25"/>
      <c r="AB13" s="25"/>
      <c r="AC13" s="26"/>
      <c r="AD13" s="26"/>
      <c r="AE13" s="25"/>
      <c r="AF13" s="25"/>
      <c r="AG13" s="69">
        <f t="shared" si="3"/>
        <v>-1813</v>
      </c>
      <c r="AH13" s="29">
        <f t="shared" si="4"/>
        <v>0</v>
      </c>
    </row>
    <row r="14" spans="1:34" s="30" customFormat="1" ht="21.75" customHeight="1" x14ac:dyDescent="0.2">
      <c r="A14" s="18">
        <v>43409</v>
      </c>
      <c r="B14" s="19"/>
      <c r="C14" s="20" t="s">
        <v>63</v>
      </c>
      <c r="D14" s="20" t="s">
        <v>64</v>
      </c>
      <c r="E14" s="20" t="s">
        <v>120</v>
      </c>
      <c r="F14" s="21">
        <v>129411</v>
      </c>
      <c r="G14" s="22" t="s">
        <v>1006</v>
      </c>
      <c r="H14" s="23"/>
      <c r="I14" s="23"/>
      <c r="J14" s="23">
        <v>283.10000000000002</v>
      </c>
      <c r="K14" s="23"/>
      <c r="L14" s="24"/>
      <c r="M14" s="69">
        <f t="shared" si="0"/>
        <v>283.10000000000002</v>
      </c>
      <c r="N14" s="69">
        <f t="shared" si="1"/>
        <v>0</v>
      </c>
      <c r="O14" s="69">
        <f t="shared" si="2"/>
        <v>0</v>
      </c>
      <c r="P14" s="69">
        <v>283.10000000000002</v>
      </c>
      <c r="Q14" s="25"/>
      <c r="R14" s="25"/>
      <c r="S14" s="25"/>
      <c r="T14" s="26"/>
      <c r="U14" s="26"/>
      <c r="V14" s="26"/>
      <c r="W14" s="26"/>
      <c r="X14" s="26"/>
      <c r="Y14" s="25"/>
      <c r="Z14" s="25"/>
      <c r="AA14" s="25"/>
      <c r="AB14" s="25"/>
      <c r="AC14" s="26"/>
      <c r="AD14" s="26"/>
      <c r="AE14" s="25"/>
      <c r="AF14" s="25"/>
      <c r="AG14" s="69">
        <f t="shared" si="3"/>
        <v>-283.10000000000002</v>
      </c>
      <c r="AH14" s="29">
        <f t="shared" si="4"/>
        <v>0</v>
      </c>
    </row>
    <row r="15" spans="1:34" s="30" customFormat="1" ht="21.75" customHeight="1" x14ac:dyDescent="0.2">
      <c r="A15" s="18">
        <v>43409</v>
      </c>
      <c r="B15" s="19"/>
      <c r="C15" s="20" t="s">
        <v>1007</v>
      </c>
      <c r="D15" s="20" t="s">
        <v>216</v>
      </c>
      <c r="E15" s="20" t="s">
        <v>43</v>
      </c>
      <c r="F15" s="21">
        <v>1924</v>
      </c>
      <c r="G15" s="22" t="s">
        <v>217</v>
      </c>
      <c r="H15" s="23"/>
      <c r="I15" s="23"/>
      <c r="J15" s="23"/>
      <c r="K15" s="23">
        <v>1320</v>
      </c>
      <c r="L15" s="24">
        <v>0.01</v>
      </c>
      <c r="M15" s="69">
        <f t="shared" si="0"/>
        <v>1178.5714285714284</v>
      </c>
      <c r="N15" s="69">
        <f t="shared" si="1"/>
        <v>141.42857142857142</v>
      </c>
      <c r="O15" s="69">
        <f t="shared" si="2"/>
        <v>-11.785714285714285</v>
      </c>
      <c r="P15" s="69">
        <v>1178.57</v>
      </c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/>
      <c r="AC15" s="26"/>
      <c r="AD15" s="26"/>
      <c r="AE15" s="25"/>
      <c r="AF15" s="25"/>
      <c r="AG15" s="69">
        <f t="shared" si="3"/>
        <v>-1308.212857142857</v>
      </c>
      <c r="AH15" s="29">
        <f t="shared" si="4"/>
        <v>1.4285714286685902E-3</v>
      </c>
    </row>
    <row r="16" spans="1:34" s="30" customFormat="1" ht="21.75" customHeight="1" x14ac:dyDescent="0.2">
      <c r="A16" s="18">
        <v>43409</v>
      </c>
      <c r="B16" s="19"/>
      <c r="C16" s="20" t="s">
        <v>745</v>
      </c>
      <c r="D16" s="20" t="s">
        <v>812</v>
      </c>
      <c r="E16" s="20" t="s">
        <v>277</v>
      </c>
      <c r="F16" s="21">
        <v>32674</v>
      </c>
      <c r="G16" s="22" t="s">
        <v>1000</v>
      </c>
      <c r="H16" s="23"/>
      <c r="I16" s="23"/>
      <c r="J16" s="23"/>
      <c r="K16" s="23">
        <v>440</v>
      </c>
      <c r="L16" s="24"/>
      <c r="M16" s="69">
        <f t="shared" si="0"/>
        <v>392.85714285714283</v>
      </c>
      <c r="N16" s="69">
        <f t="shared" si="1"/>
        <v>47.142857142857139</v>
      </c>
      <c r="O16" s="69">
        <f t="shared" si="2"/>
        <v>0</v>
      </c>
      <c r="P16" s="69">
        <v>392.86</v>
      </c>
      <c r="Q16" s="25"/>
      <c r="R16" s="25"/>
      <c r="S16" s="25"/>
      <c r="T16" s="26"/>
      <c r="U16" s="26"/>
      <c r="V16" s="26"/>
      <c r="W16" s="26"/>
      <c r="X16" s="26"/>
      <c r="Y16" s="25"/>
      <c r="Z16" s="25"/>
      <c r="AA16" s="25"/>
      <c r="AB16" s="25"/>
      <c r="AC16" s="26"/>
      <c r="AD16" s="26"/>
      <c r="AE16" s="25"/>
      <c r="AF16" s="25"/>
      <c r="AG16" s="69">
        <f t="shared" si="3"/>
        <v>-440.00285714285712</v>
      </c>
      <c r="AH16" s="29">
        <f t="shared" si="4"/>
        <v>-2.8571428571240176E-3</v>
      </c>
    </row>
    <row r="17" spans="1:34" s="30" customFormat="1" ht="21.75" customHeight="1" x14ac:dyDescent="0.2">
      <c r="A17" s="18">
        <v>43409</v>
      </c>
      <c r="B17" s="19"/>
      <c r="C17" s="20" t="s">
        <v>745</v>
      </c>
      <c r="D17" s="20" t="s">
        <v>812</v>
      </c>
      <c r="E17" s="20" t="s">
        <v>277</v>
      </c>
      <c r="F17" s="21">
        <v>32675</v>
      </c>
      <c r="G17" s="22" t="s">
        <v>1008</v>
      </c>
      <c r="H17" s="23"/>
      <c r="I17" s="23"/>
      <c r="J17" s="23"/>
      <c r="K17" s="23">
        <v>148.4</v>
      </c>
      <c r="L17" s="24"/>
      <c r="M17" s="69">
        <f t="shared" si="0"/>
        <v>132.5</v>
      </c>
      <c r="N17" s="69">
        <f t="shared" si="1"/>
        <v>15.899999999999999</v>
      </c>
      <c r="O17" s="69">
        <f t="shared" si="2"/>
        <v>0</v>
      </c>
      <c r="P17" s="69">
        <v>132.5</v>
      </c>
      <c r="Q17" s="25"/>
      <c r="R17" s="25"/>
      <c r="S17" s="25"/>
      <c r="T17" s="26"/>
      <c r="U17" s="26"/>
      <c r="V17" s="26"/>
      <c r="W17" s="26"/>
      <c r="X17" s="26"/>
      <c r="Y17" s="25"/>
      <c r="Z17" s="25"/>
      <c r="AA17" s="25"/>
      <c r="AB17" s="25"/>
      <c r="AC17" s="26"/>
      <c r="AD17" s="26"/>
      <c r="AE17" s="25"/>
      <c r="AF17" s="25"/>
      <c r="AG17" s="69">
        <f t="shared" si="3"/>
        <v>-148.4</v>
      </c>
      <c r="AH17" s="29">
        <f t="shared" si="4"/>
        <v>0</v>
      </c>
    </row>
    <row r="18" spans="1:34" s="30" customFormat="1" ht="21.75" customHeight="1" x14ac:dyDescent="0.2">
      <c r="A18" s="18">
        <v>43410</v>
      </c>
      <c r="B18" s="19"/>
      <c r="C18" s="20" t="s">
        <v>202</v>
      </c>
      <c r="D18" s="20" t="s">
        <v>76</v>
      </c>
      <c r="E18" s="20" t="s">
        <v>120</v>
      </c>
      <c r="F18" s="21">
        <v>56054</v>
      </c>
      <c r="G18" s="22" t="s">
        <v>451</v>
      </c>
      <c r="H18" s="23"/>
      <c r="I18" s="23"/>
      <c r="J18" s="23"/>
      <c r="K18" s="23">
        <v>474.93</v>
      </c>
      <c r="L18" s="24"/>
      <c r="M18" s="69">
        <f t="shared" si="0"/>
        <v>424.04464285714283</v>
      </c>
      <c r="N18" s="69">
        <f t="shared" si="1"/>
        <v>50.885357142857139</v>
      </c>
      <c r="O18" s="69">
        <f t="shared" si="2"/>
        <v>0</v>
      </c>
      <c r="P18" s="69">
        <v>424.04</v>
      </c>
      <c r="Q18" s="25"/>
      <c r="R18" s="25"/>
      <c r="S18" s="25"/>
      <c r="T18" s="26"/>
      <c r="U18" s="26"/>
      <c r="V18" s="26"/>
      <c r="W18" s="26"/>
      <c r="X18" s="26"/>
      <c r="Y18" s="25"/>
      <c r="Z18" s="25"/>
      <c r="AA18" s="25"/>
      <c r="AB18" s="25"/>
      <c r="AC18" s="26"/>
      <c r="AD18" s="26"/>
      <c r="AE18" s="25"/>
      <c r="AF18" s="25"/>
      <c r="AG18" s="69">
        <f t="shared" si="3"/>
        <v>-474.92535714285714</v>
      </c>
      <c r="AH18" s="29">
        <f t="shared" si="4"/>
        <v>4.6428571428691612E-3</v>
      </c>
    </row>
    <row r="19" spans="1:34" s="30" customFormat="1" ht="21.75" customHeight="1" x14ac:dyDescent="0.2">
      <c r="A19" s="18">
        <v>43410</v>
      </c>
      <c r="B19" s="19"/>
      <c r="C19" s="20" t="s">
        <v>705</v>
      </c>
      <c r="D19" s="20" t="s">
        <v>706</v>
      </c>
      <c r="E19" s="20" t="s">
        <v>707</v>
      </c>
      <c r="F19" s="21">
        <v>113939</v>
      </c>
      <c r="G19" s="22" t="s">
        <v>40</v>
      </c>
      <c r="H19" s="23"/>
      <c r="I19" s="23"/>
      <c r="J19" s="23"/>
      <c r="K19" s="23">
        <v>180</v>
      </c>
      <c r="L19" s="24"/>
      <c r="M19" s="69">
        <f t="shared" si="0"/>
        <v>160.71428571428569</v>
      </c>
      <c r="N19" s="69">
        <f t="shared" si="1"/>
        <v>19.285714285714281</v>
      </c>
      <c r="O19" s="69">
        <f t="shared" si="2"/>
        <v>0</v>
      </c>
      <c r="P19" s="69"/>
      <c r="Q19" s="25">
        <v>160.71</v>
      </c>
      <c r="R19" s="25"/>
      <c r="S19" s="25"/>
      <c r="T19" s="26"/>
      <c r="U19" s="26"/>
      <c r="V19" s="26"/>
      <c r="W19" s="26"/>
      <c r="X19" s="26"/>
      <c r="Y19" s="25"/>
      <c r="Z19" s="25"/>
      <c r="AA19" s="25"/>
      <c r="AB19" s="25"/>
      <c r="AC19" s="26"/>
      <c r="AD19" s="26"/>
      <c r="AE19" s="25"/>
      <c r="AF19" s="25"/>
      <c r="AG19" s="69">
        <f t="shared" si="3"/>
        <v>-179.99571428571429</v>
      </c>
      <c r="AH19" s="29">
        <f t="shared" si="4"/>
        <v>4.2857142857144481E-3</v>
      </c>
    </row>
    <row r="20" spans="1:34" s="30" customFormat="1" ht="21.75" customHeight="1" x14ac:dyDescent="0.2">
      <c r="A20" s="18">
        <v>43410</v>
      </c>
      <c r="B20" s="19"/>
      <c r="C20" s="20" t="s">
        <v>745</v>
      </c>
      <c r="D20" s="20" t="s">
        <v>812</v>
      </c>
      <c r="E20" s="20" t="s">
        <v>277</v>
      </c>
      <c r="F20" s="21">
        <v>90116</v>
      </c>
      <c r="G20" s="22" t="s">
        <v>1009</v>
      </c>
      <c r="H20" s="23"/>
      <c r="I20" s="23"/>
      <c r="J20" s="23"/>
      <c r="K20" s="23">
        <v>129</v>
      </c>
      <c r="L20" s="24"/>
      <c r="M20" s="69">
        <f t="shared" si="0"/>
        <v>115.17857142857142</v>
      </c>
      <c r="N20" s="69">
        <f t="shared" si="1"/>
        <v>13.821428571428569</v>
      </c>
      <c r="O20" s="69">
        <f t="shared" si="2"/>
        <v>0</v>
      </c>
      <c r="P20" s="69">
        <v>115.18</v>
      </c>
      <c r="Q20" s="25"/>
      <c r="R20" s="25"/>
      <c r="S20" s="25"/>
      <c r="T20" s="26"/>
      <c r="U20" s="26"/>
      <c r="V20" s="26"/>
      <c r="W20" s="26"/>
      <c r="X20" s="26"/>
      <c r="Y20" s="25"/>
      <c r="Z20" s="25"/>
      <c r="AA20" s="25"/>
      <c r="AB20" s="25"/>
      <c r="AC20" s="26"/>
      <c r="AD20" s="26"/>
      <c r="AE20" s="25"/>
      <c r="AF20" s="25"/>
      <c r="AG20" s="69">
        <f t="shared" si="3"/>
        <v>-129.00142857142856</v>
      </c>
      <c r="AH20" s="29">
        <f t="shared" si="4"/>
        <v>-1.4285714285620088E-3</v>
      </c>
    </row>
    <row r="21" spans="1:34" s="30" customFormat="1" ht="21.75" customHeight="1" x14ac:dyDescent="0.2">
      <c r="A21" s="18">
        <v>43410</v>
      </c>
      <c r="B21" s="19"/>
      <c r="C21" s="20" t="s">
        <v>63</v>
      </c>
      <c r="D21" s="20" t="s">
        <v>64</v>
      </c>
      <c r="E21" s="20" t="s">
        <v>120</v>
      </c>
      <c r="F21" s="21">
        <v>133248</v>
      </c>
      <c r="G21" s="22" t="s">
        <v>436</v>
      </c>
      <c r="H21" s="23"/>
      <c r="I21" s="23"/>
      <c r="J21" s="23">
        <v>192.5</v>
      </c>
      <c r="K21" s="23"/>
      <c r="L21" s="24"/>
      <c r="M21" s="69">
        <f t="shared" si="0"/>
        <v>192.5</v>
      </c>
      <c r="N21" s="69">
        <f t="shared" si="1"/>
        <v>0</v>
      </c>
      <c r="O21" s="69">
        <f t="shared" si="2"/>
        <v>0</v>
      </c>
      <c r="P21" s="69">
        <v>192.5</v>
      </c>
      <c r="Q21" s="25"/>
      <c r="R21" s="25"/>
      <c r="S21" s="25"/>
      <c r="T21" s="26"/>
      <c r="U21" s="26"/>
      <c r="V21" s="26"/>
      <c r="W21" s="26"/>
      <c r="X21" s="26"/>
      <c r="Y21" s="25"/>
      <c r="Z21" s="25"/>
      <c r="AA21" s="25"/>
      <c r="AB21" s="25"/>
      <c r="AC21" s="26"/>
      <c r="AD21" s="26"/>
      <c r="AE21" s="25"/>
      <c r="AF21" s="25"/>
      <c r="AG21" s="69">
        <f t="shared" si="3"/>
        <v>-192.5</v>
      </c>
      <c r="AH21" s="29">
        <f t="shared" si="4"/>
        <v>0</v>
      </c>
    </row>
    <row r="22" spans="1:34" s="30" customFormat="1" ht="21.75" customHeight="1" x14ac:dyDescent="0.2">
      <c r="A22" s="18">
        <v>43410</v>
      </c>
      <c r="B22" s="19"/>
      <c r="C22" s="20" t="s">
        <v>63</v>
      </c>
      <c r="D22" s="20" t="s">
        <v>64</v>
      </c>
      <c r="E22" s="20" t="s">
        <v>120</v>
      </c>
      <c r="F22" s="21">
        <v>133248</v>
      </c>
      <c r="G22" s="22" t="s">
        <v>1010</v>
      </c>
      <c r="H22" s="23"/>
      <c r="I22" s="23"/>
      <c r="J22" s="23"/>
      <c r="K22" s="23">
        <f>1481.65+177.8</f>
        <v>1659.45</v>
      </c>
      <c r="L22" s="24"/>
      <c r="M22" s="69">
        <f t="shared" si="0"/>
        <v>1481.6517857142856</v>
      </c>
      <c r="N22" s="69">
        <f t="shared" si="1"/>
        <v>177.79821428571427</v>
      </c>
      <c r="O22" s="69">
        <f t="shared" si="2"/>
        <v>0</v>
      </c>
      <c r="P22" s="69">
        <v>1481.65</v>
      </c>
      <c r="Q22" s="25"/>
      <c r="R22" s="25"/>
      <c r="S22" s="25"/>
      <c r="T22" s="26"/>
      <c r="U22" s="26"/>
      <c r="V22" s="26"/>
      <c r="W22" s="26"/>
      <c r="X22" s="26"/>
      <c r="Y22" s="25"/>
      <c r="Z22" s="25"/>
      <c r="AA22" s="25"/>
      <c r="AB22" s="25"/>
      <c r="AC22" s="26"/>
      <c r="AD22" s="26"/>
      <c r="AE22" s="25"/>
      <c r="AF22" s="25"/>
      <c r="AG22" s="69">
        <f t="shared" si="3"/>
        <v>-1659.4482142857144</v>
      </c>
      <c r="AH22" s="29">
        <f t="shared" si="4"/>
        <v>1.7857142856883002E-3</v>
      </c>
    </row>
    <row r="23" spans="1:34" s="30" customFormat="1" ht="21.75" customHeight="1" x14ac:dyDescent="0.2">
      <c r="A23" s="18">
        <v>43410</v>
      </c>
      <c r="B23" s="19"/>
      <c r="C23" s="20" t="s">
        <v>381</v>
      </c>
      <c r="D23" s="20" t="s">
        <v>273</v>
      </c>
      <c r="E23" s="20" t="s">
        <v>120</v>
      </c>
      <c r="F23" s="21">
        <v>161868</v>
      </c>
      <c r="G23" s="22" t="s">
        <v>1011</v>
      </c>
      <c r="H23" s="23"/>
      <c r="I23" s="23"/>
      <c r="J23" s="23"/>
      <c r="K23" s="23">
        <v>960</v>
      </c>
      <c r="L23" s="24"/>
      <c r="M23" s="69">
        <f t="shared" si="0"/>
        <v>857.14285714285711</v>
      </c>
      <c r="N23" s="69">
        <f t="shared" si="1"/>
        <v>102.85714285714285</v>
      </c>
      <c r="O23" s="69">
        <f t="shared" si="2"/>
        <v>0</v>
      </c>
      <c r="P23" s="69"/>
      <c r="Q23" s="25"/>
      <c r="R23" s="25"/>
      <c r="S23" s="25">
        <v>857.14</v>
      </c>
      <c r="T23" s="26"/>
      <c r="U23" s="26"/>
      <c r="V23" s="26"/>
      <c r="W23" s="26"/>
      <c r="X23" s="26"/>
      <c r="Y23" s="25"/>
      <c r="Z23" s="25"/>
      <c r="AA23" s="25"/>
      <c r="AB23" s="25"/>
      <c r="AC23" s="26"/>
      <c r="AD23" s="26"/>
      <c r="AE23" s="25"/>
      <c r="AF23" s="25"/>
      <c r="AG23" s="69">
        <f t="shared" si="3"/>
        <v>-959.99714285714288</v>
      </c>
      <c r="AH23" s="29">
        <f t="shared" si="4"/>
        <v>2.8571428571240176E-3</v>
      </c>
    </row>
    <row r="24" spans="1:34" s="30" customFormat="1" ht="21.75" customHeight="1" x14ac:dyDescent="0.2">
      <c r="A24" s="18">
        <v>43410</v>
      </c>
      <c r="B24" s="19"/>
      <c r="C24" s="20" t="s">
        <v>68</v>
      </c>
      <c r="D24" s="20"/>
      <c r="E24" s="20"/>
      <c r="F24" s="21"/>
      <c r="G24" s="22" t="s">
        <v>170</v>
      </c>
      <c r="H24" s="23">
        <v>60</v>
      </c>
      <c r="I24" s="23"/>
      <c r="J24" s="23"/>
      <c r="K24" s="23"/>
      <c r="L24" s="24"/>
      <c r="M24" s="69">
        <f t="shared" si="0"/>
        <v>60</v>
      </c>
      <c r="N24" s="69">
        <f t="shared" si="1"/>
        <v>0</v>
      </c>
      <c r="O24" s="69">
        <f t="shared" si="2"/>
        <v>0</v>
      </c>
      <c r="P24" s="69"/>
      <c r="Q24" s="25"/>
      <c r="R24" s="25"/>
      <c r="S24" s="25"/>
      <c r="T24" s="26"/>
      <c r="U24" s="26"/>
      <c r="V24" s="26"/>
      <c r="W24" s="26"/>
      <c r="X24" s="26"/>
      <c r="Y24" s="25"/>
      <c r="Z24" s="25"/>
      <c r="AA24" s="25">
        <v>60</v>
      </c>
      <c r="AB24" s="25"/>
      <c r="AC24" s="26"/>
      <c r="AD24" s="26"/>
      <c r="AE24" s="25"/>
      <c r="AF24" s="25"/>
      <c r="AG24" s="69">
        <f t="shared" si="3"/>
        <v>-60</v>
      </c>
      <c r="AH24" s="29">
        <f t="shared" si="4"/>
        <v>0</v>
      </c>
    </row>
    <row r="25" spans="1:34" s="30" customFormat="1" ht="21.75" customHeight="1" x14ac:dyDescent="0.2">
      <c r="A25" s="18">
        <v>43410</v>
      </c>
      <c r="B25" s="19"/>
      <c r="C25" s="20" t="s">
        <v>96</v>
      </c>
      <c r="D25" s="20"/>
      <c r="E25" s="20"/>
      <c r="F25" s="21"/>
      <c r="G25" s="22" t="s">
        <v>161</v>
      </c>
      <c r="H25" s="23">
        <v>200</v>
      </c>
      <c r="I25" s="23"/>
      <c r="J25" s="23"/>
      <c r="K25" s="23"/>
      <c r="L25" s="24"/>
      <c r="M25" s="69">
        <f t="shared" si="0"/>
        <v>200</v>
      </c>
      <c r="N25" s="69">
        <f t="shared" si="1"/>
        <v>0</v>
      </c>
      <c r="O25" s="69">
        <f t="shared" si="2"/>
        <v>0</v>
      </c>
      <c r="P25" s="69"/>
      <c r="Q25" s="25"/>
      <c r="R25" s="25"/>
      <c r="S25" s="25"/>
      <c r="T25" s="26"/>
      <c r="U25" s="26"/>
      <c r="V25" s="26"/>
      <c r="W25" s="26"/>
      <c r="X25" s="26"/>
      <c r="Y25" s="25"/>
      <c r="Z25" s="25"/>
      <c r="AA25" s="25">
        <v>200</v>
      </c>
      <c r="AB25" s="25"/>
      <c r="AC25" s="26"/>
      <c r="AD25" s="26"/>
      <c r="AE25" s="25"/>
      <c r="AF25" s="25"/>
      <c r="AG25" s="69">
        <f t="shared" si="3"/>
        <v>-200</v>
      </c>
      <c r="AH25" s="29">
        <f t="shared" si="4"/>
        <v>0</v>
      </c>
    </row>
    <row r="26" spans="1:34" s="30" customFormat="1" ht="21.75" customHeight="1" x14ac:dyDescent="0.2">
      <c r="A26" s="18">
        <v>43410</v>
      </c>
      <c r="B26" s="19"/>
      <c r="C26" s="20" t="s">
        <v>1012</v>
      </c>
      <c r="D26" s="20" t="s">
        <v>1013</v>
      </c>
      <c r="E26" s="20" t="s">
        <v>156</v>
      </c>
      <c r="F26" s="21">
        <v>39048</v>
      </c>
      <c r="G26" s="22" t="s">
        <v>1014</v>
      </c>
      <c r="H26" s="23"/>
      <c r="I26" s="23"/>
      <c r="J26" s="23"/>
      <c r="K26" s="23">
        <v>1200</v>
      </c>
      <c r="L26" s="24"/>
      <c r="M26" s="69">
        <f t="shared" si="0"/>
        <v>1071.4285714285713</v>
      </c>
      <c r="N26" s="69">
        <f t="shared" si="1"/>
        <v>128.57142857142856</v>
      </c>
      <c r="O26" s="69">
        <f t="shared" si="2"/>
        <v>0</v>
      </c>
      <c r="P26" s="69"/>
      <c r="Q26" s="25"/>
      <c r="R26" s="25"/>
      <c r="S26" s="25"/>
      <c r="T26" s="26"/>
      <c r="U26" s="26"/>
      <c r="V26" s="26">
        <v>1071.43</v>
      </c>
      <c r="W26" s="26"/>
      <c r="X26" s="26"/>
      <c r="Y26" s="25"/>
      <c r="Z26" s="25"/>
      <c r="AA26" s="25"/>
      <c r="AB26" s="25"/>
      <c r="AC26" s="26"/>
      <c r="AD26" s="26"/>
      <c r="AE26" s="25"/>
      <c r="AF26" s="25"/>
      <c r="AG26" s="69">
        <f t="shared" si="3"/>
        <v>-1200.0014285714287</v>
      </c>
      <c r="AH26" s="29">
        <f t="shared" si="4"/>
        <v>-1.4285714287325391E-3</v>
      </c>
    </row>
    <row r="27" spans="1:34" s="30" customFormat="1" ht="21.75" customHeight="1" x14ac:dyDescent="0.2">
      <c r="A27" s="18">
        <v>43410</v>
      </c>
      <c r="B27" s="19"/>
      <c r="C27" s="20" t="s">
        <v>1015</v>
      </c>
      <c r="D27" s="20" t="s">
        <v>1016</v>
      </c>
      <c r="E27" s="20" t="s">
        <v>152</v>
      </c>
      <c r="F27" s="21">
        <v>6003878</v>
      </c>
      <c r="G27" s="22" t="s">
        <v>1017</v>
      </c>
      <c r="H27" s="23"/>
      <c r="I27" s="23"/>
      <c r="J27" s="23">
        <v>900</v>
      </c>
      <c r="K27" s="23"/>
      <c r="L27" s="24"/>
      <c r="M27" s="69">
        <f t="shared" si="0"/>
        <v>900</v>
      </c>
      <c r="N27" s="69">
        <f t="shared" si="1"/>
        <v>0</v>
      </c>
      <c r="O27" s="69">
        <f t="shared" si="2"/>
        <v>0</v>
      </c>
      <c r="P27" s="69"/>
      <c r="Q27" s="25"/>
      <c r="R27" s="25"/>
      <c r="S27" s="25"/>
      <c r="T27" s="26"/>
      <c r="U27" s="26"/>
      <c r="V27" s="26">
        <v>900</v>
      </c>
      <c r="W27" s="26"/>
      <c r="X27" s="26"/>
      <c r="Y27" s="25"/>
      <c r="Z27" s="25"/>
      <c r="AA27" s="25"/>
      <c r="AB27" s="25"/>
      <c r="AC27" s="26"/>
      <c r="AD27" s="26"/>
      <c r="AE27" s="25"/>
      <c r="AF27" s="25"/>
      <c r="AG27" s="69">
        <f t="shared" si="3"/>
        <v>-900</v>
      </c>
      <c r="AH27" s="29">
        <f t="shared" si="4"/>
        <v>0</v>
      </c>
    </row>
    <row r="28" spans="1:34" s="30" customFormat="1" ht="21.75" customHeight="1" x14ac:dyDescent="0.2">
      <c r="A28" s="18">
        <v>43410</v>
      </c>
      <c r="B28" s="19"/>
      <c r="C28" s="20" t="s">
        <v>96</v>
      </c>
      <c r="D28" s="20"/>
      <c r="E28" s="20"/>
      <c r="F28" s="21"/>
      <c r="G28" s="22" t="s">
        <v>303</v>
      </c>
      <c r="H28" s="23"/>
      <c r="I28" s="23"/>
      <c r="J28" s="23">
        <v>160</v>
      </c>
      <c r="K28" s="23"/>
      <c r="L28" s="24"/>
      <c r="M28" s="69">
        <f t="shared" si="0"/>
        <v>160</v>
      </c>
      <c r="N28" s="69">
        <f t="shared" si="1"/>
        <v>0</v>
      </c>
      <c r="O28" s="69">
        <f t="shared" si="2"/>
        <v>0</v>
      </c>
      <c r="P28" s="69"/>
      <c r="Q28" s="25"/>
      <c r="R28" s="25">
        <v>160</v>
      </c>
      <c r="S28" s="25"/>
      <c r="T28" s="26"/>
      <c r="U28" s="26"/>
      <c r="V28" s="26"/>
      <c r="W28" s="26"/>
      <c r="X28" s="26"/>
      <c r="Y28" s="25"/>
      <c r="Z28" s="25"/>
      <c r="AA28" s="25"/>
      <c r="AB28" s="25"/>
      <c r="AC28" s="26"/>
      <c r="AD28" s="26"/>
      <c r="AE28" s="25"/>
      <c r="AF28" s="25"/>
      <c r="AG28" s="69">
        <f t="shared" si="3"/>
        <v>-160</v>
      </c>
      <c r="AH28" s="29">
        <f t="shared" si="4"/>
        <v>0</v>
      </c>
    </row>
    <row r="29" spans="1:34" s="30" customFormat="1" ht="21.75" customHeight="1" x14ac:dyDescent="0.2">
      <c r="A29" s="18">
        <v>43410</v>
      </c>
      <c r="B29" s="19"/>
      <c r="C29" s="20" t="s">
        <v>426</v>
      </c>
      <c r="D29" s="20" t="s">
        <v>427</v>
      </c>
      <c r="E29" s="20" t="s">
        <v>156</v>
      </c>
      <c r="F29" s="21">
        <v>16657</v>
      </c>
      <c r="G29" s="22" t="s">
        <v>1018</v>
      </c>
      <c r="H29" s="23"/>
      <c r="I29" s="23"/>
      <c r="J29" s="23"/>
      <c r="K29" s="23">
        <v>1375</v>
      </c>
      <c r="L29" s="24"/>
      <c r="M29" s="69">
        <f t="shared" si="0"/>
        <v>1227.6785714285713</v>
      </c>
      <c r="N29" s="69">
        <f t="shared" si="1"/>
        <v>147.32142857142856</v>
      </c>
      <c r="O29" s="69">
        <f t="shared" si="2"/>
        <v>0</v>
      </c>
      <c r="P29" s="69"/>
      <c r="Q29" s="25"/>
      <c r="R29" s="25"/>
      <c r="S29" s="25">
        <v>1227.68</v>
      </c>
      <c r="T29" s="26"/>
      <c r="U29" s="26"/>
      <c r="V29" s="26"/>
      <c r="W29" s="26"/>
      <c r="X29" s="26"/>
      <c r="Y29" s="25"/>
      <c r="Z29" s="25"/>
      <c r="AA29" s="25"/>
      <c r="AB29" s="25"/>
      <c r="AC29" s="26"/>
      <c r="AD29" s="26"/>
      <c r="AE29" s="25"/>
      <c r="AF29" s="25"/>
      <c r="AG29" s="69">
        <f t="shared" si="3"/>
        <v>-1375.0014285714287</v>
      </c>
      <c r="AH29" s="29">
        <f t="shared" si="4"/>
        <v>-1.4285714287325391E-3</v>
      </c>
    </row>
    <row r="30" spans="1:34" s="30" customFormat="1" ht="21.75" customHeight="1" x14ac:dyDescent="0.2">
      <c r="A30" s="18">
        <v>43410</v>
      </c>
      <c r="B30" s="19"/>
      <c r="C30" s="20" t="s">
        <v>1019</v>
      </c>
      <c r="D30" s="20"/>
      <c r="E30" s="20"/>
      <c r="F30" s="21">
        <v>95817</v>
      </c>
      <c r="G30" s="22" t="s">
        <v>1020</v>
      </c>
      <c r="H30" s="23"/>
      <c r="I30" s="23"/>
      <c r="J30" s="23"/>
      <c r="K30" s="23">
        <v>682.83</v>
      </c>
      <c r="L30" s="24"/>
      <c r="M30" s="69">
        <f t="shared" si="0"/>
        <v>609.66964285714289</v>
      </c>
      <c r="N30" s="69">
        <f t="shared" si="1"/>
        <v>73.160357142857137</v>
      </c>
      <c r="O30" s="69">
        <f t="shared" si="2"/>
        <v>0</v>
      </c>
      <c r="P30" s="69">
        <v>609.66999999999996</v>
      </c>
      <c r="Q30" s="25"/>
      <c r="R30" s="25"/>
      <c r="S30" s="25"/>
      <c r="T30" s="26"/>
      <c r="U30" s="26"/>
      <c r="V30" s="26"/>
      <c r="W30" s="26"/>
      <c r="X30" s="26"/>
      <c r="Y30" s="25"/>
      <c r="Z30" s="25"/>
      <c r="AA30" s="25"/>
      <c r="AB30" s="25"/>
      <c r="AC30" s="26"/>
      <c r="AD30" s="26"/>
      <c r="AE30" s="25"/>
      <c r="AF30" s="25"/>
      <c r="AG30" s="69">
        <f t="shared" si="3"/>
        <v>-682.83035714285711</v>
      </c>
      <c r="AH30" s="29">
        <f t="shared" si="4"/>
        <v>-3.5714285706944793E-4</v>
      </c>
    </row>
    <row r="31" spans="1:34" s="30" customFormat="1" ht="21.75" customHeight="1" x14ac:dyDescent="0.2">
      <c r="A31" s="18">
        <v>43411</v>
      </c>
      <c r="B31" s="19"/>
      <c r="C31" s="20" t="s">
        <v>705</v>
      </c>
      <c r="D31" s="20" t="s">
        <v>706</v>
      </c>
      <c r="E31" s="20" t="s">
        <v>707</v>
      </c>
      <c r="F31" s="21">
        <v>117686</v>
      </c>
      <c r="G31" s="22" t="s">
        <v>40</v>
      </c>
      <c r="H31" s="23"/>
      <c r="I31" s="23"/>
      <c r="J31" s="23"/>
      <c r="K31" s="23">
        <v>180</v>
      </c>
      <c r="L31" s="24"/>
      <c r="M31" s="69">
        <f t="shared" si="0"/>
        <v>160.71428571428569</v>
      </c>
      <c r="N31" s="69">
        <f t="shared" si="1"/>
        <v>19.285714285714281</v>
      </c>
      <c r="O31" s="69">
        <f t="shared" si="2"/>
        <v>0</v>
      </c>
      <c r="P31" s="69"/>
      <c r="Q31" s="25">
        <v>160.71</v>
      </c>
      <c r="R31" s="25"/>
      <c r="S31" s="25"/>
      <c r="T31" s="26"/>
      <c r="U31" s="26"/>
      <c r="V31" s="26"/>
      <c r="W31" s="26"/>
      <c r="X31" s="26"/>
      <c r="Y31" s="25"/>
      <c r="Z31" s="25"/>
      <c r="AA31" s="25"/>
      <c r="AB31" s="25"/>
      <c r="AC31" s="26"/>
      <c r="AD31" s="26"/>
      <c r="AE31" s="25"/>
      <c r="AF31" s="25"/>
      <c r="AG31" s="69">
        <f t="shared" si="3"/>
        <v>-179.99571428571429</v>
      </c>
      <c r="AH31" s="29">
        <f t="shared" si="4"/>
        <v>4.2857142857144481E-3</v>
      </c>
    </row>
    <row r="32" spans="1:34" s="30" customFormat="1" ht="21.75" customHeight="1" x14ac:dyDescent="0.2">
      <c r="A32" s="18">
        <v>43411</v>
      </c>
      <c r="B32" s="19"/>
      <c r="C32" s="20" t="s">
        <v>63</v>
      </c>
      <c r="D32" s="20" t="s">
        <v>64</v>
      </c>
      <c r="E32" s="20" t="s">
        <v>120</v>
      </c>
      <c r="F32" s="21">
        <v>140762</v>
      </c>
      <c r="G32" s="22" t="s">
        <v>433</v>
      </c>
      <c r="H32" s="23"/>
      <c r="I32" s="23"/>
      <c r="J32" s="23"/>
      <c r="K32" s="23">
        <v>255</v>
      </c>
      <c r="L32" s="24"/>
      <c r="M32" s="69">
        <f t="shared" si="0"/>
        <v>227.67857142857142</v>
      </c>
      <c r="N32" s="69">
        <f t="shared" si="1"/>
        <v>27.321428571428569</v>
      </c>
      <c r="O32" s="69">
        <f t="shared" si="2"/>
        <v>0</v>
      </c>
      <c r="P32" s="69">
        <v>227.68</v>
      </c>
      <c r="Q32" s="25"/>
      <c r="R32" s="25"/>
      <c r="S32" s="25"/>
      <c r="T32" s="26"/>
      <c r="U32" s="26"/>
      <c r="V32" s="26"/>
      <c r="W32" s="26"/>
      <c r="X32" s="26"/>
      <c r="Y32" s="25"/>
      <c r="Z32" s="25"/>
      <c r="AA32" s="25"/>
      <c r="AB32" s="25"/>
      <c r="AC32" s="26"/>
      <c r="AD32" s="26"/>
      <c r="AE32" s="25"/>
      <c r="AF32" s="25"/>
      <c r="AG32" s="69">
        <f t="shared" si="3"/>
        <v>-255.00142857142856</v>
      </c>
      <c r="AH32" s="29">
        <f t="shared" si="4"/>
        <v>-1.4285714285620088E-3</v>
      </c>
    </row>
    <row r="33" spans="1:34" s="30" customFormat="1" ht="21.75" customHeight="1" x14ac:dyDescent="0.2">
      <c r="A33" s="18">
        <v>43411</v>
      </c>
      <c r="B33" s="19"/>
      <c r="C33" s="20" t="s">
        <v>518</v>
      </c>
      <c r="D33" s="20" t="s">
        <v>519</v>
      </c>
      <c r="E33" s="20" t="s">
        <v>175</v>
      </c>
      <c r="F33" s="21">
        <v>1584</v>
      </c>
      <c r="G33" s="22" t="s">
        <v>1021</v>
      </c>
      <c r="H33" s="23"/>
      <c r="I33" s="23"/>
      <c r="J33" s="23"/>
      <c r="K33" s="23">
        <v>1884</v>
      </c>
      <c r="L33" s="24">
        <v>0.01</v>
      </c>
      <c r="M33" s="69">
        <f t="shared" si="0"/>
        <v>1682.1428571428569</v>
      </c>
      <c r="N33" s="69">
        <f t="shared" si="1"/>
        <v>201.8571428571428</v>
      </c>
      <c r="O33" s="69">
        <f t="shared" si="2"/>
        <v>-16.821428571428569</v>
      </c>
      <c r="P33" s="69">
        <v>1682.14</v>
      </c>
      <c r="Q33" s="25"/>
      <c r="R33" s="25"/>
      <c r="S33" s="25"/>
      <c r="T33" s="26"/>
      <c r="U33" s="26"/>
      <c r="V33" s="26"/>
      <c r="W33" s="26"/>
      <c r="X33" s="26"/>
      <c r="Y33" s="25"/>
      <c r="Z33" s="25"/>
      <c r="AA33" s="25"/>
      <c r="AB33" s="25"/>
      <c r="AC33" s="26"/>
      <c r="AD33" s="26"/>
      <c r="AE33" s="25"/>
      <c r="AF33" s="25"/>
      <c r="AG33" s="69">
        <f t="shared" si="3"/>
        <v>-1867.1757142857143</v>
      </c>
      <c r="AH33" s="29">
        <f t="shared" si="4"/>
        <v>2.8571428571098068E-3</v>
      </c>
    </row>
    <row r="34" spans="1:34" s="46" customFormat="1" ht="21.75" customHeight="1" x14ac:dyDescent="0.2">
      <c r="A34" s="33">
        <v>43411</v>
      </c>
      <c r="B34" s="34"/>
      <c r="C34" s="36" t="s">
        <v>518</v>
      </c>
      <c r="D34" s="36" t="s">
        <v>519</v>
      </c>
      <c r="E34" s="36" t="s">
        <v>175</v>
      </c>
      <c r="F34" s="37">
        <v>1583</v>
      </c>
      <c r="G34" s="38" t="s">
        <v>1022</v>
      </c>
      <c r="H34" s="39"/>
      <c r="I34" s="39"/>
      <c r="J34" s="39"/>
      <c r="K34" s="39">
        <v>2131</v>
      </c>
      <c r="L34" s="40">
        <v>0.01</v>
      </c>
      <c r="M34" s="78">
        <f t="shared" si="0"/>
        <v>1902.6785714285713</v>
      </c>
      <c r="N34" s="78">
        <f t="shared" si="1"/>
        <v>228.32142857142856</v>
      </c>
      <c r="O34" s="78">
        <f t="shared" si="2"/>
        <v>-19.026785714285715</v>
      </c>
      <c r="P34" s="78">
        <v>1902.68</v>
      </c>
      <c r="Q34" s="41"/>
      <c r="R34" s="41"/>
      <c r="S34" s="41"/>
      <c r="T34" s="42"/>
      <c r="U34" s="42"/>
      <c r="V34" s="42"/>
      <c r="W34" s="42"/>
      <c r="X34" s="42"/>
      <c r="Y34" s="41"/>
      <c r="Z34" s="41"/>
      <c r="AA34" s="41"/>
      <c r="AB34" s="41"/>
      <c r="AC34" s="42"/>
      <c r="AD34" s="42"/>
      <c r="AE34" s="41"/>
      <c r="AF34" s="41"/>
      <c r="AG34" s="78">
        <f t="shared" si="3"/>
        <v>-2111.974642857143</v>
      </c>
      <c r="AH34" s="45">
        <f t="shared" si="4"/>
        <v>-1.4285714286685902E-3</v>
      </c>
    </row>
    <row r="35" spans="1:34" s="30" customFormat="1" ht="21.75" customHeight="1" x14ac:dyDescent="0.2">
      <c r="A35" s="18">
        <v>43411</v>
      </c>
      <c r="B35" s="19"/>
      <c r="C35" s="20" t="s">
        <v>59</v>
      </c>
      <c r="D35" s="20" t="s">
        <v>60</v>
      </c>
      <c r="E35" s="20" t="s">
        <v>120</v>
      </c>
      <c r="F35" s="21">
        <v>709245</v>
      </c>
      <c r="G35" s="22" t="s">
        <v>1023</v>
      </c>
      <c r="H35" s="23"/>
      <c r="I35" s="23"/>
      <c r="J35" s="23"/>
      <c r="K35" s="23">
        <v>516.5</v>
      </c>
      <c r="L35" s="24"/>
      <c r="M35" s="69">
        <f t="shared" si="0"/>
        <v>461.16071428571422</v>
      </c>
      <c r="N35" s="69">
        <f t="shared" si="1"/>
        <v>55.339285714285701</v>
      </c>
      <c r="O35" s="69">
        <f t="shared" si="2"/>
        <v>0</v>
      </c>
      <c r="P35" s="69"/>
      <c r="Q35" s="25"/>
      <c r="R35" s="25"/>
      <c r="S35" s="25"/>
      <c r="T35" s="26">
        <v>461.16</v>
      </c>
      <c r="U35" s="26"/>
      <c r="V35" s="26"/>
      <c r="W35" s="26"/>
      <c r="X35" s="26"/>
      <c r="Y35" s="25"/>
      <c r="Z35" s="25"/>
      <c r="AA35" s="25"/>
      <c r="AB35" s="25"/>
      <c r="AC35" s="26"/>
      <c r="AD35" s="26"/>
      <c r="AE35" s="25"/>
      <c r="AF35" s="25"/>
      <c r="AG35" s="69">
        <f t="shared" si="3"/>
        <v>-516.49928571428575</v>
      </c>
      <c r="AH35" s="29">
        <f t="shared" si="4"/>
        <v>7.1428571425258269E-4</v>
      </c>
    </row>
    <row r="36" spans="1:34" s="30" customFormat="1" ht="21.75" customHeight="1" x14ac:dyDescent="0.2">
      <c r="A36" s="18">
        <v>43411</v>
      </c>
      <c r="B36" s="19"/>
      <c r="C36" s="20" t="s">
        <v>45</v>
      </c>
      <c r="D36" s="20"/>
      <c r="E36" s="20"/>
      <c r="F36" s="21"/>
      <c r="G36" s="22" t="s">
        <v>1024</v>
      </c>
      <c r="H36" s="23">
        <v>50</v>
      </c>
      <c r="I36" s="23"/>
      <c r="J36" s="23"/>
      <c r="K36" s="23"/>
      <c r="L36" s="24"/>
      <c r="M36" s="69">
        <f t="shared" si="0"/>
        <v>50</v>
      </c>
      <c r="N36" s="69">
        <f t="shared" si="1"/>
        <v>0</v>
      </c>
      <c r="O36" s="69">
        <f t="shared" si="2"/>
        <v>0</v>
      </c>
      <c r="P36" s="69"/>
      <c r="Q36" s="25"/>
      <c r="R36" s="25"/>
      <c r="S36" s="25"/>
      <c r="T36" s="26"/>
      <c r="U36" s="26"/>
      <c r="V36" s="26"/>
      <c r="W36" s="26"/>
      <c r="X36" s="26"/>
      <c r="Y36" s="25"/>
      <c r="Z36" s="25"/>
      <c r="AA36" s="25">
        <v>50</v>
      </c>
      <c r="AB36" s="25"/>
      <c r="AC36" s="26"/>
      <c r="AD36" s="26"/>
      <c r="AE36" s="25"/>
      <c r="AF36" s="25"/>
      <c r="AG36" s="69">
        <f t="shared" si="3"/>
        <v>-50</v>
      </c>
      <c r="AH36" s="29">
        <f t="shared" si="4"/>
        <v>0</v>
      </c>
    </row>
    <row r="37" spans="1:34" s="30" customFormat="1" ht="21.75" customHeight="1" x14ac:dyDescent="0.2">
      <c r="A37" s="18">
        <v>43412</v>
      </c>
      <c r="B37" s="19"/>
      <c r="C37" s="20" t="s">
        <v>96</v>
      </c>
      <c r="D37" s="20"/>
      <c r="E37" s="20"/>
      <c r="F37" s="21"/>
      <c r="G37" s="22" t="s">
        <v>629</v>
      </c>
      <c r="H37" s="23">
        <v>36</v>
      </c>
      <c r="I37" s="23"/>
      <c r="J37" s="23"/>
      <c r="K37" s="23"/>
      <c r="L37" s="24"/>
      <c r="M37" s="69">
        <f t="shared" ref="M37:M68" si="5">SUM(H37:J37,K37/1.12)</f>
        <v>36</v>
      </c>
      <c r="N37" s="69">
        <f t="shared" ref="N37:N68" si="6">K37/1.12*0.12</f>
        <v>0</v>
      </c>
      <c r="O37" s="69">
        <f t="shared" ref="O37:O68" si="7">-SUM(I37:J37,K37/1.12)*L37</f>
        <v>0</v>
      </c>
      <c r="P37" s="69"/>
      <c r="Q37" s="25"/>
      <c r="R37" s="25"/>
      <c r="S37" s="25"/>
      <c r="T37" s="26"/>
      <c r="U37" s="26"/>
      <c r="V37" s="26"/>
      <c r="W37" s="26"/>
      <c r="X37" s="26"/>
      <c r="Y37" s="25"/>
      <c r="Z37" s="25"/>
      <c r="AA37" s="25">
        <v>36</v>
      </c>
      <c r="AB37" s="25"/>
      <c r="AC37" s="26"/>
      <c r="AD37" s="26"/>
      <c r="AE37" s="25"/>
      <c r="AF37" s="25"/>
      <c r="AG37" s="69">
        <f t="shared" ref="AG37:AG68" si="8">-SUM(N37:AF37)</f>
        <v>-36</v>
      </c>
      <c r="AH37" s="29">
        <f t="shared" ref="AH37:AH68" si="9">SUM(H37:K37)+AG37+O37</f>
        <v>0</v>
      </c>
    </row>
    <row r="38" spans="1:34" s="30" customFormat="1" ht="21.75" customHeight="1" x14ac:dyDescent="0.2">
      <c r="A38" s="18">
        <v>43412</v>
      </c>
      <c r="B38" s="19"/>
      <c r="C38" s="20" t="s">
        <v>63</v>
      </c>
      <c r="D38" s="20" t="s">
        <v>64</v>
      </c>
      <c r="E38" s="20" t="s">
        <v>120</v>
      </c>
      <c r="F38" s="21">
        <v>115328</v>
      </c>
      <c r="G38" s="22" t="s">
        <v>1025</v>
      </c>
      <c r="H38" s="23"/>
      <c r="I38" s="23"/>
      <c r="J38" s="23">
        <v>310.25</v>
      </c>
      <c r="K38" s="23"/>
      <c r="L38" s="24"/>
      <c r="M38" s="69">
        <f t="shared" si="5"/>
        <v>310.25</v>
      </c>
      <c r="N38" s="69">
        <f t="shared" si="6"/>
        <v>0</v>
      </c>
      <c r="O38" s="69">
        <f t="shared" si="7"/>
        <v>0</v>
      </c>
      <c r="P38" s="69">
        <v>310.25</v>
      </c>
      <c r="Q38" s="25"/>
      <c r="R38" s="25"/>
      <c r="S38" s="25"/>
      <c r="T38" s="26"/>
      <c r="U38" s="26"/>
      <c r="V38" s="26"/>
      <c r="W38" s="26"/>
      <c r="X38" s="26"/>
      <c r="Y38" s="25"/>
      <c r="Z38" s="25"/>
      <c r="AA38" s="25"/>
      <c r="AB38" s="25"/>
      <c r="AC38" s="26"/>
      <c r="AD38" s="26"/>
      <c r="AE38" s="25"/>
      <c r="AF38" s="25"/>
      <c r="AG38" s="69">
        <f t="shared" si="8"/>
        <v>-310.25</v>
      </c>
      <c r="AH38" s="29">
        <f t="shared" si="9"/>
        <v>0</v>
      </c>
    </row>
    <row r="39" spans="1:34" s="30" customFormat="1" ht="21.75" customHeight="1" x14ac:dyDescent="0.2">
      <c r="A39" s="18">
        <v>43412</v>
      </c>
      <c r="B39" s="19"/>
      <c r="C39" s="20" t="s">
        <v>63</v>
      </c>
      <c r="D39" s="20" t="s">
        <v>64</v>
      </c>
      <c r="E39" s="20" t="s">
        <v>120</v>
      </c>
      <c r="F39" s="21">
        <v>115328</v>
      </c>
      <c r="G39" s="22" t="s">
        <v>1026</v>
      </c>
      <c r="H39" s="23"/>
      <c r="I39" s="23"/>
      <c r="J39" s="23"/>
      <c r="K39" s="23">
        <f>946.7+113.6</f>
        <v>1060.3</v>
      </c>
      <c r="L39" s="24"/>
      <c r="M39" s="69">
        <f t="shared" si="5"/>
        <v>946.69642857142844</v>
      </c>
      <c r="N39" s="69">
        <f t="shared" si="6"/>
        <v>113.60357142857141</v>
      </c>
      <c r="O39" s="69">
        <f t="shared" si="7"/>
        <v>0</v>
      </c>
      <c r="P39" s="69">
        <v>946.7</v>
      </c>
      <c r="Q39" s="25"/>
      <c r="R39" s="25"/>
      <c r="S39" s="25"/>
      <c r="T39" s="26"/>
      <c r="U39" s="26"/>
      <c r="V39" s="26"/>
      <c r="W39" s="26"/>
      <c r="X39" s="26"/>
      <c r="Y39" s="25"/>
      <c r="Z39" s="25"/>
      <c r="AA39" s="25"/>
      <c r="AB39" s="25"/>
      <c r="AC39" s="26"/>
      <c r="AD39" s="26"/>
      <c r="AE39" s="25"/>
      <c r="AF39" s="25"/>
      <c r="AG39" s="69">
        <f t="shared" si="8"/>
        <v>-1060.3035714285716</v>
      </c>
      <c r="AH39" s="29">
        <f t="shared" si="9"/>
        <v>-3.571428571603974E-3</v>
      </c>
    </row>
    <row r="40" spans="1:34" s="30" customFormat="1" ht="21.75" customHeight="1" x14ac:dyDescent="0.2">
      <c r="A40" s="18">
        <v>43412</v>
      </c>
      <c r="B40" s="19"/>
      <c r="C40" s="20" t="s">
        <v>745</v>
      </c>
      <c r="D40" s="20" t="s">
        <v>812</v>
      </c>
      <c r="E40" s="20" t="s">
        <v>277</v>
      </c>
      <c r="F40" s="21">
        <v>32715</v>
      </c>
      <c r="G40" s="22" t="s">
        <v>485</v>
      </c>
      <c r="H40" s="23"/>
      <c r="I40" s="23"/>
      <c r="J40" s="23"/>
      <c r="K40" s="23">
        <v>213.75</v>
      </c>
      <c r="L40" s="24"/>
      <c r="M40" s="69">
        <f t="shared" si="5"/>
        <v>190.84821428571428</v>
      </c>
      <c r="N40" s="69">
        <f t="shared" si="6"/>
        <v>22.901785714285712</v>
      </c>
      <c r="O40" s="69">
        <f t="shared" si="7"/>
        <v>0</v>
      </c>
      <c r="P40" s="69">
        <v>190.85</v>
      </c>
      <c r="Q40" s="25"/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6"/>
      <c r="AD40" s="26"/>
      <c r="AE40" s="25"/>
      <c r="AF40" s="25"/>
      <c r="AG40" s="69">
        <f t="shared" si="8"/>
        <v>-213.75178571428572</v>
      </c>
      <c r="AH40" s="29">
        <f t="shared" si="9"/>
        <v>-1.7857142857167219E-3</v>
      </c>
    </row>
    <row r="41" spans="1:34" s="30" customFormat="1" ht="21.75" customHeight="1" x14ac:dyDescent="0.2">
      <c r="A41" s="18">
        <v>43412</v>
      </c>
      <c r="B41" s="19"/>
      <c r="C41" s="20" t="s">
        <v>705</v>
      </c>
      <c r="D41" s="20" t="s">
        <v>706</v>
      </c>
      <c r="E41" s="20" t="s">
        <v>707</v>
      </c>
      <c r="F41" s="21">
        <v>119631</v>
      </c>
      <c r="G41" s="22" t="s">
        <v>40</v>
      </c>
      <c r="H41" s="23"/>
      <c r="I41" s="23"/>
      <c r="J41" s="23"/>
      <c r="K41" s="23">
        <v>180</v>
      </c>
      <c r="L41" s="24"/>
      <c r="M41" s="69">
        <f t="shared" si="5"/>
        <v>160.71428571428569</v>
      </c>
      <c r="N41" s="69">
        <f t="shared" si="6"/>
        <v>19.285714285714281</v>
      </c>
      <c r="O41" s="69">
        <f t="shared" si="7"/>
        <v>0</v>
      </c>
      <c r="P41" s="69"/>
      <c r="Q41" s="25">
        <v>160.71</v>
      </c>
      <c r="R41" s="25"/>
      <c r="S41" s="25"/>
      <c r="T41" s="26"/>
      <c r="U41" s="26"/>
      <c r="V41" s="26"/>
      <c r="W41" s="26"/>
      <c r="X41" s="26"/>
      <c r="Y41" s="25"/>
      <c r="Z41" s="25"/>
      <c r="AA41" s="25"/>
      <c r="AB41" s="25"/>
      <c r="AC41" s="26"/>
      <c r="AD41" s="26"/>
      <c r="AE41" s="25"/>
      <c r="AF41" s="25"/>
      <c r="AG41" s="69">
        <f t="shared" si="8"/>
        <v>-179.99571428571429</v>
      </c>
      <c r="AH41" s="29">
        <f t="shared" si="9"/>
        <v>4.2857142857144481E-3</v>
      </c>
    </row>
    <row r="42" spans="1:34" s="30" customFormat="1" ht="21.75" customHeight="1" x14ac:dyDescent="0.2">
      <c r="A42" s="18">
        <v>43412</v>
      </c>
      <c r="B42" s="19"/>
      <c r="C42" s="20" t="s">
        <v>614</v>
      </c>
      <c r="D42" s="20"/>
      <c r="E42" s="20"/>
      <c r="F42" s="21"/>
      <c r="G42" s="22" t="s">
        <v>644</v>
      </c>
      <c r="H42" s="23">
        <v>502</v>
      </c>
      <c r="I42" s="23"/>
      <c r="J42" s="23"/>
      <c r="K42" s="23"/>
      <c r="L42" s="24"/>
      <c r="M42" s="69">
        <f t="shared" si="5"/>
        <v>502</v>
      </c>
      <c r="N42" s="69">
        <f t="shared" si="6"/>
        <v>0</v>
      </c>
      <c r="O42" s="69">
        <f t="shared" si="7"/>
        <v>0</v>
      </c>
      <c r="P42" s="69"/>
      <c r="Q42" s="25"/>
      <c r="R42" s="25"/>
      <c r="S42" s="25"/>
      <c r="T42" s="26"/>
      <c r="U42" s="26"/>
      <c r="V42" s="26"/>
      <c r="W42" s="26"/>
      <c r="X42" s="26"/>
      <c r="Y42" s="25"/>
      <c r="Z42" s="25"/>
      <c r="AA42" s="25"/>
      <c r="AB42" s="25">
        <v>502</v>
      </c>
      <c r="AC42" s="26"/>
      <c r="AD42" s="26"/>
      <c r="AE42" s="25"/>
      <c r="AF42" s="25"/>
      <c r="AG42" s="69">
        <f t="shared" si="8"/>
        <v>-502</v>
      </c>
      <c r="AH42" s="29">
        <f t="shared" si="9"/>
        <v>0</v>
      </c>
    </row>
    <row r="43" spans="1:34" s="30" customFormat="1" ht="21.75" customHeight="1" x14ac:dyDescent="0.2">
      <c r="A43" s="18">
        <v>43413</v>
      </c>
      <c r="B43" s="19"/>
      <c r="C43" s="20" t="s">
        <v>45</v>
      </c>
      <c r="D43" s="20"/>
      <c r="E43" s="20"/>
      <c r="F43" s="21"/>
      <c r="G43" s="22" t="s">
        <v>1027</v>
      </c>
      <c r="H43" s="23">
        <v>50</v>
      </c>
      <c r="I43" s="23"/>
      <c r="J43" s="23"/>
      <c r="K43" s="23"/>
      <c r="L43" s="24"/>
      <c r="M43" s="69">
        <f t="shared" si="5"/>
        <v>50</v>
      </c>
      <c r="N43" s="69">
        <f t="shared" si="6"/>
        <v>0</v>
      </c>
      <c r="O43" s="69">
        <f t="shared" si="7"/>
        <v>0</v>
      </c>
      <c r="P43" s="69"/>
      <c r="Q43" s="25"/>
      <c r="R43" s="25"/>
      <c r="S43" s="25"/>
      <c r="T43" s="26"/>
      <c r="U43" s="26"/>
      <c r="V43" s="26"/>
      <c r="W43" s="26"/>
      <c r="X43" s="26"/>
      <c r="Y43" s="25"/>
      <c r="Z43" s="25"/>
      <c r="AA43" s="25">
        <v>50</v>
      </c>
      <c r="AB43" s="25"/>
      <c r="AC43" s="26"/>
      <c r="AD43" s="26"/>
      <c r="AE43" s="25"/>
      <c r="AF43" s="25"/>
      <c r="AG43" s="69">
        <f t="shared" si="8"/>
        <v>-50</v>
      </c>
      <c r="AH43" s="29">
        <f t="shared" si="9"/>
        <v>0</v>
      </c>
    </row>
    <row r="44" spans="1:34" s="30" customFormat="1" ht="21.75" customHeight="1" x14ac:dyDescent="0.2">
      <c r="A44" s="18">
        <v>43413</v>
      </c>
      <c r="B44" s="19"/>
      <c r="C44" s="20" t="s">
        <v>625</v>
      </c>
      <c r="D44" s="20" t="s">
        <v>1028</v>
      </c>
      <c r="E44" s="20" t="s">
        <v>120</v>
      </c>
      <c r="F44" s="21">
        <v>2276545</v>
      </c>
      <c r="G44" s="22" t="s">
        <v>1029</v>
      </c>
      <c r="H44" s="23"/>
      <c r="I44" s="23"/>
      <c r="J44" s="23"/>
      <c r="K44" s="23">
        <v>960</v>
      </c>
      <c r="L44" s="24"/>
      <c r="M44" s="69">
        <f t="shared" si="5"/>
        <v>857.14285714285711</v>
      </c>
      <c r="N44" s="69">
        <f t="shared" si="6"/>
        <v>102.85714285714285</v>
      </c>
      <c r="O44" s="69">
        <f t="shared" si="7"/>
        <v>0</v>
      </c>
      <c r="P44" s="69"/>
      <c r="Q44" s="25"/>
      <c r="R44" s="25"/>
      <c r="S44" s="25"/>
      <c r="T44" s="26"/>
      <c r="U44" s="26"/>
      <c r="V44" s="26"/>
      <c r="W44" s="26"/>
      <c r="X44" s="26"/>
      <c r="Y44" s="25">
        <v>857.14</v>
      </c>
      <c r="Z44" s="25"/>
      <c r="AA44" s="25"/>
      <c r="AB44" s="25"/>
      <c r="AC44" s="26"/>
      <c r="AD44" s="26"/>
      <c r="AE44" s="25"/>
      <c r="AF44" s="25"/>
      <c r="AG44" s="69">
        <f t="shared" si="8"/>
        <v>-959.99714285714288</v>
      </c>
      <c r="AH44" s="29">
        <f t="shared" si="9"/>
        <v>2.8571428571240176E-3</v>
      </c>
    </row>
    <row r="45" spans="1:34" s="30" customFormat="1" ht="21.75" customHeight="1" x14ac:dyDescent="0.2">
      <c r="A45" s="18">
        <v>43413</v>
      </c>
      <c r="B45" s="19"/>
      <c r="C45" s="20" t="s">
        <v>705</v>
      </c>
      <c r="D45" s="20" t="s">
        <v>706</v>
      </c>
      <c r="E45" s="20" t="s">
        <v>707</v>
      </c>
      <c r="F45" s="21">
        <v>119678</v>
      </c>
      <c r="G45" s="22" t="s">
        <v>40</v>
      </c>
      <c r="H45" s="23"/>
      <c r="I45" s="23"/>
      <c r="J45" s="23"/>
      <c r="K45" s="23">
        <v>180</v>
      </c>
      <c r="L45" s="24"/>
      <c r="M45" s="69">
        <f t="shared" si="5"/>
        <v>160.71428571428569</v>
      </c>
      <c r="N45" s="69">
        <f t="shared" si="6"/>
        <v>19.285714285714281</v>
      </c>
      <c r="O45" s="69">
        <f t="shared" si="7"/>
        <v>0</v>
      </c>
      <c r="P45" s="69"/>
      <c r="Q45" s="25">
        <v>160.71</v>
      </c>
      <c r="R45" s="25"/>
      <c r="S45" s="25"/>
      <c r="T45" s="26"/>
      <c r="U45" s="26"/>
      <c r="V45" s="26"/>
      <c r="W45" s="26"/>
      <c r="X45" s="26"/>
      <c r="Y45" s="25"/>
      <c r="Z45" s="25"/>
      <c r="AA45" s="25"/>
      <c r="AB45" s="25"/>
      <c r="AC45" s="26"/>
      <c r="AD45" s="26"/>
      <c r="AE45" s="25"/>
      <c r="AF45" s="25"/>
      <c r="AG45" s="69">
        <f t="shared" si="8"/>
        <v>-179.99571428571429</v>
      </c>
      <c r="AH45" s="29">
        <f t="shared" si="9"/>
        <v>4.2857142857144481E-3</v>
      </c>
    </row>
    <row r="46" spans="1:34" s="30" customFormat="1" ht="21.75" customHeight="1" x14ac:dyDescent="0.2">
      <c r="A46" s="18">
        <v>43413</v>
      </c>
      <c r="B46" s="19"/>
      <c r="C46" s="20" t="s">
        <v>59</v>
      </c>
      <c r="D46" s="20" t="s">
        <v>60</v>
      </c>
      <c r="E46" s="20" t="s">
        <v>120</v>
      </c>
      <c r="F46" s="21">
        <v>709495</v>
      </c>
      <c r="G46" s="22" t="s">
        <v>1030</v>
      </c>
      <c r="H46" s="23"/>
      <c r="I46" s="23"/>
      <c r="J46" s="23"/>
      <c r="K46" s="23">
        <v>41.75</v>
      </c>
      <c r="L46" s="24"/>
      <c r="M46" s="69">
        <f t="shared" si="5"/>
        <v>37.276785714285708</v>
      </c>
      <c r="N46" s="69">
        <f t="shared" si="6"/>
        <v>4.4732142857142847</v>
      </c>
      <c r="O46" s="69">
        <f t="shared" si="7"/>
        <v>0</v>
      </c>
      <c r="P46" s="69"/>
      <c r="Q46" s="25"/>
      <c r="R46" s="25"/>
      <c r="S46" s="25"/>
      <c r="T46" s="26">
        <v>37.28</v>
      </c>
      <c r="U46" s="26"/>
      <c r="V46" s="26"/>
      <c r="W46" s="26"/>
      <c r="X46" s="26"/>
      <c r="Y46" s="25"/>
      <c r="Z46" s="25"/>
      <c r="AA46" s="25"/>
      <c r="AB46" s="25"/>
      <c r="AC46" s="26"/>
      <c r="AD46" s="26"/>
      <c r="AE46" s="25"/>
      <c r="AF46" s="25"/>
      <c r="AG46" s="69">
        <f t="shared" si="8"/>
        <v>-41.753214285714286</v>
      </c>
      <c r="AH46" s="29">
        <f t="shared" si="9"/>
        <v>-3.2142857142858361E-3</v>
      </c>
    </row>
    <row r="47" spans="1:34" s="30" customFormat="1" ht="21.75" customHeight="1" x14ac:dyDescent="0.2">
      <c r="A47" s="18">
        <v>43413</v>
      </c>
      <c r="B47" s="19"/>
      <c r="C47" s="20" t="s">
        <v>745</v>
      </c>
      <c r="D47" s="20" t="s">
        <v>812</v>
      </c>
      <c r="E47" s="20" t="s">
        <v>277</v>
      </c>
      <c r="F47" s="21">
        <v>32749</v>
      </c>
      <c r="G47" s="22" t="s">
        <v>1031</v>
      </c>
      <c r="H47" s="23"/>
      <c r="I47" s="23"/>
      <c r="J47" s="23"/>
      <c r="K47" s="23">
        <v>295</v>
      </c>
      <c r="L47" s="24"/>
      <c r="M47" s="69">
        <f t="shared" si="5"/>
        <v>263.39285714285711</v>
      </c>
      <c r="N47" s="69">
        <f t="shared" si="6"/>
        <v>31.607142857142851</v>
      </c>
      <c r="O47" s="69">
        <f t="shared" si="7"/>
        <v>0</v>
      </c>
      <c r="P47" s="69"/>
      <c r="Q47" s="25">
        <v>263.39</v>
      </c>
      <c r="R47" s="25"/>
      <c r="S47" s="25"/>
      <c r="T47" s="26"/>
      <c r="U47" s="26"/>
      <c r="V47" s="26"/>
      <c r="W47" s="26"/>
      <c r="X47" s="26"/>
      <c r="Y47" s="25"/>
      <c r="Z47" s="25"/>
      <c r="AA47" s="25"/>
      <c r="AB47" s="25"/>
      <c r="AC47" s="26"/>
      <c r="AD47" s="26"/>
      <c r="AE47" s="25"/>
      <c r="AF47" s="25"/>
      <c r="AG47" s="69">
        <f t="shared" si="8"/>
        <v>-294.99714285714282</v>
      </c>
      <c r="AH47" s="29">
        <f t="shared" si="9"/>
        <v>2.857142857180861E-3</v>
      </c>
    </row>
    <row r="48" spans="1:34" s="30" customFormat="1" ht="21.75" customHeight="1" x14ac:dyDescent="0.2">
      <c r="A48" s="18">
        <v>43413</v>
      </c>
      <c r="B48" s="19"/>
      <c r="C48" s="20" t="s">
        <v>745</v>
      </c>
      <c r="D48" s="20" t="s">
        <v>812</v>
      </c>
      <c r="E48" s="20" t="s">
        <v>277</v>
      </c>
      <c r="F48" s="21">
        <v>32741</v>
      </c>
      <c r="G48" s="22" t="s">
        <v>1032</v>
      </c>
      <c r="H48" s="23"/>
      <c r="I48" s="23"/>
      <c r="J48" s="23"/>
      <c r="K48" s="23">
        <v>194.7</v>
      </c>
      <c r="L48" s="24"/>
      <c r="M48" s="69">
        <f t="shared" si="5"/>
        <v>173.83928571428569</v>
      </c>
      <c r="N48" s="69">
        <f t="shared" si="6"/>
        <v>20.860714285714284</v>
      </c>
      <c r="O48" s="69">
        <f t="shared" si="7"/>
        <v>0</v>
      </c>
      <c r="P48" s="69">
        <v>173.84</v>
      </c>
      <c r="Q48" s="25"/>
      <c r="R48" s="25"/>
      <c r="S48" s="25"/>
      <c r="T48" s="26"/>
      <c r="U48" s="26"/>
      <c r="V48" s="26"/>
      <c r="W48" s="26"/>
      <c r="X48" s="26"/>
      <c r="Y48" s="25"/>
      <c r="Z48" s="25"/>
      <c r="AA48" s="25"/>
      <c r="AB48" s="25"/>
      <c r="AC48" s="26"/>
      <c r="AD48" s="26"/>
      <c r="AE48" s="25"/>
      <c r="AF48" s="25"/>
      <c r="AG48" s="69">
        <f t="shared" si="8"/>
        <v>-194.7007142857143</v>
      </c>
      <c r="AH48" s="29">
        <f t="shared" si="9"/>
        <v>-7.1428571430942611E-4</v>
      </c>
    </row>
    <row r="49" spans="1:34" s="30" customFormat="1" ht="21.75" customHeight="1" x14ac:dyDescent="0.2">
      <c r="A49" s="18">
        <v>43414</v>
      </c>
      <c r="B49" s="19"/>
      <c r="C49" s="20" t="s">
        <v>745</v>
      </c>
      <c r="D49" s="20" t="s">
        <v>812</v>
      </c>
      <c r="E49" s="20" t="s">
        <v>277</v>
      </c>
      <c r="F49" s="21">
        <v>32759</v>
      </c>
      <c r="G49" s="22" t="s">
        <v>148</v>
      </c>
      <c r="H49" s="23"/>
      <c r="I49" s="23"/>
      <c r="J49" s="23"/>
      <c r="K49" s="23">
        <v>84</v>
      </c>
      <c r="L49" s="24"/>
      <c r="M49" s="69">
        <f t="shared" si="5"/>
        <v>74.999999999999986</v>
      </c>
      <c r="N49" s="69">
        <f t="shared" si="6"/>
        <v>8.9999999999999982</v>
      </c>
      <c r="O49" s="69">
        <f t="shared" si="7"/>
        <v>0</v>
      </c>
      <c r="P49" s="69">
        <v>75</v>
      </c>
      <c r="Q49" s="25"/>
      <c r="R49" s="25"/>
      <c r="S49" s="25"/>
      <c r="T49" s="26"/>
      <c r="U49" s="26"/>
      <c r="V49" s="26"/>
      <c r="W49" s="26"/>
      <c r="X49" s="26"/>
      <c r="Y49" s="25"/>
      <c r="Z49" s="25"/>
      <c r="AA49" s="25"/>
      <c r="AB49" s="25"/>
      <c r="AC49" s="26"/>
      <c r="AD49" s="26"/>
      <c r="AE49" s="25"/>
      <c r="AF49" s="25"/>
      <c r="AG49" s="69">
        <f t="shared" si="8"/>
        <v>-84</v>
      </c>
      <c r="AH49" s="29">
        <f t="shared" si="9"/>
        <v>0</v>
      </c>
    </row>
    <row r="50" spans="1:34" s="30" customFormat="1" ht="21.75" customHeight="1" x14ac:dyDescent="0.2">
      <c r="A50" s="18">
        <v>43414</v>
      </c>
      <c r="B50" s="19"/>
      <c r="C50" s="20" t="s">
        <v>614</v>
      </c>
      <c r="D50" s="20"/>
      <c r="E50" s="20"/>
      <c r="F50" s="21"/>
      <c r="G50" s="22" t="s">
        <v>644</v>
      </c>
      <c r="H50" s="23">
        <v>502</v>
      </c>
      <c r="I50" s="23"/>
      <c r="J50" s="23"/>
      <c r="K50" s="23"/>
      <c r="L50" s="24"/>
      <c r="M50" s="69">
        <f t="shared" si="5"/>
        <v>502</v>
      </c>
      <c r="N50" s="69">
        <f t="shared" si="6"/>
        <v>0</v>
      </c>
      <c r="O50" s="69">
        <f t="shared" si="7"/>
        <v>0</v>
      </c>
      <c r="P50" s="69"/>
      <c r="Q50" s="25"/>
      <c r="R50" s="25"/>
      <c r="S50" s="25"/>
      <c r="T50" s="26"/>
      <c r="U50" s="26"/>
      <c r="V50" s="26"/>
      <c r="W50" s="26"/>
      <c r="X50" s="26"/>
      <c r="Y50" s="25"/>
      <c r="Z50" s="25"/>
      <c r="AA50" s="25"/>
      <c r="AB50" s="25">
        <v>502</v>
      </c>
      <c r="AC50" s="26"/>
      <c r="AD50" s="26"/>
      <c r="AE50" s="25"/>
      <c r="AF50" s="25"/>
      <c r="AG50" s="69">
        <f t="shared" si="8"/>
        <v>-502</v>
      </c>
      <c r="AH50" s="29">
        <f t="shared" si="9"/>
        <v>0</v>
      </c>
    </row>
    <row r="51" spans="1:34" s="30" customFormat="1" ht="21.75" customHeight="1" x14ac:dyDescent="0.2">
      <c r="A51" s="18">
        <v>43414</v>
      </c>
      <c r="B51" s="19"/>
      <c r="C51" s="20" t="s">
        <v>351</v>
      </c>
      <c r="D51" s="20"/>
      <c r="E51" s="20"/>
      <c r="F51" s="21"/>
      <c r="G51" s="22" t="s">
        <v>644</v>
      </c>
      <c r="H51" s="23">
        <v>502</v>
      </c>
      <c r="I51" s="23"/>
      <c r="J51" s="23"/>
      <c r="K51" s="23"/>
      <c r="L51" s="24"/>
      <c r="M51" s="69">
        <f t="shared" si="5"/>
        <v>502</v>
      </c>
      <c r="N51" s="69">
        <f t="shared" si="6"/>
        <v>0</v>
      </c>
      <c r="O51" s="69">
        <f t="shared" si="7"/>
        <v>0</v>
      </c>
      <c r="P51" s="69"/>
      <c r="Q51" s="25"/>
      <c r="R51" s="25"/>
      <c r="S51" s="25"/>
      <c r="T51" s="26"/>
      <c r="U51" s="26"/>
      <c r="V51" s="26"/>
      <c r="W51" s="26"/>
      <c r="X51" s="26"/>
      <c r="Y51" s="25"/>
      <c r="Z51" s="25"/>
      <c r="AA51" s="25"/>
      <c r="AB51" s="25">
        <v>502</v>
      </c>
      <c r="AC51" s="26"/>
      <c r="AD51" s="26"/>
      <c r="AE51" s="25"/>
      <c r="AF51" s="25"/>
      <c r="AG51" s="69">
        <f t="shared" si="8"/>
        <v>-502</v>
      </c>
      <c r="AH51" s="29">
        <f t="shared" si="9"/>
        <v>0</v>
      </c>
    </row>
    <row r="52" spans="1:34" s="30" customFormat="1" ht="21.75" customHeight="1" x14ac:dyDescent="0.2">
      <c r="A52" s="18">
        <v>43414</v>
      </c>
      <c r="B52" s="19"/>
      <c r="C52" s="20" t="s">
        <v>745</v>
      </c>
      <c r="D52" s="20" t="s">
        <v>812</v>
      </c>
      <c r="E52" s="20" t="s">
        <v>277</v>
      </c>
      <c r="F52" s="21">
        <v>87729</v>
      </c>
      <c r="G52" s="22" t="s">
        <v>1033</v>
      </c>
      <c r="H52" s="23"/>
      <c r="I52" s="23"/>
      <c r="J52" s="23"/>
      <c r="K52" s="23">
        <v>667.23</v>
      </c>
      <c r="L52" s="24"/>
      <c r="M52" s="69">
        <f t="shared" si="5"/>
        <v>595.74107142857144</v>
      </c>
      <c r="N52" s="69">
        <f t="shared" si="6"/>
        <v>71.488928571428573</v>
      </c>
      <c r="O52" s="69">
        <f t="shared" si="7"/>
        <v>0</v>
      </c>
      <c r="P52" s="69">
        <v>595.74</v>
      </c>
      <c r="Q52" s="25"/>
      <c r="R52" s="25"/>
      <c r="S52" s="25"/>
      <c r="T52" s="26"/>
      <c r="U52" s="26"/>
      <c r="V52" s="26"/>
      <c r="W52" s="26"/>
      <c r="X52" s="26"/>
      <c r="Y52" s="25"/>
      <c r="Z52" s="25"/>
      <c r="AA52" s="25"/>
      <c r="AB52" s="25"/>
      <c r="AC52" s="26"/>
      <c r="AD52" s="26"/>
      <c r="AE52" s="25"/>
      <c r="AF52" s="25"/>
      <c r="AG52" s="69">
        <f t="shared" si="8"/>
        <v>-667.22892857142858</v>
      </c>
      <c r="AH52" s="29">
        <f t="shared" si="9"/>
        <v>1.0714285714357175E-3</v>
      </c>
    </row>
    <row r="53" spans="1:34" s="30" customFormat="1" ht="21.75" customHeight="1" x14ac:dyDescent="0.2">
      <c r="A53" s="18">
        <v>43414</v>
      </c>
      <c r="B53" s="19"/>
      <c r="C53" s="20" t="s">
        <v>745</v>
      </c>
      <c r="D53" s="20" t="s">
        <v>812</v>
      </c>
      <c r="E53" s="20" t="s">
        <v>277</v>
      </c>
      <c r="F53" s="21">
        <v>32758</v>
      </c>
      <c r="G53" s="22" t="s">
        <v>1034</v>
      </c>
      <c r="H53" s="23"/>
      <c r="I53" s="23"/>
      <c r="J53" s="23"/>
      <c r="K53" s="23">
        <v>132.76</v>
      </c>
      <c r="L53" s="24"/>
      <c r="M53" s="69">
        <f t="shared" si="5"/>
        <v>118.53571428571426</v>
      </c>
      <c r="N53" s="69">
        <f t="shared" si="6"/>
        <v>14.224285714285712</v>
      </c>
      <c r="O53" s="69">
        <f t="shared" si="7"/>
        <v>0</v>
      </c>
      <c r="P53" s="69">
        <v>118.54</v>
      </c>
      <c r="Q53" s="25"/>
      <c r="R53" s="25"/>
      <c r="S53" s="25"/>
      <c r="T53" s="26"/>
      <c r="U53" s="26"/>
      <c r="V53" s="26"/>
      <c r="W53" s="26"/>
      <c r="X53" s="26"/>
      <c r="Y53" s="25"/>
      <c r="Z53" s="25"/>
      <c r="AA53" s="25"/>
      <c r="AB53" s="25"/>
      <c r="AC53" s="26"/>
      <c r="AD53" s="26"/>
      <c r="AE53" s="25"/>
      <c r="AF53" s="25"/>
      <c r="AG53" s="69">
        <f t="shared" si="8"/>
        <v>-132.76428571428571</v>
      </c>
      <c r="AH53" s="29">
        <f t="shared" si="9"/>
        <v>-4.2857142857144481E-3</v>
      </c>
    </row>
    <row r="54" spans="1:34" s="30" customFormat="1" ht="21.75" customHeight="1" x14ac:dyDescent="0.2">
      <c r="A54" s="18">
        <v>43415</v>
      </c>
      <c r="B54" s="19"/>
      <c r="C54" s="20" t="s">
        <v>351</v>
      </c>
      <c r="D54" s="20"/>
      <c r="E54" s="20"/>
      <c r="F54" s="21"/>
      <c r="G54" s="22" t="s">
        <v>644</v>
      </c>
      <c r="H54" s="23">
        <v>502</v>
      </c>
      <c r="I54" s="23"/>
      <c r="J54" s="23"/>
      <c r="K54" s="23"/>
      <c r="L54" s="24"/>
      <c r="M54" s="69">
        <f t="shared" si="5"/>
        <v>502</v>
      </c>
      <c r="N54" s="69">
        <f t="shared" si="6"/>
        <v>0</v>
      </c>
      <c r="O54" s="69">
        <f t="shared" si="7"/>
        <v>0</v>
      </c>
      <c r="P54" s="69"/>
      <c r="Q54" s="25"/>
      <c r="R54" s="25"/>
      <c r="S54" s="25"/>
      <c r="T54" s="26"/>
      <c r="U54" s="26"/>
      <c r="V54" s="26"/>
      <c r="W54" s="26"/>
      <c r="X54" s="26"/>
      <c r="Y54" s="25"/>
      <c r="Z54" s="25"/>
      <c r="AA54" s="25"/>
      <c r="AB54" s="25">
        <v>502</v>
      </c>
      <c r="AC54" s="26"/>
      <c r="AD54" s="26"/>
      <c r="AE54" s="25"/>
      <c r="AF54" s="25"/>
      <c r="AG54" s="69">
        <f t="shared" si="8"/>
        <v>-502</v>
      </c>
      <c r="AH54" s="29">
        <f t="shared" si="9"/>
        <v>0</v>
      </c>
    </row>
    <row r="55" spans="1:34" s="30" customFormat="1" ht="21.75" customHeight="1" x14ac:dyDescent="0.2">
      <c r="A55" s="18">
        <v>43415</v>
      </c>
      <c r="B55" s="19"/>
      <c r="C55" s="20" t="s">
        <v>705</v>
      </c>
      <c r="D55" s="20" t="s">
        <v>706</v>
      </c>
      <c r="E55" s="20" t="s">
        <v>707</v>
      </c>
      <c r="F55" s="21">
        <v>125652</v>
      </c>
      <c r="G55" s="22" t="s">
        <v>1035</v>
      </c>
      <c r="H55" s="23"/>
      <c r="I55" s="23"/>
      <c r="J55" s="23"/>
      <c r="K55" s="23">
        <v>360</v>
      </c>
      <c r="L55" s="24"/>
      <c r="M55" s="69">
        <f t="shared" si="5"/>
        <v>321.42857142857139</v>
      </c>
      <c r="N55" s="69">
        <f t="shared" si="6"/>
        <v>38.571428571428562</v>
      </c>
      <c r="O55" s="69">
        <f t="shared" si="7"/>
        <v>0</v>
      </c>
      <c r="P55" s="69"/>
      <c r="Q55" s="25">
        <v>321.43</v>
      </c>
      <c r="R55" s="25"/>
      <c r="S55" s="25"/>
      <c r="T55" s="26"/>
      <c r="U55" s="26"/>
      <c r="V55" s="26"/>
      <c r="W55" s="26"/>
      <c r="X55" s="26"/>
      <c r="Y55" s="25"/>
      <c r="Z55" s="25"/>
      <c r="AA55" s="25"/>
      <c r="AB55" s="25"/>
      <c r="AC55" s="26"/>
      <c r="AD55" s="26"/>
      <c r="AE55" s="25"/>
      <c r="AF55" s="25"/>
      <c r="AG55" s="69">
        <f t="shared" si="8"/>
        <v>-360.00142857142856</v>
      </c>
      <c r="AH55" s="29">
        <f t="shared" si="9"/>
        <v>-1.4285714285620088E-3</v>
      </c>
    </row>
    <row r="56" spans="1:34" s="30" customFormat="1" ht="21.75" customHeight="1" x14ac:dyDescent="0.2">
      <c r="A56" s="18">
        <v>43416</v>
      </c>
      <c r="B56" s="19"/>
      <c r="C56" s="20" t="s">
        <v>45</v>
      </c>
      <c r="D56" s="20"/>
      <c r="E56" s="20"/>
      <c r="F56" s="21"/>
      <c r="G56" s="22" t="s">
        <v>1036</v>
      </c>
      <c r="H56" s="23">
        <v>50</v>
      </c>
      <c r="I56" s="23"/>
      <c r="J56" s="23"/>
      <c r="K56" s="23"/>
      <c r="L56" s="24"/>
      <c r="M56" s="69">
        <f t="shared" si="5"/>
        <v>50</v>
      </c>
      <c r="N56" s="69">
        <f t="shared" si="6"/>
        <v>0</v>
      </c>
      <c r="O56" s="69">
        <f t="shared" si="7"/>
        <v>0</v>
      </c>
      <c r="P56" s="69"/>
      <c r="Q56" s="25"/>
      <c r="R56" s="25"/>
      <c r="S56" s="25"/>
      <c r="T56" s="26"/>
      <c r="U56" s="26"/>
      <c r="V56" s="26"/>
      <c r="W56" s="26"/>
      <c r="X56" s="26"/>
      <c r="Y56" s="25"/>
      <c r="Z56" s="25"/>
      <c r="AA56" s="25">
        <v>50</v>
      </c>
      <c r="AB56" s="25"/>
      <c r="AC56" s="26"/>
      <c r="AD56" s="26"/>
      <c r="AE56" s="25"/>
      <c r="AF56" s="25"/>
      <c r="AG56" s="69">
        <f t="shared" si="8"/>
        <v>-50</v>
      </c>
      <c r="AH56" s="29">
        <f t="shared" si="9"/>
        <v>0</v>
      </c>
    </row>
    <row r="57" spans="1:34" s="30" customFormat="1" ht="21.75" customHeight="1" x14ac:dyDescent="0.2">
      <c r="A57" s="18">
        <v>43416</v>
      </c>
      <c r="B57" s="19"/>
      <c r="C57" s="20" t="s">
        <v>63</v>
      </c>
      <c r="D57" s="20" t="s">
        <v>64</v>
      </c>
      <c r="E57" s="20" t="s">
        <v>120</v>
      </c>
      <c r="F57" s="21">
        <v>136798</v>
      </c>
      <c r="G57" s="22" t="s">
        <v>1037</v>
      </c>
      <c r="H57" s="23"/>
      <c r="I57" s="23"/>
      <c r="J57" s="23">
        <v>415.05</v>
      </c>
      <c r="K57" s="23"/>
      <c r="L57" s="24"/>
      <c r="M57" s="69">
        <f t="shared" si="5"/>
        <v>415.05</v>
      </c>
      <c r="N57" s="69">
        <f t="shared" si="6"/>
        <v>0</v>
      </c>
      <c r="O57" s="69">
        <f t="shared" si="7"/>
        <v>0</v>
      </c>
      <c r="P57" s="69">
        <v>415.05</v>
      </c>
      <c r="Q57" s="25"/>
      <c r="R57" s="25"/>
      <c r="S57" s="25"/>
      <c r="T57" s="26"/>
      <c r="U57" s="26"/>
      <c r="V57" s="26"/>
      <c r="W57" s="26"/>
      <c r="X57" s="26"/>
      <c r="Y57" s="25"/>
      <c r="Z57" s="25"/>
      <c r="AA57" s="25"/>
      <c r="AB57" s="25"/>
      <c r="AC57" s="26"/>
      <c r="AD57" s="26"/>
      <c r="AE57" s="25"/>
      <c r="AF57" s="25"/>
      <c r="AG57" s="69">
        <f t="shared" si="8"/>
        <v>-415.05</v>
      </c>
      <c r="AH57" s="29">
        <f t="shared" si="9"/>
        <v>0</v>
      </c>
    </row>
    <row r="58" spans="1:34" s="30" customFormat="1" ht="21.75" customHeight="1" x14ac:dyDescent="0.2">
      <c r="A58" s="18">
        <v>43416</v>
      </c>
      <c r="B58" s="19"/>
      <c r="C58" s="20" t="s">
        <v>63</v>
      </c>
      <c r="D58" s="20" t="s">
        <v>64</v>
      </c>
      <c r="E58" s="20" t="s">
        <v>120</v>
      </c>
      <c r="F58" s="21">
        <v>136798</v>
      </c>
      <c r="G58" s="22" t="s">
        <v>1038</v>
      </c>
      <c r="H58" s="23"/>
      <c r="I58" s="23"/>
      <c r="J58" s="23"/>
      <c r="K58" s="23">
        <v>1107.0999999999999</v>
      </c>
      <c r="L58" s="24"/>
      <c r="M58" s="69">
        <f t="shared" si="5"/>
        <v>988.48214285714266</v>
      </c>
      <c r="N58" s="69">
        <f t="shared" si="6"/>
        <v>118.61785714285712</v>
      </c>
      <c r="O58" s="69">
        <f t="shared" si="7"/>
        <v>0</v>
      </c>
      <c r="P58" s="69">
        <v>988.48</v>
      </c>
      <c r="Q58" s="25"/>
      <c r="R58" s="25"/>
      <c r="S58" s="25"/>
      <c r="T58" s="26"/>
      <c r="U58" s="26"/>
      <c r="V58" s="26"/>
      <c r="W58" s="26"/>
      <c r="X58" s="26"/>
      <c r="Y58" s="25"/>
      <c r="Z58" s="25"/>
      <c r="AA58" s="25"/>
      <c r="AB58" s="25"/>
      <c r="AC58" s="26"/>
      <c r="AD58" s="26"/>
      <c r="AE58" s="25"/>
      <c r="AF58" s="25"/>
      <c r="AG58" s="69">
        <f t="shared" si="8"/>
        <v>-1107.097857142857</v>
      </c>
      <c r="AH58" s="29">
        <f t="shared" si="9"/>
        <v>2.1428571428714349E-3</v>
      </c>
    </row>
    <row r="59" spans="1:34" s="30" customFormat="1" ht="21.75" customHeight="1" x14ac:dyDescent="0.2">
      <c r="A59" s="18">
        <v>43416</v>
      </c>
      <c r="B59" s="19"/>
      <c r="C59" s="20" t="s">
        <v>614</v>
      </c>
      <c r="D59" s="20"/>
      <c r="E59" s="20"/>
      <c r="F59" s="21"/>
      <c r="G59" s="22" t="s">
        <v>644</v>
      </c>
      <c r="H59" s="23">
        <v>502</v>
      </c>
      <c r="I59" s="23"/>
      <c r="J59" s="23"/>
      <c r="K59" s="23"/>
      <c r="L59" s="24"/>
      <c r="M59" s="69">
        <f t="shared" si="5"/>
        <v>502</v>
      </c>
      <c r="N59" s="69">
        <f t="shared" si="6"/>
        <v>0</v>
      </c>
      <c r="O59" s="69">
        <f t="shared" si="7"/>
        <v>0</v>
      </c>
      <c r="P59" s="69"/>
      <c r="Q59" s="25"/>
      <c r="R59" s="25"/>
      <c r="S59" s="25"/>
      <c r="T59" s="26"/>
      <c r="U59" s="26"/>
      <c r="V59" s="26"/>
      <c r="W59" s="26"/>
      <c r="X59" s="26"/>
      <c r="Y59" s="25"/>
      <c r="Z59" s="25"/>
      <c r="AA59" s="25"/>
      <c r="AB59" s="25">
        <v>502</v>
      </c>
      <c r="AC59" s="26"/>
      <c r="AD59" s="26"/>
      <c r="AE59" s="25"/>
      <c r="AF59" s="25"/>
      <c r="AG59" s="69">
        <f t="shared" si="8"/>
        <v>-502</v>
      </c>
      <c r="AH59" s="29">
        <f t="shared" si="9"/>
        <v>0</v>
      </c>
    </row>
    <row r="60" spans="1:34" s="30" customFormat="1" ht="21.75" customHeight="1" x14ac:dyDescent="0.2">
      <c r="A60" s="18">
        <v>43416</v>
      </c>
      <c r="B60" s="19"/>
      <c r="C60" s="20" t="s">
        <v>924</v>
      </c>
      <c r="D60" s="20"/>
      <c r="E60" s="20"/>
      <c r="F60" s="21"/>
      <c r="G60" s="22" t="s">
        <v>1002</v>
      </c>
      <c r="H60" s="23"/>
      <c r="I60" s="23"/>
      <c r="J60" s="23">
        <v>990</v>
      </c>
      <c r="K60" s="23"/>
      <c r="L60" s="24"/>
      <c r="M60" s="69">
        <f t="shared" si="5"/>
        <v>990</v>
      </c>
      <c r="N60" s="69">
        <f t="shared" si="6"/>
        <v>0</v>
      </c>
      <c r="O60" s="69">
        <f t="shared" si="7"/>
        <v>0</v>
      </c>
      <c r="P60" s="69">
        <v>990</v>
      </c>
      <c r="Q60" s="25"/>
      <c r="R60" s="25"/>
      <c r="S60" s="25"/>
      <c r="T60" s="26"/>
      <c r="U60" s="26"/>
      <c r="V60" s="26"/>
      <c r="W60" s="26"/>
      <c r="X60" s="26"/>
      <c r="Y60" s="25"/>
      <c r="Z60" s="25"/>
      <c r="AA60" s="25"/>
      <c r="AB60" s="25"/>
      <c r="AC60" s="26"/>
      <c r="AD60" s="26"/>
      <c r="AE60" s="25"/>
      <c r="AF60" s="25"/>
      <c r="AG60" s="69">
        <f t="shared" si="8"/>
        <v>-990</v>
      </c>
      <c r="AH60" s="29">
        <f t="shared" si="9"/>
        <v>0</v>
      </c>
    </row>
    <row r="61" spans="1:34" s="30" customFormat="1" ht="21.75" customHeight="1" x14ac:dyDescent="0.2">
      <c r="A61" s="18">
        <v>43416</v>
      </c>
      <c r="B61" s="19"/>
      <c r="C61" s="20" t="s">
        <v>59</v>
      </c>
      <c r="D61" s="20" t="s">
        <v>60</v>
      </c>
      <c r="E61" s="20" t="s">
        <v>120</v>
      </c>
      <c r="F61" s="21">
        <v>710088</v>
      </c>
      <c r="G61" s="22" t="s">
        <v>992</v>
      </c>
      <c r="H61" s="23"/>
      <c r="I61" s="23"/>
      <c r="J61" s="23"/>
      <c r="K61" s="23">
        <v>47.5</v>
      </c>
      <c r="L61" s="24"/>
      <c r="M61" s="69">
        <f t="shared" si="5"/>
        <v>42.410714285714285</v>
      </c>
      <c r="N61" s="69">
        <f t="shared" si="6"/>
        <v>5.0892857142857144</v>
      </c>
      <c r="O61" s="69">
        <f t="shared" si="7"/>
        <v>0</v>
      </c>
      <c r="P61" s="69"/>
      <c r="Q61" s="25"/>
      <c r="R61" s="25"/>
      <c r="S61" s="25"/>
      <c r="T61" s="26"/>
      <c r="U61" s="26"/>
      <c r="V61" s="26"/>
      <c r="W61" s="26"/>
      <c r="X61" s="26"/>
      <c r="Y61" s="25"/>
      <c r="Z61" s="25">
        <v>42.41</v>
      </c>
      <c r="AA61" s="25"/>
      <c r="AB61" s="25"/>
      <c r="AC61" s="26"/>
      <c r="AD61" s="26"/>
      <c r="AE61" s="25"/>
      <c r="AF61" s="25"/>
      <c r="AG61" s="69">
        <f t="shared" si="8"/>
        <v>-47.499285714285712</v>
      </c>
      <c r="AH61" s="29">
        <f t="shared" si="9"/>
        <v>7.1428571428810983E-4</v>
      </c>
    </row>
    <row r="62" spans="1:34" s="30" customFormat="1" ht="21.75" customHeight="1" x14ac:dyDescent="0.2">
      <c r="A62" s="18">
        <v>43417</v>
      </c>
      <c r="B62" s="19"/>
      <c r="C62" s="20" t="s">
        <v>705</v>
      </c>
      <c r="D62" s="20" t="s">
        <v>706</v>
      </c>
      <c r="E62" s="20" t="s">
        <v>707</v>
      </c>
      <c r="F62" s="21">
        <v>127013</v>
      </c>
      <c r="G62" s="22" t="s">
        <v>40</v>
      </c>
      <c r="H62" s="23"/>
      <c r="I62" s="23"/>
      <c r="J62" s="23"/>
      <c r="K62" s="23">
        <v>180</v>
      </c>
      <c r="L62" s="24"/>
      <c r="M62" s="69">
        <f t="shared" si="5"/>
        <v>160.71428571428569</v>
      </c>
      <c r="N62" s="69">
        <f t="shared" si="6"/>
        <v>19.285714285714281</v>
      </c>
      <c r="O62" s="69">
        <f t="shared" si="7"/>
        <v>0</v>
      </c>
      <c r="P62" s="69"/>
      <c r="Q62" s="25">
        <v>160.71</v>
      </c>
      <c r="R62" s="25"/>
      <c r="S62" s="25"/>
      <c r="T62" s="26"/>
      <c r="U62" s="26"/>
      <c r="V62" s="26"/>
      <c r="W62" s="26"/>
      <c r="X62" s="26"/>
      <c r="Y62" s="25"/>
      <c r="Z62" s="25"/>
      <c r="AA62" s="25"/>
      <c r="AB62" s="25"/>
      <c r="AC62" s="26"/>
      <c r="AD62" s="26"/>
      <c r="AE62" s="25"/>
      <c r="AF62" s="25"/>
      <c r="AG62" s="69">
        <f t="shared" si="8"/>
        <v>-179.99571428571429</v>
      </c>
      <c r="AH62" s="29">
        <f t="shared" si="9"/>
        <v>4.2857142857144481E-3</v>
      </c>
    </row>
    <row r="63" spans="1:34" s="30" customFormat="1" ht="21.75" customHeight="1" x14ac:dyDescent="0.2">
      <c r="A63" s="18">
        <v>43417</v>
      </c>
      <c r="B63" s="19"/>
      <c r="C63" s="20" t="s">
        <v>63</v>
      </c>
      <c r="D63" s="20" t="s">
        <v>64</v>
      </c>
      <c r="E63" s="20" t="s">
        <v>120</v>
      </c>
      <c r="F63" s="21">
        <v>136251</v>
      </c>
      <c r="G63" s="22" t="s">
        <v>1039</v>
      </c>
      <c r="H63" s="23"/>
      <c r="I63" s="23"/>
      <c r="J63" s="23">
        <v>662.45</v>
      </c>
      <c r="K63" s="23"/>
      <c r="L63" s="24"/>
      <c r="M63" s="69">
        <f t="shared" si="5"/>
        <v>662.45</v>
      </c>
      <c r="N63" s="69">
        <f t="shared" si="6"/>
        <v>0</v>
      </c>
      <c r="O63" s="69">
        <f t="shared" si="7"/>
        <v>0</v>
      </c>
      <c r="P63" s="69">
        <v>662.45</v>
      </c>
      <c r="Q63" s="25"/>
      <c r="R63" s="25"/>
      <c r="S63" s="25"/>
      <c r="T63" s="26"/>
      <c r="U63" s="26"/>
      <c r="V63" s="26"/>
      <c r="W63" s="26"/>
      <c r="X63" s="26"/>
      <c r="Y63" s="25"/>
      <c r="Z63" s="25"/>
      <c r="AA63" s="25"/>
      <c r="AB63" s="25"/>
      <c r="AC63" s="26"/>
      <c r="AD63" s="26"/>
      <c r="AE63" s="25"/>
      <c r="AF63" s="25"/>
      <c r="AG63" s="69">
        <f t="shared" si="8"/>
        <v>-662.45</v>
      </c>
      <c r="AH63" s="29">
        <f t="shared" si="9"/>
        <v>0</v>
      </c>
    </row>
    <row r="64" spans="1:34" s="30" customFormat="1" ht="21.75" customHeight="1" x14ac:dyDescent="0.2">
      <c r="A64" s="18">
        <v>43417</v>
      </c>
      <c r="B64" s="19"/>
      <c r="C64" s="20" t="s">
        <v>63</v>
      </c>
      <c r="D64" s="20" t="s">
        <v>64</v>
      </c>
      <c r="E64" s="20" t="s">
        <v>120</v>
      </c>
      <c r="F64" s="21">
        <v>136251</v>
      </c>
      <c r="G64" s="22" t="s">
        <v>1040</v>
      </c>
      <c r="H64" s="23"/>
      <c r="I64" s="23"/>
      <c r="J64" s="23"/>
      <c r="K64" s="23">
        <f>1081.03+129.72</f>
        <v>1210.75</v>
      </c>
      <c r="L64" s="24"/>
      <c r="M64" s="69">
        <f t="shared" si="5"/>
        <v>1081.0267857142856</v>
      </c>
      <c r="N64" s="69">
        <f t="shared" si="6"/>
        <v>129.72321428571425</v>
      </c>
      <c r="O64" s="69">
        <f t="shared" si="7"/>
        <v>0</v>
      </c>
      <c r="P64" s="69">
        <v>1081.03</v>
      </c>
      <c r="Q64" s="25"/>
      <c r="R64" s="25"/>
      <c r="S64" s="25"/>
      <c r="T64" s="26"/>
      <c r="U64" s="26"/>
      <c r="V64" s="26"/>
      <c r="W64" s="26"/>
      <c r="X64" s="26"/>
      <c r="Y64" s="25"/>
      <c r="Z64" s="25"/>
      <c r="AA64" s="25"/>
      <c r="AB64" s="25"/>
      <c r="AC64" s="26"/>
      <c r="AD64" s="26"/>
      <c r="AE64" s="25"/>
      <c r="AF64" s="25"/>
      <c r="AG64" s="69">
        <f t="shared" si="8"/>
        <v>-1210.7532142857142</v>
      </c>
      <c r="AH64" s="29">
        <f t="shared" si="9"/>
        <v>-3.2142857141934655E-3</v>
      </c>
    </row>
    <row r="65" spans="1:34" s="30" customFormat="1" ht="21.75" customHeight="1" x14ac:dyDescent="0.2">
      <c r="A65" s="18">
        <v>43417</v>
      </c>
      <c r="B65" s="19"/>
      <c r="C65" s="20" t="s">
        <v>68</v>
      </c>
      <c r="D65" s="20"/>
      <c r="E65" s="20"/>
      <c r="F65" s="21"/>
      <c r="G65" s="22" t="s">
        <v>742</v>
      </c>
      <c r="H65" s="23">
        <v>40</v>
      </c>
      <c r="I65" s="23"/>
      <c r="J65" s="23"/>
      <c r="K65" s="23"/>
      <c r="L65" s="24"/>
      <c r="M65" s="69">
        <f t="shared" si="5"/>
        <v>40</v>
      </c>
      <c r="N65" s="69">
        <f t="shared" si="6"/>
        <v>0</v>
      </c>
      <c r="O65" s="69">
        <f t="shared" si="7"/>
        <v>0</v>
      </c>
      <c r="P65" s="69"/>
      <c r="Q65" s="25"/>
      <c r="R65" s="25"/>
      <c r="S65" s="25"/>
      <c r="T65" s="26"/>
      <c r="U65" s="26"/>
      <c r="V65" s="26"/>
      <c r="W65" s="26"/>
      <c r="X65" s="26"/>
      <c r="Y65" s="25"/>
      <c r="Z65" s="25"/>
      <c r="AA65" s="25">
        <v>40</v>
      </c>
      <c r="AB65" s="25"/>
      <c r="AC65" s="26"/>
      <c r="AD65" s="26"/>
      <c r="AE65" s="25"/>
      <c r="AF65" s="25"/>
      <c r="AG65" s="69">
        <f t="shared" si="8"/>
        <v>-40</v>
      </c>
      <c r="AH65" s="29">
        <f t="shared" si="9"/>
        <v>0</v>
      </c>
    </row>
    <row r="66" spans="1:34" s="30" customFormat="1" ht="21.75" customHeight="1" x14ac:dyDescent="0.2">
      <c r="A66" s="18">
        <v>43418</v>
      </c>
      <c r="B66" s="19"/>
      <c r="C66" s="20" t="s">
        <v>1041</v>
      </c>
      <c r="D66" s="20" t="s">
        <v>88</v>
      </c>
      <c r="E66" s="20" t="s">
        <v>43</v>
      </c>
      <c r="F66" s="21">
        <v>2747</v>
      </c>
      <c r="G66" s="22" t="s">
        <v>1042</v>
      </c>
      <c r="H66" s="23"/>
      <c r="I66" s="23"/>
      <c r="J66" s="23">
        <v>1905</v>
      </c>
      <c r="K66" s="23"/>
      <c r="L66" s="24"/>
      <c r="M66" s="69">
        <f t="shared" si="5"/>
        <v>1905</v>
      </c>
      <c r="N66" s="69">
        <f t="shared" si="6"/>
        <v>0</v>
      </c>
      <c r="O66" s="69">
        <f t="shared" si="7"/>
        <v>0</v>
      </c>
      <c r="P66" s="69">
        <v>1905</v>
      </c>
      <c r="Q66" s="25"/>
      <c r="R66" s="25"/>
      <c r="S66" s="25"/>
      <c r="T66" s="26"/>
      <c r="U66" s="26"/>
      <c r="V66" s="26"/>
      <c r="W66" s="26"/>
      <c r="X66" s="26"/>
      <c r="Y66" s="25"/>
      <c r="Z66" s="25"/>
      <c r="AA66" s="25"/>
      <c r="AB66" s="25"/>
      <c r="AC66" s="26"/>
      <c r="AD66" s="26"/>
      <c r="AE66" s="25"/>
      <c r="AF66" s="25"/>
      <c r="AG66" s="69">
        <f t="shared" si="8"/>
        <v>-1905</v>
      </c>
      <c r="AH66" s="29">
        <f t="shared" si="9"/>
        <v>0</v>
      </c>
    </row>
    <row r="67" spans="1:34" s="30" customFormat="1" ht="21.75" customHeight="1" x14ac:dyDescent="0.2">
      <c r="A67" s="18">
        <v>43418</v>
      </c>
      <c r="B67" s="19"/>
      <c r="C67" s="20" t="s">
        <v>45</v>
      </c>
      <c r="D67" s="20"/>
      <c r="E67" s="20"/>
      <c r="F67" s="21"/>
      <c r="G67" s="22" t="s">
        <v>1043</v>
      </c>
      <c r="H67" s="23">
        <v>100</v>
      </c>
      <c r="I67" s="23"/>
      <c r="J67" s="23"/>
      <c r="K67" s="23"/>
      <c r="L67" s="24"/>
      <c r="M67" s="69">
        <f t="shared" si="5"/>
        <v>100</v>
      </c>
      <c r="N67" s="69">
        <f t="shared" si="6"/>
        <v>0</v>
      </c>
      <c r="O67" s="69">
        <f t="shared" si="7"/>
        <v>0</v>
      </c>
      <c r="P67" s="69"/>
      <c r="Q67" s="25"/>
      <c r="R67" s="25"/>
      <c r="S67" s="25"/>
      <c r="T67" s="26"/>
      <c r="U67" s="26"/>
      <c r="V67" s="26"/>
      <c r="W67" s="26"/>
      <c r="X67" s="26"/>
      <c r="Y67" s="25"/>
      <c r="Z67" s="25"/>
      <c r="AA67" s="25">
        <v>100</v>
      </c>
      <c r="AB67" s="25"/>
      <c r="AC67" s="26"/>
      <c r="AD67" s="26"/>
      <c r="AE67" s="25"/>
      <c r="AF67" s="25"/>
      <c r="AG67" s="69">
        <f t="shared" si="8"/>
        <v>-100</v>
      </c>
      <c r="AH67" s="29">
        <f t="shared" si="9"/>
        <v>0</v>
      </c>
    </row>
    <row r="68" spans="1:34" s="30" customFormat="1" ht="21.75" customHeight="1" x14ac:dyDescent="0.2">
      <c r="A68" s="18">
        <v>43418</v>
      </c>
      <c r="B68" s="19"/>
      <c r="C68" s="20" t="s">
        <v>705</v>
      </c>
      <c r="D68" s="20" t="s">
        <v>706</v>
      </c>
      <c r="E68" s="20" t="s">
        <v>707</v>
      </c>
      <c r="F68" s="21">
        <v>127063</v>
      </c>
      <c r="G68" s="22" t="s">
        <v>40</v>
      </c>
      <c r="H68" s="23"/>
      <c r="I68" s="23"/>
      <c r="J68" s="23"/>
      <c r="K68" s="23">
        <v>180</v>
      </c>
      <c r="L68" s="24"/>
      <c r="M68" s="69">
        <f t="shared" si="5"/>
        <v>160.71428571428569</v>
      </c>
      <c r="N68" s="69">
        <f t="shared" si="6"/>
        <v>19.285714285714281</v>
      </c>
      <c r="O68" s="69">
        <f t="shared" si="7"/>
        <v>0</v>
      </c>
      <c r="P68" s="69"/>
      <c r="Q68" s="25">
        <v>160.71</v>
      </c>
      <c r="R68" s="25"/>
      <c r="S68" s="25"/>
      <c r="T68" s="26"/>
      <c r="U68" s="26"/>
      <c r="V68" s="26"/>
      <c r="W68" s="26"/>
      <c r="X68" s="26"/>
      <c r="Y68" s="25"/>
      <c r="Z68" s="25"/>
      <c r="AA68" s="25"/>
      <c r="AB68" s="25"/>
      <c r="AC68" s="26"/>
      <c r="AD68" s="26"/>
      <c r="AE68" s="25"/>
      <c r="AF68" s="25"/>
      <c r="AG68" s="69">
        <f t="shared" si="8"/>
        <v>-179.99571428571429</v>
      </c>
      <c r="AH68" s="29">
        <f t="shared" si="9"/>
        <v>4.2857142857144481E-3</v>
      </c>
    </row>
    <row r="69" spans="1:34" s="30" customFormat="1" ht="21.75" customHeight="1" x14ac:dyDescent="0.2">
      <c r="A69" s="18">
        <v>43418</v>
      </c>
      <c r="B69" s="19"/>
      <c r="C69" s="20" t="s">
        <v>614</v>
      </c>
      <c r="D69" s="20"/>
      <c r="E69" s="20"/>
      <c r="F69" s="21"/>
      <c r="G69" s="22" t="s">
        <v>644</v>
      </c>
      <c r="H69" s="23">
        <v>502</v>
      </c>
      <c r="I69" s="23"/>
      <c r="J69" s="23"/>
      <c r="K69" s="23"/>
      <c r="L69" s="24"/>
      <c r="M69" s="69">
        <f t="shared" ref="M69:M100" si="10">SUM(H69:J69,K69/1.12)</f>
        <v>502</v>
      </c>
      <c r="N69" s="69">
        <f t="shared" ref="N69:N100" si="11">K69/1.12*0.12</f>
        <v>0</v>
      </c>
      <c r="O69" s="69">
        <f t="shared" ref="O69:O100" si="12">-SUM(I69:J69,K69/1.12)*L69</f>
        <v>0</v>
      </c>
      <c r="P69" s="69"/>
      <c r="Q69" s="25"/>
      <c r="R69" s="25"/>
      <c r="S69" s="25"/>
      <c r="T69" s="26"/>
      <c r="U69" s="26"/>
      <c r="V69" s="26"/>
      <c r="W69" s="26"/>
      <c r="X69" s="26"/>
      <c r="Y69" s="25"/>
      <c r="Z69" s="25"/>
      <c r="AA69" s="25"/>
      <c r="AB69" s="25">
        <v>502</v>
      </c>
      <c r="AC69" s="26"/>
      <c r="AD69" s="26"/>
      <c r="AE69" s="25"/>
      <c r="AF69" s="25"/>
      <c r="AG69" s="69">
        <f t="shared" ref="AG69:AG100" si="13">-SUM(N69:AF69)</f>
        <v>-502</v>
      </c>
      <c r="AH69" s="29">
        <f t="shared" ref="AH69:AH100" si="14">SUM(H69:K69)+AG69+O69</f>
        <v>0</v>
      </c>
    </row>
    <row r="70" spans="1:34" s="46" customFormat="1" ht="21.75" customHeight="1" x14ac:dyDescent="0.2">
      <c r="A70" s="33">
        <v>43419</v>
      </c>
      <c r="B70" s="34"/>
      <c r="C70" s="36" t="s">
        <v>705</v>
      </c>
      <c r="D70" s="36" t="s">
        <v>706</v>
      </c>
      <c r="E70" s="36" t="s">
        <v>707</v>
      </c>
      <c r="F70" s="37">
        <v>130865</v>
      </c>
      <c r="G70" s="38" t="s">
        <v>40</v>
      </c>
      <c r="H70" s="39"/>
      <c r="I70" s="39"/>
      <c r="J70" s="39"/>
      <c r="K70" s="39">
        <v>180</v>
      </c>
      <c r="L70" s="40"/>
      <c r="M70" s="78">
        <f t="shared" si="10"/>
        <v>160.71428571428569</v>
      </c>
      <c r="N70" s="78">
        <f t="shared" si="11"/>
        <v>19.285714285714281</v>
      </c>
      <c r="O70" s="78">
        <f t="shared" si="12"/>
        <v>0</v>
      </c>
      <c r="P70" s="78"/>
      <c r="Q70" s="41">
        <v>160.71</v>
      </c>
      <c r="R70" s="41"/>
      <c r="S70" s="41"/>
      <c r="T70" s="42"/>
      <c r="U70" s="42"/>
      <c r="V70" s="42"/>
      <c r="W70" s="42"/>
      <c r="X70" s="42"/>
      <c r="Y70" s="41"/>
      <c r="Z70" s="41"/>
      <c r="AA70" s="41"/>
      <c r="AB70" s="41"/>
      <c r="AC70" s="42"/>
      <c r="AD70" s="42"/>
      <c r="AE70" s="41"/>
      <c r="AF70" s="41"/>
      <c r="AG70" s="78">
        <f t="shared" si="13"/>
        <v>-179.99571428571429</v>
      </c>
      <c r="AH70" s="45">
        <f t="shared" si="14"/>
        <v>4.2857142857144481E-3</v>
      </c>
    </row>
    <row r="71" spans="1:34" s="30" customFormat="1" ht="21.75" customHeight="1" x14ac:dyDescent="0.2">
      <c r="A71" s="18">
        <v>43419</v>
      </c>
      <c r="B71" s="19"/>
      <c r="C71" s="20" t="s">
        <v>745</v>
      </c>
      <c r="D71" s="20" t="s">
        <v>812</v>
      </c>
      <c r="E71" s="20" t="s">
        <v>277</v>
      </c>
      <c r="F71" s="21">
        <v>32832</v>
      </c>
      <c r="G71" s="22" t="s">
        <v>1044</v>
      </c>
      <c r="H71" s="23"/>
      <c r="I71" s="23"/>
      <c r="J71" s="23"/>
      <c r="K71" s="23">
        <v>58.25</v>
      </c>
      <c r="L71" s="24"/>
      <c r="M71" s="69">
        <f t="shared" si="10"/>
        <v>52.008928571428569</v>
      </c>
      <c r="N71" s="69">
        <f t="shared" si="11"/>
        <v>6.2410714285714279</v>
      </c>
      <c r="O71" s="69">
        <f t="shared" si="12"/>
        <v>0</v>
      </c>
      <c r="P71" s="69"/>
      <c r="Q71" s="25">
        <v>52.01</v>
      </c>
      <c r="R71" s="25"/>
      <c r="S71" s="25"/>
      <c r="T71" s="26"/>
      <c r="U71" s="26"/>
      <c r="V71" s="26"/>
      <c r="W71" s="26"/>
      <c r="X71" s="26"/>
      <c r="Y71" s="25"/>
      <c r="Z71" s="25"/>
      <c r="AA71" s="25"/>
      <c r="AB71" s="25"/>
      <c r="AC71" s="26"/>
      <c r="AD71" s="26"/>
      <c r="AE71" s="25"/>
      <c r="AF71" s="25"/>
      <c r="AG71" s="69">
        <f t="shared" si="13"/>
        <v>-58.251071428571429</v>
      </c>
      <c r="AH71" s="29">
        <f t="shared" si="14"/>
        <v>-1.071428571428612E-3</v>
      </c>
    </row>
    <row r="72" spans="1:34" s="30" customFormat="1" ht="21.75" customHeight="1" x14ac:dyDescent="0.2">
      <c r="A72" s="18">
        <v>43420</v>
      </c>
      <c r="B72" s="19"/>
      <c r="C72" s="20" t="s">
        <v>353</v>
      </c>
      <c r="D72" s="20" t="s">
        <v>1045</v>
      </c>
      <c r="E72" s="20" t="s">
        <v>120</v>
      </c>
      <c r="F72" s="21">
        <v>1466726</v>
      </c>
      <c r="G72" s="22" t="s">
        <v>1046</v>
      </c>
      <c r="H72" s="23"/>
      <c r="I72" s="23"/>
      <c r="J72" s="23"/>
      <c r="K72" s="23">
        <v>809.25</v>
      </c>
      <c r="L72" s="24"/>
      <c r="M72" s="69">
        <f t="shared" si="10"/>
        <v>722.54464285714278</v>
      </c>
      <c r="N72" s="69">
        <f t="shared" si="11"/>
        <v>86.705357142857125</v>
      </c>
      <c r="O72" s="69">
        <f t="shared" si="12"/>
        <v>0</v>
      </c>
      <c r="P72" s="69"/>
      <c r="Q72" s="25"/>
      <c r="R72" s="25"/>
      <c r="S72" s="25"/>
      <c r="T72" s="26"/>
      <c r="U72" s="26"/>
      <c r="V72" s="26"/>
      <c r="W72" s="26"/>
      <c r="X72" s="26"/>
      <c r="Y72" s="25">
        <v>722.54</v>
      </c>
      <c r="Z72" s="25"/>
      <c r="AA72" s="25"/>
      <c r="AB72" s="25"/>
      <c r="AC72" s="26"/>
      <c r="AD72" s="26"/>
      <c r="AE72" s="25"/>
      <c r="AF72" s="25"/>
      <c r="AG72" s="69">
        <f t="shared" si="13"/>
        <v>-809.24535714285707</v>
      </c>
      <c r="AH72" s="29">
        <f t="shared" si="14"/>
        <v>4.6428571429260046E-3</v>
      </c>
    </row>
    <row r="73" spans="1:34" s="30" customFormat="1" ht="21.75" customHeight="1" x14ac:dyDescent="0.2">
      <c r="A73" s="18">
        <v>43420</v>
      </c>
      <c r="B73" s="19"/>
      <c r="C73" s="20" t="s">
        <v>1047</v>
      </c>
      <c r="D73" s="20"/>
      <c r="E73" s="20"/>
      <c r="F73" s="21"/>
      <c r="G73" s="22" t="s">
        <v>357</v>
      </c>
      <c r="H73" s="23">
        <v>40</v>
      </c>
      <c r="I73" s="23"/>
      <c r="J73" s="23"/>
      <c r="K73" s="23"/>
      <c r="L73" s="24"/>
      <c r="M73" s="69">
        <f t="shared" si="10"/>
        <v>40</v>
      </c>
      <c r="N73" s="69">
        <f t="shared" si="11"/>
        <v>0</v>
      </c>
      <c r="O73" s="69">
        <f t="shared" si="12"/>
        <v>0</v>
      </c>
      <c r="P73" s="69"/>
      <c r="Q73" s="25"/>
      <c r="R73" s="25"/>
      <c r="S73" s="25"/>
      <c r="T73" s="26"/>
      <c r="U73" s="26"/>
      <c r="V73" s="26"/>
      <c r="W73" s="26"/>
      <c r="X73" s="26"/>
      <c r="Y73" s="25"/>
      <c r="Z73" s="25"/>
      <c r="AA73" s="25">
        <v>40</v>
      </c>
      <c r="AB73" s="25"/>
      <c r="AC73" s="26"/>
      <c r="AD73" s="26"/>
      <c r="AE73" s="25"/>
      <c r="AF73" s="25"/>
      <c r="AG73" s="69">
        <f t="shared" si="13"/>
        <v>-40</v>
      </c>
      <c r="AH73" s="29">
        <f t="shared" si="14"/>
        <v>0</v>
      </c>
    </row>
    <row r="74" spans="1:34" s="30" customFormat="1" ht="21.75" customHeight="1" x14ac:dyDescent="0.2">
      <c r="A74" s="18">
        <v>43420</v>
      </c>
      <c r="B74" s="19"/>
      <c r="C74" s="20" t="s">
        <v>705</v>
      </c>
      <c r="D74" s="20" t="s">
        <v>706</v>
      </c>
      <c r="E74" s="20" t="s">
        <v>707</v>
      </c>
      <c r="F74" s="21">
        <v>130906</v>
      </c>
      <c r="G74" s="22" t="s">
        <v>40</v>
      </c>
      <c r="H74" s="23"/>
      <c r="I74" s="23"/>
      <c r="J74" s="23"/>
      <c r="K74" s="23">
        <v>180</v>
      </c>
      <c r="L74" s="24"/>
      <c r="M74" s="69">
        <f t="shared" si="10"/>
        <v>160.71428571428569</v>
      </c>
      <c r="N74" s="69">
        <f t="shared" si="11"/>
        <v>19.285714285714281</v>
      </c>
      <c r="O74" s="69">
        <f t="shared" si="12"/>
        <v>0</v>
      </c>
      <c r="P74" s="69"/>
      <c r="Q74" s="25">
        <v>160.71</v>
      </c>
      <c r="R74" s="25"/>
      <c r="S74" s="25"/>
      <c r="T74" s="26"/>
      <c r="U74" s="26"/>
      <c r="V74" s="26"/>
      <c r="W74" s="26"/>
      <c r="X74" s="26"/>
      <c r="Y74" s="25"/>
      <c r="Z74" s="25"/>
      <c r="AA74" s="25"/>
      <c r="AB74" s="25"/>
      <c r="AC74" s="26"/>
      <c r="AD74" s="26"/>
      <c r="AE74" s="25"/>
      <c r="AF74" s="25"/>
      <c r="AG74" s="69">
        <f t="shared" si="13"/>
        <v>-179.99571428571429</v>
      </c>
      <c r="AH74" s="29">
        <f t="shared" si="14"/>
        <v>4.2857142857144481E-3</v>
      </c>
    </row>
    <row r="75" spans="1:34" s="30" customFormat="1" ht="21.75" customHeight="1" x14ac:dyDescent="0.2">
      <c r="A75" s="18">
        <v>43420</v>
      </c>
      <c r="B75" s="19"/>
      <c r="C75" s="20" t="s">
        <v>745</v>
      </c>
      <c r="D75" s="20" t="s">
        <v>812</v>
      </c>
      <c r="E75" s="20" t="s">
        <v>277</v>
      </c>
      <c r="F75" s="21">
        <v>87887</v>
      </c>
      <c r="G75" s="22" t="s">
        <v>1048</v>
      </c>
      <c r="H75" s="23"/>
      <c r="I75" s="23"/>
      <c r="J75" s="23"/>
      <c r="K75" s="23">
        <v>29</v>
      </c>
      <c r="L75" s="24"/>
      <c r="M75" s="69">
        <f t="shared" si="10"/>
        <v>25.892857142857139</v>
      </c>
      <c r="N75" s="69">
        <f t="shared" si="11"/>
        <v>3.1071428571428568</v>
      </c>
      <c r="O75" s="69">
        <f t="shared" si="12"/>
        <v>0</v>
      </c>
      <c r="P75" s="69">
        <v>25.89</v>
      </c>
      <c r="Q75" s="25"/>
      <c r="R75" s="25"/>
      <c r="S75" s="25"/>
      <c r="T75" s="26"/>
      <c r="U75" s="26"/>
      <c r="V75" s="26"/>
      <c r="W75" s="26"/>
      <c r="X75" s="26"/>
      <c r="Y75" s="25"/>
      <c r="Z75" s="25"/>
      <c r="AA75" s="25"/>
      <c r="AB75" s="25"/>
      <c r="AC75" s="26"/>
      <c r="AD75" s="26"/>
      <c r="AE75" s="25"/>
      <c r="AF75" s="25"/>
      <c r="AG75" s="69">
        <f t="shared" si="13"/>
        <v>-28.997142857142858</v>
      </c>
      <c r="AH75" s="29">
        <f t="shared" si="14"/>
        <v>2.8571428571417812E-3</v>
      </c>
    </row>
    <row r="76" spans="1:34" s="30" customFormat="1" ht="21.75" customHeight="1" x14ac:dyDescent="0.2">
      <c r="A76" s="18">
        <v>43420</v>
      </c>
      <c r="B76" s="19"/>
      <c r="C76" s="20" t="s">
        <v>59</v>
      </c>
      <c r="D76" s="20" t="s">
        <v>60</v>
      </c>
      <c r="E76" s="20" t="s">
        <v>120</v>
      </c>
      <c r="F76" s="21">
        <v>675155</v>
      </c>
      <c r="G76" s="22" t="s">
        <v>1049</v>
      </c>
      <c r="H76" s="23"/>
      <c r="I76" s="23"/>
      <c r="J76" s="23"/>
      <c r="K76" s="23">
        <v>469.5</v>
      </c>
      <c r="L76" s="24"/>
      <c r="M76" s="69">
        <f t="shared" si="10"/>
        <v>419.19642857142856</v>
      </c>
      <c r="N76" s="69">
        <f t="shared" si="11"/>
        <v>50.303571428571423</v>
      </c>
      <c r="O76" s="69">
        <f t="shared" si="12"/>
        <v>0</v>
      </c>
      <c r="P76" s="69"/>
      <c r="Q76" s="25"/>
      <c r="R76" s="25"/>
      <c r="S76" s="25"/>
      <c r="T76" s="26">
        <v>419.2</v>
      </c>
      <c r="U76" s="26"/>
      <c r="V76" s="26"/>
      <c r="W76" s="26"/>
      <c r="X76" s="26"/>
      <c r="Y76" s="25"/>
      <c r="Z76" s="25"/>
      <c r="AA76" s="25"/>
      <c r="AB76" s="25"/>
      <c r="AC76" s="26"/>
      <c r="AD76" s="26"/>
      <c r="AE76" s="25"/>
      <c r="AF76" s="25"/>
      <c r="AG76" s="69">
        <f t="shared" si="13"/>
        <v>-469.50357142857143</v>
      </c>
      <c r="AH76" s="29">
        <f t="shared" si="14"/>
        <v>-3.5714285714334437E-3</v>
      </c>
    </row>
    <row r="77" spans="1:34" s="30" customFormat="1" ht="21.75" customHeight="1" x14ac:dyDescent="0.2">
      <c r="A77" s="18">
        <v>43420</v>
      </c>
      <c r="B77" s="19"/>
      <c r="C77" s="20" t="s">
        <v>63</v>
      </c>
      <c r="D77" s="20" t="s">
        <v>64</v>
      </c>
      <c r="E77" s="20" t="s">
        <v>120</v>
      </c>
      <c r="F77" s="21">
        <v>126443</v>
      </c>
      <c r="G77" s="22" t="s">
        <v>1050</v>
      </c>
      <c r="H77" s="23"/>
      <c r="I77" s="23"/>
      <c r="J77" s="23"/>
      <c r="K77" s="23">
        <f>541.25+64.95</f>
        <v>606.20000000000005</v>
      </c>
      <c r="L77" s="24"/>
      <c r="M77" s="69">
        <f t="shared" si="10"/>
        <v>541.25</v>
      </c>
      <c r="N77" s="69">
        <f t="shared" si="11"/>
        <v>64.95</v>
      </c>
      <c r="O77" s="69">
        <f t="shared" si="12"/>
        <v>0</v>
      </c>
      <c r="P77" s="69">
        <v>541.25</v>
      </c>
      <c r="Q77" s="25"/>
      <c r="R77" s="25"/>
      <c r="S77" s="25"/>
      <c r="T77" s="26"/>
      <c r="U77" s="26"/>
      <c r="V77" s="26"/>
      <c r="W77" s="26"/>
      <c r="X77" s="26"/>
      <c r="Y77" s="25"/>
      <c r="Z77" s="25"/>
      <c r="AA77" s="25"/>
      <c r="AB77" s="25"/>
      <c r="AC77" s="26"/>
      <c r="AD77" s="26"/>
      <c r="AE77" s="25"/>
      <c r="AF77" s="25"/>
      <c r="AG77" s="69">
        <f t="shared" si="13"/>
        <v>-606.20000000000005</v>
      </c>
      <c r="AH77" s="29">
        <f t="shared" si="14"/>
        <v>0</v>
      </c>
    </row>
    <row r="78" spans="1:34" s="30" customFormat="1" ht="21.75" customHeight="1" x14ac:dyDescent="0.2">
      <c r="A78" s="18">
        <v>43420</v>
      </c>
      <c r="B78" s="19"/>
      <c r="C78" s="20" t="s">
        <v>63</v>
      </c>
      <c r="D78" s="20" t="s">
        <v>64</v>
      </c>
      <c r="E78" s="20" t="s">
        <v>120</v>
      </c>
      <c r="F78" s="21">
        <v>126443</v>
      </c>
      <c r="G78" s="22" t="s">
        <v>944</v>
      </c>
      <c r="H78" s="23"/>
      <c r="I78" s="23"/>
      <c r="J78" s="23">
        <v>297.89999999999998</v>
      </c>
      <c r="K78" s="23"/>
      <c r="L78" s="24"/>
      <c r="M78" s="69">
        <f t="shared" si="10"/>
        <v>297.89999999999998</v>
      </c>
      <c r="N78" s="69">
        <f t="shared" si="11"/>
        <v>0</v>
      </c>
      <c r="O78" s="69">
        <f t="shared" si="12"/>
        <v>0</v>
      </c>
      <c r="P78" s="69">
        <v>297.89999999999998</v>
      </c>
      <c r="Q78" s="25"/>
      <c r="R78" s="25"/>
      <c r="S78" s="25"/>
      <c r="T78" s="26"/>
      <c r="U78" s="26"/>
      <c r="V78" s="26"/>
      <c r="W78" s="26"/>
      <c r="X78" s="26"/>
      <c r="Y78" s="25"/>
      <c r="Z78" s="25"/>
      <c r="AA78" s="25"/>
      <c r="AB78" s="25"/>
      <c r="AC78" s="26"/>
      <c r="AD78" s="26"/>
      <c r="AE78" s="25"/>
      <c r="AF78" s="25"/>
      <c r="AG78" s="69">
        <f t="shared" si="13"/>
        <v>-297.89999999999998</v>
      </c>
      <c r="AH78" s="29">
        <f t="shared" si="14"/>
        <v>0</v>
      </c>
    </row>
    <row r="79" spans="1:34" s="30" customFormat="1" ht="21.75" customHeight="1" x14ac:dyDescent="0.2">
      <c r="A79" s="18">
        <v>43421</v>
      </c>
      <c r="B79" s="19"/>
      <c r="C79" s="20" t="s">
        <v>705</v>
      </c>
      <c r="D79" s="20" t="s">
        <v>706</v>
      </c>
      <c r="E79" s="20" t="s">
        <v>707</v>
      </c>
      <c r="F79" s="21">
        <v>136424</v>
      </c>
      <c r="G79" s="22" t="s">
        <v>40</v>
      </c>
      <c r="H79" s="23"/>
      <c r="I79" s="23"/>
      <c r="J79" s="23"/>
      <c r="K79" s="23">
        <v>90</v>
      </c>
      <c r="L79" s="24"/>
      <c r="M79" s="69">
        <f t="shared" si="10"/>
        <v>80.357142857142847</v>
      </c>
      <c r="N79" s="69">
        <f t="shared" si="11"/>
        <v>9.6428571428571406</v>
      </c>
      <c r="O79" s="69">
        <f t="shared" si="12"/>
        <v>0</v>
      </c>
      <c r="P79" s="69"/>
      <c r="Q79" s="25">
        <v>80.36</v>
      </c>
      <c r="R79" s="25"/>
      <c r="S79" s="25"/>
      <c r="T79" s="26"/>
      <c r="U79" s="26"/>
      <c r="V79" s="26"/>
      <c r="W79" s="26"/>
      <c r="X79" s="26"/>
      <c r="Y79" s="25"/>
      <c r="Z79" s="25"/>
      <c r="AA79" s="25"/>
      <c r="AB79" s="25"/>
      <c r="AC79" s="26"/>
      <c r="AD79" s="26"/>
      <c r="AE79" s="25"/>
      <c r="AF79" s="25"/>
      <c r="AG79" s="69">
        <f t="shared" si="13"/>
        <v>-90.002857142857138</v>
      </c>
      <c r="AH79" s="29">
        <f t="shared" si="14"/>
        <v>-2.8571428571382285E-3</v>
      </c>
    </row>
    <row r="80" spans="1:34" s="30" customFormat="1" ht="21.75" customHeight="1" x14ac:dyDescent="0.2">
      <c r="A80" s="18">
        <v>43421</v>
      </c>
      <c r="B80" s="19"/>
      <c r="C80" s="20" t="s">
        <v>614</v>
      </c>
      <c r="D80" s="20"/>
      <c r="E80" s="20"/>
      <c r="F80" s="21"/>
      <c r="G80" s="22" t="s">
        <v>644</v>
      </c>
      <c r="H80" s="23">
        <v>502</v>
      </c>
      <c r="I80" s="23"/>
      <c r="J80" s="23"/>
      <c r="K80" s="23"/>
      <c r="L80" s="24"/>
      <c r="M80" s="69">
        <f t="shared" si="10"/>
        <v>502</v>
      </c>
      <c r="N80" s="69">
        <f t="shared" si="11"/>
        <v>0</v>
      </c>
      <c r="O80" s="69">
        <f t="shared" si="12"/>
        <v>0</v>
      </c>
      <c r="P80" s="69"/>
      <c r="Q80" s="25"/>
      <c r="R80" s="25"/>
      <c r="S80" s="25"/>
      <c r="T80" s="26"/>
      <c r="U80" s="26"/>
      <c r="V80" s="26"/>
      <c r="W80" s="26"/>
      <c r="X80" s="26"/>
      <c r="Y80" s="25"/>
      <c r="Z80" s="25"/>
      <c r="AA80" s="25"/>
      <c r="AB80" s="25">
        <v>502</v>
      </c>
      <c r="AC80" s="26"/>
      <c r="AD80" s="26"/>
      <c r="AE80" s="25"/>
      <c r="AF80" s="25"/>
      <c r="AG80" s="69">
        <f t="shared" si="13"/>
        <v>-502</v>
      </c>
      <c r="AH80" s="29">
        <f t="shared" si="14"/>
        <v>0</v>
      </c>
    </row>
    <row r="81" spans="1:34" s="30" customFormat="1" ht="21.75" customHeight="1" x14ac:dyDescent="0.2">
      <c r="A81" s="18">
        <v>43423</v>
      </c>
      <c r="B81" s="19"/>
      <c r="C81" s="20" t="s">
        <v>1051</v>
      </c>
      <c r="D81" s="20"/>
      <c r="E81" s="20"/>
      <c r="F81" s="21"/>
      <c r="G81" s="22" t="s">
        <v>1052</v>
      </c>
      <c r="H81" s="23">
        <v>1500</v>
      </c>
      <c r="I81" s="23"/>
      <c r="J81" s="23"/>
      <c r="K81" s="23"/>
      <c r="L81" s="24"/>
      <c r="M81" s="69">
        <f t="shared" si="10"/>
        <v>1500</v>
      </c>
      <c r="N81" s="69">
        <f t="shared" si="11"/>
        <v>0</v>
      </c>
      <c r="O81" s="69">
        <f t="shared" si="12"/>
        <v>0</v>
      </c>
      <c r="P81" s="69"/>
      <c r="Q81" s="25"/>
      <c r="R81" s="25"/>
      <c r="S81" s="25"/>
      <c r="T81" s="26"/>
      <c r="U81" s="26"/>
      <c r="V81" s="26"/>
      <c r="W81" s="26"/>
      <c r="X81" s="26"/>
      <c r="Y81" s="25"/>
      <c r="Z81" s="25"/>
      <c r="AA81" s="25"/>
      <c r="AB81" s="25"/>
      <c r="AC81" s="26"/>
      <c r="AD81" s="26"/>
      <c r="AE81" s="25">
        <v>1500</v>
      </c>
      <c r="AF81" s="25"/>
      <c r="AG81" s="69">
        <f t="shared" si="13"/>
        <v>-1500</v>
      </c>
      <c r="AH81" s="29">
        <f t="shared" si="14"/>
        <v>0</v>
      </c>
    </row>
    <row r="82" spans="1:34" s="30" customFormat="1" ht="21.75" customHeight="1" x14ac:dyDescent="0.2">
      <c r="A82" s="18">
        <v>43423</v>
      </c>
      <c r="B82" s="19"/>
      <c r="C82" s="20" t="s">
        <v>705</v>
      </c>
      <c r="D82" s="20" t="s">
        <v>706</v>
      </c>
      <c r="E82" s="20" t="s">
        <v>707</v>
      </c>
      <c r="F82" s="21">
        <v>136494</v>
      </c>
      <c r="G82" s="22" t="s">
        <v>40</v>
      </c>
      <c r="H82" s="23"/>
      <c r="I82" s="23"/>
      <c r="J82" s="23"/>
      <c r="K82" s="23">
        <v>180</v>
      </c>
      <c r="L82" s="24"/>
      <c r="M82" s="69">
        <f t="shared" si="10"/>
        <v>160.71428571428569</v>
      </c>
      <c r="N82" s="69">
        <f t="shared" si="11"/>
        <v>19.285714285714281</v>
      </c>
      <c r="O82" s="69">
        <f t="shared" si="12"/>
        <v>0</v>
      </c>
      <c r="P82" s="69"/>
      <c r="Q82" s="25">
        <v>160.71</v>
      </c>
      <c r="R82" s="25"/>
      <c r="S82" s="25"/>
      <c r="T82" s="26"/>
      <c r="U82" s="26"/>
      <c r="V82" s="26"/>
      <c r="W82" s="26"/>
      <c r="X82" s="26"/>
      <c r="Y82" s="25"/>
      <c r="Z82" s="25"/>
      <c r="AA82" s="25"/>
      <c r="AB82" s="25"/>
      <c r="AC82" s="26"/>
      <c r="AD82" s="26"/>
      <c r="AE82" s="25"/>
      <c r="AF82" s="25"/>
      <c r="AG82" s="69">
        <f t="shared" si="13"/>
        <v>-179.99571428571429</v>
      </c>
      <c r="AH82" s="29">
        <f t="shared" si="14"/>
        <v>4.2857142857144481E-3</v>
      </c>
    </row>
    <row r="83" spans="1:34" s="30" customFormat="1" ht="21.75" customHeight="1" x14ac:dyDescent="0.2">
      <c r="A83" s="18">
        <v>43423</v>
      </c>
      <c r="B83" s="19"/>
      <c r="C83" s="20" t="s">
        <v>41</v>
      </c>
      <c r="D83" s="20" t="s">
        <v>88</v>
      </c>
      <c r="E83" s="20" t="s">
        <v>43</v>
      </c>
      <c r="F83" s="21">
        <v>2755</v>
      </c>
      <c r="G83" s="22" t="s">
        <v>1053</v>
      </c>
      <c r="H83" s="23"/>
      <c r="I83" s="23"/>
      <c r="J83" s="23">
        <v>2135</v>
      </c>
      <c r="K83" s="23"/>
      <c r="L83" s="24"/>
      <c r="M83" s="69">
        <f t="shared" si="10"/>
        <v>2135</v>
      </c>
      <c r="N83" s="69">
        <f t="shared" si="11"/>
        <v>0</v>
      </c>
      <c r="O83" s="69">
        <f t="shared" si="12"/>
        <v>0</v>
      </c>
      <c r="P83" s="69">
        <v>2135</v>
      </c>
      <c r="Q83" s="25"/>
      <c r="R83" s="25"/>
      <c r="S83" s="25"/>
      <c r="T83" s="26"/>
      <c r="U83" s="26"/>
      <c r="V83" s="26"/>
      <c r="W83" s="26"/>
      <c r="X83" s="26"/>
      <c r="Y83" s="25"/>
      <c r="Z83" s="25"/>
      <c r="AA83" s="25"/>
      <c r="AB83" s="25"/>
      <c r="AC83" s="26"/>
      <c r="AD83" s="26"/>
      <c r="AE83" s="25"/>
      <c r="AF83" s="25"/>
      <c r="AG83" s="69">
        <f t="shared" si="13"/>
        <v>-2135</v>
      </c>
      <c r="AH83" s="29">
        <f t="shared" si="14"/>
        <v>0</v>
      </c>
    </row>
    <row r="84" spans="1:34" s="30" customFormat="1" ht="21.75" customHeight="1" x14ac:dyDescent="0.2">
      <c r="A84" s="18">
        <v>43423</v>
      </c>
      <c r="B84" s="19"/>
      <c r="C84" s="20" t="s">
        <v>614</v>
      </c>
      <c r="D84" s="20"/>
      <c r="E84" s="20"/>
      <c r="F84" s="21"/>
      <c r="G84" s="22" t="s">
        <v>1054</v>
      </c>
      <c r="H84" s="23"/>
      <c r="I84" s="23"/>
      <c r="J84" s="23">
        <v>300</v>
      </c>
      <c r="K84" s="23"/>
      <c r="L84" s="24"/>
      <c r="M84" s="69">
        <f t="shared" si="10"/>
        <v>300</v>
      </c>
      <c r="N84" s="69">
        <f t="shared" si="11"/>
        <v>0</v>
      </c>
      <c r="O84" s="69">
        <f t="shared" si="12"/>
        <v>0</v>
      </c>
      <c r="P84" s="69"/>
      <c r="Q84" s="25"/>
      <c r="R84" s="25"/>
      <c r="S84" s="25"/>
      <c r="T84" s="26"/>
      <c r="U84" s="26"/>
      <c r="V84" s="26"/>
      <c r="W84" s="26"/>
      <c r="X84" s="26"/>
      <c r="Y84" s="25"/>
      <c r="Z84" s="25">
        <v>300</v>
      </c>
      <c r="AA84" s="25"/>
      <c r="AB84" s="25"/>
      <c r="AC84" s="26"/>
      <c r="AD84" s="26"/>
      <c r="AE84" s="25"/>
      <c r="AF84" s="25"/>
      <c r="AG84" s="69">
        <f t="shared" si="13"/>
        <v>-300</v>
      </c>
      <c r="AH84" s="29">
        <f t="shared" si="14"/>
        <v>0</v>
      </c>
    </row>
    <row r="85" spans="1:34" s="30" customFormat="1" ht="21.75" customHeight="1" x14ac:dyDescent="0.2">
      <c r="A85" s="18">
        <v>43423</v>
      </c>
      <c r="B85" s="19"/>
      <c r="C85" s="20" t="s">
        <v>45</v>
      </c>
      <c r="D85" s="20"/>
      <c r="E85" s="20"/>
      <c r="F85" s="21"/>
      <c r="G85" s="22" t="s">
        <v>1055</v>
      </c>
      <c r="H85" s="23">
        <v>100</v>
      </c>
      <c r="I85" s="23"/>
      <c r="J85" s="23"/>
      <c r="K85" s="23"/>
      <c r="L85" s="24"/>
      <c r="M85" s="69">
        <f t="shared" si="10"/>
        <v>100</v>
      </c>
      <c r="N85" s="69">
        <f t="shared" si="11"/>
        <v>0</v>
      </c>
      <c r="O85" s="69">
        <f t="shared" si="12"/>
        <v>0</v>
      </c>
      <c r="P85" s="69"/>
      <c r="Q85" s="25"/>
      <c r="R85" s="25"/>
      <c r="S85" s="25"/>
      <c r="T85" s="26"/>
      <c r="U85" s="26"/>
      <c r="V85" s="26"/>
      <c r="W85" s="26"/>
      <c r="X85" s="26"/>
      <c r="Y85" s="25"/>
      <c r="Z85" s="25"/>
      <c r="AA85" s="25">
        <v>100</v>
      </c>
      <c r="AB85" s="25"/>
      <c r="AC85" s="26"/>
      <c r="AD85" s="26"/>
      <c r="AE85" s="25"/>
      <c r="AF85" s="25"/>
      <c r="AG85" s="69">
        <f t="shared" si="13"/>
        <v>-100</v>
      </c>
      <c r="AH85" s="29">
        <f t="shared" si="14"/>
        <v>0</v>
      </c>
    </row>
    <row r="86" spans="1:34" s="30" customFormat="1" ht="21.75" customHeight="1" x14ac:dyDescent="0.2">
      <c r="A86" s="18">
        <v>43423</v>
      </c>
      <c r="B86" s="19"/>
      <c r="C86" s="20" t="s">
        <v>96</v>
      </c>
      <c r="D86" s="20"/>
      <c r="E86" s="20"/>
      <c r="F86" s="21"/>
      <c r="G86" s="22" t="s">
        <v>1056</v>
      </c>
      <c r="H86" s="23">
        <v>40</v>
      </c>
      <c r="I86" s="23"/>
      <c r="J86" s="23"/>
      <c r="K86" s="23"/>
      <c r="L86" s="24"/>
      <c r="M86" s="69">
        <f t="shared" si="10"/>
        <v>40</v>
      </c>
      <c r="N86" s="69">
        <f t="shared" si="11"/>
        <v>0</v>
      </c>
      <c r="O86" s="69">
        <f t="shared" si="12"/>
        <v>0</v>
      </c>
      <c r="P86" s="69"/>
      <c r="Q86" s="25"/>
      <c r="R86" s="25"/>
      <c r="S86" s="25"/>
      <c r="T86" s="26"/>
      <c r="U86" s="26"/>
      <c r="V86" s="26"/>
      <c r="W86" s="26"/>
      <c r="X86" s="26"/>
      <c r="Y86" s="25"/>
      <c r="Z86" s="25"/>
      <c r="AA86" s="25">
        <v>40</v>
      </c>
      <c r="AB86" s="25"/>
      <c r="AC86" s="26"/>
      <c r="AD86" s="26"/>
      <c r="AE86" s="25"/>
      <c r="AF86" s="25"/>
      <c r="AG86" s="69">
        <f t="shared" si="13"/>
        <v>-40</v>
      </c>
      <c r="AH86" s="29">
        <f t="shared" si="14"/>
        <v>0</v>
      </c>
    </row>
    <row r="87" spans="1:34" s="30" customFormat="1" ht="21.75" customHeight="1" x14ac:dyDescent="0.2">
      <c r="A87" s="18">
        <v>43424</v>
      </c>
      <c r="B87" s="19"/>
      <c r="C87" s="20" t="s">
        <v>45</v>
      </c>
      <c r="D87" s="20"/>
      <c r="E87" s="20"/>
      <c r="F87" s="21"/>
      <c r="G87" s="22" t="s">
        <v>1057</v>
      </c>
      <c r="H87" s="23">
        <v>50</v>
      </c>
      <c r="I87" s="23"/>
      <c r="J87" s="23"/>
      <c r="K87" s="23"/>
      <c r="L87" s="24"/>
      <c r="M87" s="69">
        <f t="shared" si="10"/>
        <v>50</v>
      </c>
      <c r="N87" s="69">
        <f t="shared" si="11"/>
        <v>0</v>
      </c>
      <c r="O87" s="69">
        <f t="shared" si="12"/>
        <v>0</v>
      </c>
      <c r="P87" s="69"/>
      <c r="Q87" s="25"/>
      <c r="R87" s="25"/>
      <c r="S87" s="25"/>
      <c r="T87" s="26"/>
      <c r="U87" s="26"/>
      <c r="V87" s="26"/>
      <c r="W87" s="26"/>
      <c r="X87" s="26"/>
      <c r="Y87" s="25"/>
      <c r="Z87" s="25"/>
      <c r="AA87" s="25">
        <v>50</v>
      </c>
      <c r="AB87" s="25"/>
      <c r="AC87" s="26"/>
      <c r="AD87" s="26"/>
      <c r="AE87" s="25"/>
      <c r="AF87" s="25"/>
      <c r="AG87" s="69">
        <f t="shared" si="13"/>
        <v>-50</v>
      </c>
      <c r="AH87" s="29">
        <f t="shared" si="14"/>
        <v>0</v>
      </c>
    </row>
    <row r="88" spans="1:34" s="30" customFormat="1" ht="21.75" customHeight="1" x14ac:dyDescent="0.2">
      <c r="A88" s="18">
        <v>43424</v>
      </c>
      <c r="B88" s="19"/>
      <c r="C88" s="20" t="s">
        <v>96</v>
      </c>
      <c r="D88" s="20"/>
      <c r="E88" s="20"/>
      <c r="F88" s="21"/>
      <c r="G88" s="22" t="s">
        <v>1058</v>
      </c>
      <c r="H88" s="23">
        <v>160</v>
      </c>
      <c r="I88" s="23"/>
      <c r="J88" s="23"/>
      <c r="K88" s="23"/>
      <c r="L88" s="24"/>
      <c r="M88" s="69">
        <f t="shared" si="10"/>
        <v>160</v>
      </c>
      <c r="N88" s="69">
        <f t="shared" si="11"/>
        <v>0</v>
      </c>
      <c r="O88" s="69">
        <f t="shared" si="12"/>
        <v>0</v>
      </c>
      <c r="P88" s="69"/>
      <c r="Q88" s="25"/>
      <c r="R88" s="25"/>
      <c r="S88" s="25"/>
      <c r="T88" s="26"/>
      <c r="U88" s="26"/>
      <c r="V88" s="26"/>
      <c r="W88" s="26"/>
      <c r="X88" s="26"/>
      <c r="Y88" s="25"/>
      <c r="Z88" s="25"/>
      <c r="AA88" s="25">
        <v>160</v>
      </c>
      <c r="AB88" s="25"/>
      <c r="AC88" s="26"/>
      <c r="AD88" s="26"/>
      <c r="AE88" s="25"/>
      <c r="AF88" s="25"/>
      <c r="AG88" s="69">
        <f t="shared" si="13"/>
        <v>-160</v>
      </c>
      <c r="AH88" s="29">
        <f t="shared" si="14"/>
        <v>0</v>
      </c>
    </row>
    <row r="89" spans="1:34" s="30" customFormat="1" ht="21.75" customHeight="1" x14ac:dyDescent="0.2">
      <c r="A89" s="18">
        <v>43424</v>
      </c>
      <c r="B89" s="19"/>
      <c r="C89" s="20" t="s">
        <v>1059</v>
      </c>
      <c r="D89" s="20" t="s">
        <v>1060</v>
      </c>
      <c r="E89" s="20" t="s">
        <v>120</v>
      </c>
      <c r="F89" s="21">
        <v>26309274</v>
      </c>
      <c r="G89" s="22" t="s">
        <v>1061</v>
      </c>
      <c r="H89" s="23"/>
      <c r="I89" s="23"/>
      <c r="J89" s="23"/>
      <c r="K89" s="23">
        <v>3107.08</v>
      </c>
      <c r="L89" s="24"/>
      <c r="M89" s="69">
        <f t="shared" si="10"/>
        <v>2774.1785714285711</v>
      </c>
      <c r="N89" s="69">
        <f t="shared" si="11"/>
        <v>332.90142857142854</v>
      </c>
      <c r="O89" s="69">
        <f t="shared" si="12"/>
        <v>0</v>
      </c>
      <c r="P89" s="69"/>
      <c r="Q89" s="25"/>
      <c r="R89" s="25"/>
      <c r="S89" s="25"/>
      <c r="T89" s="26"/>
      <c r="U89" s="26"/>
      <c r="V89" s="26"/>
      <c r="W89" s="26"/>
      <c r="X89" s="26"/>
      <c r="Y89" s="25">
        <v>2774.18</v>
      </c>
      <c r="Z89" s="25"/>
      <c r="AA89" s="25"/>
      <c r="AB89" s="25"/>
      <c r="AC89" s="26"/>
      <c r="AD89" s="26"/>
      <c r="AE89" s="25"/>
      <c r="AF89" s="25"/>
      <c r="AG89" s="69">
        <f t="shared" si="13"/>
        <v>-3107.0814285714282</v>
      </c>
      <c r="AH89" s="29">
        <f t="shared" si="14"/>
        <v>-1.4285714282777917E-3</v>
      </c>
    </row>
    <row r="90" spans="1:34" s="30" customFormat="1" ht="21.75" customHeight="1" x14ac:dyDescent="0.2">
      <c r="A90" s="18">
        <v>43424</v>
      </c>
      <c r="B90" s="19"/>
      <c r="C90" s="20" t="s">
        <v>975</v>
      </c>
      <c r="D90" s="20"/>
      <c r="E90" s="20"/>
      <c r="F90" s="21"/>
      <c r="G90" s="22" t="s">
        <v>1002</v>
      </c>
      <c r="H90" s="23"/>
      <c r="I90" s="23"/>
      <c r="J90" s="23">
        <v>802.5</v>
      </c>
      <c r="K90" s="23"/>
      <c r="L90" s="24"/>
      <c r="M90" s="69">
        <f t="shared" si="10"/>
        <v>802.5</v>
      </c>
      <c r="N90" s="69">
        <f t="shared" si="11"/>
        <v>0</v>
      </c>
      <c r="O90" s="69">
        <f t="shared" si="12"/>
        <v>0</v>
      </c>
      <c r="P90" s="69">
        <v>802.5</v>
      </c>
      <c r="Q90" s="25"/>
      <c r="R90" s="25"/>
      <c r="S90" s="25"/>
      <c r="T90" s="26"/>
      <c r="U90" s="26"/>
      <c r="V90" s="26"/>
      <c r="W90" s="26"/>
      <c r="X90" s="26"/>
      <c r="Y90" s="25"/>
      <c r="Z90" s="25"/>
      <c r="AA90" s="25"/>
      <c r="AB90" s="25"/>
      <c r="AC90" s="26"/>
      <c r="AD90" s="26"/>
      <c r="AE90" s="25"/>
      <c r="AF90" s="25"/>
      <c r="AG90" s="69">
        <f t="shared" si="13"/>
        <v>-802.5</v>
      </c>
      <c r="AH90" s="29">
        <f t="shared" si="14"/>
        <v>0</v>
      </c>
    </row>
    <row r="91" spans="1:34" s="30" customFormat="1" ht="21.75" customHeight="1" x14ac:dyDescent="0.2">
      <c r="A91" s="18">
        <v>43424</v>
      </c>
      <c r="B91" s="19"/>
      <c r="C91" s="20" t="s">
        <v>705</v>
      </c>
      <c r="D91" s="20" t="s">
        <v>706</v>
      </c>
      <c r="E91" s="20" t="s">
        <v>707</v>
      </c>
      <c r="F91" s="21">
        <v>136540</v>
      </c>
      <c r="G91" s="22" t="s">
        <v>40</v>
      </c>
      <c r="H91" s="23"/>
      <c r="I91" s="23"/>
      <c r="J91" s="23"/>
      <c r="K91" s="23">
        <v>180</v>
      </c>
      <c r="L91" s="24"/>
      <c r="M91" s="69">
        <f t="shared" si="10"/>
        <v>160.71428571428569</v>
      </c>
      <c r="N91" s="69">
        <f t="shared" si="11"/>
        <v>19.285714285714281</v>
      </c>
      <c r="O91" s="69">
        <f t="shared" si="12"/>
        <v>0</v>
      </c>
      <c r="P91" s="69"/>
      <c r="Q91" s="25">
        <v>160.71</v>
      </c>
      <c r="R91" s="25"/>
      <c r="S91" s="25"/>
      <c r="T91" s="26"/>
      <c r="U91" s="26"/>
      <c r="V91" s="26"/>
      <c r="W91" s="26"/>
      <c r="X91" s="26"/>
      <c r="Y91" s="25"/>
      <c r="Z91" s="25"/>
      <c r="AA91" s="25"/>
      <c r="AB91" s="25"/>
      <c r="AC91" s="26"/>
      <c r="AD91" s="26"/>
      <c r="AE91" s="25"/>
      <c r="AF91" s="25"/>
      <c r="AG91" s="69">
        <f t="shared" si="13"/>
        <v>-179.99571428571429</v>
      </c>
      <c r="AH91" s="29">
        <f t="shared" si="14"/>
        <v>4.2857142857144481E-3</v>
      </c>
    </row>
    <row r="92" spans="1:34" s="30" customFormat="1" ht="21.75" customHeight="1" x14ac:dyDescent="0.2">
      <c r="A92" s="18">
        <v>43424</v>
      </c>
      <c r="B92" s="19"/>
      <c r="C92" s="20" t="s">
        <v>202</v>
      </c>
      <c r="D92" s="20" t="s">
        <v>1062</v>
      </c>
      <c r="E92" s="20" t="s">
        <v>120</v>
      </c>
      <c r="F92" s="21">
        <v>56068</v>
      </c>
      <c r="G92" s="22" t="s">
        <v>1063</v>
      </c>
      <c r="H92" s="23"/>
      <c r="I92" s="23"/>
      <c r="J92" s="23"/>
      <c r="K92" s="23">
        <v>1274.07</v>
      </c>
      <c r="L92" s="24"/>
      <c r="M92" s="69">
        <f t="shared" si="10"/>
        <v>1137.5624999999998</v>
      </c>
      <c r="N92" s="69">
        <f t="shared" si="11"/>
        <v>136.50749999999996</v>
      </c>
      <c r="O92" s="69">
        <f t="shared" si="12"/>
        <v>0</v>
      </c>
      <c r="P92" s="69">
        <v>1137.56</v>
      </c>
      <c r="Q92" s="25"/>
      <c r="R92" s="25"/>
      <c r="S92" s="25"/>
      <c r="T92" s="26"/>
      <c r="U92" s="26"/>
      <c r="V92" s="26"/>
      <c r="W92" s="26"/>
      <c r="X92" s="26"/>
      <c r="Y92" s="25"/>
      <c r="Z92" s="25"/>
      <c r="AA92" s="25"/>
      <c r="AB92" s="25"/>
      <c r="AC92" s="26"/>
      <c r="AD92" s="26"/>
      <c r="AE92" s="25"/>
      <c r="AF92" s="25"/>
      <c r="AG92" s="69">
        <f t="shared" si="13"/>
        <v>-1274.0674999999999</v>
      </c>
      <c r="AH92" s="29">
        <f t="shared" si="14"/>
        <v>2.5000000000545697E-3</v>
      </c>
    </row>
    <row r="93" spans="1:34" s="30" customFormat="1" ht="21.75" customHeight="1" x14ac:dyDescent="0.2">
      <c r="A93" s="18">
        <v>43424</v>
      </c>
      <c r="B93" s="19"/>
      <c r="C93" s="20" t="s">
        <v>63</v>
      </c>
      <c r="D93" s="20" t="s">
        <v>64</v>
      </c>
      <c r="E93" s="20" t="s">
        <v>120</v>
      </c>
      <c r="F93" s="21">
        <v>127352</v>
      </c>
      <c r="G93" s="22" t="s">
        <v>1064</v>
      </c>
      <c r="H93" s="23"/>
      <c r="I93" s="23"/>
      <c r="J93" s="23"/>
      <c r="K93" s="23">
        <f>793.26+95.19</f>
        <v>888.45</v>
      </c>
      <c r="L93" s="24"/>
      <c r="M93" s="69">
        <f t="shared" si="10"/>
        <v>793.25892857142856</v>
      </c>
      <c r="N93" s="69">
        <f t="shared" si="11"/>
        <v>95.191071428571419</v>
      </c>
      <c r="O93" s="69">
        <f t="shared" si="12"/>
        <v>0</v>
      </c>
      <c r="P93" s="69">
        <v>793.26</v>
      </c>
      <c r="Q93" s="25"/>
      <c r="R93" s="25"/>
      <c r="S93" s="25"/>
      <c r="T93" s="26"/>
      <c r="U93" s="26"/>
      <c r="V93" s="26"/>
      <c r="W93" s="26"/>
      <c r="X93" s="26"/>
      <c r="Y93" s="25"/>
      <c r="Z93" s="25"/>
      <c r="AA93" s="25"/>
      <c r="AB93" s="25"/>
      <c r="AC93" s="26"/>
      <c r="AD93" s="26"/>
      <c r="AE93" s="25"/>
      <c r="AF93" s="25"/>
      <c r="AG93" s="69">
        <f t="shared" si="13"/>
        <v>-888.45107142857137</v>
      </c>
      <c r="AH93" s="29">
        <f t="shared" si="14"/>
        <v>-1.0714285713220306E-3</v>
      </c>
    </row>
    <row r="94" spans="1:34" s="30" customFormat="1" ht="21.75" customHeight="1" x14ac:dyDescent="0.2">
      <c r="A94" s="18">
        <v>43424</v>
      </c>
      <c r="B94" s="19"/>
      <c r="C94" s="20" t="s">
        <v>63</v>
      </c>
      <c r="D94" s="20" t="s">
        <v>64</v>
      </c>
      <c r="E94" s="20" t="s">
        <v>120</v>
      </c>
      <c r="F94" s="21">
        <v>127352</v>
      </c>
      <c r="G94" s="22" t="s">
        <v>1065</v>
      </c>
      <c r="H94" s="23"/>
      <c r="I94" s="23"/>
      <c r="J94" s="23">
        <v>207.2</v>
      </c>
      <c r="K94" s="23"/>
      <c r="L94" s="24"/>
      <c r="M94" s="69">
        <f t="shared" si="10"/>
        <v>207.2</v>
      </c>
      <c r="N94" s="69">
        <f t="shared" si="11"/>
        <v>0</v>
      </c>
      <c r="O94" s="69">
        <f t="shared" si="12"/>
        <v>0</v>
      </c>
      <c r="P94" s="69">
        <v>207.2</v>
      </c>
      <c r="Q94" s="25"/>
      <c r="R94" s="25"/>
      <c r="S94" s="25"/>
      <c r="T94" s="26"/>
      <c r="U94" s="26"/>
      <c r="V94" s="26"/>
      <c r="W94" s="26"/>
      <c r="X94" s="26"/>
      <c r="Y94" s="25"/>
      <c r="Z94" s="25"/>
      <c r="AA94" s="25"/>
      <c r="AB94" s="25"/>
      <c r="AC94" s="26"/>
      <c r="AD94" s="26"/>
      <c r="AE94" s="25"/>
      <c r="AF94" s="25"/>
      <c r="AG94" s="69">
        <f t="shared" si="13"/>
        <v>-207.2</v>
      </c>
      <c r="AH94" s="29">
        <f t="shared" si="14"/>
        <v>0</v>
      </c>
    </row>
    <row r="95" spans="1:34" s="30" customFormat="1" ht="21.75" customHeight="1" x14ac:dyDescent="0.2">
      <c r="A95" s="18">
        <v>43424</v>
      </c>
      <c r="B95" s="19"/>
      <c r="C95" s="20" t="s">
        <v>63</v>
      </c>
      <c r="D95" s="20" t="s">
        <v>64</v>
      </c>
      <c r="E95" s="20" t="s">
        <v>120</v>
      </c>
      <c r="F95" s="21">
        <v>115125</v>
      </c>
      <c r="G95" s="22" t="s">
        <v>1066</v>
      </c>
      <c r="H95" s="23"/>
      <c r="I95" s="23"/>
      <c r="J95" s="23"/>
      <c r="K95" s="23">
        <f>324.4+292.8+292.8</f>
        <v>910</v>
      </c>
      <c r="L95" s="24"/>
      <c r="M95" s="69">
        <f t="shared" si="10"/>
        <v>812.49999999999989</v>
      </c>
      <c r="N95" s="69">
        <f t="shared" si="11"/>
        <v>97.499999999999986</v>
      </c>
      <c r="O95" s="69">
        <f t="shared" si="12"/>
        <v>0</v>
      </c>
      <c r="P95" s="69">
        <v>812.5</v>
      </c>
      <c r="Q95" s="25"/>
      <c r="R95" s="25"/>
      <c r="S95" s="25"/>
      <c r="T95" s="26"/>
      <c r="U95" s="26"/>
      <c r="V95" s="26"/>
      <c r="W95" s="26"/>
      <c r="X95" s="26"/>
      <c r="Y95" s="25"/>
      <c r="Z95" s="25"/>
      <c r="AA95" s="25"/>
      <c r="AB95" s="25"/>
      <c r="AC95" s="26"/>
      <c r="AD95" s="26"/>
      <c r="AE95" s="25"/>
      <c r="AF95" s="25"/>
      <c r="AG95" s="69">
        <f t="shared" si="13"/>
        <v>-910</v>
      </c>
      <c r="AH95" s="29">
        <f t="shared" si="14"/>
        <v>0</v>
      </c>
    </row>
    <row r="96" spans="1:34" s="30" customFormat="1" ht="21.75" customHeight="1" x14ac:dyDescent="0.2">
      <c r="A96" s="18">
        <v>43424</v>
      </c>
      <c r="B96" s="19"/>
      <c r="C96" s="20" t="s">
        <v>63</v>
      </c>
      <c r="D96" s="20" t="s">
        <v>64</v>
      </c>
      <c r="E96" s="20" t="s">
        <v>120</v>
      </c>
      <c r="F96" s="21">
        <v>115125</v>
      </c>
      <c r="G96" s="22" t="s">
        <v>115</v>
      </c>
      <c r="H96" s="23"/>
      <c r="I96" s="23"/>
      <c r="J96" s="23"/>
      <c r="K96" s="23">
        <f>68.75+68.75</f>
        <v>137.5</v>
      </c>
      <c r="L96" s="24"/>
      <c r="M96" s="69">
        <f t="shared" si="10"/>
        <v>122.76785714285712</v>
      </c>
      <c r="N96" s="69">
        <f t="shared" si="11"/>
        <v>14.732142857142854</v>
      </c>
      <c r="O96" s="69">
        <f t="shared" si="12"/>
        <v>0</v>
      </c>
      <c r="P96" s="69"/>
      <c r="Q96" s="25"/>
      <c r="R96" s="25">
        <v>122.77</v>
      </c>
      <c r="S96" s="25"/>
      <c r="T96" s="26"/>
      <c r="U96" s="26"/>
      <c r="V96" s="26"/>
      <c r="W96" s="26"/>
      <c r="X96" s="26"/>
      <c r="Y96" s="25"/>
      <c r="Z96" s="25"/>
      <c r="AA96" s="25"/>
      <c r="AB96" s="25"/>
      <c r="AC96" s="26"/>
      <c r="AD96" s="26"/>
      <c r="AE96" s="25"/>
      <c r="AF96" s="25"/>
      <c r="AG96" s="69">
        <f t="shared" si="13"/>
        <v>-137.50214285714284</v>
      </c>
      <c r="AH96" s="29">
        <f t="shared" si="14"/>
        <v>-2.1428571428430132E-3</v>
      </c>
    </row>
    <row r="97" spans="1:34" s="46" customFormat="1" ht="21.75" customHeight="1" x14ac:dyDescent="0.2">
      <c r="A97" s="33">
        <v>43424</v>
      </c>
      <c r="B97" s="34"/>
      <c r="C97" s="36" t="s">
        <v>63</v>
      </c>
      <c r="D97" s="36" t="s">
        <v>64</v>
      </c>
      <c r="E97" s="36" t="s">
        <v>120</v>
      </c>
      <c r="F97" s="37">
        <v>115125</v>
      </c>
      <c r="G97" s="38" t="s">
        <v>187</v>
      </c>
      <c r="H97" s="39"/>
      <c r="I97" s="39"/>
      <c r="J97" s="39"/>
      <c r="K97" s="39">
        <v>35</v>
      </c>
      <c r="L97" s="40"/>
      <c r="M97" s="78">
        <f t="shared" si="10"/>
        <v>31.249999999999996</v>
      </c>
      <c r="N97" s="78">
        <f t="shared" si="11"/>
        <v>3.7499999999999996</v>
      </c>
      <c r="O97" s="78">
        <f t="shared" si="12"/>
        <v>0</v>
      </c>
      <c r="P97" s="78"/>
      <c r="Q97" s="41"/>
      <c r="R97" s="41"/>
      <c r="S97" s="41">
        <v>31.25</v>
      </c>
      <c r="T97" s="42"/>
      <c r="U97" s="42"/>
      <c r="V97" s="42"/>
      <c r="W97" s="42"/>
      <c r="X97" s="42"/>
      <c r="Y97" s="41"/>
      <c r="Z97" s="41"/>
      <c r="AA97" s="41"/>
      <c r="AB97" s="41"/>
      <c r="AC97" s="42"/>
      <c r="AD97" s="42"/>
      <c r="AE97" s="41"/>
      <c r="AF97" s="41"/>
      <c r="AG97" s="78">
        <f t="shared" si="13"/>
        <v>-35</v>
      </c>
      <c r="AH97" s="45">
        <f t="shared" si="14"/>
        <v>0</v>
      </c>
    </row>
    <row r="98" spans="1:34" s="30" customFormat="1" ht="21.75" customHeight="1" x14ac:dyDescent="0.2">
      <c r="A98" s="18">
        <v>43425</v>
      </c>
      <c r="B98" s="19"/>
      <c r="C98" s="20" t="s">
        <v>705</v>
      </c>
      <c r="D98" s="20" t="s">
        <v>706</v>
      </c>
      <c r="E98" s="20" t="s">
        <v>707</v>
      </c>
      <c r="F98" s="21">
        <v>136573</v>
      </c>
      <c r="G98" s="22" t="s">
        <v>40</v>
      </c>
      <c r="H98" s="23"/>
      <c r="I98" s="23"/>
      <c r="J98" s="23"/>
      <c r="K98" s="23">
        <v>180</v>
      </c>
      <c r="L98" s="24"/>
      <c r="M98" s="69">
        <f t="shared" si="10"/>
        <v>160.71428571428569</v>
      </c>
      <c r="N98" s="69">
        <f t="shared" si="11"/>
        <v>19.285714285714281</v>
      </c>
      <c r="O98" s="69">
        <f t="shared" si="12"/>
        <v>0</v>
      </c>
      <c r="P98" s="69"/>
      <c r="Q98" s="25">
        <v>160.71</v>
      </c>
      <c r="R98" s="25"/>
      <c r="S98" s="25"/>
      <c r="T98" s="26"/>
      <c r="U98" s="26"/>
      <c r="V98" s="26"/>
      <c r="W98" s="26"/>
      <c r="X98" s="26"/>
      <c r="Y98" s="25"/>
      <c r="Z98" s="25"/>
      <c r="AA98" s="25"/>
      <c r="AB98" s="25"/>
      <c r="AC98" s="26"/>
      <c r="AD98" s="26"/>
      <c r="AE98" s="25"/>
      <c r="AF98" s="25"/>
      <c r="AG98" s="69">
        <f t="shared" si="13"/>
        <v>-179.99571428571429</v>
      </c>
      <c r="AH98" s="29">
        <f t="shared" si="14"/>
        <v>4.2857142857144481E-3</v>
      </c>
    </row>
    <row r="99" spans="1:34" s="30" customFormat="1" ht="21.75" customHeight="1" x14ac:dyDescent="0.2">
      <c r="A99" s="18">
        <v>43425</v>
      </c>
      <c r="B99" s="19"/>
      <c r="C99" s="20" t="s">
        <v>63</v>
      </c>
      <c r="D99" s="20" t="s">
        <v>64</v>
      </c>
      <c r="E99" s="20" t="s">
        <v>120</v>
      </c>
      <c r="F99" s="21">
        <v>126448</v>
      </c>
      <c r="G99" s="22" t="s">
        <v>1067</v>
      </c>
      <c r="H99" s="23"/>
      <c r="I99" s="23"/>
      <c r="J99" s="23"/>
      <c r="K99" s="23">
        <f>541.25+64.95</f>
        <v>606.20000000000005</v>
      </c>
      <c r="L99" s="24"/>
      <c r="M99" s="69">
        <f t="shared" si="10"/>
        <v>541.25</v>
      </c>
      <c r="N99" s="69">
        <f t="shared" si="11"/>
        <v>64.95</v>
      </c>
      <c r="O99" s="69">
        <f t="shared" si="12"/>
        <v>0</v>
      </c>
      <c r="P99" s="69">
        <v>541.25</v>
      </c>
      <c r="Q99" s="25"/>
      <c r="R99" s="25"/>
      <c r="S99" s="25"/>
      <c r="T99" s="26"/>
      <c r="U99" s="26"/>
      <c r="V99" s="26"/>
      <c r="W99" s="26"/>
      <c r="X99" s="26"/>
      <c r="Y99" s="25"/>
      <c r="Z99" s="25"/>
      <c r="AA99" s="25"/>
      <c r="AB99" s="25"/>
      <c r="AC99" s="26"/>
      <c r="AD99" s="26"/>
      <c r="AE99" s="25"/>
      <c r="AF99" s="25"/>
      <c r="AG99" s="69">
        <f t="shared" si="13"/>
        <v>-606.20000000000005</v>
      </c>
      <c r="AH99" s="29">
        <f t="shared" si="14"/>
        <v>0</v>
      </c>
    </row>
    <row r="100" spans="1:34" s="30" customFormat="1" ht="21.75" customHeight="1" x14ac:dyDescent="0.2">
      <c r="A100" s="18">
        <v>43425</v>
      </c>
      <c r="B100" s="19"/>
      <c r="C100" s="20" t="s">
        <v>63</v>
      </c>
      <c r="D100" s="20" t="s">
        <v>64</v>
      </c>
      <c r="E100" s="20" t="s">
        <v>120</v>
      </c>
      <c r="F100" s="21">
        <v>126448</v>
      </c>
      <c r="G100" s="22" t="s">
        <v>579</v>
      </c>
      <c r="H100" s="23"/>
      <c r="I100" s="23"/>
      <c r="J100" s="23">
        <v>297.89999999999998</v>
      </c>
      <c r="K100" s="23"/>
      <c r="L100" s="24"/>
      <c r="M100" s="69">
        <f t="shared" si="10"/>
        <v>297.89999999999998</v>
      </c>
      <c r="N100" s="69">
        <f t="shared" si="11"/>
        <v>0</v>
      </c>
      <c r="O100" s="69">
        <f t="shared" si="12"/>
        <v>0</v>
      </c>
      <c r="P100" s="69">
        <v>297.89999999999998</v>
      </c>
      <c r="Q100" s="25"/>
      <c r="R100" s="25"/>
      <c r="S100" s="25"/>
      <c r="T100" s="26"/>
      <c r="U100" s="26"/>
      <c r="V100" s="26"/>
      <c r="W100" s="26"/>
      <c r="X100" s="26"/>
      <c r="Y100" s="25"/>
      <c r="Z100" s="25"/>
      <c r="AA100" s="25"/>
      <c r="AB100" s="25"/>
      <c r="AC100" s="26"/>
      <c r="AD100" s="26"/>
      <c r="AE100" s="25"/>
      <c r="AF100" s="25"/>
      <c r="AG100" s="69">
        <f t="shared" si="13"/>
        <v>-297.89999999999998</v>
      </c>
      <c r="AH100" s="29">
        <f t="shared" si="14"/>
        <v>0</v>
      </c>
    </row>
    <row r="101" spans="1:34" s="30" customFormat="1" ht="21.75" customHeight="1" x14ac:dyDescent="0.2">
      <c r="A101" s="18">
        <v>43426</v>
      </c>
      <c r="B101" s="19"/>
      <c r="C101" s="20" t="s">
        <v>705</v>
      </c>
      <c r="D101" s="20" t="s">
        <v>706</v>
      </c>
      <c r="E101" s="20" t="s">
        <v>707</v>
      </c>
      <c r="F101" s="21">
        <v>139533</v>
      </c>
      <c r="G101" s="22" t="s">
        <v>40</v>
      </c>
      <c r="H101" s="23"/>
      <c r="I101" s="23"/>
      <c r="J101" s="23"/>
      <c r="K101" s="23">
        <v>180</v>
      </c>
      <c r="L101" s="24"/>
      <c r="M101" s="69">
        <f t="shared" ref="M101:M129" si="15">SUM(H101:J101,K101/1.12)</f>
        <v>160.71428571428569</v>
      </c>
      <c r="N101" s="69">
        <f t="shared" ref="N101:N129" si="16">K101/1.12*0.12</f>
        <v>19.285714285714281</v>
      </c>
      <c r="O101" s="69">
        <f t="shared" ref="O101:O129" si="17">-SUM(I101:J101,K101/1.12)*L101</f>
        <v>0</v>
      </c>
      <c r="P101" s="69"/>
      <c r="Q101" s="25">
        <v>160.71</v>
      </c>
      <c r="R101" s="25"/>
      <c r="S101" s="25"/>
      <c r="T101" s="26"/>
      <c r="U101" s="26"/>
      <c r="V101" s="26"/>
      <c r="W101" s="26"/>
      <c r="X101" s="26"/>
      <c r="Y101" s="25"/>
      <c r="Z101" s="25"/>
      <c r="AA101" s="25"/>
      <c r="AB101" s="25"/>
      <c r="AC101" s="26"/>
      <c r="AD101" s="26"/>
      <c r="AE101" s="25"/>
      <c r="AF101" s="25"/>
      <c r="AG101" s="69">
        <f t="shared" ref="AG101:AG129" si="18">-SUM(N101:AF101)</f>
        <v>-179.99571428571429</v>
      </c>
      <c r="AH101" s="29">
        <f t="shared" ref="AH101:AH129" si="19">SUM(H101:K101)+AG101+O101</f>
        <v>4.2857142857144481E-3</v>
      </c>
    </row>
    <row r="102" spans="1:34" s="30" customFormat="1" ht="21.75" customHeight="1" x14ac:dyDescent="0.2">
      <c r="A102" s="18">
        <v>43426</v>
      </c>
      <c r="B102" s="19"/>
      <c r="C102" s="20" t="s">
        <v>745</v>
      </c>
      <c r="D102" s="20" t="s">
        <v>812</v>
      </c>
      <c r="E102" s="20" t="s">
        <v>277</v>
      </c>
      <c r="F102" s="21">
        <v>32968</v>
      </c>
      <c r="G102" s="22" t="s">
        <v>1068</v>
      </c>
      <c r="H102" s="23"/>
      <c r="I102" s="23"/>
      <c r="J102" s="23"/>
      <c r="K102" s="23">
        <v>388.9</v>
      </c>
      <c r="L102" s="24"/>
      <c r="M102" s="69">
        <f t="shared" si="15"/>
        <v>347.23214285714278</v>
      </c>
      <c r="N102" s="69">
        <f t="shared" si="16"/>
        <v>41.66785714285713</v>
      </c>
      <c r="O102" s="69">
        <f t="shared" si="17"/>
        <v>0</v>
      </c>
      <c r="P102" s="69">
        <v>347.23</v>
      </c>
      <c r="Q102" s="25"/>
      <c r="R102" s="25"/>
      <c r="S102" s="25"/>
      <c r="T102" s="26"/>
      <c r="U102" s="26"/>
      <c r="V102" s="26"/>
      <c r="W102" s="26"/>
      <c r="X102" s="26"/>
      <c r="Y102" s="25"/>
      <c r="Z102" s="25"/>
      <c r="AA102" s="25"/>
      <c r="AB102" s="25"/>
      <c r="AC102" s="26"/>
      <c r="AD102" s="26"/>
      <c r="AE102" s="25"/>
      <c r="AF102" s="25"/>
      <c r="AG102" s="69">
        <f t="shared" si="18"/>
        <v>-388.89785714285716</v>
      </c>
      <c r="AH102" s="29">
        <f t="shared" si="19"/>
        <v>2.1428571428145915E-3</v>
      </c>
    </row>
    <row r="103" spans="1:34" s="30" customFormat="1" ht="21.75" customHeight="1" x14ac:dyDescent="0.2">
      <c r="A103" s="18">
        <v>43427</v>
      </c>
      <c r="B103" s="19"/>
      <c r="C103" s="20" t="s">
        <v>63</v>
      </c>
      <c r="D103" s="20" t="s">
        <v>64</v>
      </c>
      <c r="E103" s="20" t="s">
        <v>120</v>
      </c>
      <c r="F103" s="21">
        <v>124877</v>
      </c>
      <c r="G103" s="22" t="s">
        <v>1069</v>
      </c>
      <c r="H103" s="23"/>
      <c r="I103" s="23"/>
      <c r="J103" s="23"/>
      <c r="K103" s="23">
        <f>436.7+52.4</f>
        <v>489.09999999999997</v>
      </c>
      <c r="L103" s="24"/>
      <c r="M103" s="69">
        <f t="shared" si="15"/>
        <v>436.6964285714285</v>
      </c>
      <c r="N103" s="69">
        <f t="shared" si="16"/>
        <v>52.403571428571418</v>
      </c>
      <c r="O103" s="69">
        <f t="shared" si="17"/>
        <v>0</v>
      </c>
      <c r="P103" s="69">
        <v>436.7</v>
      </c>
      <c r="Q103" s="25"/>
      <c r="R103" s="25"/>
      <c r="S103" s="25"/>
      <c r="T103" s="26"/>
      <c r="U103" s="26"/>
      <c r="V103" s="26"/>
      <c r="W103" s="26"/>
      <c r="X103" s="26"/>
      <c r="Y103" s="25"/>
      <c r="Z103" s="25"/>
      <c r="AA103" s="25"/>
      <c r="AB103" s="25"/>
      <c r="AC103" s="26"/>
      <c r="AD103" s="26"/>
      <c r="AE103" s="25"/>
      <c r="AF103" s="25"/>
      <c r="AG103" s="69">
        <f t="shared" si="18"/>
        <v>-489.1035714285714</v>
      </c>
      <c r="AH103" s="29">
        <f t="shared" si="19"/>
        <v>-3.5714285714334437E-3</v>
      </c>
    </row>
    <row r="104" spans="1:34" s="30" customFormat="1" ht="21.75" customHeight="1" x14ac:dyDescent="0.2">
      <c r="A104" s="18">
        <v>43427</v>
      </c>
      <c r="B104" s="19"/>
      <c r="C104" s="20" t="s">
        <v>63</v>
      </c>
      <c r="D104" s="20" t="s">
        <v>64</v>
      </c>
      <c r="E104" s="20" t="s">
        <v>120</v>
      </c>
      <c r="F104" s="21">
        <v>124877</v>
      </c>
      <c r="G104" s="22" t="s">
        <v>1070</v>
      </c>
      <c r="H104" s="23"/>
      <c r="I104" s="23"/>
      <c r="J104" s="23">
        <v>547.25</v>
      </c>
      <c r="K104" s="23"/>
      <c r="L104" s="24"/>
      <c r="M104" s="69">
        <f t="shared" si="15"/>
        <v>547.25</v>
      </c>
      <c r="N104" s="69">
        <f t="shared" si="16"/>
        <v>0</v>
      </c>
      <c r="O104" s="69">
        <f t="shared" si="17"/>
        <v>0</v>
      </c>
      <c r="P104" s="69">
        <v>547.25</v>
      </c>
      <c r="Q104" s="25"/>
      <c r="R104" s="25"/>
      <c r="S104" s="25"/>
      <c r="T104" s="26"/>
      <c r="U104" s="26"/>
      <c r="V104" s="26"/>
      <c r="W104" s="26"/>
      <c r="X104" s="26"/>
      <c r="Y104" s="25"/>
      <c r="Z104" s="25"/>
      <c r="AA104" s="25"/>
      <c r="AB104" s="25"/>
      <c r="AC104" s="26"/>
      <c r="AD104" s="26"/>
      <c r="AE104" s="25"/>
      <c r="AF104" s="25"/>
      <c r="AG104" s="69">
        <f t="shared" si="18"/>
        <v>-547.25</v>
      </c>
      <c r="AH104" s="29">
        <f t="shared" si="19"/>
        <v>0</v>
      </c>
    </row>
    <row r="105" spans="1:34" s="30" customFormat="1" ht="21.75" customHeight="1" x14ac:dyDescent="0.2">
      <c r="A105" s="18">
        <v>43427</v>
      </c>
      <c r="B105" s="19"/>
      <c r="C105" s="20" t="s">
        <v>705</v>
      </c>
      <c r="D105" s="20" t="s">
        <v>706</v>
      </c>
      <c r="E105" s="20" t="s">
        <v>707</v>
      </c>
      <c r="F105" s="21">
        <v>136630</v>
      </c>
      <c r="G105" s="22" t="s">
        <v>40</v>
      </c>
      <c r="H105" s="23"/>
      <c r="I105" s="23"/>
      <c r="J105" s="23"/>
      <c r="K105" s="23">
        <v>180</v>
      </c>
      <c r="L105" s="24"/>
      <c r="M105" s="69">
        <f t="shared" si="15"/>
        <v>160.71428571428569</v>
      </c>
      <c r="N105" s="69">
        <f t="shared" si="16"/>
        <v>19.285714285714281</v>
      </c>
      <c r="O105" s="69">
        <f t="shared" si="17"/>
        <v>0</v>
      </c>
      <c r="P105" s="69"/>
      <c r="Q105" s="25">
        <v>160.71</v>
      </c>
      <c r="R105" s="25"/>
      <c r="S105" s="25"/>
      <c r="T105" s="26"/>
      <c r="U105" s="26"/>
      <c r="V105" s="26"/>
      <c r="W105" s="26"/>
      <c r="X105" s="26"/>
      <c r="Y105" s="25"/>
      <c r="Z105" s="25"/>
      <c r="AA105" s="25"/>
      <c r="AB105" s="25"/>
      <c r="AC105" s="26"/>
      <c r="AD105" s="26"/>
      <c r="AE105" s="25"/>
      <c r="AF105" s="25"/>
      <c r="AG105" s="69">
        <f t="shared" si="18"/>
        <v>-179.99571428571429</v>
      </c>
      <c r="AH105" s="29">
        <f t="shared" si="19"/>
        <v>4.2857142857144481E-3</v>
      </c>
    </row>
    <row r="106" spans="1:34" s="30" customFormat="1" ht="21.75" customHeight="1" x14ac:dyDescent="0.2">
      <c r="A106" s="18">
        <v>43427</v>
      </c>
      <c r="B106" s="19"/>
      <c r="C106" s="20" t="s">
        <v>745</v>
      </c>
      <c r="D106" s="20" t="s">
        <v>812</v>
      </c>
      <c r="E106" s="20" t="s">
        <v>277</v>
      </c>
      <c r="F106" s="21">
        <v>32996</v>
      </c>
      <c r="G106" s="22" t="s">
        <v>1071</v>
      </c>
      <c r="H106" s="23"/>
      <c r="I106" s="23"/>
      <c r="J106" s="23"/>
      <c r="K106" s="23">
        <v>69</v>
      </c>
      <c r="L106" s="24"/>
      <c r="M106" s="69">
        <f t="shared" si="15"/>
        <v>61.607142857142854</v>
      </c>
      <c r="N106" s="69">
        <f t="shared" si="16"/>
        <v>7.3928571428571423</v>
      </c>
      <c r="O106" s="69">
        <f t="shared" si="17"/>
        <v>0</v>
      </c>
      <c r="P106" s="69"/>
      <c r="Q106" s="25">
        <v>61.61</v>
      </c>
      <c r="R106" s="25"/>
      <c r="S106" s="25"/>
      <c r="T106" s="26"/>
      <c r="U106" s="26"/>
      <c r="V106" s="26"/>
      <c r="W106" s="26"/>
      <c r="X106" s="26"/>
      <c r="Y106" s="25"/>
      <c r="Z106" s="25"/>
      <c r="AA106" s="25"/>
      <c r="AB106" s="25"/>
      <c r="AC106" s="26"/>
      <c r="AD106" s="26"/>
      <c r="AE106" s="25"/>
      <c r="AF106" s="25"/>
      <c r="AG106" s="69">
        <f t="shared" si="18"/>
        <v>-69.002857142857138</v>
      </c>
      <c r="AH106" s="29">
        <f t="shared" si="19"/>
        <v>-2.8571428571382285E-3</v>
      </c>
    </row>
    <row r="107" spans="1:34" s="30" customFormat="1" ht="21.75" customHeight="1" x14ac:dyDescent="0.2">
      <c r="A107" s="18">
        <v>43428</v>
      </c>
      <c r="B107" s="19"/>
      <c r="C107" s="20" t="s">
        <v>705</v>
      </c>
      <c r="D107" s="20" t="s">
        <v>706</v>
      </c>
      <c r="E107" s="20" t="s">
        <v>707</v>
      </c>
      <c r="F107" s="21">
        <v>139599</v>
      </c>
      <c r="G107" s="22" t="s">
        <v>40</v>
      </c>
      <c r="H107" s="23"/>
      <c r="I107" s="23"/>
      <c r="J107" s="23"/>
      <c r="K107" s="23">
        <v>90</v>
      </c>
      <c r="L107" s="24"/>
      <c r="M107" s="69">
        <f t="shared" si="15"/>
        <v>80.357142857142847</v>
      </c>
      <c r="N107" s="69">
        <f t="shared" si="16"/>
        <v>9.6428571428571406</v>
      </c>
      <c r="O107" s="69">
        <f t="shared" si="17"/>
        <v>0</v>
      </c>
      <c r="P107" s="69"/>
      <c r="Q107" s="25">
        <v>80.36</v>
      </c>
      <c r="R107" s="25"/>
      <c r="S107" s="25"/>
      <c r="T107" s="26"/>
      <c r="U107" s="26"/>
      <c r="V107" s="26"/>
      <c r="W107" s="26"/>
      <c r="X107" s="26"/>
      <c r="Y107" s="25"/>
      <c r="Z107" s="25"/>
      <c r="AA107" s="25"/>
      <c r="AB107" s="25"/>
      <c r="AC107" s="26"/>
      <c r="AD107" s="26"/>
      <c r="AE107" s="25"/>
      <c r="AF107" s="25"/>
      <c r="AG107" s="69">
        <f t="shared" si="18"/>
        <v>-90.002857142857138</v>
      </c>
      <c r="AH107" s="29">
        <f t="shared" si="19"/>
        <v>-2.8571428571382285E-3</v>
      </c>
    </row>
    <row r="108" spans="1:34" s="30" customFormat="1" ht="21.75" customHeight="1" x14ac:dyDescent="0.2">
      <c r="A108" s="18">
        <v>43430</v>
      </c>
      <c r="B108" s="19"/>
      <c r="C108" s="20" t="s">
        <v>321</v>
      </c>
      <c r="D108" s="20" t="s">
        <v>1072</v>
      </c>
      <c r="E108" s="20" t="s">
        <v>277</v>
      </c>
      <c r="F108" s="21">
        <v>31899</v>
      </c>
      <c r="G108" s="22" t="s">
        <v>1073</v>
      </c>
      <c r="H108" s="23"/>
      <c r="I108" s="23"/>
      <c r="J108" s="23"/>
      <c r="K108" s="23">
        <v>88.75</v>
      </c>
      <c r="L108" s="24"/>
      <c r="M108" s="69">
        <f t="shared" si="15"/>
        <v>79.241071428571416</v>
      </c>
      <c r="N108" s="69">
        <f t="shared" si="16"/>
        <v>9.5089285714285694</v>
      </c>
      <c r="O108" s="69">
        <f t="shared" si="17"/>
        <v>0</v>
      </c>
      <c r="P108" s="69"/>
      <c r="Q108" s="25">
        <v>79.239999999999995</v>
      </c>
      <c r="R108" s="25"/>
      <c r="S108" s="25"/>
      <c r="T108" s="26"/>
      <c r="U108" s="26"/>
      <c r="V108" s="26"/>
      <c r="W108" s="26"/>
      <c r="X108" s="26"/>
      <c r="Y108" s="25"/>
      <c r="Z108" s="25"/>
      <c r="AA108" s="25"/>
      <c r="AB108" s="25"/>
      <c r="AC108" s="26"/>
      <c r="AD108" s="26"/>
      <c r="AE108" s="25"/>
      <c r="AF108" s="25"/>
      <c r="AG108" s="69">
        <f t="shared" si="18"/>
        <v>-88.748928571428564</v>
      </c>
      <c r="AH108" s="29">
        <f t="shared" si="19"/>
        <v>1.0714285714357175E-3</v>
      </c>
    </row>
    <row r="109" spans="1:34" s="30" customFormat="1" ht="21.75" customHeight="1" x14ac:dyDescent="0.2">
      <c r="A109" s="18">
        <v>43430</v>
      </c>
      <c r="B109" s="19"/>
      <c r="C109" s="20" t="s">
        <v>705</v>
      </c>
      <c r="D109" s="20" t="s">
        <v>706</v>
      </c>
      <c r="E109" s="20" t="s">
        <v>707</v>
      </c>
      <c r="F109" s="21">
        <v>146929</v>
      </c>
      <c r="G109" s="22" t="s">
        <v>40</v>
      </c>
      <c r="H109" s="23"/>
      <c r="I109" s="23"/>
      <c r="J109" s="23"/>
      <c r="K109" s="23">
        <v>180</v>
      </c>
      <c r="L109" s="24"/>
      <c r="M109" s="69">
        <f t="shared" si="15"/>
        <v>160.71428571428569</v>
      </c>
      <c r="N109" s="69">
        <f t="shared" si="16"/>
        <v>19.285714285714281</v>
      </c>
      <c r="O109" s="69">
        <f t="shared" si="17"/>
        <v>0</v>
      </c>
      <c r="P109" s="69"/>
      <c r="Q109" s="25">
        <v>160.71</v>
      </c>
      <c r="R109" s="25"/>
      <c r="S109" s="25"/>
      <c r="T109" s="26"/>
      <c r="U109" s="26"/>
      <c r="V109" s="26"/>
      <c r="W109" s="26"/>
      <c r="X109" s="26"/>
      <c r="Y109" s="25"/>
      <c r="Z109" s="25"/>
      <c r="AA109" s="25"/>
      <c r="AB109" s="25"/>
      <c r="AC109" s="26"/>
      <c r="AD109" s="26"/>
      <c r="AE109" s="25"/>
      <c r="AF109" s="25"/>
      <c r="AG109" s="69">
        <f t="shared" si="18"/>
        <v>-179.99571428571429</v>
      </c>
      <c r="AH109" s="29">
        <f t="shared" si="19"/>
        <v>4.2857142857144481E-3</v>
      </c>
    </row>
    <row r="110" spans="1:34" s="30" customFormat="1" ht="21.75" customHeight="1" x14ac:dyDescent="0.2">
      <c r="A110" s="18">
        <v>43430</v>
      </c>
      <c r="B110" s="19"/>
      <c r="C110" s="20" t="s">
        <v>975</v>
      </c>
      <c r="D110" s="20"/>
      <c r="E110" s="20"/>
      <c r="F110" s="21"/>
      <c r="G110" s="22" t="s">
        <v>1002</v>
      </c>
      <c r="H110" s="23"/>
      <c r="I110" s="23"/>
      <c r="J110" s="23">
        <v>1605</v>
      </c>
      <c r="K110" s="23"/>
      <c r="L110" s="24"/>
      <c r="M110" s="69">
        <f t="shared" si="15"/>
        <v>1605</v>
      </c>
      <c r="N110" s="69">
        <f t="shared" si="16"/>
        <v>0</v>
      </c>
      <c r="O110" s="69">
        <f t="shared" si="17"/>
        <v>0</v>
      </c>
      <c r="P110" s="69">
        <v>1605</v>
      </c>
      <c r="Q110" s="25"/>
      <c r="R110" s="25"/>
      <c r="S110" s="25"/>
      <c r="T110" s="26"/>
      <c r="U110" s="26"/>
      <c r="V110" s="26"/>
      <c r="W110" s="26"/>
      <c r="X110" s="26"/>
      <c r="Y110" s="25"/>
      <c r="Z110" s="25"/>
      <c r="AA110" s="25"/>
      <c r="AB110" s="25"/>
      <c r="AC110" s="26"/>
      <c r="AD110" s="26"/>
      <c r="AE110" s="25"/>
      <c r="AF110" s="25"/>
      <c r="AG110" s="69">
        <f t="shared" si="18"/>
        <v>-1605</v>
      </c>
      <c r="AH110" s="29">
        <f t="shared" si="19"/>
        <v>0</v>
      </c>
    </row>
    <row r="111" spans="1:34" s="30" customFormat="1" ht="21.75" customHeight="1" x14ac:dyDescent="0.2">
      <c r="A111" s="18">
        <v>43430</v>
      </c>
      <c r="B111" s="19"/>
      <c r="C111" s="20" t="s">
        <v>45</v>
      </c>
      <c r="D111" s="20"/>
      <c r="E111" s="20"/>
      <c r="F111" s="21"/>
      <c r="G111" s="22" t="s">
        <v>1074</v>
      </c>
      <c r="H111" s="23">
        <v>50</v>
      </c>
      <c r="I111" s="23"/>
      <c r="J111" s="23"/>
      <c r="K111" s="23"/>
      <c r="L111" s="24"/>
      <c r="M111" s="69">
        <f t="shared" si="15"/>
        <v>50</v>
      </c>
      <c r="N111" s="69">
        <f t="shared" si="16"/>
        <v>0</v>
      </c>
      <c r="O111" s="69">
        <f t="shared" si="17"/>
        <v>0</v>
      </c>
      <c r="P111" s="69"/>
      <c r="Q111" s="25"/>
      <c r="R111" s="25"/>
      <c r="S111" s="25"/>
      <c r="T111" s="26"/>
      <c r="U111" s="26"/>
      <c r="V111" s="26"/>
      <c r="W111" s="26"/>
      <c r="X111" s="26"/>
      <c r="Y111" s="25"/>
      <c r="Z111" s="25"/>
      <c r="AA111" s="25">
        <v>50</v>
      </c>
      <c r="AB111" s="25"/>
      <c r="AC111" s="26"/>
      <c r="AD111" s="26"/>
      <c r="AE111" s="25"/>
      <c r="AF111" s="25"/>
      <c r="AG111" s="69">
        <f t="shared" si="18"/>
        <v>-50</v>
      </c>
      <c r="AH111" s="29">
        <f t="shared" si="19"/>
        <v>0</v>
      </c>
    </row>
    <row r="112" spans="1:34" s="30" customFormat="1" ht="21.75" customHeight="1" x14ac:dyDescent="0.2">
      <c r="A112" s="18">
        <v>43430</v>
      </c>
      <c r="B112" s="19"/>
      <c r="C112" s="20" t="s">
        <v>614</v>
      </c>
      <c r="D112" s="20"/>
      <c r="E112" s="20"/>
      <c r="F112" s="21"/>
      <c r="G112" s="22" t="s">
        <v>644</v>
      </c>
      <c r="H112" s="23">
        <v>502</v>
      </c>
      <c r="I112" s="23"/>
      <c r="J112" s="23"/>
      <c r="K112" s="23"/>
      <c r="L112" s="24"/>
      <c r="M112" s="69">
        <f t="shared" si="15"/>
        <v>502</v>
      </c>
      <c r="N112" s="69">
        <f t="shared" si="16"/>
        <v>0</v>
      </c>
      <c r="O112" s="69">
        <f t="shared" si="17"/>
        <v>0</v>
      </c>
      <c r="P112" s="69"/>
      <c r="Q112" s="25"/>
      <c r="R112" s="25"/>
      <c r="S112" s="25"/>
      <c r="T112" s="26"/>
      <c r="U112" s="26"/>
      <c r="V112" s="26"/>
      <c r="W112" s="26"/>
      <c r="X112" s="26"/>
      <c r="Y112" s="25"/>
      <c r="Z112" s="25"/>
      <c r="AA112" s="25"/>
      <c r="AB112" s="25">
        <v>502</v>
      </c>
      <c r="AC112" s="26"/>
      <c r="AD112" s="26"/>
      <c r="AE112" s="25"/>
      <c r="AF112" s="25"/>
      <c r="AG112" s="69">
        <f t="shared" si="18"/>
        <v>-502</v>
      </c>
      <c r="AH112" s="29">
        <f t="shared" si="19"/>
        <v>0</v>
      </c>
    </row>
    <row r="113" spans="1:34" s="30" customFormat="1" ht="21.75" customHeight="1" x14ac:dyDescent="0.2">
      <c r="A113" s="18">
        <v>43431</v>
      </c>
      <c r="B113" s="19"/>
      <c r="C113" s="20" t="s">
        <v>705</v>
      </c>
      <c r="D113" s="20" t="s">
        <v>706</v>
      </c>
      <c r="E113" s="20" t="s">
        <v>707</v>
      </c>
      <c r="F113" s="21">
        <v>139672</v>
      </c>
      <c r="G113" s="22" t="s">
        <v>40</v>
      </c>
      <c r="H113" s="23"/>
      <c r="I113" s="23"/>
      <c r="J113" s="23"/>
      <c r="K113" s="23">
        <v>180</v>
      </c>
      <c r="L113" s="24"/>
      <c r="M113" s="69">
        <f t="shared" si="15"/>
        <v>160.71428571428569</v>
      </c>
      <c r="N113" s="69">
        <f t="shared" si="16"/>
        <v>19.285714285714281</v>
      </c>
      <c r="O113" s="69">
        <f t="shared" si="17"/>
        <v>0</v>
      </c>
      <c r="P113" s="69"/>
      <c r="Q113" s="25">
        <v>160.71</v>
      </c>
      <c r="R113" s="25"/>
      <c r="S113" s="25"/>
      <c r="T113" s="26"/>
      <c r="U113" s="26"/>
      <c r="V113" s="26"/>
      <c r="W113" s="26"/>
      <c r="X113" s="26"/>
      <c r="Y113" s="25"/>
      <c r="Z113" s="25"/>
      <c r="AA113" s="25"/>
      <c r="AB113" s="25"/>
      <c r="AC113" s="26"/>
      <c r="AD113" s="26"/>
      <c r="AE113" s="25"/>
      <c r="AF113" s="25"/>
      <c r="AG113" s="69">
        <f t="shared" si="18"/>
        <v>-179.99571428571429</v>
      </c>
      <c r="AH113" s="29">
        <f t="shared" si="19"/>
        <v>4.2857142857144481E-3</v>
      </c>
    </row>
    <row r="114" spans="1:34" s="30" customFormat="1" ht="21.75" customHeight="1" x14ac:dyDescent="0.2">
      <c r="A114" s="18">
        <v>43431</v>
      </c>
      <c r="B114" s="19"/>
      <c r="C114" s="20" t="s">
        <v>324</v>
      </c>
      <c r="D114" s="20"/>
      <c r="E114" s="20"/>
      <c r="F114" s="21"/>
      <c r="G114" s="22" t="s">
        <v>1075</v>
      </c>
      <c r="H114" s="23">
        <v>2500</v>
      </c>
      <c r="I114" s="23"/>
      <c r="J114" s="23"/>
      <c r="K114" s="23"/>
      <c r="L114" s="24"/>
      <c r="M114" s="69">
        <f t="shared" si="15"/>
        <v>2500</v>
      </c>
      <c r="N114" s="69">
        <f t="shared" si="16"/>
        <v>0</v>
      </c>
      <c r="O114" s="69">
        <f t="shared" si="17"/>
        <v>0</v>
      </c>
      <c r="P114" s="69"/>
      <c r="Q114" s="25"/>
      <c r="R114" s="25"/>
      <c r="S114" s="25"/>
      <c r="T114" s="26"/>
      <c r="U114" s="26"/>
      <c r="V114" s="26"/>
      <c r="W114" s="26"/>
      <c r="X114" s="26"/>
      <c r="Y114" s="25">
        <v>2500</v>
      </c>
      <c r="Z114" s="25"/>
      <c r="AA114" s="25"/>
      <c r="AB114" s="25"/>
      <c r="AC114" s="26"/>
      <c r="AD114" s="26"/>
      <c r="AE114" s="25"/>
      <c r="AF114" s="25"/>
      <c r="AG114" s="69">
        <f t="shared" si="18"/>
        <v>-2500</v>
      </c>
      <c r="AH114" s="29">
        <f t="shared" si="19"/>
        <v>0</v>
      </c>
    </row>
    <row r="115" spans="1:34" s="30" customFormat="1" ht="21.75" customHeight="1" x14ac:dyDescent="0.2">
      <c r="A115" s="18">
        <v>43431</v>
      </c>
      <c r="B115" s="19"/>
      <c r="C115" s="20" t="s">
        <v>1076</v>
      </c>
      <c r="D115" s="20" t="s">
        <v>1077</v>
      </c>
      <c r="E115" s="20" t="s">
        <v>1078</v>
      </c>
      <c r="F115" s="21">
        <v>46</v>
      </c>
      <c r="G115" s="22" t="s">
        <v>1079</v>
      </c>
      <c r="H115" s="23"/>
      <c r="I115" s="23"/>
      <c r="J115" s="23"/>
      <c r="K115" s="23">
        <v>120</v>
      </c>
      <c r="L115" s="24"/>
      <c r="M115" s="69">
        <f t="shared" si="15"/>
        <v>107.14285714285714</v>
      </c>
      <c r="N115" s="69">
        <f t="shared" si="16"/>
        <v>12.857142857142856</v>
      </c>
      <c r="O115" s="69">
        <f t="shared" si="17"/>
        <v>0</v>
      </c>
      <c r="P115" s="69"/>
      <c r="Q115" s="25"/>
      <c r="R115" s="25"/>
      <c r="S115" s="25"/>
      <c r="T115" s="26"/>
      <c r="U115" s="26">
        <v>107.14</v>
      </c>
      <c r="V115" s="26"/>
      <c r="W115" s="26"/>
      <c r="X115" s="26"/>
      <c r="Y115" s="25"/>
      <c r="Z115" s="25"/>
      <c r="AA115" s="25"/>
      <c r="AB115" s="25"/>
      <c r="AC115" s="26"/>
      <c r="AD115" s="26"/>
      <c r="AE115" s="25"/>
      <c r="AF115" s="25"/>
      <c r="AG115" s="69">
        <f t="shared" si="18"/>
        <v>-119.99714285714286</v>
      </c>
      <c r="AH115" s="29">
        <f t="shared" si="19"/>
        <v>2.8571428571382285E-3</v>
      </c>
    </row>
    <row r="116" spans="1:34" s="30" customFormat="1" ht="21.75" customHeight="1" x14ac:dyDescent="0.2">
      <c r="A116" s="18">
        <v>43431</v>
      </c>
      <c r="B116" s="19"/>
      <c r="C116" s="20" t="s">
        <v>745</v>
      </c>
      <c r="D116" s="20" t="s">
        <v>812</v>
      </c>
      <c r="E116" s="20" t="s">
        <v>277</v>
      </c>
      <c r="F116" s="21">
        <v>32894</v>
      </c>
      <c r="G116" s="22" t="s">
        <v>1080</v>
      </c>
      <c r="H116" s="23"/>
      <c r="I116" s="23"/>
      <c r="J116" s="23"/>
      <c r="K116" s="23">
        <v>379</v>
      </c>
      <c r="L116" s="24"/>
      <c r="M116" s="69">
        <f t="shared" si="15"/>
        <v>338.39285714285711</v>
      </c>
      <c r="N116" s="69">
        <f t="shared" si="16"/>
        <v>40.607142857142854</v>
      </c>
      <c r="O116" s="69">
        <f t="shared" si="17"/>
        <v>0</v>
      </c>
      <c r="P116" s="69">
        <v>338.39</v>
      </c>
      <c r="Q116" s="25"/>
      <c r="R116" s="25"/>
      <c r="S116" s="25"/>
      <c r="T116" s="26"/>
      <c r="U116" s="26"/>
      <c r="V116" s="26"/>
      <c r="W116" s="26"/>
      <c r="X116" s="26"/>
      <c r="Y116" s="25"/>
      <c r="Z116" s="25"/>
      <c r="AA116" s="25"/>
      <c r="AB116" s="25"/>
      <c r="AC116" s="26"/>
      <c r="AD116" s="26"/>
      <c r="AE116" s="25"/>
      <c r="AF116" s="25"/>
      <c r="AG116" s="69">
        <f t="shared" si="18"/>
        <v>-378.99714285714282</v>
      </c>
      <c r="AH116" s="29">
        <f t="shared" si="19"/>
        <v>2.857142857180861E-3</v>
      </c>
    </row>
    <row r="117" spans="1:34" s="30" customFormat="1" ht="21.75" customHeight="1" x14ac:dyDescent="0.2">
      <c r="A117" s="18">
        <v>43432</v>
      </c>
      <c r="B117" s="19"/>
      <c r="C117" s="20" t="s">
        <v>705</v>
      </c>
      <c r="D117" s="20" t="s">
        <v>706</v>
      </c>
      <c r="E117" s="20" t="s">
        <v>707</v>
      </c>
      <c r="F117" s="21">
        <v>146970</v>
      </c>
      <c r="G117" s="22" t="s">
        <v>40</v>
      </c>
      <c r="H117" s="23"/>
      <c r="I117" s="23"/>
      <c r="J117" s="23"/>
      <c r="K117" s="23">
        <v>180</v>
      </c>
      <c r="L117" s="24"/>
      <c r="M117" s="69">
        <f t="shared" si="15"/>
        <v>160.71428571428569</v>
      </c>
      <c r="N117" s="69">
        <f t="shared" si="16"/>
        <v>19.285714285714281</v>
      </c>
      <c r="O117" s="69">
        <f t="shared" si="17"/>
        <v>0</v>
      </c>
      <c r="P117" s="69"/>
      <c r="Q117" s="25">
        <v>160.71</v>
      </c>
      <c r="R117" s="25"/>
      <c r="S117" s="25"/>
      <c r="T117" s="26"/>
      <c r="U117" s="26"/>
      <c r="V117" s="26"/>
      <c r="W117" s="26"/>
      <c r="X117" s="26"/>
      <c r="Y117" s="25"/>
      <c r="Z117" s="25"/>
      <c r="AA117" s="25"/>
      <c r="AB117" s="25"/>
      <c r="AC117" s="26"/>
      <c r="AD117" s="26"/>
      <c r="AE117" s="25"/>
      <c r="AF117" s="25"/>
      <c r="AG117" s="69">
        <f t="shared" si="18"/>
        <v>-179.99571428571429</v>
      </c>
      <c r="AH117" s="29">
        <f t="shared" si="19"/>
        <v>4.2857142857144481E-3</v>
      </c>
    </row>
    <row r="118" spans="1:34" s="30" customFormat="1" ht="21.75" customHeight="1" x14ac:dyDescent="0.2">
      <c r="A118" s="18">
        <v>43432</v>
      </c>
      <c r="B118" s="19"/>
      <c r="C118" s="20" t="s">
        <v>63</v>
      </c>
      <c r="D118" s="20" t="s">
        <v>64</v>
      </c>
      <c r="E118" s="20" t="s">
        <v>120</v>
      </c>
      <c r="F118" s="21">
        <v>116213</v>
      </c>
      <c r="G118" s="22" t="s">
        <v>1081</v>
      </c>
      <c r="H118" s="23"/>
      <c r="I118" s="23"/>
      <c r="J118" s="23"/>
      <c r="K118" s="23">
        <f>1046.83+125.62</f>
        <v>1172.4499999999998</v>
      </c>
      <c r="L118" s="24"/>
      <c r="M118" s="69">
        <f t="shared" si="15"/>
        <v>1046.8303571428569</v>
      </c>
      <c r="N118" s="69">
        <f t="shared" si="16"/>
        <v>125.61964285714282</v>
      </c>
      <c r="O118" s="69">
        <f t="shared" si="17"/>
        <v>0</v>
      </c>
      <c r="P118" s="69">
        <v>1046.83</v>
      </c>
      <c r="Q118" s="25"/>
      <c r="R118" s="25"/>
      <c r="S118" s="25"/>
      <c r="T118" s="26"/>
      <c r="U118" s="26"/>
      <c r="V118" s="26"/>
      <c r="W118" s="26"/>
      <c r="X118" s="26"/>
      <c r="Y118" s="25"/>
      <c r="Z118" s="25"/>
      <c r="AA118" s="25"/>
      <c r="AB118" s="25"/>
      <c r="AC118" s="26"/>
      <c r="AD118" s="26"/>
      <c r="AE118" s="25"/>
      <c r="AF118" s="25"/>
      <c r="AG118" s="69">
        <f t="shared" si="18"/>
        <v>-1172.4496428571429</v>
      </c>
      <c r="AH118" s="29">
        <f t="shared" si="19"/>
        <v>3.5714285695576109E-4</v>
      </c>
    </row>
    <row r="119" spans="1:34" s="30" customFormat="1" ht="21.75" customHeight="1" x14ac:dyDescent="0.2">
      <c r="A119" s="18">
        <v>43432</v>
      </c>
      <c r="B119" s="19"/>
      <c r="C119" s="20" t="s">
        <v>63</v>
      </c>
      <c r="D119" s="20" t="s">
        <v>64</v>
      </c>
      <c r="E119" s="20" t="s">
        <v>120</v>
      </c>
      <c r="F119" s="21">
        <v>116213</v>
      </c>
      <c r="G119" s="22" t="s">
        <v>404</v>
      </c>
      <c r="H119" s="23"/>
      <c r="I119" s="23"/>
      <c r="J119" s="23">
        <v>99.35</v>
      </c>
      <c r="K119" s="23"/>
      <c r="L119" s="24"/>
      <c r="M119" s="69">
        <f t="shared" si="15"/>
        <v>99.35</v>
      </c>
      <c r="N119" s="69">
        <f t="shared" si="16"/>
        <v>0</v>
      </c>
      <c r="O119" s="69">
        <f t="shared" si="17"/>
        <v>0</v>
      </c>
      <c r="P119" s="69">
        <v>99.35</v>
      </c>
      <c r="Q119" s="25"/>
      <c r="R119" s="25"/>
      <c r="S119" s="25"/>
      <c r="T119" s="26"/>
      <c r="U119" s="26"/>
      <c r="V119" s="26"/>
      <c r="W119" s="26"/>
      <c r="X119" s="26"/>
      <c r="Y119" s="25"/>
      <c r="Z119" s="25"/>
      <c r="AA119" s="25"/>
      <c r="AB119" s="25"/>
      <c r="AC119" s="26"/>
      <c r="AD119" s="26"/>
      <c r="AE119" s="25"/>
      <c r="AF119" s="25"/>
      <c r="AG119" s="69">
        <f t="shared" si="18"/>
        <v>-99.35</v>
      </c>
      <c r="AH119" s="29">
        <f t="shared" si="19"/>
        <v>0</v>
      </c>
    </row>
    <row r="120" spans="1:34" s="46" customFormat="1" ht="21.75" customHeight="1" x14ac:dyDescent="0.2">
      <c r="A120" s="33">
        <v>43432</v>
      </c>
      <c r="B120" s="34"/>
      <c r="C120" s="36" t="s">
        <v>1082</v>
      </c>
      <c r="D120" s="36"/>
      <c r="E120" s="36"/>
      <c r="F120" s="37"/>
      <c r="G120" s="38" t="s">
        <v>1083</v>
      </c>
      <c r="H120" s="39">
        <v>58</v>
      </c>
      <c r="I120" s="39"/>
      <c r="J120" s="39"/>
      <c r="K120" s="39"/>
      <c r="L120" s="40"/>
      <c r="M120" s="78">
        <f t="shared" si="15"/>
        <v>58</v>
      </c>
      <c r="N120" s="78">
        <f t="shared" si="16"/>
        <v>0</v>
      </c>
      <c r="O120" s="78">
        <f t="shared" si="17"/>
        <v>0</v>
      </c>
      <c r="P120" s="78">
        <v>58</v>
      </c>
      <c r="Q120" s="41"/>
      <c r="R120" s="41"/>
      <c r="S120" s="41"/>
      <c r="T120" s="42"/>
      <c r="U120" s="42"/>
      <c r="V120" s="42"/>
      <c r="W120" s="42"/>
      <c r="X120" s="42"/>
      <c r="Y120" s="41"/>
      <c r="Z120" s="41"/>
      <c r="AA120" s="41"/>
      <c r="AB120" s="41"/>
      <c r="AC120" s="42"/>
      <c r="AD120" s="42"/>
      <c r="AE120" s="41"/>
      <c r="AF120" s="41"/>
      <c r="AG120" s="78">
        <f t="shared" si="18"/>
        <v>-58</v>
      </c>
      <c r="AH120" s="45">
        <f t="shared" si="19"/>
        <v>0</v>
      </c>
    </row>
    <row r="121" spans="1:34" s="30" customFormat="1" ht="21.75" customHeight="1" x14ac:dyDescent="0.2">
      <c r="A121" s="18">
        <v>43432</v>
      </c>
      <c r="B121" s="19"/>
      <c r="C121" s="20" t="s">
        <v>745</v>
      </c>
      <c r="D121" s="20" t="s">
        <v>812</v>
      </c>
      <c r="E121" s="20" t="s">
        <v>277</v>
      </c>
      <c r="F121" s="21">
        <v>33028</v>
      </c>
      <c r="G121" s="22" t="s">
        <v>1084</v>
      </c>
      <c r="H121" s="23"/>
      <c r="I121" s="23"/>
      <c r="J121" s="23"/>
      <c r="K121" s="23">
        <v>81</v>
      </c>
      <c r="L121" s="24"/>
      <c r="M121" s="69">
        <f t="shared" si="15"/>
        <v>72.321428571428569</v>
      </c>
      <c r="N121" s="69">
        <f t="shared" si="16"/>
        <v>8.6785714285714288</v>
      </c>
      <c r="O121" s="69">
        <f t="shared" si="17"/>
        <v>0</v>
      </c>
      <c r="P121" s="69">
        <v>72.319999999999993</v>
      </c>
      <c r="Q121" s="25"/>
      <c r="R121" s="25"/>
      <c r="S121" s="25"/>
      <c r="T121" s="26"/>
      <c r="U121" s="26"/>
      <c r="V121" s="26"/>
      <c r="W121" s="26"/>
      <c r="X121" s="26"/>
      <c r="Y121" s="25"/>
      <c r="Z121" s="25"/>
      <c r="AA121" s="25"/>
      <c r="AB121" s="25"/>
      <c r="AC121" s="26"/>
      <c r="AD121" s="26"/>
      <c r="AE121" s="25"/>
      <c r="AF121" s="25"/>
      <c r="AG121" s="69">
        <f t="shared" si="18"/>
        <v>-80.998571428571424</v>
      </c>
      <c r="AH121" s="29">
        <f t="shared" si="19"/>
        <v>1.4285714285762197E-3</v>
      </c>
    </row>
    <row r="122" spans="1:34" s="30" customFormat="1" ht="21.75" customHeight="1" x14ac:dyDescent="0.2">
      <c r="A122" s="18">
        <v>43432</v>
      </c>
      <c r="B122" s="19"/>
      <c r="C122" s="20" t="s">
        <v>63</v>
      </c>
      <c r="D122" s="20" t="s">
        <v>64</v>
      </c>
      <c r="E122" s="20" t="s">
        <v>120</v>
      </c>
      <c r="F122" s="21">
        <v>157365</v>
      </c>
      <c r="G122" s="22" t="s">
        <v>455</v>
      </c>
      <c r="H122" s="23"/>
      <c r="I122" s="23"/>
      <c r="J122" s="23">
        <v>352.5</v>
      </c>
      <c r="K122" s="23"/>
      <c r="L122" s="24"/>
      <c r="M122" s="69">
        <f t="shared" si="15"/>
        <v>352.5</v>
      </c>
      <c r="N122" s="69">
        <f t="shared" si="16"/>
        <v>0</v>
      </c>
      <c r="O122" s="69">
        <f t="shared" si="17"/>
        <v>0</v>
      </c>
      <c r="P122" s="69">
        <v>352.5</v>
      </c>
      <c r="Q122" s="25"/>
      <c r="R122" s="25"/>
      <c r="S122" s="25"/>
      <c r="T122" s="26"/>
      <c r="U122" s="26"/>
      <c r="V122" s="26"/>
      <c r="W122" s="26"/>
      <c r="X122" s="26"/>
      <c r="Y122" s="25"/>
      <c r="Z122" s="25"/>
      <c r="AA122" s="25"/>
      <c r="AB122" s="25"/>
      <c r="AC122" s="26"/>
      <c r="AD122" s="26"/>
      <c r="AE122" s="25"/>
      <c r="AF122" s="25"/>
      <c r="AG122" s="69">
        <f t="shared" si="18"/>
        <v>-352.5</v>
      </c>
      <c r="AH122" s="29">
        <f t="shared" si="19"/>
        <v>0</v>
      </c>
    </row>
    <row r="123" spans="1:34" s="30" customFormat="1" ht="21.75" customHeight="1" x14ac:dyDescent="0.2">
      <c r="A123" s="18">
        <v>43432</v>
      </c>
      <c r="B123" s="19"/>
      <c r="C123" s="20" t="s">
        <v>63</v>
      </c>
      <c r="D123" s="20" t="s">
        <v>64</v>
      </c>
      <c r="E123" s="20" t="s">
        <v>120</v>
      </c>
      <c r="F123" s="21">
        <v>157365</v>
      </c>
      <c r="G123" s="22" t="s">
        <v>1085</v>
      </c>
      <c r="H123" s="23"/>
      <c r="I123" s="23"/>
      <c r="J123" s="23"/>
      <c r="K123" s="23">
        <f>135.71+16.29</f>
        <v>152</v>
      </c>
      <c r="L123" s="24"/>
      <c r="M123" s="69">
        <f t="shared" si="15"/>
        <v>135.71428571428569</v>
      </c>
      <c r="N123" s="69">
        <f t="shared" si="16"/>
        <v>16.285714285714281</v>
      </c>
      <c r="O123" s="69">
        <f t="shared" si="17"/>
        <v>0</v>
      </c>
      <c r="P123" s="69">
        <v>135.71</v>
      </c>
      <c r="Q123" s="25"/>
      <c r="R123" s="25"/>
      <c r="S123" s="25"/>
      <c r="T123" s="26"/>
      <c r="U123" s="26"/>
      <c r="V123" s="26"/>
      <c r="W123" s="26"/>
      <c r="X123" s="26"/>
      <c r="Y123" s="25"/>
      <c r="Z123" s="25"/>
      <c r="AA123" s="25"/>
      <c r="AB123" s="25"/>
      <c r="AC123" s="26"/>
      <c r="AD123" s="26"/>
      <c r="AE123" s="25"/>
      <c r="AF123" s="25"/>
      <c r="AG123" s="69">
        <f t="shared" si="18"/>
        <v>-151.99571428571429</v>
      </c>
      <c r="AH123" s="29">
        <f t="shared" si="19"/>
        <v>4.2857142857144481E-3</v>
      </c>
    </row>
    <row r="124" spans="1:34" s="30" customFormat="1" ht="21.75" customHeight="1" x14ac:dyDescent="0.2">
      <c r="A124" s="18">
        <v>43432</v>
      </c>
      <c r="B124" s="19"/>
      <c r="C124" s="20" t="s">
        <v>745</v>
      </c>
      <c r="D124" s="20" t="s">
        <v>812</v>
      </c>
      <c r="E124" s="20" t="s">
        <v>277</v>
      </c>
      <c r="F124" s="21">
        <v>32999</v>
      </c>
      <c r="G124" s="22" t="s">
        <v>1086</v>
      </c>
      <c r="H124" s="23"/>
      <c r="I124" s="23"/>
      <c r="J124" s="23"/>
      <c r="K124" s="23">
        <v>172.5</v>
      </c>
      <c r="L124" s="24"/>
      <c r="M124" s="69">
        <f t="shared" si="15"/>
        <v>154.01785714285714</v>
      </c>
      <c r="N124" s="69">
        <f t="shared" si="16"/>
        <v>18.482142857142858</v>
      </c>
      <c r="O124" s="69">
        <f t="shared" si="17"/>
        <v>0</v>
      </c>
      <c r="P124" s="69"/>
      <c r="Q124" s="25">
        <v>154.02000000000001</v>
      </c>
      <c r="R124" s="25"/>
      <c r="S124" s="25"/>
      <c r="T124" s="26"/>
      <c r="U124" s="26"/>
      <c r="V124" s="26"/>
      <c r="W124" s="26"/>
      <c r="X124" s="26"/>
      <c r="Y124" s="25"/>
      <c r="Z124" s="25"/>
      <c r="AA124" s="25"/>
      <c r="AB124" s="25"/>
      <c r="AC124" s="26"/>
      <c r="AD124" s="26"/>
      <c r="AE124" s="25"/>
      <c r="AF124" s="25"/>
      <c r="AG124" s="69">
        <f t="shared" si="18"/>
        <v>-172.50214285714287</v>
      </c>
      <c r="AH124" s="29">
        <f t="shared" si="19"/>
        <v>-2.1428571428714349E-3</v>
      </c>
    </row>
    <row r="125" spans="1:34" s="30" customFormat="1" ht="21.75" customHeight="1" x14ac:dyDescent="0.2">
      <c r="A125" s="18">
        <v>43432</v>
      </c>
      <c r="B125" s="19"/>
      <c r="C125" s="20" t="s">
        <v>41</v>
      </c>
      <c r="D125" s="20" t="s">
        <v>88</v>
      </c>
      <c r="E125" s="20" t="s">
        <v>43</v>
      </c>
      <c r="F125" s="21">
        <v>2772</v>
      </c>
      <c r="G125" s="22" t="s">
        <v>90</v>
      </c>
      <c r="H125" s="23"/>
      <c r="I125" s="23"/>
      <c r="J125" s="23">
        <v>270</v>
      </c>
      <c r="K125" s="23"/>
      <c r="L125" s="24"/>
      <c r="M125" s="69">
        <f t="shared" si="15"/>
        <v>270</v>
      </c>
      <c r="N125" s="69">
        <f t="shared" si="16"/>
        <v>0</v>
      </c>
      <c r="O125" s="69">
        <f t="shared" si="17"/>
        <v>0</v>
      </c>
      <c r="P125" s="69">
        <v>270</v>
      </c>
      <c r="Q125" s="25"/>
      <c r="R125" s="25"/>
      <c r="S125" s="25"/>
      <c r="T125" s="26"/>
      <c r="U125" s="26"/>
      <c r="V125" s="26"/>
      <c r="W125" s="26"/>
      <c r="X125" s="26"/>
      <c r="Y125" s="25"/>
      <c r="Z125" s="25"/>
      <c r="AA125" s="25"/>
      <c r="AB125" s="25"/>
      <c r="AC125" s="26"/>
      <c r="AD125" s="26"/>
      <c r="AE125" s="25"/>
      <c r="AF125" s="25"/>
      <c r="AG125" s="69">
        <f t="shared" si="18"/>
        <v>-270</v>
      </c>
      <c r="AH125" s="29">
        <f t="shared" si="19"/>
        <v>0</v>
      </c>
    </row>
    <row r="126" spans="1:34" s="30" customFormat="1" ht="21.75" customHeight="1" x14ac:dyDescent="0.2">
      <c r="A126" s="18">
        <v>43433</v>
      </c>
      <c r="B126" s="19"/>
      <c r="C126" s="20" t="s">
        <v>63</v>
      </c>
      <c r="D126" s="20" t="s">
        <v>64</v>
      </c>
      <c r="E126" s="20" t="s">
        <v>120</v>
      </c>
      <c r="F126" s="21">
        <v>136801</v>
      </c>
      <c r="G126" s="22" t="s">
        <v>1087</v>
      </c>
      <c r="H126" s="23"/>
      <c r="I126" s="23"/>
      <c r="J126" s="23"/>
      <c r="K126" s="23">
        <v>165</v>
      </c>
      <c r="L126" s="24"/>
      <c r="M126" s="69">
        <f t="shared" si="15"/>
        <v>147.32142857142856</v>
      </c>
      <c r="N126" s="69">
        <f t="shared" si="16"/>
        <v>17.678571428571427</v>
      </c>
      <c r="O126" s="69">
        <f t="shared" si="17"/>
        <v>0</v>
      </c>
      <c r="P126" s="69">
        <v>147.32</v>
      </c>
      <c r="Q126" s="25"/>
      <c r="R126" s="25"/>
      <c r="S126" s="25"/>
      <c r="T126" s="26"/>
      <c r="U126" s="26"/>
      <c r="V126" s="26"/>
      <c r="W126" s="26"/>
      <c r="X126" s="26"/>
      <c r="Y126" s="25"/>
      <c r="Z126" s="25"/>
      <c r="AA126" s="25"/>
      <c r="AB126" s="25"/>
      <c r="AC126" s="26"/>
      <c r="AD126" s="26"/>
      <c r="AE126" s="25"/>
      <c r="AF126" s="25"/>
      <c r="AG126" s="69">
        <f t="shared" si="18"/>
        <v>-164.99857142857141</v>
      </c>
      <c r="AH126" s="29">
        <f t="shared" si="19"/>
        <v>1.4285714285904305E-3</v>
      </c>
    </row>
    <row r="127" spans="1:34" s="30" customFormat="1" ht="21.75" customHeight="1" x14ac:dyDescent="0.2">
      <c r="A127" s="18">
        <v>43433</v>
      </c>
      <c r="B127" s="19"/>
      <c r="C127" s="20" t="s">
        <v>63</v>
      </c>
      <c r="D127" s="20" t="s">
        <v>64</v>
      </c>
      <c r="E127" s="20" t="s">
        <v>120</v>
      </c>
      <c r="F127" s="21">
        <v>136801</v>
      </c>
      <c r="G127" s="22" t="s">
        <v>455</v>
      </c>
      <c r="H127" s="23"/>
      <c r="I127" s="23"/>
      <c r="J127" s="23">
        <f>66.5+59.4</f>
        <v>125.9</v>
      </c>
      <c r="K127" s="23"/>
      <c r="L127" s="24"/>
      <c r="M127" s="69">
        <f t="shared" si="15"/>
        <v>125.9</v>
      </c>
      <c r="N127" s="69">
        <f t="shared" si="16"/>
        <v>0</v>
      </c>
      <c r="O127" s="69">
        <f t="shared" si="17"/>
        <v>0</v>
      </c>
      <c r="P127" s="69">
        <v>125.9</v>
      </c>
      <c r="Q127" s="25"/>
      <c r="R127" s="25"/>
      <c r="S127" s="25"/>
      <c r="T127" s="26"/>
      <c r="U127" s="26"/>
      <c r="V127" s="26"/>
      <c r="W127" s="26"/>
      <c r="X127" s="26"/>
      <c r="Y127" s="25"/>
      <c r="Z127" s="25"/>
      <c r="AA127" s="25"/>
      <c r="AB127" s="25"/>
      <c r="AC127" s="26"/>
      <c r="AD127" s="26"/>
      <c r="AE127" s="25"/>
      <c r="AF127" s="25"/>
      <c r="AG127" s="69">
        <f t="shared" si="18"/>
        <v>-125.9</v>
      </c>
      <c r="AH127" s="29">
        <f t="shared" si="19"/>
        <v>0</v>
      </c>
    </row>
    <row r="128" spans="1:34" s="30" customFormat="1" ht="21.75" customHeight="1" x14ac:dyDescent="0.2">
      <c r="A128" s="18">
        <v>43433</v>
      </c>
      <c r="B128" s="19"/>
      <c r="C128" s="20" t="s">
        <v>705</v>
      </c>
      <c r="D128" s="20" t="s">
        <v>706</v>
      </c>
      <c r="E128" s="20" t="s">
        <v>707</v>
      </c>
      <c r="F128" s="21">
        <v>147565</v>
      </c>
      <c r="G128" s="22" t="s">
        <v>40</v>
      </c>
      <c r="H128" s="23"/>
      <c r="I128" s="23"/>
      <c r="J128" s="23"/>
      <c r="K128" s="23">
        <v>180</v>
      </c>
      <c r="L128" s="24"/>
      <c r="M128" s="69">
        <f t="shared" si="15"/>
        <v>160.71428571428569</v>
      </c>
      <c r="N128" s="69">
        <f t="shared" si="16"/>
        <v>19.285714285714281</v>
      </c>
      <c r="O128" s="69">
        <f t="shared" si="17"/>
        <v>0</v>
      </c>
      <c r="P128" s="69"/>
      <c r="Q128" s="25">
        <v>160.71</v>
      </c>
      <c r="R128" s="25"/>
      <c r="S128" s="25"/>
      <c r="T128" s="26"/>
      <c r="U128" s="26"/>
      <c r="V128" s="26"/>
      <c r="W128" s="26"/>
      <c r="X128" s="26"/>
      <c r="Y128" s="25"/>
      <c r="Z128" s="25"/>
      <c r="AA128" s="25"/>
      <c r="AB128" s="25"/>
      <c r="AC128" s="26"/>
      <c r="AD128" s="26"/>
      <c r="AE128" s="25"/>
      <c r="AF128" s="25"/>
      <c r="AG128" s="69">
        <f t="shared" si="18"/>
        <v>-179.99571428571429</v>
      </c>
      <c r="AH128" s="29">
        <f t="shared" si="19"/>
        <v>4.2857142857144481E-3</v>
      </c>
    </row>
    <row r="129" spans="1:34" s="30" customFormat="1" ht="19.5" customHeight="1" x14ac:dyDescent="0.2">
      <c r="A129" s="18"/>
      <c r="B129" s="19"/>
      <c r="C129" s="47"/>
      <c r="D129" s="47"/>
      <c r="E129" s="47"/>
      <c r="F129" s="21"/>
      <c r="G129" s="22"/>
      <c r="H129" s="23"/>
      <c r="I129" s="23"/>
      <c r="J129" s="23"/>
      <c r="K129" s="23"/>
      <c r="L129" s="24"/>
      <c r="M129" s="25">
        <f t="shared" si="15"/>
        <v>0</v>
      </c>
      <c r="N129" s="25">
        <f t="shared" si="16"/>
        <v>0</v>
      </c>
      <c r="O129" s="25">
        <f t="shared" si="17"/>
        <v>0</v>
      </c>
      <c r="P129" s="25"/>
      <c r="Q129" s="25"/>
      <c r="R129" s="25"/>
      <c r="S129" s="25"/>
      <c r="T129" s="26"/>
      <c r="U129" s="26"/>
      <c r="V129" s="26"/>
      <c r="W129" s="26"/>
      <c r="X129" s="26"/>
      <c r="Y129" s="31"/>
      <c r="Z129" s="25"/>
      <c r="AA129" s="25"/>
      <c r="AB129" s="25"/>
      <c r="AC129" s="26"/>
      <c r="AD129" s="26"/>
      <c r="AE129" s="27"/>
      <c r="AF129" s="27"/>
      <c r="AG129" s="28">
        <f t="shared" si="18"/>
        <v>0</v>
      </c>
      <c r="AH129" s="29">
        <f t="shared" si="19"/>
        <v>0</v>
      </c>
    </row>
    <row r="130" spans="1:34" s="55" customFormat="1" ht="12" customHeight="1" x14ac:dyDescent="0.2">
      <c r="A130" s="48"/>
      <c r="B130" s="49"/>
      <c r="C130" s="50"/>
      <c r="D130" s="51"/>
      <c r="E130" s="51"/>
      <c r="F130" s="52"/>
      <c r="G130" s="50"/>
      <c r="H130" s="53">
        <f t="shared" ref="H130:AH130" si="20">SUM(H5:H129)</f>
        <v>9802</v>
      </c>
      <c r="I130" s="53">
        <f t="shared" si="20"/>
        <v>0</v>
      </c>
      <c r="J130" s="53">
        <f t="shared" si="20"/>
        <v>16059.85</v>
      </c>
      <c r="K130" s="53">
        <f t="shared" si="20"/>
        <v>37912.149999999994</v>
      </c>
      <c r="L130" s="53">
        <f t="shared" si="20"/>
        <v>0.03</v>
      </c>
      <c r="M130" s="53">
        <f t="shared" si="20"/>
        <v>59711.98392857139</v>
      </c>
      <c r="N130" s="53">
        <f t="shared" si="20"/>
        <v>4062.0160714285698</v>
      </c>
      <c r="O130" s="53">
        <f t="shared" si="20"/>
        <v>-47.633928571428569</v>
      </c>
      <c r="P130" s="53">
        <f t="shared" si="20"/>
        <v>35811.030000000006</v>
      </c>
      <c r="Q130" s="53">
        <f t="shared" si="20"/>
        <v>4065.5600000000009</v>
      </c>
      <c r="R130" s="53">
        <f t="shared" si="20"/>
        <v>282.77</v>
      </c>
      <c r="S130" s="53">
        <f t="shared" si="20"/>
        <v>2116.0700000000002</v>
      </c>
      <c r="T130" s="53">
        <f t="shared" si="20"/>
        <v>917.6400000000001</v>
      </c>
      <c r="U130" s="53">
        <f t="shared" si="20"/>
        <v>107.14</v>
      </c>
      <c r="V130" s="53">
        <f t="shared" si="20"/>
        <v>1971.43</v>
      </c>
      <c r="W130" s="53">
        <f t="shared" si="20"/>
        <v>0</v>
      </c>
      <c r="X130" s="53">
        <f t="shared" si="20"/>
        <v>0</v>
      </c>
      <c r="Y130" s="53">
        <f t="shared" si="20"/>
        <v>6853.86</v>
      </c>
      <c r="Z130" s="53">
        <f t="shared" si="20"/>
        <v>442.40999999999997</v>
      </c>
      <c r="AA130" s="53">
        <f t="shared" si="20"/>
        <v>1126</v>
      </c>
      <c r="AB130" s="53">
        <f t="shared" si="20"/>
        <v>4518</v>
      </c>
      <c r="AC130" s="53">
        <f t="shared" si="20"/>
        <v>0</v>
      </c>
      <c r="AD130" s="53">
        <f t="shared" si="20"/>
        <v>0</v>
      </c>
      <c r="AE130" s="53">
        <f t="shared" si="20"/>
        <v>1500</v>
      </c>
      <c r="AF130" s="54">
        <f t="shared" si="20"/>
        <v>0</v>
      </c>
      <c r="AG130" s="53">
        <f t="shared" si="20"/>
        <v>-63726.292142857157</v>
      </c>
      <c r="AH130" s="53">
        <f t="shared" si="20"/>
        <v>7.3928571428506729E-2</v>
      </c>
    </row>
    <row r="132" spans="1:34" s="3" customFormat="1" ht="10.199999999999999" x14ac:dyDescent="0.2">
      <c r="K132" s="5"/>
      <c r="L132" s="6"/>
      <c r="M132" s="5"/>
      <c r="Y132" s="5"/>
    </row>
    <row r="139" spans="1:34" x14ac:dyDescent="0.25">
      <c r="Q139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K127"/>
  <sheetViews>
    <sheetView tabSelected="1" topLeftCell="A115" zoomScale="90" zoomScaleNormal="90" workbookViewId="0">
      <selection activeCell="G120" sqref="A120:XFD125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30.21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9.77734375" style="3" customWidth="1"/>
    <col min="8" max="8" width="13.8867187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13.44140625" style="5" customWidth="1"/>
    <col min="19" max="19" width="10.21875" style="5" customWidth="1"/>
    <col min="20" max="21" width="11.44140625" style="5"/>
    <col min="22" max="22" width="13.33203125" style="5" customWidth="1"/>
    <col min="23" max="23" width="8.6640625" style="5" customWidth="1"/>
    <col min="24" max="24" width="12.44140625" style="5" customWidth="1"/>
    <col min="25" max="25" width="11.77734375" style="5" customWidth="1"/>
    <col min="26" max="26" width="10.44140625" style="5" customWidth="1"/>
    <col min="27" max="27" width="10.88671875" style="5" customWidth="1"/>
    <col min="28" max="28" width="12" style="5" customWidth="1"/>
    <col min="29" max="30" width="10.109375" style="5" customWidth="1"/>
    <col min="31" max="31" width="12.77734375" style="5" customWidth="1"/>
    <col min="32" max="32" width="0.109375" style="5" customWidth="1"/>
    <col min="33" max="33" width="13.44140625" style="5" customWidth="1"/>
    <col min="34" max="34" width="13.44140625" style="3" customWidth="1"/>
    <col min="35" max="1025" width="11.4414062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1088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30" customFormat="1" ht="21.75" customHeight="1" x14ac:dyDescent="0.2">
      <c r="A5" s="18">
        <v>43435</v>
      </c>
      <c r="B5" s="19"/>
      <c r="C5" s="20" t="s">
        <v>45</v>
      </c>
      <c r="D5" s="20"/>
      <c r="E5" s="20"/>
      <c r="F5" s="21"/>
      <c r="G5" s="22" t="s">
        <v>1089</v>
      </c>
      <c r="H5" s="23">
        <v>100</v>
      </c>
      <c r="I5" s="23"/>
      <c r="J5" s="23"/>
      <c r="K5" s="23"/>
      <c r="L5" s="24"/>
      <c r="M5" s="69">
        <f t="shared" ref="M5:M36" si="0">SUM(H5:J5,K5/1.12)</f>
        <v>100</v>
      </c>
      <c r="N5" s="69">
        <f t="shared" ref="N5:N36" si="1">K5/1.12*0.12</f>
        <v>0</v>
      </c>
      <c r="O5" s="69">
        <f t="shared" ref="O5:O36" si="2">-SUM(I5:J5,K5/1.12)*L5</f>
        <v>0</v>
      </c>
      <c r="P5" s="69"/>
      <c r="Q5" s="25"/>
      <c r="R5" s="25"/>
      <c r="S5" s="25"/>
      <c r="T5" s="26"/>
      <c r="U5" s="26"/>
      <c r="V5" s="26"/>
      <c r="W5" s="26"/>
      <c r="X5" s="26"/>
      <c r="Y5" s="25"/>
      <c r="Z5" s="25"/>
      <c r="AA5" s="25">
        <v>100</v>
      </c>
      <c r="AB5" s="25"/>
      <c r="AC5" s="26"/>
      <c r="AD5" s="26"/>
      <c r="AE5" s="25"/>
      <c r="AF5" s="25"/>
      <c r="AG5" s="69">
        <f t="shared" ref="AG5:AG36" si="3">-SUM(N5:AF5)</f>
        <v>-100</v>
      </c>
      <c r="AH5" s="29">
        <f t="shared" ref="AH5:AH36" si="4">SUM(H5:K5)+AG5+O5</f>
        <v>0</v>
      </c>
    </row>
    <row r="6" spans="1:34" s="30" customFormat="1" ht="21.75" customHeight="1" x14ac:dyDescent="0.2">
      <c r="A6" s="18">
        <v>43435</v>
      </c>
      <c r="B6" s="19"/>
      <c r="C6" s="20" t="s">
        <v>614</v>
      </c>
      <c r="D6" s="20"/>
      <c r="E6" s="20"/>
      <c r="F6" s="21"/>
      <c r="G6" s="22" t="s">
        <v>1090</v>
      </c>
      <c r="H6" s="23">
        <v>502</v>
      </c>
      <c r="I6" s="23"/>
      <c r="J6" s="23"/>
      <c r="K6" s="23"/>
      <c r="L6" s="24"/>
      <c r="M6" s="69">
        <f t="shared" si="0"/>
        <v>502</v>
      </c>
      <c r="N6" s="69">
        <f t="shared" si="1"/>
        <v>0</v>
      </c>
      <c r="O6" s="69">
        <f t="shared" si="2"/>
        <v>0</v>
      </c>
      <c r="P6" s="69"/>
      <c r="Q6" s="25"/>
      <c r="R6" s="25"/>
      <c r="S6" s="25"/>
      <c r="T6" s="26"/>
      <c r="U6" s="26"/>
      <c r="V6" s="26"/>
      <c r="W6" s="26"/>
      <c r="X6" s="26"/>
      <c r="Y6" s="25"/>
      <c r="Z6" s="25"/>
      <c r="AA6" s="25"/>
      <c r="AB6" s="25">
        <v>502</v>
      </c>
      <c r="AC6" s="26"/>
      <c r="AD6" s="26"/>
      <c r="AE6" s="25"/>
      <c r="AF6" s="25"/>
      <c r="AG6" s="69">
        <f t="shared" si="3"/>
        <v>-502</v>
      </c>
      <c r="AH6" s="29">
        <f t="shared" si="4"/>
        <v>0</v>
      </c>
    </row>
    <row r="7" spans="1:34" s="30" customFormat="1" ht="21.75" customHeight="1" x14ac:dyDescent="0.2">
      <c r="A7" s="18">
        <v>43435</v>
      </c>
      <c r="B7" s="19"/>
      <c r="C7" s="20" t="s">
        <v>41</v>
      </c>
      <c r="D7" s="20" t="s">
        <v>88</v>
      </c>
      <c r="E7" s="20" t="s">
        <v>43</v>
      </c>
      <c r="F7" s="21">
        <v>2778</v>
      </c>
      <c r="G7" s="22" t="s">
        <v>533</v>
      </c>
      <c r="H7" s="23"/>
      <c r="I7" s="23"/>
      <c r="J7" s="23">
        <v>2580</v>
      </c>
      <c r="K7" s="23"/>
      <c r="L7" s="24"/>
      <c r="M7" s="69">
        <f t="shared" si="0"/>
        <v>2580</v>
      </c>
      <c r="N7" s="69">
        <f t="shared" si="1"/>
        <v>0</v>
      </c>
      <c r="O7" s="69">
        <f t="shared" si="2"/>
        <v>0</v>
      </c>
      <c r="P7" s="69">
        <v>2580</v>
      </c>
      <c r="Q7" s="25"/>
      <c r="R7" s="25"/>
      <c r="S7" s="25"/>
      <c r="T7" s="26"/>
      <c r="U7" s="26"/>
      <c r="V7" s="26"/>
      <c r="W7" s="26"/>
      <c r="X7" s="26"/>
      <c r="Y7" s="25"/>
      <c r="Z7" s="25"/>
      <c r="AA7" s="25"/>
      <c r="AB7" s="25"/>
      <c r="AC7" s="26"/>
      <c r="AD7" s="26"/>
      <c r="AE7" s="25"/>
      <c r="AF7" s="25"/>
      <c r="AG7" s="69">
        <f t="shared" si="3"/>
        <v>-2580</v>
      </c>
      <c r="AH7" s="29">
        <f t="shared" si="4"/>
        <v>0</v>
      </c>
    </row>
    <row r="8" spans="1:34" s="30" customFormat="1" ht="21.75" customHeight="1" x14ac:dyDescent="0.2">
      <c r="A8" s="18">
        <v>43435</v>
      </c>
      <c r="B8" s="19"/>
      <c r="C8" s="20" t="s">
        <v>705</v>
      </c>
      <c r="D8" s="20" t="s">
        <v>706</v>
      </c>
      <c r="E8" s="20" t="s">
        <v>707</v>
      </c>
      <c r="F8" s="21">
        <v>105063</v>
      </c>
      <c r="G8" s="22" t="s">
        <v>40</v>
      </c>
      <c r="H8" s="23"/>
      <c r="I8" s="23"/>
      <c r="J8" s="23"/>
      <c r="K8" s="23">
        <v>90</v>
      </c>
      <c r="L8" s="24"/>
      <c r="M8" s="69">
        <f t="shared" si="0"/>
        <v>80.357142857142847</v>
      </c>
      <c r="N8" s="69">
        <f t="shared" si="1"/>
        <v>9.6428571428571406</v>
      </c>
      <c r="O8" s="69">
        <f t="shared" si="2"/>
        <v>0</v>
      </c>
      <c r="P8" s="69"/>
      <c r="Q8" s="25">
        <v>80.36</v>
      </c>
      <c r="R8" s="25"/>
      <c r="S8" s="25"/>
      <c r="T8" s="26"/>
      <c r="U8" s="26"/>
      <c r="V8" s="26"/>
      <c r="W8" s="26"/>
      <c r="X8" s="26"/>
      <c r="Y8" s="25"/>
      <c r="Z8" s="25"/>
      <c r="AA8" s="25"/>
      <c r="AB8" s="25"/>
      <c r="AC8" s="26"/>
      <c r="AD8" s="26"/>
      <c r="AE8" s="25"/>
      <c r="AF8" s="25"/>
      <c r="AG8" s="69">
        <f t="shared" si="3"/>
        <v>-90.002857142857138</v>
      </c>
      <c r="AH8" s="29">
        <f t="shared" si="4"/>
        <v>-2.8571428571382285E-3</v>
      </c>
    </row>
    <row r="9" spans="1:34" s="30" customFormat="1" ht="21.75" customHeight="1" x14ac:dyDescent="0.2">
      <c r="A9" s="18">
        <v>43437</v>
      </c>
      <c r="B9" s="19"/>
      <c r="C9" s="20" t="s">
        <v>705</v>
      </c>
      <c r="D9" s="20" t="s">
        <v>706</v>
      </c>
      <c r="E9" s="20" t="s">
        <v>707</v>
      </c>
      <c r="F9" s="21">
        <v>105187</v>
      </c>
      <c r="G9" s="22" t="s">
        <v>40</v>
      </c>
      <c r="H9" s="23"/>
      <c r="I9" s="23"/>
      <c r="J9" s="23"/>
      <c r="K9" s="23">
        <v>180</v>
      </c>
      <c r="L9" s="24"/>
      <c r="M9" s="69">
        <f t="shared" si="0"/>
        <v>160.71428571428569</v>
      </c>
      <c r="N9" s="69">
        <f t="shared" si="1"/>
        <v>19.285714285714281</v>
      </c>
      <c r="O9" s="69">
        <f t="shared" si="2"/>
        <v>0</v>
      </c>
      <c r="P9" s="69"/>
      <c r="Q9" s="25">
        <v>160.71</v>
      </c>
      <c r="R9" s="25"/>
      <c r="S9" s="25"/>
      <c r="T9" s="26"/>
      <c r="U9" s="26"/>
      <c r="V9" s="26"/>
      <c r="W9" s="26"/>
      <c r="X9" s="26"/>
      <c r="Y9" s="25"/>
      <c r="Z9" s="25"/>
      <c r="AA9" s="25"/>
      <c r="AB9" s="25"/>
      <c r="AC9" s="26"/>
      <c r="AD9" s="26"/>
      <c r="AE9" s="25"/>
      <c r="AF9" s="25"/>
      <c r="AG9" s="69">
        <f t="shared" si="3"/>
        <v>-179.99571428571429</v>
      </c>
      <c r="AH9" s="29">
        <f t="shared" si="4"/>
        <v>4.2857142857144481E-3</v>
      </c>
    </row>
    <row r="10" spans="1:34" s="30" customFormat="1" ht="21.75" customHeight="1" x14ac:dyDescent="0.2">
      <c r="A10" s="18">
        <v>43437</v>
      </c>
      <c r="B10" s="19"/>
      <c r="C10" s="20" t="s">
        <v>63</v>
      </c>
      <c r="D10" s="20" t="s">
        <v>64</v>
      </c>
      <c r="E10" s="20" t="s">
        <v>120</v>
      </c>
      <c r="F10" s="21">
        <v>131288</v>
      </c>
      <c r="G10" s="22" t="s">
        <v>1091</v>
      </c>
      <c r="H10" s="23"/>
      <c r="I10" s="23"/>
      <c r="J10" s="23"/>
      <c r="K10" s="23">
        <v>778.3</v>
      </c>
      <c r="L10" s="24"/>
      <c r="M10" s="69">
        <f t="shared" si="0"/>
        <v>694.91071428571422</v>
      </c>
      <c r="N10" s="69">
        <f t="shared" si="1"/>
        <v>83.389285714285705</v>
      </c>
      <c r="O10" s="69">
        <f t="shared" si="2"/>
        <v>0</v>
      </c>
      <c r="P10" s="69">
        <v>694.91</v>
      </c>
      <c r="Q10" s="25"/>
      <c r="R10" s="25"/>
      <c r="S10" s="25"/>
      <c r="T10" s="26"/>
      <c r="U10" s="26"/>
      <c r="V10" s="26"/>
      <c r="W10" s="26"/>
      <c r="X10" s="26"/>
      <c r="Y10" s="25"/>
      <c r="Z10" s="25"/>
      <c r="AA10" s="25"/>
      <c r="AB10" s="25"/>
      <c r="AC10" s="26"/>
      <c r="AD10" s="26"/>
      <c r="AE10" s="25"/>
      <c r="AF10" s="25"/>
      <c r="AG10" s="69">
        <f t="shared" si="3"/>
        <v>-778.2992857142857</v>
      </c>
      <c r="AH10" s="29">
        <f t="shared" si="4"/>
        <v>7.1428571425258269E-4</v>
      </c>
    </row>
    <row r="11" spans="1:34" s="30" customFormat="1" ht="21.75" customHeight="1" x14ac:dyDescent="0.2">
      <c r="A11" s="18">
        <v>43437</v>
      </c>
      <c r="B11" s="19"/>
      <c r="C11" s="20" t="s">
        <v>63</v>
      </c>
      <c r="D11" s="20" t="s">
        <v>64</v>
      </c>
      <c r="E11" s="20" t="s">
        <v>120</v>
      </c>
      <c r="F11" s="21">
        <v>881148</v>
      </c>
      <c r="G11" s="22" t="s">
        <v>1092</v>
      </c>
      <c r="H11" s="23"/>
      <c r="I11" s="23"/>
      <c r="J11" s="23"/>
      <c r="K11" s="23">
        <v>100</v>
      </c>
      <c r="L11" s="24"/>
      <c r="M11" s="69">
        <f t="shared" si="0"/>
        <v>89.285714285714278</v>
      </c>
      <c r="N11" s="69">
        <f t="shared" si="1"/>
        <v>10.714285714285714</v>
      </c>
      <c r="O11" s="69">
        <f t="shared" si="2"/>
        <v>0</v>
      </c>
      <c r="P11" s="69">
        <v>89.29</v>
      </c>
      <c r="Q11" s="25"/>
      <c r="R11" s="25"/>
      <c r="S11" s="25"/>
      <c r="T11" s="26"/>
      <c r="U11" s="26"/>
      <c r="V11" s="26"/>
      <c r="W11" s="26"/>
      <c r="X11" s="26"/>
      <c r="Y11" s="25"/>
      <c r="Z11" s="25"/>
      <c r="AA11" s="25"/>
      <c r="AB11" s="25"/>
      <c r="AC11" s="26"/>
      <c r="AD11" s="26"/>
      <c r="AE11" s="25"/>
      <c r="AF11" s="25"/>
      <c r="AG11" s="69">
        <f t="shared" si="3"/>
        <v>-100.00428571428571</v>
      </c>
      <c r="AH11" s="29">
        <f t="shared" si="4"/>
        <v>-4.2857142857144481E-3</v>
      </c>
    </row>
    <row r="12" spans="1:34" s="30" customFormat="1" ht="21.75" customHeight="1" x14ac:dyDescent="0.2">
      <c r="A12" s="18">
        <v>43437</v>
      </c>
      <c r="B12" s="19"/>
      <c r="C12" s="20" t="s">
        <v>59</v>
      </c>
      <c r="D12" s="20" t="s">
        <v>1093</v>
      </c>
      <c r="E12" s="20" t="s">
        <v>277</v>
      </c>
      <c r="F12" s="21">
        <v>714991</v>
      </c>
      <c r="G12" s="22" t="s">
        <v>1094</v>
      </c>
      <c r="H12" s="23"/>
      <c r="I12" s="23"/>
      <c r="J12" s="23"/>
      <c r="K12" s="23">
        <v>996.5</v>
      </c>
      <c r="L12" s="24"/>
      <c r="M12" s="69">
        <f t="shared" si="0"/>
        <v>889.73214285714278</v>
      </c>
      <c r="N12" s="69">
        <f t="shared" si="1"/>
        <v>106.76785714285712</v>
      </c>
      <c r="O12" s="69">
        <f t="shared" si="2"/>
        <v>0</v>
      </c>
      <c r="P12" s="69"/>
      <c r="Q12" s="25"/>
      <c r="R12" s="25"/>
      <c r="S12" s="25"/>
      <c r="T12" s="26">
        <v>889.73</v>
      </c>
      <c r="U12" s="26"/>
      <c r="V12" s="26"/>
      <c r="W12" s="26"/>
      <c r="X12" s="26"/>
      <c r="Y12" s="25"/>
      <c r="Z12" s="25"/>
      <c r="AA12" s="25"/>
      <c r="AB12" s="25"/>
      <c r="AC12" s="26"/>
      <c r="AD12" s="26"/>
      <c r="AE12" s="25"/>
      <c r="AF12" s="25"/>
      <c r="AG12" s="69">
        <f t="shared" si="3"/>
        <v>-996.49785714285713</v>
      </c>
      <c r="AH12" s="29">
        <f t="shared" si="4"/>
        <v>2.1428571428714349E-3</v>
      </c>
    </row>
    <row r="13" spans="1:34" s="30" customFormat="1" ht="21.75" customHeight="1" x14ac:dyDescent="0.2">
      <c r="A13" s="18">
        <v>43437</v>
      </c>
      <c r="B13" s="19"/>
      <c r="C13" s="20" t="s">
        <v>63</v>
      </c>
      <c r="D13" s="20" t="s">
        <v>64</v>
      </c>
      <c r="E13" s="20" t="s">
        <v>120</v>
      </c>
      <c r="F13" s="21">
        <v>112034</v>
      </c>
      <c r="G13" s="22" t="s">
        <v>1095</v>
      </c>
      <c r="H13" s="23"/>
      <c r="I13" s="23"/>
      <c r="J13" s="23"/>
      <c r="K13" s="23">
        <f>1217.41+146.09</f>
        <v>1363.5</v>
      </c>
      <c r="L13" s="24"/>
      <c r="M13" s="69">
        <f t="shared" si="0"/>
        <v>1217.4107142857142</v>
      </c>
      <c r="N13" s="69">
        <f t="shared" si="1"/>
        <v>146.08928571428569</v>
      </c>
      <c r="O13" s="69">
        <f t="shared" si="2"/>
        <v>0</v>
      </c>
      <c r="P13" s="69">
        <v>1217.4100000000001</v>
      </c>
      <c r="Q13" s="25"/>
      <c r="R13" s="25"/>
      <c r="S13" s="25"/>
      <c r="T13" s="26"/>
      <c r="U13" s="26"/>
      <c r="V13" s="26"/>
      <c r="W13" s="26"/>
      <c r="X13" s="26"/>
      <c r="Y13" s="25"/>
      <c r="Z13" s="25"/>
      <c r="AA13" s="25"/>
      <c r="AB13" s="25"/>
      <c r="AC13" s="26"/>
      <c r="AD13" s="26"/>
      <c r="AE13" s="25"/>
      <c r="AF13" s="25"/>
      <c r="AG13" s="69">
        <f t="shared" si="3"/>
        <v>-1363.4992857142859</v>
      </c>
      <c r="AH13" s="29">
        <f t="shared" si="4"/>
        <v>7.1428571413889586E-4</v>
      </c>
    </row>
    <row r="14" spans="1:34" s="30" customFormat="1" ht="21.75" customHeight="1" x14ac:dyDescent="0.2">
      <c r="A14" s="18">
        <v>43437</v>
      </c>
      <c r="B14" s="19"/>
      <c r="C14" s="20" t="s">
        <v>63</v>
      </c>
      <c r="D14" s="20" t="s">
        <v>64</v>
      </c>
      <c r="E14" s="20" t="s">
        <v>120</v>
      </c>
      <c r="F14" s="21">
        <v>112034</v>
      </c>
      <c r="G14" s="22" t="s">
        <v>1096</v>
      </c>
      <c r="H14" s="23"/>
      <c r="I14" s="23"/>
      <c r="J14" s="23">
        <v>65.25</v>
      </c>
      <c r="K14" s="23"/>
      <c r="L14" s="24"/>
      <c r="M14" s="69">
        <f t="shared" si="0"/>
        <v>65.25</v>
      </c>
      <c r="N14" s="69">
        <f t="shared" si="1"/>
        <v>0</v>
      </c>
      <c r="O14" s="69">
        <f t="shared" si="2"/>
        <v>0</v>
      </c>
      <c r="P14" s="69">
        <v>65.25</v>
      </c>
      <c r="Q14" s="25"/>
      <c r="R14" s="25"/>
      <c r="S14" s="25"/>
      <c r="T14" s="26"/>
      <c r="U14" s="26"/>
      <c r="V14" s="26"/>
      <c r="W14" s="26"/>
      <c r="X14" s="26"/>
      <c r="Y14" s="25"/>
      <c r="Z14" s="25"/>
      <c r="AA14" s="25"/>
      <c r="AB14" s="25"/>
      <c r="AC14" s="26"/>
      <c r="AD14" s="26"/>
      <c r="AE14" s="25"/>
      <c r="AF14" s="25"/>
      <c r="AG14" s="69">
        <f t="shared" si="3"/>
        <v>-65.25</v>
      </c>
      <c r="AH14" s="29">
        <f t="shared" si="4"/>
        <v>0</v>
      </c>
    </row>
    <row r="15" spans="1:34" s="30" customFormat="1" ht="21.75" customHeight="1" x14ac:dyDescent="0.2">
      <c r="A15" s="18">
        <v>43437</v>
      </c>
      <c r="B15" s="19"/>
      <c r="C15" s="20" t="s">
        <v>614</v>
      </c>
      <c r="D15" s="20"/>
      <c r="E15" s="20"/>
      <c r="F15" s="21"/>
      <c r="G15" s="22" t="s">
        <v>1097</v>
      </c>
      <c r="H15" s="23">
        <v>251</v>
      </c>
      <c r="I15" s="23"/>
      <c r="J15" s="23"/>
      <c r="K15" s="23"/>
      <c r="L15" s="24"/>
      <c r="M15" s="69">
        <f t="shared" si="0"/>
        <v>251</v>
      </c>
      <c r="N15" s="69">
        <f t="shared" si="1"/>
        <v>0</v>
      </c>
      <c r="O15" s="69">
        <f t="shared" si="2"/>
        <v>0</v>
      </c>
      <c r="P15" s="69"/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>
        <v>251</v>
      </c>
      <c r="AC15" s="26"/>
      <c r="AD15" s="26"/>
      <c r="AE15" s="25"/>
      <c r="AF15" s="25"/>
      <c r="AG15" s="69">
        <f t="shared" si="3"/>
        <v>-251</v>
      </c>
      <c r="AH15" s="29">
        <f t="shared" si="4"/>
        <v>0</v>
      </c>
    </row>
    <row r="16" spans="1:34" s="30" customFormat="1" ht="21.75" customHeight="1" x14ac:dyDescent="0.2">
      <c r="A16" s="18">
        <v>43438</v>
      </c>
      <c r="B16" s="19"/>
      <c r="C16" s="20" t="s">
        <v>705</v>
      </c>
      <c r="D16" s="20" t="s">
        <v>706</v>
      </c>
      <c r="E16" s="20" t="s">
        <v>707</v>
      </c>
      <c r="F16" s="21">
        <v>102337</v>
      </c>
      <c r="G16" s="22" t="s">
        <v>40</v>
      </c>
      <c r="H16" s="23"/>
      <c r="I16" s="23"/>
      <c r="J16" s="23"/>
      <c r="K16" s="23">
        <v>180</v>
      </c>
      <c r="L16" s="24"/>
      <c r="M16" s="69">
        <f t="shared" si="0"/>
        <v>160.71428571428569</v>
      </c>
      <c r="N16" s="69">
        <f t="shared" si="1"/>
        <v>19.285714285714281</v>
      </c>
      <c r="O16" s="69">
        <f t="shared" si="2"/>
        <v>0</v>
      </c>
      <c r="P16" s="69"/>
      <c r="Q16" s="25">
        <v>160.71</v>
      </c>
      <c r="R16" s="25"/>
      <c r="S16" s="25"/>
      <c r="T16" s="26"/>
      <c r="U16" s="26"/>
      <c r="V16" s="26"/>
      <c r="W16" s="26"/>
      <c r="X16" s="26"/>
      <c r="Y16" s="25"/>
      <c r="Z16" s="25"/>
      <c r="AA16" s="25"/>
      <c r="AB16" s="25"/>
      <c r="AC16" s="26"/>
      <c r="AD16" s="26"/>
      <c r="AE16" s="25"/>
      <c r="AF16" s="25"/>
      <c r="AG16" s="69">
        <f t="shared" si="3"/>
        <v>-179.99571428571429</v>
      </c>
      <c r="AH16" s="29">
        <f t="shared" si="4"/>
        <v>4.2857142857144481E-3</v>
      </c>
    </row>
    <row r="17" spans="1:34" s="30" customFormat="1" ht="21.75" customHeight="1" x14ac:dyDescent="0.2">
      <c r="A17" s="18">
        <v>43438</v>
      </c>
      <c r="B17" s="19"/>
      <c r="C17" s="20" t="s">
        <v>924</v>
      </c>
      <c r="D17" s="20"/>
      <c r="E17" s="20"/>
      <c r="F17" s="21"/>
      <c r="G17" s="22" t="s">
        <v>976</v>
      </c>
      <c r="H17" s="23"/>
      <c r="I17" s="23"/>
      <c r="J17" s="23">
        <v>1123</v>
      </c>
      <c r="K17" s="23"/>
      <c r="L17" s="24"/>
      <c r="M17" s="69">
        <f t="shared" si="0"/>
        <v>1123</v>
      </c>
      <c r="N17" s="69">
        <f t="shared" si="1"/>
        <v>0</v>
      </c>
      <c r="O17" s="69">
        <f t="shared" si="2"/>
        <v>0</v>
      </c>
      <c r="P17" s="69">
        <v>1123</v>
      </c>
      <c r="Q17" s="25"/>
      <c r="R17" s="25"/>
      <c r="S17" s="25"/>
      <c r="T17" s="26"/>
      <c r="U17" s="26"/>
      <c r="V17" s="26"/>
      <c r="W17" s="26"/>
      <c r="X17" s="26"/>
      <c r="Y17" s="25"/>
      <c r="Z17" s="25"/>
      <c r="AA17" s="25"/>
      <c r="AB17" s="25"/>
      <c r="AC17" s="26"/>
      <c r="AD17" s="26"/>
      <c r="AE17" s="25"/>
      <c r="AF17" s="25"/>
      <c r="AG17" s="69">
        <f t="shared" si="3"/>
        <v>-1123</v>
      </c>
      <c r="AH17" s="29">
        <f t="shared" si="4"/>
        <v>0</v>
      </c>
    </row>
    <row r="18" spans="1:34" s="30" customFormat="1" ht="21.75" customHeight="1" x14ac:dyDescent="0.2">
      <c r="A18" s="18">
        <v>43438</v>
      </c>
      <c r="B18" s="19"/>
      <c r="C18" s="20" t="s">
        <v>45</v>
      </c>
      <c r="D18" s="20"/>
      <c r="E18" s="20"/>
      <c r="F18" s="21"/>
      <c r="G18" s="22" t="s">
        <v>1098</v>
      </c>
      <c r="H18" s="23">
        <v>50</v>
      </c>
      <c r="I18" s="23"/>
      <c r="J18" s="23"/>
      <c r="K18" s="23"/>
      <c r="L18" s="24"/>
      <c r="M18" s="69">
        <f t="shared" si="0"/>
        <v>50</v>
      </c>
      <c r="N18" s="69">
        <f t="shared" si="1"/>
        <v>0</v>
      </c>
      <c r="O18" s="69">
        <f t="shared" si="2"/>
        <v>0</v>
      </c>
      <c r="P18" s="69"/>
      <c r="Q18" s="25"/>
      <c r="R18" s="25"/>
      <c r="S18" s="25"/>
      <c r="T18" s="26"/>
      <c r="U18" s="26"/>
      <c r="V18" s="26"/>
      <c r="W18" s="26"/>
      <c r="X18" s="26"/>
      <c r="Y18" s="25"/>
      <c r="Z18" s="25"/>
      <c r="AA18" s="25">
        <v>50</v>
      </c>
      <c r="AB18" s="25"/>
      <c r="AC18" s="26"/>
      <c r="AD18" s="26"/>
      <c r="AE18" s="25"/>
      <c r="AF18" s="25"/>
      <c r="AG18" s="69">
        <f t="shared" si="3"/>
        <v>-50</v>
      </c>
      <c r="AH18" s="29">
        <f t="shared" si="4"/>
        <v>0</v>
      </c>
    </row>
    <row r="19" spans="1:34" s="30" customFormat="1" ht="21.75" customHeight="1" x14ac:dyDescent="0.2">
      <c r="A19" s="18">
        <v>43438</v>
      </c>
      <c r="B19" s="19"/>
      <c r="C19" s="20" t="s">
        <v>68</v>
      </c>
      <c r="D19" s="20"/>
      <c r="E19" s="20"/>
      <c r="F19" s="21"/>
      <c r="G19" s="22" t="s">
        <v>357</v>
      </c>
      <c r="H19" s="23">
        <v>40</v>
      </c>
      <c r="I19" s="23"/>
      <c r="J19" s="23"/>
      <c r="K19" s="23"/>
      <c r="L19" s="24"/>
      <c r="M19" s="69">
        <f t="shared" si="0"/>
        <v>40</v>
      </c>
      <c r="N19" s="69">
        <f t="shared" si="1"/>
        <v>0</v>
      </c>
      <c r="O19" s="69">
        <f t="shared" si="2"/>
        <v>0</v>
      </c>
      <c r="P19" s="69"/>
      <c r="Q19" s="25"/>
      <c r="R19" s="25"/>
      <c r="S19" s="25"/>
      <c r="T19" s="26"/>
      <c r="U19" s="26"/>
      <c r="V19" s="26"/>
      <c r="W19" s="26"/>
      <c r="X19" s="26"/>
      <c r="Y19" s="25"/>
      <c r="Z19" s="25"/>
      <c r="AA19" s="25">
        <v>40</v>
      </c>
      <c r="AB19" s="25"/>
      <c r="AC19" s="26"/>
      <c r="AD19" s="26"/>
      <c r="AE19" s="25"/>
      <c r="AF19" s="25"/>
      <c r="AG19" s="69">
        <f t="shared" si="3"/>
        <v>-40</v>
      </c>
      <c r="AH19" s="29">
        <f t="shared" si="4"/>
        <v>0</v>
      </c>
    </row>
    <row r="20" spans="1:34" s="30" customFormat="1" ht="21.75" customHeight="1" x14ac:dyDescent="0.2">
      <c r="A20" s="18">
        <v>43439</v>
      </c>
      <c r="B20" s="19"/>
      <c r="C20" s="20" t="s">
        <v>705</v>
      </c>
      <c r="D20" s="20" t="s">
        <v>706</v>
      </c>
      <c r="E20" s="20" t="s">
        <v>707</v>
      </c>
      <c r="F20" s="21">
        <v>102382</v>
      </c>
      <c r="G20" s="22" t="s">
        <v>40</v>
      </c>
      <c r="H20" s="23"/>
      <c r="I20" s="23"/>
      <c r="J20" s="23"/>
      <c r="K20" s="23">
        <v>180</v>
      </c>
      <c r="L20" s="24"/>
      <c r="M20" s="69">
        <f t="shared" si="0"/>
        <v>160.71428571428569</v>
      </c>
      <c r="N20" s="69">
        <f t="shared" si="1"/>
        <v>19.285714285714281</v>
      </c>
      <c r="O20" s="69">
        <f t="shared" si="2"/>
        <v>0</v>
      </c>
      <c r="P20" s="69"/>
      <c r="Q20" s="25">
        <v>160.71</v>
      </c>
      <c r="R20" s="25"/>
      <c r="S20" s="25"/>
      <c r="T20" s="26"/>
      <c r="U20" s="26"/>
      <c r="V20" s="26"/>
      <c r="W20" s="26"/>
      <c r="X20" s="26"/>
      <c r="Y20" s="25"/>
      <c r="Z20" s="25"/>
      <c r="AA20" s="25"/>
      <c r="AB20" s="25"/>
      <c r="AC20" s="26"/>
      <c r="AD20" s="26"/>
      <c r="AE20" s="25"/>
      <c r="AF20" s="25"/>
      <c r="AG20" s="69">
        <f t="shared" si="3"/>
        <v>-179.99571428571429</v>
      </c>
      <c r="AH20" s="29">
        <f t="shared" si="4"/>
        <v>4.2857142857144481E-3</v>
      </c>
    </row>
    <row r="21" spans="1:34" s="30" customFormat="1" ht="21.75" customHeight="1" x14ac:dyDescent="0.2">
      <c r="A21" s="18">
        <v>43439</v>
      </c>
      <c r="B21" s="19"/>
      <c r="C21" s="20" t="s">
        <v>96</v>
      </c>
      <c r="D21" s="20"/>
      <c r="E21" s="20"/>
      <c r="F21" s="21"/>
      <c r="G21" s="22" t="s">
        <v>1099</v>
      </c>
      <c r="H21" s="23">
        <v>2000</v>
      </c>
      <c r="I21" s="23"/>
      <c r="J21" s="23"/>
      <c r="K21" s="23"/>
      <c r="L21" s="24"/>
      <c r="M21" s="69">
        <f t="shared" si="0"/>
        <v>2000</v>
      </c>
      <c r="N21" s="69">
        <f t="shared" si="1"/>
        <v>0</v>
      </c>
      <c r="O21" s="69">
        <f t="shared" si="2"/>
        <v>0</v>
      </c>
      <c r="P21" s="69"/>
      <c r="Q21" s="25"/>
      <c r="R21" s="25"/>
      <c r="S21" s="25"/>
      <c r="T21" s="26"/>
      <c r="U21" s="26"/>
      <c r="V21" s="26"/>
      <c r="W21" s="26"/>
      <c r="X21" s="26"/>
      <c r="Y21" s="25"/>
      <c r="Z21" s="25"/>
      <c r="AA21" s="25"/>
      <c r="AB21" s="25"/>
      <c r="AC21" s="26"/>
      <c r="AD21" s="26">
        <v>2000</v>
      </c>
      <c r="AE21" s="25"/>
      <c r="AF21" s="25"/>
      <c r="AG21" s="69">
        <f t="shared" si="3"/>
        <v>-2000</v>
      </c>
      <c r="AH21" s="29">
        <f t="shared" si="4"/>
        <v>0</v>
      </c>
    </row>
    <row r="22" spans="1:34" s="30" customFormat="1" ht="21.75" customHeight="1" x14ac:dyDescent="0.2">
      <c r="A22" s="18">
        <v>43439</v>
      </c>
      <c r="B22" s="19"/>
      <c r="C22" s="20" t="s">
        <v>96</v>
      </c>
      <c r="D22" s="20"/>
      <c r="E22" s="20"/>
      <c r="F22" s="21"/>
      <c r="G22" s="22" t="s">
        <v>1100</v>
      </c>
      <c r="H22" s="23">
        <v>700</v>
      </c>
      <c r="I22" s="23"/>
      <c r="J22" s="23"/>
      <c r="K22" s="23"/>
      <c r="L22" s="24"/>
      <c r="M22" s="69">
        <f t="shared" si="0"/>
        <v>700</v>
      </c>
      <c r="N22" s="69">
        <f t="shared" si="1"/>
        <v>0</v>
      </c>
      <c r="O22" s="69">
        <f t="shared" si="2"/>
        <v>0</v>
      </c>
      <c r="P22" s="69"/>
      <c r="Q22" s="25"/>
      <c r="R22" s="25"/>
      <c r="S22" s="25"/>
      <c r="T22" s="26"/>
      <c r="U22" s="26"/>
      <c r="V22" s="26"/>
      <c r="W22" s="26"/>
      <c r="X22" s="26"/>
      <c r="Y22" s="25"/>
      <c r="Z22" s="25"/>
      <c r="AA22" s="25"/>
      <c r="AB22" s="25"/>
      <c r="AC22" s="26"/>
      <c r="AD22" s="26">
        <v>700</v>
      </c>
      <c r="AE22" s="25"/>
      <c r="AF22" s="25"/>
      <c r="AG22" s="69">
        <f t="shared" si="3"/>
        <v>-700</v>
      </c>
      <c r="AH22" s="29">
        <f t="shared" si="4"/>
        <v>0</v>
      </c>
    </row>
    <row r="23" spans="1:34" s="30" customFormat="1" ht="21.75" customHeight="1" x14ac:dyDescent="0.2">
      <c r="A23" s="18">
        <v>43439</v>
      </c>
      <c r="B23" s="19"/>
      <c r="C23" s="20" t="s">
        <v>63</v>
      </c>
      <c r="D23" s="20" t="s">
        <v>64</v>
      </c>
      <c r="E23" s="20" t="s">
        <v>120</v>
      </c>
      <c r="F23" s="21">
        <v>112330</v>
      </c>
      <c r="G23" s="22" t="s">
        <v>1101</v>
      </c>
      <c r="H23" s="23"/>
      <c r="I23" s="23"/>
      <c r="J23" s="23"/>
      <c r="K23" s="23">
        <f>1378.04+165.36</f>
        <v>1543.4</v>
      </c>
      <c r="L23" s="24"/>
      <c r="M23" s="69">
        <f t="shared" si="0"/>
        <v>1378.0357142857142</v>
      </c>
      <c r="N23" s="69">
        <f t="shared" si="1"/>
        <v>165.3642857142857</v>
      </c>
      <c r="O23" s="69">
        <f t="shared" si="2"/>
        <v>0</v>
      </c>
      <c r="P23" s="69">
        <v>1378.04</v>
      </c>
      <c r="Q23" s="25"/>
      <c r="R23" s="25"/>
      <c r="S23" s="25"/>
      <c r="T23" s="26"/>
      <c r="U23" s="26"/>
      <c r="V23" s="26"/>
      <c r="W23" s="26"/>
      <c r="X23" s="26"/>
      <c r="Y23" s="25"/>
      <c r="Z23" s="25"/>
      <c r="AA23" s="25"/>
      <c r="AB23" s="25"/>
      <c r="AC23" s="26"/>
      <c r="AD23" s="26"/>
      <c r="AE23" s="25"/>
      <c r="AF23" s="25"/>
      <c r="AG23" s="69">
        <f t="shared" si="3"/>
        <v>-1543.4042857142856</v>
      </c>
      <c r="AH23" s="29">
        <f t="shared" si="4"/>
        <v>-4.2857142855154962E-3</v>
      </c>
    </row>
    <row r="24" spans="1:34" s="30" customFormat="1" ht="21.75" customHeight="1" x14ac:dyDescent="0.2">
      <c r="A24" s="18">
        <v>43439</v>
      </c>
      <c r="B24" s="19"/>
      <c r="C24" s="20" t="s">
        <v>63</v>
      </c>
      <c r="D24" s="20" t="s">
        <v>64</v>
      </c>
      <c r="E24" s="20" t="s">
        <v>120</v>
      </c>
      <c r="F24" s="21">
        <v>112330</v>
      </c>
      <c r="G24" s="22" t="s">
        <v>1102</v>
      </c>
      <c r="H24" s="23"/>
      <c r="I24" s="23"/>
      <c r="J24" s="23">
        <v>492.45</v>
      </c>
      <c r="K24" s="23"/>
      <c r="L24" s="24"/>
      <c r="M24" s="69">
        <f t="shared" si="0"/>
        <v>492.45</v>
      </c>
      <c r="N24" s="69">
        <f t="shared" si="1"/>
        <v>0</v>
      </c>
      <c r="O24" s="69">
        <f t="shared" si="2"/>
        <v>0</v>
      </c>
      <c r="P24" s="69">
        <v>492.45</v>
      </c>
      <c r="Q24" s="25"/>
      <c r="R24" s="25"/>
      <c r="S24" s="25"/>
      <c r="T24" s="26"/>
      <c r="U24" s="26"/>
      <c r="V24" s="26"/>
      <c r="W24" s="26"/>
      <c r="X24" s="26"/>
      <c r="Y24" s="25"/>
      <c r="Z24" s="25"/>
      <c r="AA24" s="25"/>
      <c r="AB24" s="25"/>
      <c r="AC24" s="26"/>
      <c r="AD24" s="26"/>
      <c r="AE24" s="25"/>
      <c r="AF24" s="25"/>
      <c r="AG24" s="69">
        <f t="shared" si="3"/>
        <v>-492.45</v>
      </c>
      <c r="AH24" s="29">
        <f t="shared" si="4"/>
        <v>0</v>
      </c>
    </row>
    <row r="25" spans="1:34" s="30" customFormat="1" ht="21.75" customHeight="1" x14ac:dyDescent="0.2">
      <c r="A25" s="18">
        <v>43439</v>
      </c>
      <c r="B25" s="19"/>
      <c r="C25" s="20" t="s">
        <v>63</v>
      </c>
      <c r="D25" s="20" t="s">
        <v>64</v>
      </c>
      <c r="E25" s="20" t="s">
        <v>120</v>
      </c>
      <c r="F25" s="21">
        <v>104379</v>
      </c>
      <c r="G25" s="22" t="s">
        <v>1103</v>
      </c>
      <c r="H25" s="23"/>
      <c r="I25" s="23"/>
      <c r="J25" s="23"/>
      <c r="K25" s="23">
        <v>129.5</v>
      </c>
      <c r="L25" s="24"/>
      <c r="M25" s="69">
        <f t="shared" si="0"/>
        <v>115.62499999999999</v>
      </c>
      <c r="N25" s="69">
        <f t="shared" si="1"/>
        <v>13.874999999999998</v>
      </c>
      <c r="O25" s="69">
        <f t="shared" si="2"/>
        <v>0</v>
      </c>
      <c r="P25" s="69">
        <v>115.63</v>
      </c>
      <c r="Q25" s="25"/>
      <c r="R25" s="25"/>
      <c r="S25" s="25"/>
      <c r="T25" s="26"/>
      <c r="U25" s="26"/>
      <c r="V25" s="26"/>
      <c r="W25" s="26"/>
      <c r="X25" s="26"/>
      <c r="Y25" s="25"/>
      <c r="Z25" s="25"/>
      <c r="AA25" s="25"/>
      <c r="AB25" s="25"/>
      <c r="AC25" s="26"/>
      <c r="AD25" s="26"/>
      <c r="AE25" s="25"/>
      <c r="AF25" s="25"/>
      <c r="AG25" s="69">
        <f t="shared" si="3"/>
        <v>-129.505</v>
      </c>
      <c r="AH25" s="29">
        <f t="shared" si="4"/>
        <v>-4.9999999999954525E-3</v>
      </c>
    </row>
    <row r="26" spans="1:34" s="30" customFormat="1" ht="21.75" customHeight="1" x14ac:dyDescent="0.2">
      <c r="A26" s="18">
        <v>43439</v>
      </c>
      <c r="B26" s="19"/>
      <c r="C26" s="20" t="s">
        <v>59</v>
      </c>
      <c r="D26" s="20" t="s">
        <v>1093</v>
      </c>
      <c r="E26" s="20" t="s">
        <v>277</v>
      </c>
      <c r="F26" s="21">
        <v>678962</v>
      </c>
      <c r="G26" s="22" t="s">
        <v>1104</v>
      </c>
      <c r="H26" s="23"/>
      <c r="I26" s="23"/>
      <c r="J26" s="23"/>
      <c r="K26" s="23">
        <v>157.75</v>
      </c>
      <c r="L26" s="24"/>
      <c r="M26" s="69">
        <f t="shared" si="0"/>
        <v>140.84821428571428</v>
      </c>
      <c r="N26" s="69">
        <f t="shared" si="1"/>
        <v>16.901785714285712</v>
      </c>
      <c r="O26" s="69">
        <f t="shared" si="2"/>
        <v>0</v>
      </c>
      <c r="P26" s="69"/>
      <c r="Q26" s="25"/>
      <c r="R26" s="25"/>
      <c r="S26" s="25"/>
      <c r="T26" s="26">
        <v>140.85</v>
      </c>
      <c r="U26" s="26"/>
      <c r="V26" s="26"/>
      <c r="W26" s="26"/>
      <c r="X26" s="26"/>
      <c r="Y26" s="25"/>
      <c r="Z26" s="25"/>
      <c r="AA26" s="25"/>
      <c r="AB26" s="25"/>
      <c r="AC26" s="26"/>
      <c r="AD26" s="26"/>
      <c r="AE26" s="25"/>
      <c r="AF26" s="25"/>
      <c r="AG26" s="69">
        <f t="shared" si="3"/>
        <v>-157.75178571428572</v>
      </c>
      <c r="AH26" s="29">
        <f t="shared" si="4"/>
        <v>-1.7857142857167219E-3</v>
      </c>
    </row>
    <row r="27" spans="1:34" s="46" customFormat="1" ht="21.75" customHeight="1" x14ac:dyDescent="0.2">
      <c r="A27" s="33">
        <v>43439</v>
      </c>
      <c r="B27" s="34"/>
      <c r="C27" s="36" t="s">
        <v>745</v>
      </c>
      <c r="D27" s="36" t="s">
        <v>812</v>
      </c>
      <c r="E27" s="36" t="s">
        <v>277</v>
      </c>
      <c r="F27" s="37">
        <v>33134</v>
      </c>
      <c r="G27" s="38" t="s">
        <v>1105</v>
      </c>
      <c r="H27" s="39"/>
      <c r="I27" s="39"/>
      <c r="J27" s="39"/>
      <c r="K27" s="39">
        <v>182.45</v>
      </c>
      <c r="L27" s="40"/>
      <c r="M27" s="78">
        <f t="shared" si="0"/>
        <v>162.90178571428569</v>
      </c>
      <c r="N27" s="78">
        <f t="shared" si="1"/>
        <v>19.548214285714284</v>
      </c>
      <c r="O27" s="78">
        <f t="shared" si="2"/>
        <v>0</v>
      </c>
      <c r="P27" s="78">
        <v>162.9</v>
      </c>
      <c r="Q27" s="41"/>
      <c r="R27" s="41"/>
      <c r="S27" s="41"/>
      <c r="T27" s="42"/>
      <c r="U27" s="42"/>
      <c r="V27" s="42"/>
      <c r="W27" s="42"/>
      <c r="X27" s="42"/>
      <c r="Y27" s="41"/>
      <c r="Z27" s="41"/>
      <c r="AA27" s="41"/>
      <c r="AB27" s="41"/>
      <c r="AC27" s="42"/>
      <c r="AD27" s="42"/>
      <c r="AE27" s="41"/>
      <c r="AF27" s="41"/>
      <c r="AG27" s="78">
        <f t="shared" si="3"/>
        <v>-182.4482142857143</v>
      </c>
      <c r="AH27" s="45">
        <f t="shared" si="4"/>
        <v>1.7857142856883002E-3</v>
      </c>
    </row>
    <row r="28" spans="1:34" s="30" customFormat="1" ht="21.75" customHeight="1" x14ac:dyDescent="0.2">
      <c r="A28" s="18">
        <v>43440</v>
      </c>
      <c r="B28" s="19"/>
      <c r="C28" s="20" t="s">
        <v>1106</v>
      </c>
      <c r="D28" s="20"/>
      <c r="E28" s="20"/>
      <c r="F28" s="21"/>
      <c r="G28" s="22" t="s">
        <v>644</v>
      </c>
      <c r="H28" s="23">
        <v>502</v>
      </c>
      <c r="I28" s="23"/>
      <c r="J28" s="23"/>
      <c r="K28" s="23"/>
      <c r="L28" s="24"/>
      <c r="M28" s="69">
        <f t="shared" si="0"/>
        <v>502</v>
      </c>
      <c r="N28" s="69">
        <f t="shared" si="1"/>
        <v>0</v>
      </c>
      <c r="O28" s="69">
        <f t="shared" si="2"/>
        <v>0</v>
      </c>
      <c r="P28" s="69"/>
      <c r="Q28" s="25"/>
      <c r="R28" s="25"/>
      <c r="S28" s="25"/>
      <c r="T28" s="26"/>
      <c r="U28" s="26"/>
      <c r="V28" s="26"/>
      <c r="W28" s="26"/>
      <c r="X28" s="26"/>
      <c r="Y28" s="25"/>
      <c r="Z28" s="25"/>
      <c r="AA28" s="25"/>
      <c r="AB28" s="25">
        <v>502</v>
      </c>
      <c r="AC28" s="26"/>
      <c r="AD28" s="26"/>
      <c r="AE28" s="25"/>
      <c r="AF28" s="25"/>
      <c r="AG28" s="69">
        <f t="shared" si="3"/>
        <v>-502</v>
      </c>
      <c r="AH28" s="29">
        <f t="shared" si="4"/>
        <v>0</v>
      </c>
    </row>
    <row r="29" spans="1:34" s="30" customFormat="1" ht="21.75" customHeight="1" x14ac:dyDescent="0.2">
      <c r="A29" s="18">
        <v>43440</v>
      </c>
      <c r="B29" s="19"/>
      <c r="C29" s="20" t="s">
        <v>705</v>
      </c>
      <c r="D29" s="20" t="s">
        <v>706</v>
      </c>
      <c r="E29" s="20" t="s">
        <v>707</v>
      </c>
      <c r="F29" s="21">
        <v>102429</v>
      </c>
      <c r="G29" s="22" t="s">
        <v>40</v>
      </c>
      <c r="H29" s="23"/>
      <c r="I29" s="23"/>
      <c r="J29" s="23"/>
      <c r="K29" s="23">
        <v>180</v>
      </c>
      <c r="L29" s="24"/>
      <c r="M29" s="69">
        <f t="shared" si="0"/>
        <v>160.71428571428569</v>
      </c>
      <c r="N29" s="69">
        <f t="shared" si="1"/>
        <v>19.285714285714281</v>
      </c>
      <c r="O29" s="69">
        <f t="shared" si="2"/>
        <v>0</v>
      </c>
      <c r="P29" s="69"/>
      <c r="Q29" s="25">
        <v>160.71</v>
      </c>
      <c r="R29" s="25"/>
      <c r="S29" s="25"/>
      <c r="T29" s="26"/>
      <c r="U29" s="26"/>
      <c r="V29" s="26"/>
      <c r="W29" s="26"/>
      <c r="X29" s="26"/>
      <c r="Y29" s="25"/>
      <c r="Z29" s="25"/>
      <c r="AA29" s="25"/>
      <c r="AB29" s="25"/>
      <c r="AC29" s="26"/>
      <c r="AD29" s="26"/>
      <c r="AE29" s="25"/>
      <c r="AF29" s="25"/>
      <c r="AG29" s="69">
        <f t="shared" si="3"/>
        <v>-179.99571428571429</v>
      </c>
      <c r="AH29" s="29">
        <f t="shared" si="4"/>
        <v>4.2857142857144481E-3</v>
      </c>
    </row>
    <row r="30" spans="1:34" s="30" customFormat="1" ht="21.75" customHeight="1" x14ac:dyDescent="0.2">
      <c r="A30" s="18">
        <v>43441</v>
      </c>
      <c r="B30" s="19"/>
      <c r="C30" s="20" t="s">
        <v>63</v>
      </c>
      <c r="D30" s="20" t="s">
        <v>64</v>
      </c>
      <c r="E30" s="20" t="s">
        <v>120</v>
      </c>
      <c r="F30" s="21">
        <v>117565</v>
      </c>
      <c r="G30" s="22" t="s">
        <v>1107</v>
      </c>
      <c r="H30" s="23"/>
      <c r="I30" s="23"/>
      <c r="J30" s="23">
        <v>1063.1500000000001</v>
      </c>
      <c r="K30" s="23"/>
      <c r="L30" s="24"/>
      <c r="M30" s="69">
        <f t="shared" si="0"/>
        <v>1063.1500000000001</v>
      </c>
      <c r="N30" s="69">
        <f t="shared" si="1"/>
        <v>0</v>
      </c>
      <c r="O30" s="69">
        <f t="shared" si="2"/>
        <v>0</v>
      </c>
      <c r="P30" s="69">
        <v>1063.1500000000001</v>
      </c>
      <c r="Q30" s="25"/>
      <c r="R30" s="25"/>
      <c r="S30" s="25"/>
      <c r="T30" s="26"/>
      <c r="U30" s="26"/>
      <c r="V30" s="26"/>
      <c r="W30" s="26"/>
      <c r="X30" s="26"/>
      <c r="Y30" s="25"/>
      <c r="Z30" s="25"/>
      <c r="AA30" s="25"/>
      <c r="AB30" s="25"/>
      <c r="AC30" s="26"/>
      <c r="AD30" s="26"/>
      <c r="AE30" s="25"/>
      <c r="AF30" s="25"/>
      <c r="AG30" s="69">
        <f t="shared" si="3"/>
        <v>-1063.1500000000001</v>
      </c>
      <c r="AH30" s="29">
        <f t="shared" si="4"/>
        <v>0</v>
      </c>
    </row>
    <row r="31" spans="1:34" s="30" customFormat="1" ht="21.75" customHeight="1" x14ac:dyDescent="0.2">
      <c r="A31" s="18">
        <v>43441</v>
      </c>
      <c r="B31" s="19"/>
      <c r="C31" s="20" t="s">
        <v>63</v>
      </c>
      <c r="D31" s="20" t="s">
        <v>64</v>
      </c>
      <c r="E31" s="20" t="s">
        <v>120</v>
      </c>
      <c r="F31" s="21">
        <v>117565</v>
      </c>
      <c r="G31" s="22" t="s">
        <v>1108</v>
      </c>
      <c r="H31" s="23"/>
      <c r="I31" s="23"/>
      <c r="J31" s="23"/>
      <c r="K31" s="23">
        <f>287.05+34.45</f>
        <v>321.5</v>
      </c>
      <c r="L31" s="24"/>
      <c r="M31" s="69">
        <f t="shared" si="0"/>
        <v>287.05357142857139</v>
      </c>
      <c r="N31" s="69">
        <f t="shared" si="1"/>
        <v>34.446428571428562</v>
      </c>
      <c r="O31" s="69">
        <f t="shared" si="2"/>
        <v>0</v>
      </c>
      <c r="P31" s="69">
        <v>287.05</v>
      </c>
      <c r="Q31" s="25"/>
      <c r="R31" s="25"/>
      <c r="S31" s="25"/>
      <c r="T31" s="26"/>
      <c r="U31" s="26"/>
      <c r="V31" s="26"/>
      <c r="W31" s="26"/>
      <c r="X31" s="26"/>
      <c r="Y31" s="25"/>
      <c r="Z31" s="25"/>
      <c r="AA31" s="25"/>
      <c r="AB31" s="25"/>
      <c r="AC31" s="26"/>
      <c r="AD31" s="26"/>
      <c r="AE31" s="25"/>
      <c r="AF31" s="25"/>
      <c r="AG31" s="69">
        <f t="shared" si="3"/>
        <v>-321.49642857142857</v>
      </c>
      <c r="AH31" s="29">
        <f t="shared" si="4"/>
        <v>3.5714285714334437E-3</v>
      </c>
    </row>
    <row r="32" spans="1:34" s="30" customFormat="1" ht="21.75" customHeight="1" x14ac:dyDescent="0.2">
      <c r="A32" s="18">
        <v>43441</v>
      </c>
      <c r="B32" s="19"/>
      <c r="C32" s="20" t="s">
        <v>63</v>
      </c>
      <c r="D32" s="20" t="s">
        <v>64</v>
      </c>
      <c r="E32" s="20" t="s">
        <v>120</v>
      </c>
      <c r="F32" s="21">
        <v>190773</v>
      </c>
      <c r="G32" s="22" t="s">
        <v>393</v>
      </c>
      <c r="H32" s="23"/>
      <c r="I32" s="23"/>
      <c r="J32" s="23"/>
      <c r="K32" s="23">
        <v>150</v>
      </c>
      <c r="L32" s="24"/>
      <c r="M32" s="69">
        <f t="shared" si="0"/>
        <v>133.92857142857142</v>
      </c>
      <c r="N32" s="69">
        <f t="shared" si="1"/>
        <v>16.071428571428569</v>
      </c>
      <c r="O32" s="69">
        <f t="shared" si="2"/>
        <v>0</v>
      </c>
      <c r="P32" s="69"/>
      <c r="Q32" s="25">
        <v>133.93</v>
      </c>
      <c r="R32" s="25"/>
      <c r="S32" s="25"/>
      <c r="T32" s="26"/>
      <c r="U32" s="26"/>
      <c r="V32" s="26"/>
      <c r="W32" s="26"/>
      <c r="X32" s="26"/>
      <c r="Y32" s="25"/>
      <c r="Z32" s="25"/>
      <c r="AA32" s="25"/>
      <c r="AB32" s="25"/>
      <c r="AC32" s="26"/>
      <c r="AD32" s="26"/>
      <c r="AE32" s="25"/>
      <c r="AF32" s="25"/>
      <c r="AG32" s="69">
        <f t="shared" si="3"/>
        <v>-150.00142857142856</v>
      </c>
      <c r="AH32" s="29">
        <f t="shared" si="4"/>
        <v>-1.4285714285620088E-3</v>
      </c>
    </row>
    <row r="33" spans="1:34" s="30" customFormat="1" ht="21.75" customHeight="1" x14ac:dyDescent="0.2">
      <c r="A33" s="18">
        <v>43441</v>
      </c>
      <c r="B33" s="19"/>
      <c r="C33" s="20" t="s">
        <v>745</v>
      </c>
      <c r="D33" s="20" t="s">
        <v>812</v>
      </c>
      <c r="E33" s="20" t="s">
        <v>277</v>
      </c>
      <c r="F33" s="21">
        <v>86627</v>
      </c>
      <c r="G33" s="22" t="s">
        <v>455</v>
      </c>
      <c r="H33" s="23"/>
      <c r="I33" s="23"/>
      <c r="J33" s="23"/>
      <c r="K33" s="23">
        <v>435.45</v>
      </c>
      <c r="L33" s="24"/>
      <c r="M33" s="69">
        <f t="shared" si="0"/>
        <v>388.79464285714283</v>
      </c>
      <c r="N33" s="69">
        <f t="shared" si="1"/>
        <v>46.655357142857142</v>
      </c>
      <c r="O33" s="69">
        <f t="shared" si="2"/>
        <v>0</v>
      </c>
      <c r="P33" s="69">
        <v>388.79</v>
      </c>
      <c r="Q33" s="25"/>
      <c r="R33" s="25"/>
      <c r="S33" s="25"/>
      <c r="T33" s="26"/>
      <c r="U33" s="26"/>
      <c r="V33" s="26"/>
      <c r="W33" s="26"/>
      <c r="X33" s="26"/>
      <c r="Y33" s="25"/>
      <c r="Z33" s="25"/>
      <c r="AA33" s="25"/>
      <c r="AB33" s="25"/>
      <c r="AC33" s="26"/>
      <c r="AD33" s="26"/>
      <c r="AE33" s="25"/>
      <c r="AF33" s="25"/>
      <c r="AG33" s="69">
        <f t="shared" si="3"/>
        <v>-435.44535714285718</v>
      </c>
      <c r="AH33" s="29">
        <f t="shared" si="4"/>
        <v>4.6428571428123178E-3</v>
      </c>
    </row>
    <row r="34" spans="1:34" s="30" customFormat="1" ht="21.75" customHeight="1" x14ac:dyDescent="0.2">
      <c r="A34" s="18">
        <v>43441</v>
      </c>
      <c r="B34" s="19"/>
      <c r="C34" s="20" t="s">
        <v>613</v>
      </c>
      <c r="D34" s="20"/>
      <c r="E34" s="20"/>
      <c r="F34" s="21"/>
      <c r="G34" s="22" t="s">
        <v>1109</v>
      </c>
      <c r="H34" s="23"/>
      <c r="I34" s="23"/>
      <c r="J34" s="23">
        <v>250</v>
      </c>
      <c r="K34" s="23"/>
      <c r="L34" s="24"/>
      <c r="M34" s="69">
        <f t="shared" si="0"/>
        <v>250</v>
      </c>
      <c r="N34" s="69">
        <f t="shared" si="1"/>
        <v>0</v>
      </c>
      <c r="O34" s="69">
        <f t="shared" si="2"/>
        <v>0</v>
      </c>
      <c r="P34" s="69">
        <v>250</v>
      </c>
      <c r="Q34" s="25"/>
      <c r="R34" s="25"/>
      <c r="S34" s="25"/>
      <c r="T34" s="26"/>
      <c r="U34" s="26"/>
      <c r="V34" s="26"/>
      <c r="W34" s="26"/>
      <c r="X34" s="26"/>
      <c r="Y34" s="25"/>
      <c r="Z34" s="25"/>
      <c r="AA34" s="25"/>
      <c r="AB34" s="25"/>
      <c r="AC34" s="26"/>
      <c r="AD34" s="26"/>
      <c r="AE34" s="25"/>
      <c r="AF34" s="25"/>
      <c r="AG34" s="69">
        <f t="shared" si="3"/>
        <v>-250</v>
      </c>
      <c r="AH34" s="29">
        <f t="shared" si="4"/>
        <v>0</v>
      </c>
    </row>
    <row r="35" spans="1:34" s="30" customFormat="1" ht="21.75" customHeight="1" x14ac:dyDescent="0.2">
      <c r="A35" s="18">
        <v>43441</v>
      </c>
      <c r="B35" s="19"/>
      <c r="C35" s="20" t="s">
        <v>68</v>
      </c>
      <c r="D35" s="20"/>
      <c r="E35" s="20"/>
      <c r="F35" s="21"/>
      <c r="G35" s="22" t="s">
        <v>517</v>
      </c>
      <c r="H35" s="23">
        <v>50</v>
      </c>
      <c r="I35" s="23"/>
      <c r="J35" s="23"/>
      <c r="K35" s="23"/>
      <c r="L35" s="24"/>
      <c r="M35" s="69">
        <f t="shared" si="0"/>
        <v>50</v>
      </c>
      <c r="N35" s="69">
        <f t="shared" si="1"/>
        <v>0</v>
      </c>
      <c r="O35" s="69">
        <f t="shared" si="2"/>
        <v>0</v>
      </c>
      <c r="P35" s="69"/>
      <c r="Q35" s="25"/>
      <c r="R35" s="25"/>
      <c r="S35" s="25"/>
      <c r="T35" s="26"/>
      <c r="U35" s="26"/>
      <c r="V35" s="26"/>
      <c r="W35" s="26"/>
      <c r="X35" s="26"/>
      <c r="Y35" s="25"/>
      <c r="Z35" s="25"/>
      <c r="AA35" s="25">
        <v>50</v>
      </c>
      <c r="AB35" s="25"/>
      <c r="AC35" s="26"/>
      <c r="AD35" s="26"/>
      <c r="AE35" s="25"/>
      <c r="AF35" s="25"/>
      <c r="AG35" s="69">
        <f t="shared" si="3"/>
        <v>-50</v>
      </c>
      <c r="AH35" s="29">
        <f t="shared" si="4"/>
        <v>0</v>
      </c>
    </row>
    <row r="36" spans="1:34" s="30" customFormat="1" ht="21.75" customHeight="1" x14ac:dyDescent="0.2">
      <c r="A36" s="18">
        <v>43441</v>
      </c>
      <c r="B36" s="19"/>
      <c r="C36" s="20" t="s">
        <v>705</v>
      </c>
      <c r="D36" s="20" t="s">
        <v>706</v>
      </c>
      <c r="E36" s="20" t="s">
        <v>707</v>
      </c>
      <c r="F36" s="21">
        <v>112675</v>
      </c>
      <c r="G36" s="22" t="s">
        <v>40</v>
      </c>
      <c r="H36" s="23"/>
      <c r="I36" s="23"/>
      <c r="J36" s="23"/>
      <c r="K36" s="23">
        <v>180</v>
      </c>
      <c r="L36" s="24"/>
      <c r="M36" s="69">
        <f t="shared" si="0"/>
        <v>160.71428571428569</v>
      </c>
      <c r="N36" s="69">
        <f t="shared" si="1"/>
        <v>19.285714285714281</v>
      </c>
      <c r="O36" s="69">
        <f t="shared" si="2"/>
        <v>0</v>
      </c>
      <c r="P36" s="69"/>
      <c r="Q36" s="25">
        <v>160.71</v>
      </c>
      <c r="R36" s="25"/>
      <c r="S36" s="25"/>
      <c r="T36" s="26"/>
      <c r="U36" s="26"/>
      <c r="V36" s="26"/>
      <c r="W36" s="26"/>
      <c r="X36" s="26"/>
      <c r="Y36" s="25"/>
      <c r="Z36" s="25"/>
      <c r="AA36" s="25"/>
      <c r="AB36" s="25"/>
      <c r="AC36" s="26"/>
      <c r="AD36" s="26"/>
      <c r="AE36" s="25"/>
      <c r="AF36" s="25"/>
      <c r="AG36" s="69">
        <f t="shared" si="3"/>
        <v>-179.99571428571429</v>
      </c>
      <c r="AH36" s="29">
        <f t="shared" si="4"/>
        <v>4.2857142857144481E-3</v>
      </c>
    </row>
    <row r="37" spans="1:34" s="30" customFormat="1" ht="21.75" customHeight="1" x14ac:dyDescent="0.2">
      <c r="A37" s="18">
        <v>43441</v>
      </c>
      <c r="B37" s="19"/>
      <c r="C37" s="20" t="s">
        <v>745</v>
      </c>
      <c r="D37" s="20" t="s">
        <v>812</v>
      </c>
      <c r="E37" s="20" t="s">
        <v>277</v>
      </c>
      <c r="F37" s="21">
        <v>33198</v>
      </c>
      <c r="G37" s="22" t="s">
        <v>1087</v>
      </c>
      <c r="H37" s="23"/>
      <c r="I37" s="23"/>
      <c r="J37" s="23"/>
      <c r="K37" s="23">
        <v>182.5</v>
      </c>
      <c r="L37" s="24"/>
      <c r="M37" s="69">
        <f t="shared" ref="M37:M68" si="5">SUM(H37:J37,K37/1.12)</f>
        <v>162.94642857142856</v>
      </c>
      <c r="N37" s="69">
        <f t="shared" ref="N37:N68" si="6">K37/1.12*0.12</f>
        <v>19.553571428571427</v>
      </c>
      <c r="O37" s="69">
        <f t="shared" ref="O37:O68" si="7">-SUM(I37:J37,K37/1.12)*L37</f>
        <v>0</v>
      </c>
      <c r="P37" s="69">
        <v>162.94999999999999</v>
      </c>
      <c r="Q37" s="25"/>
      <c r="R37" s="25"/>
      <c r="S37" s="25"/>
      <c r="T37" s="26"/>
      <c r="U37" s="26"/>
      <c r="V37" s="26"/>
      <c r="W37" s="26"/>
      <c r="X37" s="26"/>
      <c r="Y37" s="25"/>
      <c r="Z37" s="25"/>
      <c r="AA37" s="25"/>
      <c r="AB37" s="25"/>
      <c r="AC37" s="26"/>
      <c r="AD37" s="26"/>
      <c r="AE37" s="25"/>
      <c r="AF37" s="25"/>
      <c r="AG37" s="69">
        <f t="shared" ref="AG37:AG68" si="8">-SUM(N37:AF37)</f>
        <v>-182.50357142857141</v>
      </c>
      <c r="AH37" s="29">
        <f t="shared" ref="AH37:AH68" si="9">SUM(H37:K37)+AG37+O37</f>
        <v>-3.571428571405022E-3</v>
      </c>
    </row>
    <row r="38" spans="1:34" s="30" customFormat="1" ht="21.75" customHeight="1" x14ac:dyDescent="0.2">
      <c r="A38" s="18">
        <v>43442</v>
      </c>
      <c r="B38" s="19"/>
      <c r="C38" s="20" t="s">
        <v>466</v>
      </c>
      <c r="D38" s="20" t="s">
        <v>467</v>
      </c>
      <c r="E38" s="20" t="s">
        <v>277</v>
      </c>
      <c r="F38" s="21">
        <v>59104</v>
      </c>
      <c r="G38" s="22" t="s">
        <v>40</v>
      </c>
      <c r="H38" s="23"/>
      <c r="I38" s="23"/>
      <c r="J38" s="23"/>
      <c r="K38" s="23">
        <v>38</v>
      </c>
      <c r="L38" s="24"/>
      <c r="M38" s="69">
        <f t="shared" si="5"/>
        <v>33.928571428571423</v>
      </c>
      <c r="N38" s="69">
        <f t="shared" si="6"/>
        <v>4.0714285714285703</v>
      </c>
      <c r="O38" s="69">
        <f t="shared" si="7"/>
        <v>0</v>
      </c>
      <c r="P38" s="69"/>
      <c r="Q38" s="25">
        <v>33.93</v>
      </c>
      <c r="R38" s="25"/>
      <c r="S38" s="25"/>
      <c r="T38" s="26"/>
      <c r="U38" s="26"/>
      <c r="V38" s="26"/>
      <c r="W38" s="26"/>
      <c r="X38" s="26"/>
      <c r="Y38" s="25"/>
      <c r="Z38" s="25"/>
      <c r="AA38" s="25"/>
      <c r="AB38" s="25"/>
      <c r="AC38" s="26"/>
      <c r="AD38" s="26"/>
      <c r="AE38" s="25"/>
      <c r="AF38" s="25"/>
      <c r="AG38" s="69">
        <f t="shared" si="8"/>
        <v>-38.001428571428569</v>
      </c>
      <c r="AH38" s="29">
        <f t="shared" si="9"/>
        <v>-1.4285714285691142E-3</v>
      </c>
    </row>
    <row r="39" spans="1:34" s="30" customFormat="1" ht="21.75" customHeight="1" x14ac:dyDescent="0.2">
      <c r="A39" s="18">
        <v>43444</v>
      </c>
      <c r="B39" s="19"/>
      <c r="C39" s="20" t="s">
        <v>1110</v>
      </c>
      <c r="D39" s="20"/>
      <c r="E39" s="20"/>
      <c r="F39" s="21"/>
      <c r="G39" s="22" t="s">
        <v>1111</v>
      </c>
      <c r="H39" s="23"/>
      <c r="I39" s="23"/>
      <c r="J39" s="23">
        <v>94</v>
      </c>
      <c r="K39" s="23"/>
      <c r="L39" s="24"/>
      <c r="M39" s="69">
        <f t="shared" si="5"/>
        <v>94</v>
      </c>
      <c r="N39" s="69">
        <f t="shared" si="6"/>
        <v>0</v>
      </c>
      <c r="O39" s="69">
        <f t="shared" si="7"/>
        <v>0</v>
      </c>
      <c r="P39" s="69">
        <v>94</v>
      </c>
      <c r="Q39" s="25"/>
      <c r="R39" s="25"/>
      <c r="S39" s="25"/>
      <c r="T39" s="26"/>
      <c r="U39" s="26"/>
      <c r="V39" s="26"/>
      <c r="W39" s="26"/>
      <c r="X39" s="26"/>
      <c r="Y39" s="25"/>
      <c r="Z39" s="25"/>
      <c r="AA39" s="25"/>
      <c r="AB39" s="25"/>
      <c r="AC39" s="26"/>
      <c r="AD39" s="26"/>
      <c r="AE39" s="25"/>
      <c r="AF39" s="25"/>
      <c r="AG39" s="69">
        <f t="shared" si="8"/>
        <v>-94</v>
      </c>
      <c r="AH39" s="29">
        <f t="shared" si="9"/>
        <v>0</v>
      </c>
    </row>
    <row r="40" spans="1:34" s="30" customFormat="1" ht="21.75" customHeight="1" x14ac:dyDescent="0.2">
      <c r="A40" s="18">
        <v>43444</v>
      </c>
      <c r="B40" s="19"/>
      <c r="C40" s="20" t="s">
        <v>705</v>
      </c>
      <c r="D40" s="20" t="s">
        <v>706</v>
      </c>
      <c r="E40" s="20" t="s">
        <v>707</v>
      </c>
      <c r="F40" s="21">
        <v>112716</v>
      </c>
      <c r="G40" s="22" t="s">
        <v>40</v>
      </c>
      <c r="H40" s="23"/>
      <c r="I40" s="23"/>
      <c r="J40" s="23"/>
      <c r="K40" s="23">
        <v>180</v>
      </c>
      <c r="L40" s="24"/>
      <c r="M40" s="69">
        <f t="shared" si="5"/>
        <v>160.71428571428569</v>
      </c>
      <c r="N40" s="69">
        <f t="shared" si="6"/>
        <v>19.285714285714281</v>
      </c>
      <c r="O40" s="69">
        <f t="shared" si="7"/>
        <v>0</v>
      </c>
      <c r="P40" s="69"/>
      <c r="Q40" s="25">
        <v>160.71</v>
      </c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6"/>
      <c r="AD40" s="26"/>
      <c r="AE40" s="25"/>
      <c r="AF40" s="25"/>
      <c r="AG40" s="69">
        <f t="shared" si="8"/>
        <v>-179.99571428571429</v>
      </c>
      <c r="AH40" s="29">
        <f t="shared" si="9"/>
        <v>4.2857142857144481E-3</v>
      </c>
    </row>
    <row r="41" spans="1:34" s="30" customFormat="1" ht="21.75" customHeight="1" x14ac:dyDescent="0.2">
      <c r="A41" s="18">
        <v>43444</v>
      </c>
      <c r="B41" s="19"/>
      <c r="C41" s="20" t="s">
        <v>745</v>
      </c>
      <c r="D41" s="20" t="s">
        <v>812</v>
      </c>
      <c r="E41" s="20" t="s">
        <v>277</v>
      </c>
      <c r="F41" s="21">
        <v>33221</v>
      </c>
      <c r="G41" s="22" t="s">
        <v>1112</v>
      </c>
      <c r="H41" s="23"/>
      <c r="I41" s="23"/>
      <c r="J41" s="23"/>
      <c r="K41" s="23">
        <v>356</v>
      </c>
      <c r="L41" s="24"/>
      <c r="M41" s="69">
        <f t="shared" si="5"/>
        <v>317.85714285714283</v>
      </c>
      <c r="N41" s="69">
        <f t="shared" si="6"/>
        <v>38.142857142857139</v>
      </c>
      <c r="O41" s="69">
        <f t="shared" si="7"/>
        <v>0</v>
      </c>
      <c r="P41" s="69">
        <v>317.86</v>
      </c>
      <c r="Q41" s="25"/>
      <c r="R41" s="25"/>
      <c r="S41" s="25"/>
      <c r="T41" s="26"/>
      <c r="U41" s="26"/>
      <c r="V41" s="26"/>
      <c r="W41" s="26"/>
      <c r="X41" s="26"/>
      <c r="Y41" s="25"/>
      <c r="Z41" s="25"/>
      <c r="AA41" s="25"/>
      <c r="AB41" s="25"/>
      <c r="AC41" s="26"/>
      <c r="AD41" s="26"/>
      <c r="AE41" s="25"/>
      <c r="AF41" s="25"/>
      <c r="AG41" s="69">
        <f t="shared" si="8"/>
        <v>-356.00285714285712</v>
      </c>
      <c r="AH41" s="29">
        <f t="shared" si="9"/>
        <v>-2.8571428571240176E-3</v>
      </c>
    </row>
    <row r="42" spans="1:34" s="30" customFormat="1" ht="21.75" customHeight="1" x14ac:dyDescent="0.2">
      <c r="A42" s="18">
        <v>43444</v>
      </c>
      <c r="B42" s="19"/>
      <c r="C42" s="20" t="s">
        <v>745</v>
      </c>
      <c r="D42" s="20" t="s">
        <v>812</v>
      </c>
      <c r="E42" s="20" t="s">
        <v>277</v>
      </c>
      <c r="F42" s="21">
        <v>33237</v>
      </c>
      <c r="G42" s="22" t="s">
        <v>159</v>
      </c>
      <c r="H42" s="23"/>
      <c r="I42" s="23"/>
      <c r="J42" s="23"/>
      <c r="K42" s="23">
        <v>240</v>
      </c>
      <c r="L42" s="24"/>
      <c r="M42" s="69">
        <f t="shared" si="5"/>
        <v>214.28571428571428</v>
      </c>
      <c r="N42" s="69">
        <f t="shared" si="6"/>
        <v>25.714285714285712</v>
      </c>
      <c r="O42" s="69">
        <f t="shared" si="7"/>
        <v>0</v>
      </c>
      <c r="P42" s="69">
        <v>214.29</v>
      </c>
      <c r="Q42" s="25"/>
      <c r="R42" s="25"/>
      <c r="S42" s="25"/>
      <c r="T42" s="26"/>
      <c r="U42" s="26"/>
      <c r="V42" s="26"/>
      <c r="W42" s="26"/>
      <c r="X42" s="26"/>
      <c r="Y42" s="25"/>
      <c r="Z42" s="25"/>
      <c r="AA42" s="25"/>
      <c r="AB42" s="25"/>
      <c r="AC42" s="26"/>
      <c r="AD42" s="26"/>
      <c r="AE42" s="25"/>
      <c r="AF42" s="25"/>
      <c r="AG42" s="69">
        <f t="shared" si="8"/>
        <v>-240.00428571428571</v>
      </c>
      <c r="AH42" s="29">
        <f t="shared" si="9"/>
        <v>-4.2857142857144481E-3</v>
      </c>
    </row>
    <row r="43" spans="1:34" s="30" customFormat="1" ht="21.75" customHeight="1" x14ac:dyDescent="0.2">
      <c r="A43" s="18">
        <v>43444</v>
      </c>
      <c r="B43" s="19"/>
      <c r="C43" s="20" t="s">
        <v>63</v>
      </c>
      <c r="D43" s="20" t="s">
        <v>64</v>
      </c>
      <c r="E43" s="20" t="s">
        <v>120</v>
      </c>
      <c r="F43" s="21">
        <v>83280</v>
      </c>
      <c r="G43" s="22" t="s">
        <v>1113</v>
      </c>
      <c r="H43" s="23"/>
      <c r="I43" s="23"/>
      <c r="J43" s="23">
        <v>215.2</v>
      </c>
      <c r="K43" s="23"/>
      <c r="L43" s="24"/>
      <c r="M43" s="69">
        <f t="shared" si="5"/>
        <v>215.2</v>
      </c>
      <c r="N43" s="69">
        <f t="shared" si="6"/>
        <v>0</v>
      </c>
      <c r="O43" s="69">
        <f t="shared" si="7"/>
        <v>0</v>
      </c>
      <c r="P43" s="69">
        <v>215.2</v>
      </c>
      <c r="Q43" s="25"/>
      <c r="R43" s="25"/>
      <c r="S43" s="25"/>
      <c r="T43" s="26"/>
      <c r="U43" s="26"/>
      <c r="V43" s="26"/>
      <c r="W43" s="26"/>
      <c r="X43" s="26"/>
      <c r="Y43" s="25"/>
      <c r="Z43" s="25"/>
      <c r="AA43" s="25"/>
      <c r="AB43" s="25"/>
      <c r="AC43" s="26"/>
      <c r="AD43" s="26"/>
      <c r="AE43" s="25"/>
      <c r="AF43" s="25"/>
      <c r="AG43" s="69">
        <f t="shared" si="8"/>
        <v>-215.2</v>
      </c>
      <c r="AH43" s="29">
        <f t="shared" si="9"/>
        <v>0</v>
      </c>
    </row>
    <row r="44" spans="1:34" s="30" customFormat="1" ht="21.75" customHeight="1" x14ac:dyDescent="0.2">
      <c r="A44" s="18">
        <v>43444</v>
      </c>
      <c r="B44" s="19"/>
      <c r="C44" s="20" t="s">
        <v>63</v>
      </c>
      <c r="D44" s="20" t="s">
        <v>64</v>
      </c>
      <c r="E44" s="20" t="s">
        <v>120</v>
      </c>
      <c r="F44" s="21">
        <v>83280</v>
      </c>
      <c r="G44" s="22" t="s">
        <v>1114</v>
      </c>
      <c r="H44" s="23"/>
      <c r="I44" s="23"/>
      <c r="J44" s="23"/>
      <c r="K44" s="23">
        <f>1159.24+139.11</f>
        <v>1298.3499999999999</v>
      </c>
      <c r="L44" s="24"/>
      <c r="M44" s="69">
        <f t="shared" si="5"/>
        <v>1159.2410714285713</v>
      </c>
      <c r="N44" s="69">
        <f t="shared" si="6"/>
        <v>139.10892857142855</v>
      </c>
      <c r="O44" s="69">
        <f t="shared" si="7"/>
        <v>0</v>
      </c>
      <c r="P44" s="69">
        <v>1159.24</v>
      </c>
      <c r="Q44" s="25"/>
      <c r="R44" s="25"/>
      <c r="S44" s="25"/>
      <c r="T44" s="26"/>
      <c r="U44" s="26"/>
      <c r="V44" s="26"/>
      <c r="W44" s="26"/>
      <c r="X44" s="26"/>
      <c r="Y44" s="25"/>
      <c r="Z44" s="25"/>
      <c r="AA44" s="25"/>
      <c r="AB44" s="25"/>
      <c r="AC44" s="26"/>
      <c r="AD44" s="26"/>
      <c r="AE44" s="25"/>
      <c r="AF44" s="25"/>
      <c r="AG44" s="69">
        <f t="shared" si="8"/>
        <v>-1298.3489285714286</v>
      </c>
      <c r="AH44" s="29">
        <f t="shared" si="9"/>
        <v>1.0714285713220306E-3</v>
      </c>
    </row>
    <row r="45" spans="1:34" s="30" customFormat="1" ht="21.75" customHeight="1" x14ac:dyDescent="0.2">
      <c r="A45" s="18">
        <v>43445</v>
      </c>
      <c r="B45" s="19"/>
      <c r="C45" s="20" t="s">
        <v>745</v>
      </c>
      <c r="D45" s="20" t="s">
        <v>812</v>
      </c>
      <c r="E45" s="20" t="s">
        <v>277</v>
      </c>
      <c r="F45" s="21">
        <v>33252</v>
      </c>
      <c r="G45" s="22" t="s">
        <v>1115</v>
      </c>
      <c r="H45" s="23"/>
      <c r="I45" s="23"/>
      <c r="J45" s="23"/>
      <c r="K45" s="23">
        <v>82.75</v>
      </c>
      <c r="L45" s="24"/>
      <c r="M45" s="69">
        <f t="shared" si="5"/>
        <v>73.883928571428569</v>
      </c>
      <c r="N45" s="69">
        <f t="shared" si="6"/>
        <v>8.8660714285714288</v>
      </c>
      <c r="O45" s="69">
        <f t="shared" si="7"/>
        <v>0</v>
      </c>
      <c r="P45" s="69">
        <v>73.88</v>
      </c>
      <c r="Q45" s="25"/>
      <c r="R45" s="25"/>
      <c r="S45" s="25"/>
      <c r="T45" s="26"/>
      <c r="U45" s="26"/>
      <c r="V45" s="26"/>
      <c r="W45" s="26"/>
      <c r="X45" s="26"/>
      <c r="Y45" s="25"/>
      <c r="Z45" s="25"/>
      <c r="AA45" s="25"/>
      <c r="AB45" s="25"/>
      <c r="AC45" s="26"/>
      <c r="AD45" s="26"/>
      <c r="AE45" s="25"/>
      <c r="AF45" s="25"/>
      <c r="AG45" s="69">
        <f t="shared" si="8"/>
        <v>-82.746071428571426</v>
      </c>
      <c r="AH45" s="29">
        <f t="shared" si="9"/>
        <v>3.9285714285739459E-3</v>
      </c>
    </row>
    <row r="46" spans="1:34" s="30" customFormat="1" ht="21.75" customHeight="1" x14ac:dyDescent="0.2">
      <c r="A46" s="18">
        <v>43445</v>
      </c>
      <c r="B46" s="19"/>
      <c r="C46" s="20" t="s">
        <v>705</v>
      </c>
      <c r="D46" s="20" t="s">
        <v>706</v>
      </c>
      <c r="E46" s="20" t="s">
        <v>707</v>
      </c>
      <c r="F46" s="21">
        <v>114513</v>
      </c>
      <c r="G46" s="22" t="s">
        <v>40</v>
      </c>
      <c r="H46" s="23"/>
      <c r="I46" s="23"/>
      <c r="J46" s="23"/>
      <c r="K46" s="23">
        <v>180</v>
      </c>
      <c r="L46" s="24"/>
      <c r="M46" s="69">
        <f t="shared" si="5"/>
        <v>160.71428571428569</v>
      </c>
      <c r="N46" s="69">
        <f t="shared" si="6"/>
        <v>19.285714285714281</v>
      </c>
      <c r="O46" s="69">
        <f t="shared" si="7"/>
        <v>0</v>
      </c>
      <c r="P46" s="69">
        <v>160.71</v>
      </c>
      <c r="Q46" s="25"/>
      <c r="R46" s="25"/>
      <c r="S46" s="25"/>
      <c r="T46" s="26"/>
      <c r="U46" s="26"/>
      <c r="V46" s="26"/>
      <c r="W46" s="26"/>
      <c r="X46" s="26"/>
      <c r="Y46" s="25"/>
      <c r="Z46" s="25"/>
      <c r="AA46" s="25"/>
      <c r="AB46" s="25"/>
      <c r="AC46" s="26"/>
      <c r="AD46" s="26"/>
      <c r="AE46" s="25"/>
      <c r="AF46" s="25"/>
      <c r="AG46" s="69">
        <f t="shared" si="8"/>
        <v>-179.99571428571429</v>
      </c>
      <c r="AH46" s="29">
        <f t="shared" si="9"/>
        <v>4.2857142857144481E-3</v>
      </c>
    </row>
    <row r="47" spans="1:34" s="30" customFormat="1" ht="21.75" customHeight="1" x14ac:dyDescent="0.2">
      <c r="A47" s="18">
        <v>43445</v>
      </c>
      <c r="B47" s="19"/>
      <c r="C47" s="20" t="s">
        <v>1116</v>
      </c>
      <c r="D47" s="20" t="s">
        <v>1117</v>
      </c>
      <c r="E47" s="20" t="s">
        <v>72</v>
      </c>
      <c r="F47" s="21">
        <v>860</v>
      </c>
      <c r="G47" s="22" t="s">
        <v>1118</v>
      </c>
      <c r="H47" s="23"/>
      <c r="I47" s="23"/>
      <c r="J47" s="23">
        <v>212</v>
      </c>
      <c r="K47" s="23"/>
      <c r="L47" s="24"/>
      <c r="M47" s="69">
        <f t="shared" si="5"/>
        <v>212</v>
      </c>
      <c r="N47" s="69">
        <f t="shared" si="6"/>
        <v>0</v>
      </c>
      <c r="O47" s="69">
        <f t="shared" si="7"/>
        <v>0</v>
      </c>
      <c r="P47" s="69"/>
      <c r="Q47" s="25"/>
      <c r="R47" s="25"/>
      <c r="S47" s="25">
        <v>212</v>
      </c>
      <c r="T47" s="26"/>
      <c r="U47" s="26"/>
      <c r="V47" s="26"/>
      <c r="W47" s="26"/>
      <c r="X47" s="26"/>
      <c r="Y47" s="25"/>
      <c r="Z47" s="25"/>
      <c r="AA47" s="25"/>
      <c r="AB47" s="25"/>
      <c r="AC47" s="26"/>
      <c r="AD47" s="26"/>
      <c r="AE47" s="25"/>
      <c r="AF47" s="25"/>
      <c r="AG47" s="69">
        <f t="shared" si="8"/>
        <v>-212</v>
      </c>
      <c r="AH47" s="29">
        <f t="shared" si="9"/>
        <v>0</v>
      </c>
    </row>
    <row r="48" spans="1:34" s="30" customFormat="1" ht="21.75" customHeight="1" x14ac:dyDescent="0.2">
      <c r="A48" s="18">
        <v>43445</v>
      </c>
      <c r="B48" s="19"/>
      <c r="C48" s="20" t="s">
        <v>68</v>
      </c>
      <c r="D48" s="20"/>
      <c r="E48" s="20"/>
      <c r="F48" s="21"/>
      <c r="G48" s="22" t="s">
        <v>1119</v>
      </c>
      <c r="H48" s="23">
        <v>120</v>
      </c>
      <c r="I48" s="23"/>
      <c r="J48" s="23"/>
      <c r="K48" s="23"/>
      <c r="L48" s="24"/>
      <c r="M48" s="69">
        <f t="shared" si="5"/>
        <v>120</v>
      </c>
      <c r="N48" s="69">
        <f t="shared" si="6"/>
        <v>0</v>
      </c>
      <c r="O48" s="69">
        <f t="shared" si="7"/>
        <v>0</v>
      </c>
      <c r="P48" s="69"/>
      <c r="Q48" s="25"/>
      <c r="R48" s="25"/>
      <c r="S48" s="25"/>
      <c r="T48" s="26"/>
      <c r="U48" s="26"/>
      <c r="V48" s="26"/>
      <c r="W48" s="26"/>
      <c r="X48" s="26"/>
      <c r="Y48" s="25"/>
      <c r="Z48" s="25"/>
      <c r="AA48" s="25">
        <v>120</v>
      </c>
      <c r="AB48" s="25"/>
      <c r="AC48" s="26"/>
      <c r="AD48" s="26"/>
      <c r="AE48" s="25"/>
      <c r="AF48" s="25"/>
      <c r="AG48" s="69">
        <f t="shared" si="8"/>
        <v>-120</v>
      </c>
      <c r="AH48" s="29">
        <f t="shared" si="9"/>
        <v>0</v>
      </c>
    </row>
    <row r="49" spans="1:34" s="30" customFormat="1" ht="21.75" customHeight="1" x14ac:dyDescent="0.2">
      <c r="A49" s="18">
        <v>43445</v>
      </c>
      <c r="B49" s="19"/>
      <c r="C49" s="20" t="s">
        <v>180</v>
      </c>
      <c r="D49" s="20" t="s">
        <v>71</v>
      </c>
      <c r="E49" s="20" t="s">
        <v>72</v>
      </c>
      <c r="F49" s="21">
        <v>7839</v>
      </c>
      <c r="G49" s="22" t="s">
        <v>1120</v>
      </c>
      <c r="H49" s="23"/>
      <c r="I49" s="23"/>
      <c r="J49" s="23"/>
      <c r="K49" s="23">
        <v>4277</v>
      </c>
      <c r="L49" s="24"/>
      <c r="M49" s="69">
        <f t="shared" si="5"/>
        <v>3818.7499999999995</v>
      </c>
      <c r="N49" s="69">
        <f t="shared" si="6"/>
        <v>458.24999999999994</v>
      </c>
      <c r="O49" s="69">
        <f t="shared" si="7"/>
        <v>0</v>
      </c>
      <c r="P49" s="69">
        <v>3818.75</v>
      </c>
      <c r="Q49" s="25"/>
      <c r="R49" s="25"/>
      <c r="S49" s="25"/>
      <c r="T49" s="26"/>
      <c r="U49" s="26"/>
      <c r="V49" s="26"/>
      <c r="W49" s="26"/>
      <c r="X49" s="26"/>
      <c r="Y49" s="25"/>
      <c r="Z49" s="25"/>
      <c r="AA49" s="25"/>
      <c r="AB49" s="25"/>
      <c r="AC49" s="26"/>
      <c r="AD49" s="26"/>
      <c r="AE49" s="25"/>
      <c r="AF49" s="25"/>
      <c r="AG49" s="69">
        <f t="shared" si="8"/>
        <v>-4277</v>
      </c>
      <c r="AH49" s="29">
        <f t="shared" si="9"/>
        <v>0</v>
      </c>
    </row>
    <row r="50" spans="1:34" s="30" customFormat="1" ht="21.75" customHeight="1" x14ac:dyDescent="0.2">
      <c r="A50" s="18">
        <v>43446</v>
      </c>
      <c r="B50" s="19"/>
      <c r="C50" s="20" t="s">
        <v>745</v>
      </c>
      <c r="D50" s="20" t="s">
        <v>812</v>
      </c>
      <c r="E50" s="20" t="s">
        <v>277</v>
      </c>
      <c r="F50" s="21">
        <v>33279</v>
      </c>
      <c r="G50" s="22" t="s">
        <v>1121</v>
      </c>
      <c r="H50" s="23"/>
      <c r="I50" s="23"/>
      <c r="J50" s="23"/>
      <c r="K50" s="23">
        <v>163</v>
      </c>
      <c r="L50" s="24"/>
      <c r="M50" s="69">
        <f t="shared" si="5"/>
        <v>145.53571428571428</v>
      </c>
      <c r="N50" s="69">
        <f t="shared" si="6"/>
        <v>17.464285714285712</v>
      </c>
      <c r="O50" s="69">
        <f t="shared" si="7"/>
        <v>0</v>
      </c>
      <c r="P50" s="69">
        <v>145.54</v>
      </c>
      <c r="Q50" s="25"/>
      <c r="R50" s="25"/>
      <c r="S50" s="25"/>
      <c r="T50" s="26"/>
      <c r="U50" s="26"/>
      <c r="V50" s="26"/>
      <c r="W50" s="26"/>
      <c r="X50" s="26"/>
      <c r="Y50" s="25"/>
      <c r="Z50" s="25"/>
      <c r="AA50" s="25"/>
      <c r="AB50" s="25"/>
      <c r="AC50" s="26"/>
      <c r="AD50" s="26"/>
      <c r="AE50" s="25"/>
      <c r="AF50" s="25"/>
      <c r="AG50" s="69">
        <f t="shared" si="8"/>
        <v>-163.00428571428571</v>
      </c>
      <c r="AH50" s="29">
        <f t="shared" si="9"/>
        <v>-4.2857142857144481E-3</v>
      </c>
    </row>
    <row r="51" spans="1:34" s="30" customFormat="1" ht="21.75" customHeight="1" x14ac:dyDescent="0.2">
      <c r="A51" s="18">
        <v>43446</v>
      </c>
      <c r="B51" s="19"/>
      <c r="C51" s="20" t="s">
        <v>745</v>
      </c>
      <c r="D51" s="20" t="s">
        <v>812</v>
      </c>
      <c r="E51" s="20" t="s">
        <v>277</v>
      </c>
      <c r="F51" s="21">
        <v>33281</v>
      </c>
      <c r="G51" s="22" t="s">
        <v>1073</v>
      </c>
      <c r="H51" s="23"/>
      <c r="I51" s="23"/>
      <c r="J51" s="23"/>
      <c r="K51" s="23">
        <v>93.75</v>
      </c>
      <c r="L51" s="24"/>
      <c r="M51" s="69">
        <f t="shared" si="5"/>
        <v>83.705357142857139</v>
      </c>
      <c r="N51" s="69">
        <f t="shared" si="6"/>
        <v>10.044642857142856</v>
      </c>
      <c r="O51" s="69">
        <f t="shared" si="7"/>
        <v>0</v>
      </c>
      <c r="P51" s="69"/>
      <c r="Q51" s="25">
        <v>83.71</v>
      </c>
      <c r="R51" s="25"/>
      <c r="S51" s="25"/>
      <c r="T51" s="26"/>
      <c r="U51" s="26"/>
      <c r="V51" s="26"/>
      <c r="W51" s="26"/>
      <c r="X51" s="26"/>
      <c r="Y51" s="25"/>
      <c r="Z51" s="25"/>
      <c r="AA51" s="25"/>
      <c r="AB51" s="25"/>
      <c r="AC51" s="26"/>
      <c r="AD51" s="26"/>
      <c r="AE51" s="25"/>
      <c r="AF51" s="25"/>
      <c r="AG51" s="69">
        <f t="shared" si="8"/>
        <v>-93.754642857142855</v>
      </c>
      <c r="AH51" s="29">
        <f t="shared" si="9"/>
        <v>-4.6428571428549503E-3</v>
      </c>
    </row>
    <row r="52" spans="1:34" s="30" customFormat="1" ht="21.75" customHeight="1" x14ac:dyDescent="0.2">
      <c r="A52" s="18">
        <v>43446</v>
      </c>
      <c r="B52" s="19"/>
      <c r="C52" s="20" t="s">
        <v>745</v>
      </c>
      <c r="D52" s="20" t="s">
        <v>812</v>
      </c>
      <c r="E52" s="20" t="s">
        <v>277</v>
      </c>
      <c r="F52" s="21">
        <v>33304</v>
      </c>
      <c r="G52" s="22" t="s">
        <v>1086</v>
      </c>
      <c r="H52" s="23"/>
      <c r="I52" s="23"/>
      <c r="J52" s="23"/>
      <c r="K52" s="23">
        <v>187.5</v>
      </c>
      <c r="L52" s="24"/>
      <c r="M52" s="69">
        <f t="shared" si="5"/>
        <v>167.41071428571428</v>
      </c>
      <c r="N52" s="69">
        <f t="shared" si="6"/>
        <v>20.089285714285712</v>
      </c>
      <c r="O52" s="69">
        <f t="shared" si="7"/>
        <v>0</v>
      </c>
      <c r="P52" s="69"/>
      <c r="Q52" s="25">
        <v>167.41</v>
      </c>
      <c r="R52" s="25"/>
      <c r="S52" s="25"/>
      <c r="T52" s="26"/>
      <c r="U52" s="26"/>
      <c r="V52" s="26"/>
      <c r="W52" s="26"/>
      <c r="X52" s="26"/>
      <c r="Y52" s="25"/>
      <c r="Z52" s="25"/>
      <c r="AA52" s="25"/>
      <c r="AB52" s="25"/>
      <c r="AC52" s="26"/>
      <c r="AD52" s="26"/>
      <c r="AE52" s="25"/>
      <c r="AF52" s="25"/>
      <c r="AG52" s="69">
        <f t="shared" si="8"/>
        <v>-187.49928571428572</v>
      </c>
      <c r="AH52" s="29">
        <f t="shared" si="9"/>
        <v>7.142857142810044E-4</v>
      </c>
    </row>
    <row r="53" spans="1:34" s="30" customFormat="1" ht="21.75" customHeight="1" x14ac:dyDescent="0.2">
      <c r="A53" s="18">
        <v>43446</v>
      </c>
      <c r="B53" s="19"/>
      <c r="C53" s="20" t="s">
        <v>745</v>
      </c>
      <c r="D53" s="20" t="s">
        <v>812</v>
      </c>
      <c r="E53" s="20" t="s">
        <v>277</v>
      </c>
      <c r="F53" s="21">
        <v>33282</v>
      </c>
      <c r="G53" s="22" t="s">
        <v>944</v>
      </c>
      <c r="H53" s="23"/>
      <c r="I53" s="23"/>
      <c r="J53" s="23"/>
      <c r="K53" s="23">
        <v>129.31</v>
      </c>
      <c r="L53" s="24"/>
      <c r="M53" s="69">
        <f t="shared" si="5"/>
        <v>115.45535714285714</v>
      </c>
      <c r="N53" s="69">
        <f t="shared" si="6"/>
        <v>13.854642857142856</v>
      </c>
      <c r="O53" s="69">
        <f t="shared" si="7"/>
        <v>0</v>
      </c>
      <c r="P53" s="69">
        <v>115.46</v>
      </c>
      <c r="Q53" s="25"/>
      <c r="R53" s="25"/>
      <c r="S53" s="25"/>
      <c r="T53" s="26"/>
      <c r="U53" s="26"/>
      <c r="V53" s="26"/>
      <c r="W53" s="26"/>
      <c r="X53" s="26"/>
      <c r="Y53" s="25"/>
      <c r="Z53" s="25"/>
      <c r="AA53" s="25"/>
      <c r="AB53" s="25"/>
      <c r="AC53" s="26"/>
      <c r="AD53" s="26"/>
      <c r="AE53" s="25"/>
      <c r="AF53" s="25"/>
      <c r="AG53" s="69">
        <f t="shared" si="8"/>
        <v>-129.31464285714284</v>
      </c>
      <c r="AH53" s="29">
        <f t="shared" si="9"/>
        <v>-4.6428571428407395E-3</v>
      </c>
    </row>
    <row r="54" spans="1:34" s="30" customFormat="1" ht="21.75" customHeight="1" x14ac:dyDescent="0.2">
      <c r="A54" s="18">
        <v>43446</v>
      </c>
      <c r="B54" s="19"/>
      <c r="C54" s="20" t="s">
        <v>745</v>
      </c>
      <c r="D54" s="20" t="s">
        <v>812</v>
      </c>
      <c r="E54" s="20" t="s">
        <v>277</v>
      </c>
      <c r="F54" s="21">
        <v>33283</v>
      </c>
      <c r="G54" s="22" t="s">
        <v>433</v>
      </c>
      <c r="H54" s="23"/>
      <c r="I54" s="23"/>
      <c r="J54" s="23"/>
      <c r="K54" s="23">
        <v>109.2</v>
      </c>
      <c r="L54" s="24"/>
      <c r="M54" s="69">
        <f t="shared" si="5"/>
        <v>97.5</v>
      </c>
      <c r="N54" s="69">
        <f t="shared" si="6"/>
        <v>11.7</v>
      </c>
      <c r="O54" s="69">
        <f t="shared" si="7"/>
        <v>0</v>
      </c>
      <c r="P54" s="69">
        <v>97.5</v>
      </c>
      <c r="Q54" s="25"/>
      <c r="R54" s="25"/>
      <c r="S54" s="25"/>
      <c r="T54" s="26"/>
      <c r="U54" s="26"/>
      <c r="V54" s="26"/>
      <c r="W54" s="26"/>
      <c r="X54" s="26"/>
      <c r="Y54" s="25"/>
      <c r="Z54" s="25"/>
      <c r="AA54" s="25"/>
      <c r="AB54" s="25"/>
      <c r="AC54" s="26"/>
      <c r="AD54" s="26"/>
      <c r="AE54" s="25"/>
      <c r="AF54" s="25"/>
      <c r="AG54" s="69">
        <f t="shared" si="8"/>
        <v>-109.2</v>
      </c>
      <c r="AH54" s="29">
        <f t="shared" si="9"/>
        <v>0</v>
      </c>
    </row>
    <row r="55" spans="1:34" s="30" customFormat="1" ht="21.75" customHeight="1" x14ac:dyDescent="0.2">
      <c r="A55" s="18">
        <v>43446</v>
      </c>
      <c r="B55" s="19"/>
      <c r="C55" s="20" t="s">
        <v>63</v>
      </c>
      <c r="D55" s="20" t="s">
        <v>64</v>
      </c>
      <c r="E55" s="20" t="s">
        <v>120</v>
      </c>
      <c r="F55" s="21">
        <v>147053</v>
      </c>
      <c r="G55" s="22" t="s">
        <v>1122</v>
      </c>
      <c r="H55" s="23"/>
      <c r="I55" s="23"/>
      <c r="J55" s="23"/>
      <c r="K55" s="23">
        <f>1446.07+173.53</f>
        <v>1619.6</v>
      </c>
      <c r="L55" s="24"/>
      <c r="M55" s="69">
        <f t="shared" si="5"/>
        <v>1446.0714285714284</v>
      </c>
      <c r="N55" s="69">
        <f t="shared" si="6"/>
        <v>173.52857142857141</v>
      </c>
      <c r="O55" s="69">
        <f t="shared" si="7"/>
        <v>0</v>
      </c>
      <c r="P55" s="69">
        <v>1446.07</v>
      </c>
      <c r="Q55" s="25"/>
      <c r="R55" s="25"/>
      <c r="S55" s="25"/>
      <c r="T55" s="26"/>
      <c r="U55" s="26"/>
      <c r="V55" s="26"/>
      <c r="W55" s="26"/>
      <c r="X55" s="26"/>
      <c r="Y55" s="25"/>
      <c r="Z55" s="25"/>
      <c r="AA55" s="25"/>
      <c r="AB55" s="25"/>
      <c r="AC55" s="26"/>
      <c r="AD55" s="26"/>
      <c r="AE55" s="25"/>
      <c r="AF55" s="25"/>
      <c r="AG55" s="69">
        <f t="shared" si="8"/>
        <v>-1619.5985714285714</v>
      </c>
      <c r="AH55" s="29">
        <f t="shared" si="9"/>
        <v>1.4285714285051654E-3</v>
      </c>
    </row>
    <row r="56" spans="1:34" s="30" customFormat="1" ht="21.75" customHeight="1" x14ac:dyDescent="0.2">
      <c r="A56" s="18">
        <v>43446</v>
      </c>
      <c r="B56" s="19"/>
      <c r="C56" s="20" t="s">
        <v>63</v>
      </c>
      <c r="D56" s="20" t="s">
        <v>64</v>
      </c>
      <c r="E56" s="20" t="s">
        <v>120</v>
      </c>
      <c r="F56" s="21">
        <v>147053</v>
      </c>
      <c r="G56" s="22" t="s">
        <v>1123</v>
      </c>
      <c r="H56" s="23"/>
      <c r="I56" s="23"/>
      <c r="J56" s="23">
        <v>694.25</v>
      </c>
      <c r="K56" s="23"/>
      <c r="L56" s="24"/>
      <c r="M56" s="69">
        <f t="shared" si="5"/>
        <v>694.25</v>
      </c>
      <c r="N56" s="69">
        <f t="shared" si="6"/>
        <v>0</v>
      </c>
      <c r="O56" s="69">
        <f t="shared" si="7"/>
        <v>0</v>
      </c>
      <c r="P56" s="69">
        <v>694.25</v>
      </c>
      <c r="Q56" s="25"/>
      <c r="R56" s="25"/>
      <c r="S56" s="25"/>
      <c r="T56" s="26"/>
      <c r="U56" s="26"/>
      <c r="V56" s="26"/>
      <c r="W56" s="26"/>
      <c r="X56" s="26"/>
      <c r="Y56" s="25"/>
      <c r="Z56" s="25"/>
      <c r="AA56" s="25"/>
      <c r="AB56" s="25"/>
      <c r="AC56" s="26"/>
      <c r="AD56" s="26"/>
      <c r="AE56" s="25"/>
      <c r="AF56" s="25"/>
      <c r="AG56" s="69">
        <f t="shared" si="8"/>
        <v>-694.25</v>
      </c>
      <c r="AH56" s="29">
        <f t="shared" si="9"/>
        <v>0</v>
      </c>
    </row>
    <row r="57" spans="1:34" s="30" customFormat="1" ht="21.75" customHeight="1" x14ac:dyDescent="0.2">
      <c r="A57" s="18">
        <v>43446</v>
      </c>
      <c r="B57" s="19"/>
      <c r="C57" s="20" t="s">
        <v>63</v>
      </c>
      <c r="D57" s="20" t="s">
        <v>64</v>
      </c>
      <c r="E57" s="20" t="s">
        <v>120</v>
      </c>
      <c r="F57" s="21">
        <v>192878</v>
      </c>
      <c r="G57" s="22" t="s">
        <v>393</v>
      </c>
      <c r="H57" s="23"/>
      <c r="I57" s="23"/>
      <c r="J57" s="23"/>
      <c r="K57" s="23">
        <v>150</v>
      </c>
      <c r="L57" s="24"/>
      <c r="M57" s="69">
        <f t="shared" si="5"/>
        <v>133.92857142857142</v>
      </c>
      <c r="N57" s="69">
        <f t="shared" si="6"/>
        <v>16.071428571428569</v>
      </c>
      <c r="O57" s="69">
        <f t="shared" si="7"/>
        <v>0</v>
      </c>
      <c r="P57" s="69"/>
      <c r="Q57" s="25">
        <v>133.93</v>
      </c>
      <c r="R57" s="25"/>
      <c r="S57" s="25"/>
      <c r="T57" s="26"/>
      <c r="U57" s="26"/>
      <c r="V57" s="26"/>
      <c r="W57" s="26"/>
      <c r="X57" s="26"/>
      <c r="Y57" s="25"/>
      <c r="Z57" s="25"/>
      <c r="AA57" s="25"/>
      <c r="AB57" s="25"/>
      <c r="AC57" s="26"/>
      <c r="AD57" s="26"/>
      <c r="AE57" s="25"/>
      <c r="AF57" s="25"/>
      <c r="AG57" s="69">
        <f t="shared" si="8"/>
        <v>-150.00142857142856</v>
      </c>
      <c r="AH57" s="29">
        <f t="shared" si="9"/>
        <v>-1.4285714285620088E-3</v>
      </c>
    </row>
    <row r="58" spans="1:34" s="30" customFormat="1" ht="21.75" customHeight="1" x14ac:dyDescent="0.2">
      <c r="A58" s="18">
        <v>43446</v>
      </c>
      <c r="B58" s="19"/>
      <c r="C58" s="20" t="s">
        <v>745</v>
      </c>
      <c r="D58" s="20" t="s">
        <v>812</v>
      </c>
      <c r="E58" s="20" t="s">
        <v>277</v>
      </c>
      <c r="F58" s="21">
        <v>33270</v>
      </c>
      <c r="G58" s="22" t="s">
        <v>1073</v>
      </c>
      <c r="H58" s="23"/>
      <c r="I58" s="23"/>
      <c r="J58" s="23"/>
      <c r="K58" s="23">
        <v>318</v>
      </c>
      <c r="L58" s="24"/>
      <c r="M58" s="69">
        <f t="shared" si="5"/>
        <v>283.92857142857139</v>
      </c>
      <c r="N58" s="69">
        <f t="shared" si="6"/>
        <v>34.071428571428562</v>
      </c>
      <c r="O58" s="69">
        <f t="shared" si="7"/>
        <v>0</v>
      </c>
      <c r="P58" s="69"/>
      <c r="Q58" s="25">
        <v>283.93</v>
      </c>
      <c r="R58" s="25"/>
      <c r="S58" s="25"/>
      <c r="T58" s="26"/>
      <c r="U58" s="26"/>
      <c r="V58" s="26"/>
      <c r="W58" s="26"/>
      <c r="X58" s="26"/>
      <c r="Y58" s="25"/>
      <c r="Z58" s="25"/>
      <c r="AA58" s="25"/>
      <c r="AB58" s="25"/>
      <c r="AC58" s="26"/>
      <c r="AD58" s="26"/>
      <c r="AE58" s="25"/>
      <c r="AF58" s="25"/>
      <c r="AG58" s="69">
        <f t="shared" si="8"/>
        <v>-318.00142857142856</v>
      </c>
      <c r="AH58" s="29">
        <f t="shared" si="9"/>
        <v>-1.4285714285620088E-3</v>
      </c>
    </row>
    <row r="59" spans="1:34" s="30" customFormat="1" ht="21.75" customHeight="1" x14ac:dyDescent="0.2">
      <c r="A59" s="18">
        <v>43446</v>
      </c>
      <c r="B59" s="19"/>
      <c r="C59" s="20" t="s">
        <v>705</v>
      </c>
      <c r="D59" s="20" t="s">
        <v>706</v>
      </c>
      <c r="E59" s="20" t="s">
        <v>707</v>
      </c>
      <c r="F59" s="21">
        <v>114566</v>
      </c>
      <c r="G59" s="22" t="s">
        <v>40</v>
      </c>
      <c r="H59" s="23"/>
      <c r="I59" s="23"/>
      <c r="J59" s="23"/>
      <c r="K59" s="23">
        <v>180</v>
      </c>
      <c r="L59" s="24"/>
      <c r="M59" s="69">
        <f t="shared" si="5"/>
        <v>160.71428571428569</v>
      </c>
      <c r="N59" s="69">
        <f t="shared" si="6"/>
        <v>19.285714285714281</v>
      </c>
      <c r="O59" s="69">
        <f t="shared" si="7"/>
        <v>0</v>
      </c>
      <c r="P59" s="69"/>
      <c r="Q59" s="25">
        <v>160.71</v>
      </c>
      <c r="R59" s="25"/>
      <c r="S59" s="25"/>
      <c r="T59" s="26"/>
      <c r="U59" s="26"/>
      <c r="V59" s="26"/>
      <c r="W59" s="26"/>
      <c r="X59" s="26"/>
      <c r="Y59" s="25"/>
      <c r="Z59" s="25"/>
      <c r="AA59" s="25"/>
      <c r="AB59" s="25"/>
      <c r="AC59" s="26"/>
      <c r="AD59" s="26"/>
      <c r="AE59" s="25"/>
      <c r="AF59" s="25"/>
      <c r="AG59" s="69">
        <f t="shared" si="8"/>
        <v>-179.99571428571429</v>
      </c>
      <c r="AH59" s="29">
        <f t="shared" si="9"/>
        <v>4.2857142857144481E-3</v>
      </c>
    </row>
    <row r="60" spans="1:34" s="30" customFormat="1" ht="21.75" customHeight="1" x14ac:dyDescent="0.2">
      <c r="A60" s="18">
        <v>43447</v>
      </c>
      <c r="B60" s="19"/>
      <c r="C60" s="20" t="s">
        <v>466</v>
      </c>
      <c r="D60" s="20" t="s">
        <v>467</v>
      </c>
      <c r="E60" s="20" t="s">
        <v>277</v>
      </c>
      <c r="F60" s="21">
        <v>59103</v>
      </c>
      <c r="G60" s="22" t="s">
        <v>40</v>
      </c>
      <c r="H60" s="23"/>
      <c r="I60" s="23"/>
      <c r="J60" s="23"/>
      <c r="K60" s="23">
        <v>38</v>
      </c>
      <c r="L60" s="24"/>
      <c r="M60" s="69">
        <f t="shared" si="5"/>
        <v>33.928571428571423</v>
      </c>
      <c r="N60" s="69">
        <f t="shared" si="6"/>
        <v>4.0714285714285703</v>
      </c>
      <c r="O60" s="69">
        <f t="shared" si="7"/>
        <v>0</v>
      </c>
      <c r="P60" s="69"/>
      <c r="Q60" s="25">
        <v>33.93</v>
      </c>
      <c r="R60" s="25"/>
      <c r="S60" s="25"/>
      <c r="T60" s="26"/>
      <c r="U60" s="26"/>
      <c r="V60" s="26"/>
      <c r="W60" s="26"/>
      <c r="X60" s="26"/>
      <c r="Y60" s="25"/>
      <c r="Z60" s="25"/>
      <c r="AA60" s="25"/>
      <c r="AB60" s="25"/>
      <c r="AC60" s="26"/>
      <c r="AD60" s="26"/>
      <c r="AE60" s="25"/>
      <c r="AF60" s="25"/>
      <c r="AG60" s="69">
        <f t="shared" si="8"/>
        <v>-38.001428571428569</v>
      </c>
      <c r="AH60" s="29">
        <f t="shared" si="9"/>
        <v>-1.4285714285691142E-3</v>
      </c>
    </row>
    <row r="61" spans="1:34" s="46" customFormat="1" ht="21.75" customHeight="1" x14ac:dyDescent="0.2">
      <c r="A61" s="33">
        <v>43447</v>
      </c>
      <c r="B61" s="34"/>
      <c r="C61" s="36" t="s">
        <v>705</v>
      </c>
      <c r="D61" s="36" t="s">
        <v>706</v>
      </c>
      <c r="E61" s="36" t="s">
        <v>707</v>
      </c>
      <c r="F61" s="37">
        <v>119759</v>
      </c>
      <c r="G61" s="38" t="s">
        <v>40</v>
      </c>
      <c r="H61" s="39"/>
      <c r="I61" s="39"/>
      <c r="J61" s="39"/>
      <c r="K61" s="39">
        <v>180</v>
      </c>
      <c r="L61" s="40"/>
      <c r="M61" s="78">
        <f t="shared" si="5"/>
        <v>160.71428571428569</v>
      </c>
      <c r="N61" s="78">
        <f t="shared" si="6"/>
        <v>19.285714285714281</v>
      </c>
      <c r="O61" s="78">
        <f t="shared" si="7"/>
        <v>0</v>
      </c>
      <c r="P61" s="78"/>
      <c r="Q61" s="41">
        <v>160.71</v>
      </c>
      <c r="R61" s="41"/>
      <c r="S61" s="41"/>
      <c r="T61" s="42"/>
      <c r="U61" s="42"/>
      <c r="V61" s="42"/>
      <c r="W61" s="42"/>
      <c r="X61" s="42"/>
      <c r="Y61" s="41"/>
      <c r="Z61" s="41"/>
      <c r="AA61" s="41"/>
      <c r="AB61" s="41"/>
      <c r="AC61" s="42"/>
      <c r="AD61" s="42"/>
      <c r="AE61" s="41"/>
      <c r="AF61" s="41"/>
      <c r="AG61" s="78">
        <f t="shared" si="8"/>
        <v>-179.99571428571429</v>
      </c>
      <c r="AH61" s="45">
        <f t="shared" si="9"/>
        <v>4.2857142857144481E-3</v>
      </c>
    </row>
    <row r="62" spans="1:34" s="30" customFormat="1" ht="21.75" customHeight="1" x14ac:dyDescent="0.2">
      <c r="A62" s="18">
        <v>43447</v>
      </c>
      <c r="B62" s="19"/>
      <c r="C62" s="20" t="s">
        <v>1124</v>
      </c>
      <c r="D62" s="20"/>
      <c r="E62" s="20"/>
      <c r="F62" s="21"/>
      <c r="G62" s="22" t="s">
        <v>644</v>
      </c>
      <c r="H62" s="23">
        <v>527</v>
      </c>
      <c r="I62" s="23"/>
      <c r="J62" s="23"/>
      <c r="K62" s="23"/>
      <c r="L62" s="24"/>
      <c r="M62" s="69">
        <f t="shared" si="5"/>
        <v>527</v>
      </c>
      <c r="N62" s="69">
        <f t="shared" si="6"/>
        <v>0</v>
      </c>
      <c r="O62" s="69">
        <f t="shared" si="7"/>
        <v>0</v>
      </c>
      <c r="P62" s="69"/>
      <c r="Q62" s="25"/>
      <c r="R62" s="25"/>
      <c r="S62" s="25"/>
      <c r="T62" s="26"/>
      <c r="U62" s="26"/>
      <c r="V62" s="26"/>
      <c r="W62" s="26"/>
      <c r="X62" s="26"/>
      <c r="Y62" s="25"/>
      <c r="Z62" s="25"/>
      <c r="AA62" s="25"/>
      <c r="AB62" s="25">
        <v>527</v>
      </c>
      <c r="AC62" s="26"/>
      <c r="AD62" s="26"/>
      <c r="AE62" s="25"/>
      <c r="AF62" s="25"/>
      <c r="AG62" s="69">
        <f t="shared" si="8"/>
        <v>-527</v>
      </c>
      <c r="AH62" s="29">
        <f t="shared" si="9"/>
        <v>0</v>
      </c>
    </row>
    <row r="63" spans="1:34" s="30" customFormat="1" ht="21.75" customHeight="1" x14ac:dyDescent="0.2">
      <c r="A63" s="18">
        <v>43447</v>
      </c>
      <c r="B63" s="19"/>
      <c r="C63" s="20" t="s">
        <v>59</v>
      </c>
      <c r="D63" s="20" t="s">
        <v>60</v>
      </c>
      <c r="E63" s="20" t="s">
        <v>120</v>
      </c>
      <c r="F63" s="21">
        <v>717966</v>
      </c>
      <c r="G63" s="22" t="s">
        <v>1125</v>
      </c>
      <c r="H63" s="23"/>
      <c r="I63" s="23"/>
      <c r="J63" s="23"/>
      <c r="K63" s="23">
        <v>436.5</v>
      </c>
      <c r="L63" s="24"/>
      <c r="M63" s="69">
        <f t="shared" si="5"/>
        <v>389.73214285714283</v>
      </c>
      <c r="N63" s="69">
        <f t="shared" si="6"/>
        <v>46.767857142857139</v>
      </c>
      <c r="O63" s="69">
        <f t="shared" si="7"/>
        <v>0</v>
      </c>
      <c r="P63" s="69"/>
      <c r="Q63" s="25"/>
      <c r="R63" s="25"/>
      <c r="S63" s="25"/>
      <c r="T63" s="26">
        <v>389.73</v>
      </c>
      <c r="U63" s="26"/>
      <c r="V63" s="26"/>
      <c r="W63" s="26"/>
      <c r="X63" s="26"/>
      <c r="Y63" s="25"/>
      <c r="Z63" s="25"/>
      <c r="AA63" s="25"/>
      <c r="AB63" s="25"/>
      <c r="AC63" s="26"/>
      <c r="AD63" s="26"/>
      <c r="AE63" s="25"/>
      <c r="AF63" s="25"/>
      <c r="AG63" s="69">
        <f t="shared" si="8"/>
        <v>-436.49785714285713</v>
      </c>
      <c r="AH63" s="29">
        <f t="shared" si="9"/>
        <v>2.1428571428714349E-3</v>
      </c>
    </row>
    <row r="64" spans="1:34" s="30" customFormat="1" ht="21.75" customHeight="1" x14ac:dyDescent="0.2">
      <c r="A64" s="18">
        <v>43447</v>
      </c>
      <c r="B64" s="19"/>
      <c r="C64" s="20" t="s">
        <v>63</v>
      </c>
      <c r="D64" s="20" t="s">
        <v>64</v>
      </c>
      <c r="E64" s="20" t="s">
        <v>120</v>
      </c>
      <c r="F64" s="21">
        <v>173821</v>
      </c>
      <c r="G64" s="22" t="s">
        <v>1126</v>
      </c>
      <c r="H64" s="23"/>
      <c r="I64" s="23"/>
      <c r="J64" s="23"/>
      <c r="K64" s="23">
        <f>400+48</f>
        <v>448</v>
      </c>
      <c r="L64" s="24"/>
      <c r="M64" s="69">
        <f t="shared" si="5"/>
        <v>399.99999999999994</v>
      </c>
      <c r="N64" s="69">
        <f t="shared" si="6"/>
        <v>47.999999999999993</v>
      </c>
      <c r="O64" s="69">
        <f t="shared" si="7"/>
        <v>0</v>
      </c>
      <c r="P64" s="69">
        <v>400</v>
      </c>
      <c r="Q64" s="25"/>
      <c r="R64" s="25"/>
      <c r="S64" s="25"/>
      <c r="T64" s="26"/>
      <c r="U64" s="26"/>
      <c r="V64" s="26"/>
      <c r="W64" s="26"/>
      <c r="X64" s="26"/>
      <c r="Y64" s="25"/>
      <c r="Z64" s="25"/>
      <c r="AA64" s="25"/>
      <c r="AB64" s="25"/>
      <c r="AC64" s="26"/>
      <c r="AD64" s="26"/>
      <c r="AE64" s="25"/>
      <c r="AF64" s="25"/>
      <c r="AG64" s="69">
        <f t="shared" si="8"/>
        <v>-448</v>
      </c>
      <c r="AH64" s="29">
        <f t="shared" si="9"/>
        <v>0</v>
      </c>
    </row>
    <row r="65" spans="1:34" s="30" customFormat="1" ht="21.75" customHeight="1" x14ac:dyDescent="0.2">
      <c r="A65" s="18">
        <v>43447</v>
      </c>
      <c r="B65" s="19"/>
      <c r="C65" s="20" t="s">
        <v>63</v>
      </c>
      <c r="D65" s="20" t="s">
        <v>64</v>
      </c>
      <c r="E65" s="20" t="s">
        <v>120</v>
      </c>
      <c r="F65" s="21">
        <v>173821</v>
      </c>
      <c r="G65" s="22" t="s">
        <v>771</v>
      </c>
      <c r="H65" s="23"/>
      <c r="I65" s="23"/>
      <c r="J65" s="23">
        <v>543.04999999999995</v>
      </c>
      <c r="K65" s="23"/>
      <c r="L65" s="24"/>
      <c r="M65" s="69">
        <f t="shared" si="5"/>
        <v>543.04999999999995</v>
      </c>
      <c r="N65" s="69">
        <f t="shared" si="6"/>
        <v>0</v>
      </c>
      <c r="O65" s="69">
        <f t="shared" si="7"/>
        <v>0</v>
      </c>
      <c r="P65" s="69">
        <v>543.04999999999995</v>
      </c>
      <c r="Q65" s="25"/>
      <c r="R65" s="25"/>
      <c r="S65" s="25"/>
      <c r="T65" s="26"/>
      <c r="U65" s="26"/>
      <c r="V65" s="26"/>
      <c r="W65" s="26"/>
      <c r="X65" s="26"/>
      <c r="Y65" s="25"/>
      <c r="Z65" s="25"/>
      <c r="AA65" s="25"/>
      <c r="AB65" s="25"/>
      <c r="AC65" s="26"/>
      <c r="AD65" s="26"/>
      <c r="AE65" s="25"/>
      <c r="AF65" s="25"/>
      <c r="AG65" s="69">
        <f t="shared" si="8"/>
        <v>-543.04999999999995</v>
      </c>
      <c r="AH65" s="29">
        <f t="shared" si="9"/>
        <v>0</v>
      </c>
    </row>
    <row r="66" spans="1:34" s="30" customFormat="1" ht="21.75" customHeight="1" x14ac:dyDescent="0.2">
      <c r="A66" s="18">
        <v>43447</v>
      </c>
      <c r="B66" s="19"/>
      <c r="C66" s="20" t="s">
        <v>745</v>
      </c>
      <c r="D66" s="20" t="s">
        <v>812</v>
      </c>
      <c r="E66" s="20" t="s">
        <v>277</v>
      </c>
      <c r="F66" s="21">
        <v>33320</v>
      </c>
      <c r="G66" s="22" t="s">
        <v>1127</v>
      </c>
      <c r="H66" s="23"/>
      <c r="I66" s="23"/>
      <c r="J66" s="23"/>
      <c r="K66" s="23">
        <v>172.5</v>
      </c>
      <c r="L66" s="24"/>
      <c r="M66" s="69">
        <f t="shared" si="5"/>
        <v>154.01785714285714</v>
      </c>
      <c r="N66" s="69">
        <f t="shared" si="6"/>
        <v>18.482142857142858</v>
      </c>
      <c r="O66" s="69">
        <f t="shared" si="7"/>
        <v>0</v>
      </c>
      <c r="P66" s="69">
        <v>154.02000000000001</v>
      </c>
      <c r="Q66" s="25"/>
      <c r="R66" s="25"/>
      <c r="S66" s="25"/>
      <c r="T66" s="26"/>
      <c r="U66" s="26"/>
      <c r="V66" s="26"/>
      <c r="W66" s="26"/>
      <c r="X66" s="26"/>
      <c r="Y66" s="25"/>
      <c r="Z66" s="25"/>
      <c r="AA66" s="25"/>
      <c r="AB66" s="25"/>
      <c r="AC66" s="26"/>
      <c r="AD66" s="26"/>
      <c r="AE66" s="25"/>
      <c r="AF66" s="25"/>
      <c r="AG66" s="69">
        <f t="shared" si="8"/>
        <v>-172.50214285714287</v>
      </c>
      <c r="AH66" s="29">
        <f t="shared" si="9"/>
        <v>-2.1428571428714349E-3</v>
      </c>
    </row>
    <row r="67" spans="1:34" s="30" customFormat="1" ht="21.75" customHeight="1" x14ac:dyDescent="0.2">
      <c r="A67" s="18">
        <v>43448</v>
      </c>
      <c r="B67" s="19"/>
      <c r="C67" s="20" t="s">
        <v>41</v>
      </c>
      <c r="D67" s="20" t="s">
        <v>88</v>
      </c>
      <c r="E67" s="20" t="s">
        <v>43</v>
      </c>
      <c r="F67" s="21">
        <v>2800</v>
      </c>
      <c r="G67" s="22" t="s">
        <v>336</v>
      </c>
      <c r="H67" s="23"/>
      <c r="I67" s="23"/>
      <c r="J67" s="23">
        <v>880</v>
      </c>
      <c r="K67" s="23"/>
      <c r="L67" s="24"/>
      <c r="M67" s="69">
        <f t="shared" si="5"/>
        <v>880</v>
      </c>
      <c r="N67" s="69">
        <f t="shared" si="6"/>
        <v>0</v>
      </c>
      <c r="O67" s="69">
        <f t="shared" si="7"/>
        <v>0</v>
      </c>
      <c r="P67" s="69">
        <v>880</v>
      </c>
      <c r="Q67" s="25"/>
      <c r="R67" s="25"/>
      <c r="S67" s="25"/>
      <c r="T67" s="26"/>
      <c r="U67" s="26"/>
      <c r="V67" s="26"/>
      <c r="W67" s="26"/>
      <c r="X67" s="26"/>
      <c r="Y67" s="25"/>
      <c r="Z67" s="25"/>
      <c r="AA67" s="25"/>
      <c r="AB67" s="25"/>
      <c r="AC67" s="26"/>
      <c r="AD67" s="26"/>
      <c r="AE67" s="25"/>
      <c r="AF67" s="25"/>
      <c r="AG67" s="69">
        <f t="shared" si="8"/>
        <v>-880</v>
      </c>
      <c r="AH67" s="29">
        <f t="shared" si="9"/>
        <v>0</v>
      </c>
    </row>
    <row r="68" spans="1:34" s="30" customFormat="1" ht="21.75" customHeight="1" x14ac:dyDescent="0.2">
      <c r="A68" s="18">
        <v>43448</v>
      </c>
      <c r="B68" s="19"/>
      <c r="C68" s="20" t="s">
        <v>745</v>
      </c>
      <c r="D68" s="20" t="s">
        <v>812</v>
      </c>
      <c r="E68" s="20" t="s">
        <v>277</v>
      </c>
      <c r="F68" s="21">
        <v>33341</v>
      </c>
      <c r="G68" s="22" t="s">
        <v>1128</v>
      </c>
      <c r="H68" s="23"/>
      <c r="I68" s="23"/>
      <c r="J68" s="23"/>
      <c r="K68" s="23">
        <v>635.9</v>
      </c>
      <c r="L68" s="24"/>
      <c r="M68" s="69">
        <f t="shared" si="5"/>
        <v>567.76785714285711</v>
      </c>
      <c r="N68" s="69">
        <f t="shared" si="6"/>
        <v>68.132142857142853</v>
      </c>
      <c r="O68" s="69">
        <f t="shared" si="7"/>
        <v>0</v>
      </c>
      <c r="P68" s="69">
        <v>567.77</v>
      </c>
      <c r="Q68" s="25"/>
      <c r="R68" s="25"/>
      <c r="S68" s="25"/>
      <c r="T68" s="26"/>
      <c r="U68" s="26"/>
      <c r="V68" s="26"/>
      <c r="W68" s="26"/>
      <c r="X68" s="26"/>
      <c r="Y68" s="25"/>
      <c r="Z68" s="25"/>
      <c r="AA68" s="25"/>
      <c r="AB68" s="25"/>
      <c r="AC68" s="26"/>
      <c r="AD68" s="26"/>
      <c r="AE68" s="25"/>
      <c r="AF68" s="25"/>
      <c r="AG68" s="69">
        <f t="shared" si="8"/>
        <v>-635.90214285714285</v>
      </c>
      <c r="AH68" s="29">
        <f t="shared" si="9"/>
        <v>-2.1428571428714349E-3</v>
      </c>
    </row>
    <row r="69" spans="1:34" s="30" customFormat="1" ht="21.75" customHeight="1" x14ac:dyDescent="0.2">
      <c r="A69" s="18">
        <v>43448</v>
      </c>
      <c r="B69" s="19"/>
      <c r="C69" s="20" t="s">
        <v>63</v>
      </c>
      <c r="D69" s="20" t="s">
        <v>64</v>
      </c>
      <c r="E69" s="20" t="s">
        <v>120</v>
      </c>
      <c r="F69" s="21">
        <v>125621</v>
      </c>
      <c r="G69" s="22" t="s">
        <v>404</v>
      </c>
      <c r="H69" s="23"/>
      <c r="I69" s="23"/>
      <c r="J69" s="23">
        <v>91.75</v>
      </c>
      <c r="K69" s="23"/>
      <c r="L69" s="24"/>
      <c r="M69" s="69">
        <f t="shared" ref="M69:M100" si="10">SUM(H69:J69,K69/1.12)</f>
        <v>91.75</v>
      </c>
      <c r="N69" s="69">
        <f t="shared" ref="N69:N100" si="11">K69/1.12*0.12</f>
        <v>0</v>
      </c>
      <c r="O69" s="69">
        <f t="shared" ref="O69:O100" si="12">-SUM(I69:J69,K69/1.12)*L69</f>
        <v>0</v>
      </c>
      <c r="P69" s="69">
        <v>91.75</v>
      </c>
      <c r="Q69" s="25"/>
      <c r="R69" s="25"/>
      <c r="S69" s="25"/>
      <c r="T69" s="26"/>
      <c r="U69" s="26"/>
      <c r="V69" s="26"/>
      <c r="W69" s="26"/>
      <c r="X69" s="26"/>
      <c r="Y69" s="25"/>
      <c r="Z69" s="25"/>
      <c r="AA69" s="25"/>
      <c r="AB69" s="25"/>
      <c r="AC69" s="26"/>
      <c r="AD69" s="26"/>
      <c r="AE69" s="25"/>
      <c r="AF69" s="25"/>
      <c r="AG69" s="69">
        <f t="shared" ref="AG69:AG100" si="13">-SUM(N69:AF69)</f>
        <v>-91.75</v>
      </c>
      <c r="AH69" s="29">
        <f t="shared" ref="AH69:AH100" si="14">SUM(H69:K69)+AG69+O69</f>
        <v>0</v>
      </c>
    </row>
    <row r="70" spans="1:34" s="30" customFormat="1" ht="21.75" customHeight="1" x14ac:dyDescent="0.2">
      <c r="A70" s="18">
        <v>43448</v>
      </c>
      <c r="B70" s="19"/>
      <c r="C70" s="20" t="s">
        <v>63</v>
      </c>
      <c r="D70" s="20" t="s">
        <v>64</v>
      </c>
      <c r="E70" s="20" t="s">
        <v>120</v>
      </c>
      <c r="F70" s="21">
        <v>125621</v>
      </c>
      <c r="G70" s="22" t="s">
        <v>1129</v>
      </c>
      <c r="H70" s="23"/>
      <c r="I70" s="23"/>
      <c r="J70" s="23"/>
      <c r="K70" s="23">
        <f>628.08+75.37</f>
        <v>703.45</v>
      </c>
      <c r="L70" s="24"/>
      <c r="M70" s="69">
        <f t="shared" si="10"/>
        <v>628.08035714285711</v>
      </c>
      <c r="N70" s="69">
        <f t="shared" si="11"/>
        <v>75.36964285714285</v>
      </c>
      <c r="O70" s="69">
        <f t="shared" si="12"/>
        <v>0</v>
      </c>
      <c r="P70" s="69">
        <v>628.08000000000004</v>
      </c>
      <c r="Q70" s="25"/>
      <c r="R70" s="25"/>
      <c r="S70" s="25"/>
      <c r="T70" s="26"/>
      <c r="U70" s="26"/>
      <c r="V70" s="26"/>
      <c r="W70" s="26"/>
      <c r="X70" s="26"/>
      <c r="Y70" s="25"/>
      <c r="Z70" s="25"/>
      <c r="AA70" s="25"/>
      <c r="AB70" s="25"/>
      <c r="AC70" s="26"/>
      <c r="AD70" s="26"/>
      <c r="AE70" s="25"/>
      <c r="AF70" s="25"/>
      <c r="AG70" s="69">
        <f t="shared" si="13"/>
        <v>-703.44964285714286</v>
      </c>
      <c r="AH70" s="29">
        <f t="shared" si="14"/>
        <v>3.5714285718313477E-4</v>
      </c>
    </row>
    <row r="71" spans="1:34" s="30" customFormat="1" ht="21.75" customHeight="1" x14ac:dyDescent="0.2">
      <c r="A71" s="18">
        <v>43448</v>
      </c>
      <c r="B71" s="19"/>
      <c r="C71" s="20" t="s">
        <v>45</v>
      </c>
      <c r="D71" s="20"/>
      <c r="E71" s="20"/>
      <c r="F71" s="21"/>
      <c r="G71" s="22" t="s">
        <v>173</v>
      </c>
      <c r="H71" s="23">
        <v>100</v>
      </c>
      <c r="I71" s="23"/>
      <c r="J71" s="23"/>
      <c r="K71" s="23"/>
      <c r="L71" s="24"/>
      <c r="M71" s="69">
        <f t="shared" si="10"/>
        <v>100</v>
      </c>
      <c r="N71" s="69">
        <f t="shared" si="11"/>
        <v>0</v>
      </c>
      <c r="O71" s="69">
        <f t="shared" si="12"/>
        <v>0</v>
      </c>
      <c r="P71" s="69"/>
      <c r="Q71" s="25"/>
      <c r="R71" s="25"/>
      <c r="S71" s="25"/>
      <c r="T71" s="26"/>
      <c r="U71" s="26"/>
      <c r="V71" s="26"/>
      <c r="W71" s="26"/>
      <c r="X71" s="26"/>
      <c r="Y71" s="25"/>
      <c r="Z71" s="25"/>
      <c r="AA71" s="25">
        <v>100</v>
      </c>
      <c r="AB71" s="25"/>
      <c r="AC71" s="26"/>
      <c r="AD71" s="26"/>
      <c r="AE71" s="25"/>
      <c r="AF71" s="25"/>
      <c r="AG71" s="69">
        <f t="shared" si="13"/>
        <v>-100</v>
      </c>
      <c r="AH71" s="29">
        <f t="shared" si="14"/>
        <v>0</v>
      </c>
    </row>
    <row r="72" spans="1:34" s="30" customFormat="1" ht="21.75" customHeight="1" x14ac:dyDescent="0.2">
      <c r="A72" s="18">
        <v>43448</v>
      </c>
      <c r="B72" s="19"/>
      <c r="C72" s="20" t="s">
        <v>705</v>
      </c>
      <c r="D72" s="20" t="s">
        <v>706</v>
      </c>
      <c r="E72" s="20" t="s">
        <v>707</v>
      </c>
      <c r="F72" s="21">
        <v>112758</v>
      </c>
      <c r="G72" s="22" t="s">
        <v>40</v>
      </c>
      <c r="H72" s="23"/>
      <c r="I72" s="23"/>
      <c r="J72" s="23"/>
      <c r="K72" s="23">
        <v>180</v>
      </c>
      <c r="L72" s="24"/>
      <c r="M72" s="69">
        <f t="shared" si="10"/>
        <v>160.71428571428569</v>
      </c>
      <c r="N72" s="69">
        <f t="shared" si="11"/>
        <v>19.285714285714281</v>
      </c>
      <c r="O72" s="69">
        <f t="shared" si="12"/>
        <v>0</v>
      </c>
      <c r="P72" s="69"/>
      <c r="Q72" s="25">
        <v>160.71</v>
      </c>
      <c r="R72" s="25"/>
      <c r="S72" s="25"/>
      <c r="T72" s="26"/>
      <c r="U72" s="26"/>
      <c r="V72" s="26"/>
      <c r="W72" s="26"/>
      <c r="X72" s="26"/>
      <c r="Y72" s="25"/>
      <c r="Z72" s="25"/>
      <c r="AA72" s="25"/>
      <c r="AB72" s="25"/>
      <c r="AC72" s="26"/>
      <c r="AD72" s="26"/>
      <c r="AE72" s="25"/>
      <c r="AF72" s="25"/>
      <c r="AG72" s="69">
        <f t="shared" si="13"/>
        <v>-179.99571428571429</v>
      </c>
      <c r="AH72" s="29">
        <f t="shared" si="14"/>
        <v>4.2857142857144481E-3</v>
      </c>
    </row>
    <row r="73" spans="1:34" s="30" customFormat="1" ht="21.75" customHeight="1" x14ac:dyDescent="0.2">
      <c r="A73" s="18">
        <v>43449</v>
      </c>
      <c r="B73" s="19"/>
      <c r="C73" s="20" t="s">
        <v>614</v>
      </c>
      <c r="D73" s="20"/>
      <c r="E73" s="20"/>
      <c r="F73" s="21"/>
      <c r="G73" s="22" t="s">
        <v>1130</v>
      </c>
      <c r="H73" s="23">
        <v>263.5</v>
      </c>
      <c r="I73" s="23"/>
      <c r="J73" s="23"/>
      <c r="K73" s="23"/>
      <c r="L73" s="24"/>
      <c r="M73" s="69">
        <f t="shared" si="10"/>
        <v>263.5</v>
      </c>
      <c r="N73" s="69">
        <f t="shared" si="11"/>
        <v>0</v>
      </c>
      <c r="O73" s="69">
        <f t="shared" si="12"/>
        <v>0</v>
      </c>
      <c r="P73" s="69"/>
      <c r="Q73" s="25"/>
      <c r="R73" s="25"/>
      <c r="S73" s="25"/>
      <c r="T73" s="26"/>
      <c r="U73" s="26"/>
      <c r="V73" s="26"/>
      <c r="W73" s="26"/>
      <c r="X73" s="26"/>
      <c r="Y73" s="25"/>
      <c r="Z73" s="25"/>
      <c r="AA73" s="25"/>
      <c r="AB73" s="25">
        <v>263.5</v>
      </c>
      <c r="AC73" s="26"/>
      <c r="AD73" s="26"/>
      <c r="AE73" s="25"/>
      <c r="AF73" s="25"/>
      <c r="AG73" s="69">
        <f t="shared" si="13"/>
        <v>-263.5</v>
      </c>
      <c r="AH73" s="29">
        <f t="shared" si="14"/>
        <v>0</v>
      </c>
    </row>
    <row r="74" spans="1:34" s="30" customFormat="1" ht="21.75" customHeight="1" x14ac:dyDescent="0.2">
      <c r="A74" s="18">
        <v>43449</v>
      </c>
      <c r="B74" s="19"/>
      <c r="C74" s="20" t="s">
        <v>705</v>
      </c>
      <c r="D74" s="20" t="s">
        <v>706</v>
      </c>
      <c r="E74" s="20" t="s">
        <v>707</v>
      </c>
      <c r="F74" s="21">
        <v>114629</v>
      </c>
      <c r="G74" s="22" t="s">
        <v>40</v>
      </c>
      <c r="H74" s="23"/>
      <c r="I74" s="23"/>
      <c r="J74" s="23"/>
      <c r="K74" s="23">
        <v>90</v>
      </c>
      <c r="L74" s="24"/>
      <c r="M74" s="69">
        <f t="shared" si="10"/>
        <v>80.357142857142847</v>
      </c>
      <c r="N74" s="69">
        <f t="shared" si="11"/>
        <v>9.6428571428571406</v>
      </c>
      <c r="O74" s="69">
        <f t="shared" si="12"/>
        <v>0</v>
      </c>
      <c r="P74" s="69"/>
      <c r="Q74" s="25">
        <v>80.36</v>
      </c>
      <c r="R74" s="25"/>
      <c r="S74" s="25"/>
      <c r="T74" s="26"/>
      <c r="U74" s="26"/>
      <c r="V74" s="26"/>
      <c r="W74" s="26"/>
      <c r="X74" s="26"/>
      <c r="Y74" s="25"/>
      <c r="Z74" s="25"/>
      <c r="AA74" s="25"/>
      <c r="AB74" s="25"/>
      <c r="AC74" s="26"/>
      <c r="AD74" s="26"/>
      <c r="AE74" s="25"/>
      <c r="AF74" s="25"/>
      <c r="AG74" s="69">
        <f t="shared" si="13"/>
        <v>-90.002857142857138</v>
      </c>
      <c r="AH74" s="29">
        <f t="shared" si="14"/>
        <v>-2.8571428571382285E-3</v>
      </c>
    </row>
    <row r="75" spans="1:34" s="30" customFormat="1" ht="21.75" customHeight="1" x14ac:dyDescent="0.2">
      <c r="A75" s="18">
        <v>43451</v>
      </c>
      <c r="B75" s="19"/>
      <c r="C75" s="20" t="s">
        <v>202</v>
      </c>
      <c r="D75" s="20" t="s">
        <v>1131</v>
      </c>
      <c r="E75" s="20" t="s">
        <v>204</v>
      </c>
      <c r="F75" s="21">
        <v>56205</v>
      </c>
      <c r="G75" s="22" t="s">
        <v>1132</v>
      </c>
      <c r="H75" s="23"/>
      <c r="I75" s="23"/>
      <c r="J75" s="23"/>
      <c r="K75" s="23">
        <v>956.82</v>
      </c>
      <c r="L75" s="24"/>
      <c r="M75" s="69">
        <f t="shared" si="10"/>
        <v>854.30357142857144</v>
      </c>
      <c r="N75" s="69">
        <f t="shared" si="11"/>
        <v>102.51642857142856</v>
      </c>
      <c r="O75" s="69">
        <f t="shared" si="12"/>
        <v>0</v>
      </c>
      <c r="P75" s="69">
        <v>854.3</v>
      </c>
      <c r="Q75" s="25"/>
      <c r="R75" s="25"/>
      <c r="S75" s="25"/>
      <c r="T75" s="26"/>
      <c r="U75" s="26"/>
      <c r="V75" s="26"/>
      <c r="W75" s="26"/>
      <c r="X75" s="26"/>
      <c r="Y75" s="25"/>
      <c r="Z75" s="25"/>
      <c r="AA75" s="25"/>
      <c r="AB75" s="25"/>
      <c r="AC75" s="26"/>
      <c r="AD75" s="26"/>
      <c r="AE75" s="25"/>
      <c r="AF75" s="25"/>
      <c r="AG75" s="69">
        <f t="shared" si="13"/>
        <v>-956.81642857142856</v>
      </c>
      <c r="AH75" s="29">
        <f t="shared" si="14"/>
        <v>3.5714285714902871E-3</v>
      </c>
    </row>
    <row r="76" spans="1:34" s="30" customFormat="1" ht="21.75" customHeight="1" x14ac:dyDescent="0.2">
      <c r="A76" s="18">
        <v>43451</v>
      </c>
      <c r="B76" s="19"/>
      <c r="C76" s="20" t="s">
        <v>705</v>
      </c>
      <c r="D76" s="20" t="s">
        <v>706</v>
      </c>
      <c r="E76" s="20" t="s">
        <v>707</v>
      </c>
      <c r="F76" s="21">
        <v>126007</v>
      </c>
      <c r="G76" s="22" t="s">
        <v>40</v>
      </c>
      <c r="H76" s="23"/>
      <c r="I76" s="23"/>
      <c r="J76" s="23"/>
      <c r="K76" s="23">
        <v>180</v>
      </c>
      <c r="L76" s="24"/>
      <c r="M76" s="69">
        <f t="shared" si="10"/>
        <v>160.71428571428569</v>
      </c>
      <c r="N76" s="69">
        <f t="shared" si="11"/>
        <v>19.285714285714281</v>
      </c>
      <c r="O76" s="69">
        <f t="shared" si="12"/>
        <v>0</v>
      </c>
      <c r="P76" s="69"/>
      <c r="Q76" s="25">
        <v>160.71</v>
      </c>
      <c r="R76" s="25"/>
      <c r="S76" s="25"/>
      <c r="T76" s="26"/>
      <c r="U76" s="26"/>
      <c r="V76" s="26"/>
      <c r="W76" s="26"/>
      <c r="X76" s="26"/>
      <c r="Y76" s="25"/>
      <c r="Z76" s="25"/>
      <c r="AA76" s="25"/>
      <c r="AB76" s="25"/>
      <c r="AC76" s="26"/>
      <c r="AD76" s="26"/>
      <c r="AE76" s="25"/>
      <c r="AF76" s="25"/>
      <c r="AG76" s="69">
        <f t="shared" si="13"/>
        <v>-179.99571428571429</v>
      </c>
      <c r="AH76" s="29">
        <f t="shared" si="14"/>
        <v>4.2857142857144481E-3</v>
      </c>
    </row>
    <row r="77" spans="1:34" s="30" customFormat="1" ht="21.75" customHeight="1" x14ac:dyDescent="0.2">
      <c r="A77" s="18">
        <v>43452</v>
      </c>
      <c r="B77" s="19"/>
      <c r="C77" s="20" t="s">
        <v>705</v>
      </c>
      <c r="D77" s="20" t="s">
        <v>706</v>
      </c>
      <c r="E77" s="20" t="s">
        <v>707</v>
      </c>
      <c r="F77" s="21">
        <v>126056</v>
      </c>
      <c r="G77" s="22" t="s">
        <v>40</v>
      </c>
      <c r="H77" s="23"/>
      <c r="I77" s="23"/>
      <c r="J77" s="23"/>
      <c r="K77" s="23">
        <v>180</v>
      </c>
      <c r="L77" s="24"/>
      <c r="M77" s="69">
        <f t="shared" si="10"/>
        <v>160.71428571428569</v>
      </c>
      <c r="N77" s="69">
        <f t="shared" si="11"/>
        <v>19.285714285714281</v>
      </c>
      <c r="O77" s="69">
        <f t="shared" si="12"/>
        <v>0</v>
      </c>
      <c r="P77" s="69"/>
      <c r="Q77" s="25">
        <v>160.71</v>
      </c>
      <c r="R77" s="25"/>
      <c r="S77" s="25"/>
      <c r="T77" s="26"/>
      <c r="U77" s="26"/>
      <c r="V77" s="26"/>
      <c r="W77" s="26"/>
      <c r="X77" s="26"/>
      <c r="Y77" s="25"/>
      <c r="Z77" s="25"/>
      <c r="AA77" s="25"/>
      <c r="AB77" s="25"/>
      <c r="AC77" s="26"/>
      <c r="AD77" s="26"/>
      <c r="AE77" s="25"/>
      <c r="AF77" s="25"/>
      <c r="AG77" s="69">
        <f t="shared" si="13"/>
        <v>-179.99571428571429</v>
      </c>
      <c r="AH77" s="29">
        <f t="shared" si="14"/>
        <v>4.2857142857144481E-3</v>
      </c>
    </row>
    <row r="78" spans="1:34" s="30" customFormat="1" ht="21.75" customHeight="1" x14ac:dyDescent="0.2">
      <c r="A78" s="18">
        <v>43452</v>
      </c>
      <c r="B78" s="19"/>
      <c r="C78" s="20" t="s">
        <v>68</v>
      </c>
      <c r="D78" s="20"/>
      <c r="E78" s="20"/>
      <c r="F78" s="21"/>
      <c r="G78" s="22" t="s">
        <v>1133</v>
      </c>
      <c r="H78" s="23">
        <v>40</v>
      </c>
      <c r="I78" s="23"/>
      <c r="J78" s="23"/>
      <c r="K78" s="23"/>
      <c r="L78" s="24"/>
      <c r="M78" s="69">
        <f t="shared" si="10"/>
        <v>40</v>
      </c>
      <c r="N78" s="69">
        <f t="shared" si="11"/>
        <v>0</v>
      </c>
      <c r="O78" s="69">
        <f t="shared" si="12"/>
        <v>0</v>
      </c>
      <c r="P78" s="69"/>
      <c r="Q78" s="25"/>
      <c r="R78" s="25"/>
      <c r="S78" s="25"/>
      <c r="T78" s="26"/>
      <c r="U78" s="26"/>
      <c r="V78" s="26"/>
      <c r="W78" s="26"/>
      <c r="X78" s="26"/>
      <c r="Y78" s="25"/>
      <c r="Z78" s="25"/>
      <c r="AA78" s="25">
        <v>40</v>
      </c>
      <c r="AB78" s="25"/>
      <c r="AC78" s="26"/>
      <c r="AD78" s="26"/>
      <c r="AE78" s="25"/>
      <c r="AF78" s="25"/>
      <c r="AG78" s="69">
        <f t="shared" si="13"/>
        <v>-40</v>
      </c>
      <c r="AH78" s="29">
        <f t="shared" si="14"/>
        <v>0</v>
      </c>
    </row>
    <row r="79" spans="1:34" s="30" customFormat="1" ht="21.75" customHeight="1" x14ac:dyDescent="0.2">
      <c r="A79" s="18">
        <v>43452</v>
      </c>
      <c r="B79" s="19"/>
      <c r="C79" s="20" t="s">
        <v>975</v>
      </c>
      <c r="D79" s="20"/>
      <c r="E79" s="20"/>
      <c r="F79" s="21"/>
      <c r="G79" s="22" t="s">
        <v>1002</v>
      </c>
      <c r="H79" s="23"/>
      <c r="I79" s="23"/>
      <c r="J79" s="23">
        <v>1123</v>
      </c>
      <c r="K79" s="23"/>
      <c r="L79" s="24"/>
      <c r="M79" s="69">
        <f t="shared" si="10"/>
        <v>1123</v>
      </c>
      <c r="N79" s="69">
        <f t="shared" si="11"/>
        <v>0</v>
      </c>
      <c r="O79" s="69">
        <f t="shared" si="12"/>
        <v>0</v>
      </c>
      <c r="P79" s="69">
        <v>1123</v>
      </c>
      <c r="Q79" s="25"/>
      <c r="R79" s="25"/>
      <c r="S79" s="25"/>
      <c r="T79" s="26"/>
      <c r="U79" s="26"/>
      <c r="V79" s="26"/>
      <c r="W79" s="26"/>
      <c r="X79" s="26"/>
      <c r="Y79" s="25"/>
      <c r="Z79" s="25"/>
      <c r="AA79" s="25"/>
      <c r="AB79" s="25"/>
      <c r="AC79" s="26"/>
      <c r="AD79" s="26"/>
      <c r="AE79" s="25"/>
      <c r="AF79" s="25"/>
      <c r="AG79" s="69">
        <f t="shared" si="13"/>
        <v>-1123</v>
      </c>
      <c r="AH79" s="29">
        <f t="shared" si="14"/>
        <v>0</v>
      </c>
    </row>
    <row r="80" spans="1:34" s="30" customFormat="1" ht="21.75" customHeight="1" x14ac:dyDescent="0.2">
      <c r="A80" s="18">
        <v>43452</v>
      </c>
      <c r="B80" s="19"/>
      <c r="C80" s="20" t="s">
        <v>45</v>
      </c>
      <c r="D80" s="20"/>
      <c r="E80" s="20"/>
      <c r="F80" s="21"/>
      <c r="G80" s="22" t="s">
        <v>1134</v>
      </c>
      <c r="H80" s="23">
        <v>50</v>
      </c>
      <c r="I80" s="23"/>
      <c r="J80" s="23"/>
      <c r="K80" s="23"/>
      <c r="L80" s="24"/>
      <c r="M80" s="69">
        <f t="shared" si="10"/>
        <v>50</v>
      </c>
      <c r="N80" s="69">
        <f t="shared" si="11"/>
        <v>0</v>
      </c>
      <c r="O80" s="69">
        <f t="shared" si="12"/>
        <v>0</v>
      </c>
      <c r="P80" s="69"/>
      <c r="Q80" s="25"/>
      <c r="R80" s="25"/>
      <c r="S80" s="25"/>
      <c r="T80" s="26"/>
      <c r="U80" s="26"/>
      <c r="V80" s="26"/>
      <c r="W80" s="26"/>
      <c r="X80" s="26"/>
      <c r="Y80" s="25"/>
      <c r="Z80" s="25"/>
      <c r="AA80" s="25">
        <v>50</v>
      </c>
      <c r="AB80" s="25"/>
      <c r="AC80" s="26"/>
      <c r="AD80" s="26"/>
      <c r="AE80" s="25"/>
      <c r="AF80" s="25"/>
      <c r="AG80" s="69">
        <f t="shared" si="13"/>
        <v>-50</v>
      </c>
      <c r="AH80" s="29">
        <f t="shared" si="14"/>
        <v>0</v>
      </c>
    </row>
    <row r="81" spans="1:34" s="30" customFormat="1" ht="21.75" customHeight="1" x14ac:dyDescent="0.2">
      <c r="A81" s="18">
        <v>43452</v>
      </c>
      <c r="B81" s="19"/>
      <c r="C81" s="20" t="s">
        <v>63</v>
      </c>
      <c r="D81" s="20" t="s">
        <v>64</v>
      </c>
      <c r="E81" s="20" t="s">
        <v>120</v>
      </c>
      <c r="F81" s="21">
        <v>147543</v>
      </c>
      <c r="G81" s="22" t="s">
        <v>1135</v>
      </c>
      <c r="H81" s="23"/>
      <c r="I81" s="23"/>
      <c r="J81" s="23"/>
      <c r="K81" s="23">
        <v>886.9</v>
      </c>
      <c r="L81" s="24"/>
      <c r="M81" s="69">
        <f t="shared" si="10"/>
        <v>791.87499999999989</v>
      </c>
      <c r="N81" s="69">
        <f t="shared" si="11"/>
        <v>95.024999999999977</v>
      </c>
      <c r="O81" s="69">
        <f t="shared" si="12"/>
        <v>0</v>
      </c>
      <c r="P81" s="69"/>
      <c r="Q81" s="25">
        <v>791.88</v>
      </c>
      <c r="R81" s="25"/>
      <c r="S81" s="25"/>
      <c r="T81" s="26"/>
      <c r="U81" s="26"/>
      <c r="V81" s="26"/>
      <c r="W81" s="26"/>
      <c r="X81" s="26"/>
      <c r="Y81" s="25"/>
      <c r="Z81" s="25"/>
      <c r="AA81" s="25"/>
      <c r="AB81" s="25"/>
      <c r="AC81" s="26"/>
      <c r="AD81" s="26"/>
      <c r="AE81" s="25"/>
      <c r="AF81" s="25"/>
      <c r="AG81" s="69">
        <f t="shared" si="13"/>
        <v>-886.90499999999997</v>
      </c>
      <c r="AH81" s="29">
        <f t="shared" si="14"/>
        <v>-4.9999999999954525E-3</v>
      </c>
    </row>
    <row r="82" spans="1:34" s="30" customFormat="1" ht="21.75" customHeight="1" x14ac:dyDescent="0.2">
      <c r="A82" s="18">
        <v>43452</v>
      </c>
      <c r="B82" s="19"/>
      <c r="C82" s="20" t="s">
        <v>63</v>
      </c>
      <c r="D82" s="20" t="s">
        <v>64</v>
      </c>
      <c r="E82" s="20" t="s">
        <v>120</v>
      </c>
      <c r="F82" s="21">
        <v>147543</v>
      </c>
      <c r="G82" s="22" t="s">
        <v>1136</v>
      </c>
      <c r="H82" s="23"/>
      <c r="I82" s="23"/>
      <c r="J82" s="23">
        <v>575.15</v>
      </c>
      <c r="K82" s="23"/>
      <c r="L82" s="24"/>
      <c r="M82" s="69">
        <f t="shared" si="10"/>
        <v>575.15</v>
      </c>
      <c r="N82" s="69">
        <f t="shared" si="11"/>
        <v>0</v>
      </c>
      <c r="O82" s="69">
        <f t="shared" si="12"/>
        <v>0</v>
      </c>
      <c r="P82" s="69"/>
      <c r="Q82" s="25">
        <v>575.15</v>
      </c>
      <c r="R82" s="25"/>
      <c r="S82" s="25"/>
      <c r="T82" s="26"/>
      <c r="U82" s="26"/>
      <c r="V82" s="26"/>
      <c r="W82" s="26"/>
      <c r="X82" s="26"/>
      <c r="Y82" s="25"/>
      <c r="Z82" s="25"/>
      <c r="AA82" s="25"/>
      <c r="AB82" s="25"/>
      <c r="AC82" s="26"/>
      <c r="AD82" s="26"/>
      <c r="AE82" s="25"/>
      <c r="AF82" s="25"/>
      <c r="AG82" s="69">
        <f t="shared" si="13"/>
        <v>-575.15</v>
      </c>
      <c r="AH82" s="29">
        <f t="shared" si="14"/>
        <v>0</v>
      </c>
    </row>
    <row r="83" spans="1:34" s="30" customFormat="1" ht="21.75" customHeight="1" x14ac:dyDescent="0.2">
      <c r="A83" s="18">
        <v>43453</v>
      </c>
      <c r="B83" s="19"/>
      <c r="C83" s="20" t="s">
        <v>705</v>
      </c>
      <c r="D83" s="20" t="s">
        <v>706</v>
      </c>
      <c r="E83" s="20" t="s">
        <v>707</v>
      </c>
      <c r="F83" s="21">
        <v>126103</v>
      </c>
      <c r="G83" s="22" t="s">
        <v>40</v>
      </c>
      <c r="H83" s="23"/>
      <c r="I83" s="23"/>
      <c r="J83" s="23"/>
      <c r="K83" s="23">
        <v>180</v>
      </c>
      <c r="L83" s="24"/>
      <c r="M83" s="69">
        <f t="shared" si="10"/>
        <v>160.71428571428569</v>
      </c>
      <c r="N83" s="69">
        <f t="shared" si="11"/>
        <v>19.285714285714281</v>
      </c>
      <c r="O83" s="69">
        <f t="shared" si="12"/>
        <v>0</v>
      </c>
      <c r="P83" s="69">
        <v>160.71</v>
      </c>
      <c r="Q83" s="25"/>
      <c r="R83" s="25"/>
      <c r="S83" s="25"/>
      <c r="T83" s="26"/>
      <c r="U83" s="26"/>
      <c r="V83" s="26"/>
      <c r="W83" s="26"/>
      <c r="X83" s="26"/>
      <c r="Y83" s="25"/>
      <c r="Z83" s="25"/>
      <c r="AA83" s="25"/>
      <c r="AB83" s="25"/>
      <c r="AC83" s="26"/>
      <c r="AD83" s="26"/>
      <c r="AE83" s="25"/>
      <c r="AF83" s="25"/>
      <c r="AG83" s="69">
        <f t="shared" si="13"/>
        <v>-179.99571428571429</v>
      </c>
      <c r="AH83" s="29">
        <f t="shared" si="14"/>
        <v>4.2857142857144481E-3</v>
      </c>
    </row>
    <row r="84" spans="1:34" s="30" customFormat="1" ht="21.75" customHeight="1" x14ac:dyDescent="0.2">
      <c r="A84" s="18">
        <v>43453</v>
      </c>
      <c r="B84" s="19"/>
      <c r="C84" s="20" t="s">
        <v>41</v>
      </c>
      <c r="D84" s="20" t="s">
        <v>88</v>
      </c>
      <c r="E84" s="20" t="s">
        <v>43</v>
      </c>
      <c r="F84" s="21">
        <v>2819</v>
      </c>
      <c r="G84" s="22" t="s">
        <v>635</v>
      </c>
      <c r="H84" s="23"/>
      <c r="I84" s="23"/>
      <c r="J84" s="23">
        <v>1340</v>
      </c>
      <c r="K84" s="23"/>
      <c r="L84" s="24"/>
      <c r="M84" s="69">
        <f t="shared" si="10"/>
        <v>1340</v>
      </c>
      <c r="N84" s="69">
        <f t="shared" si="11"/>
        <v>0</v>
      </c>
      <c r="O84" s="69">
        <f t="shared" si="12"/>
        <v>0</v>
      </c>
      <c r="P84" s="69">
        <v>1340</v>
      </c>
      <c r="Q84" s="25"/>
      <c r="R84" s="25"/>
      <c r="S84" s="25"/>
      <c r="T84" s="26"/>
      <c r="U84" s="26"/>
      <c r="V84" s="26"/>
      <c r="W84" s="26"/>
      <c r="X84" s="26"/>
      <c r="Y84" s="25"/>
      <c r="Z84" s="25"/>
      <c r="AA84" s="25"/>
      <c r="AB84" s="25"/>
      <c r="AC84" s="26"/>
      <c r="AD84" s="26"/>
      <c r="AE84" s="25"/>
      <c r="AF84" s="25"/>
      <c r="AG84" s="69">
        <f t="shared" si="13"/>
        <v>-1340</v>
      </c>
      <c r="AH84" s="29">
        <f t="shared" si="14"/>
        <v>0</v>
      </c>
    </row>
    <row r="85" spans="1:34" s="30" customFormat="1" ht="21.75" customHeight="1" x14ac:dyDescent="0.2">
      <c r="A85" s="18">
        <v>43453</v>
      </c>
      <c r="B85" s="19"/>
      <c r="C85" s="20" t="s">
        <v>45</v>
      </c>
      <c r="D85" s="20"/>
      <c r="E85" s="20"/>
      <c r="F85" s="21"/>
      <c r="G85" s="22" t="s">
        <v>173</v>
      </c>
      <c r="H85" s="23">
        <v>100</v>
      </c>
      <c r="I85" s="23"/>
      <c r="J85" s="23"/>
      <c r="K85" s="23"/>
      <c r="L85" s="24"/>
      <c r="M85" s="69">
        <f t="shared" si="10"/>
        <v>100</v>
      </c>
      <c r="N85" s="69">
        <f t="shared" si="11"/>
        <v>0</v>
      </c>
      <c r="O85" s="69">
        <f t="shared" si="12"/>
        <v>0</v>
      </c>
      <c r="P85" s="69"/>
      <c r="Q85" s="25"/>
      <c r="R85" s="25"/>
      <c r="S85" s="25"/>
      <c r="T85" s="26"/>
      <c r="U85" s="26"/>
      <c r="V85" s="26"/>
      <c r="W85" s="26"/>
      <c r="X85" s="26"/>
      <c r="Y85" s="25"/>
      <c r="Z85" s="25"/>
      <c r="AA85" s="25">
        <v>100</v>
      </c>
      <c r="AB85" s="25"/>
      <c r="AC85" s="26"/>
      <c r="AD85" s="26"/>
      <c r="AE85" s="25"/>
      <c r="AF85" s="25"/>
      <c r="AG85" s="69">
        <f t="shared" si="13"/>
        <v>-100</v>
      </c>
      <c r="AH85" s="29">
        <f t="shared" si="14"/>
        <v>0</v>
      </c>
    </row>
    <row r="86" spans="1:34" s="30" customFormat="1" ht="21.75" customHeight="1" x14ac:dyDescent="0.2">
      <c r="A86" s="18">
        <v>43453</v>
      </c>
      <c r="B86" s="19"/>
      <c r="C86" s="20" t="s">
        <v>68</v>
      </c>
      <c r="D86" s="20"/>
      <c r="E86" s="20"/>
      <c r="F86" s="21"/>
      <c r="G86" s="22" t="s">
        <v>593</v>
      </c>
      <c r="H86" s="23"/>
      <c r="I86" s="23"/>
      <c r="J86" s="23">
        <v>1150</v>
      </c>
      <c r="K86" s="23"/>
      <c r="L86" s="24"/>
      <c r="M86" s="69">
        <f t="shared" si="10"/>
        <v>1150</v>
      </c>
      <c r="N86" s="69">
        <f t="shared" si="11"/>
        <v>0</v>
      </c>
      <c r="O86" s="69">
        <f t="shared" si="12"/>
        <v>0</v>
      </c>
      <c r="P86" s="69">
        <v>1150</v>
      </c>
      <c r="Q86" s="25"/>
      <c r="R86" s="25"/>
      <c r="S86" s="25"/>
      <c r="T86" s="26"/>
      <c r="U86" s="26"/>
      <c r="V86" s="26"/>
      <c r="W86" s="26"/>
      <c r="X86" s="26"/>
      <c r="Y86" s="25"/>
      <c r="Z86" s="25"/>
      <c r="AA86" s="25"/>
      <c r="AB86" s="25"/>
      <c r="AC86" s="26"/>
      <c r="AD86" s="26"/>
      <c r="AE86" s="25"/>
      <c r="AF86" s="25"/>
      <c r="AG86" s="69">
        <f t="shared" si="13"/>
        <v>-1150</v>
      </c>
      <c r="AH86" s="29">
        <f t="shared" si="14"/>
        <v>0</v>
      </c>
    </row>
    <row r="87" spans="1:34" s="30" customFormat="1" ht="21.75" customHeight="1" x14ac:dyDescent="0.2">
      <c r="A87" s="18">
        <v>43453</v>
      </c>
      <c r="B87" s="19"/>
      <c r="C87" s="20" t="s">
        <v>68</v>
      </c>
      <c r="D87" s="20"/>
      <c r="E87" s="20"/>
      <c r="F87" s="21"/>
      <c r="G87" s="22" t="s">
        <v>1137</v>
      </c>
      <c r="H87" s="23">
        <v>20</v>
      </c>
      <c r="I87" s="23"/>
      <c r="J87" s="23"/>
      <c r="K87" s="23"/>
      <c r="L87" s="24"/>
      <c r="M87" s="69">
        <f t="shared" si="10"/>
        <v>20</v>
      </c>
      <c r="N87" s="69">
        <f t="shared" si="11"/>
        <v>0</v>
      </c>
      <c r="O87" s="69">
        <f t="shared" si="12"/>
        <v>0</v>
      </c>
      <c r="P87" s="69"/>
      <c r="Q87" s="25"/>
      <c r="R87" s="25"/>
      <c r="S87" s="25"/>
      <c r="T87" s="26"/>
      <c r="U87" s="26"/>
      <c r="V87" s="26"/>
      <c r="W87" s="26"/>
      <c r="X87" s="26"/>
      <c r="Y87" s="25"/>
      <c r="Z87" s="25"/>
      <c r="AA87" s="25">
        <v>20</v>
      </c>
      <c r="AB87" s="25"/>
      <c r="AC87" s="26"/>
      <c r="AD87" s="26"/>
      <c r="AE87" s="25"/>
      <c r="AF87" s="25"/>
      <c r="AG87" s="69">
        <f t="shared" si="13"/>
        <v>-20</v>
      </c>
      <c r="AH87" s="29">
        <f t="shared" si="14"/>
        <v>0</v>
      </c>
    </row>
    <row r="88" spans="1:34" s="46" customFormat="1" ht="21.75" customHeight="1" x14ac:dyDescent="0.2">
      <c r="A88" s="33">
        <v>43453</v>
      </c>
      <c r="B88" s="34"/>
      <c r="C88" s="36" t="s">
        <v>63</v>
      </c>
      <c r="D88" s="36" t="s">
        <v>64</v>
      </c>
      <c r="E88" s="36" t="s">
        <v>120</v>
      </c>
      <c r="F88" s="37">
        <v>108787</v>
      </c>
      <c r="G88" s="38" t="s">
        <v>1138</v>
      </c>
      <c r="H88" s="39"/>
      <c r="I88" s="39"/>
      <c r="J88" s="39">
        <v>488.15</v>
      </c>
      <c r="K88" s="39"/>
      <c r="L88" s="40"/>
      <c r="M88" s="78">
        <f t="shared" si="10"/>
        <v>488.15</v>
      </c>
      <c r="N88" s="78">
        <f t="shared" si="11"/>
        <v>0</v>
      </c>
      <c r="O88" s="78">
        <f t="shared" si="12"/>
        <v>0</v>
      </c>
      <c r="P88" s="78">
        <v>488.15</v>
      </c>
      <c r="Q88" s="41"/>
      <c r="R88" s="41"/>
      <c r="S88" s="41"/>
      <c r="T88" s="42"/>
      <c r="U88" s="42"/>
      <c r="V88" s="42"/>
      <c r="W88" s="42"/>
      <c r="X88" s="42"/>
      <c r="Y88" s="41"/>
      <c r="Z88" s="41"/>
      <c r="AA88" s="41"/>
      <c r="AB88" s="41"/>
      <c r="AC88" s="42"/>
      <c r="AD88" s="42"/>
      <c r="AE88" s="41"/>
      <c r="AF88" s="41"/>
      <c r="AG88" s="78">
        <f t="shared" si="13"/>
        <v>-488.15</v>
      </c>
      <c r="AH88" s="45">
        <f t="shared" si="14"/>
        <v>0</v>
      </c>
    </row>
    <row r="89" spans="1:34" s="30" customFormat="1" ht="21.75" customHeight="1" x14ac:dyDescent="0.2">
      <c r="A89" s="18">
        <v>43454</v>
      </c>
      <c r="B89" s="19"/>
      <c r="C89" s="20" t="s">
        <v>705</v>
      </c>
      <c r="D89" s="20" t="s">
        <v>706</v>
      </c>
      <c r="E89" s="20" t="s">
        <v>707</v>
      </c>
      <c r="F89" s="21">
        <v>126150</v>
      </c>
      <c r="G89" s="22" t="s">
        <v>40</v>
      </c>
      <c r="H89" s="23"/>
      <c r="I89" s="23"/>
      <c r="J89" s="23"/>
      <c r="K89" s="23">
        <v>180</v>
      </c>
      <c r="L89" s="24"/>
      <c r="M89" s="69">
        <f t="shared" si="10"/>
        <v>160.71428571428569</v>
      </c>
      <c r="N89" s="69">
        <f t="shared" si="11"/>
        <v>19.285714285714281</v>
      </c>
      <c r="O89" s="69">
        <f t="shared" si="12"/>
        <v>0</v>
      </c>
      <c r="P89" s="69"/>
      <c r="Q89" s="25">
        <v>160.71</v>
      </c>
      <c r="R89" s="25"/>
      <c r="S89" s="25"/>
      <c r="T89" s="26"/>
      <c r="U89" s="26"/>
      <c r="V89" s="26"/>
      <c r="W89" s="26"/>
      <c r="X89" s="26"/>
      <c r="Y89" s="25"/>
      <c r="Z89" s="25"/>
      <c r="AA89" s="25"/>
      <c r="AB89" s="25"/>
      <c r="AC89" s="26"/>
      <c r="AD89" s="26"/>
      <c r="AE89" s="25"/>
      <c r="AF89" s="25"/>
      <c r="AG89" s="69">
        <f t="shared" si="13"/>
        <v>-179.99571428571429</v>
      </c>
      <c r="AH89" s="29">
        <f t="shared" si="14"/>
        <v>4.2857142857144481E-3</v>
      </c>
    </row>
    <row r="90" spans="1:34" s="30" customFormat="1" ht="21.75" customHeight="1" x14ac:dyDescent="0.2">
      <c r="A90" s="18">
        <v>43454</v>
      </c>
      <c r="B90" s="19"/>
      <c r="C90" s="20" t="s">
        <v>63</v>
      </c>
      <c r="D90" s="20" t="s">
        <v>64</v>
      </c>
      <c r="E90" s="20" t="s">
        <v>120</v>
      </c>
      <c r="F90" s="21">
        <v>66792</v>
      </c>
      <c r="G90" s="22" t="s">
        <v>1139</v>
      </c>
      <c r="H90" s="23"/>
      <c r="I90" s="23"/>
      <c r="J90" s="23"/>
      <c r="K90" s="23">
        <f>612.28+73.47</f>
        <v>685.75</v>
      </c>
      <c r="L90" s="24"/>
      <c r="M90" s="69">
        <f t="shared" si="10"/>
        <v>612.27678571428567</v>
      </c>
      <c r="N90" s="69">
        <f t="shared" si="11"/>
        <v>73.473214285714278</v>
      </c>
      <c r="O90" s="69">
        <f t="shared" si="12"/>
        <v>0</v>
      </c>
      <c r="P90" s="69">
        <v>612.28</v>
      </c>
      <c r="Q90" s="25"/>
      <c r="R90" s="25"/>
      <c r="S90" s="25"/>
      <c r="T90" s="26"/>
      <c r="U90" s="26"/>
      <c r="V90" s="26"/>
      <c r="W90" s="26"/>
      <c r="X90" s="26"/>
      <c r="Y90" s="25"/>
      <c r="Z90" s="25"/>
      <c r="AA90" s="25"/>
      <c r="AB90" s="25"/>
      <c r="AC90" s="26"/>
      <c r="AD90" s="26"/>
      <c r="AE90" s="25"/>
      <c r="AF90" s="25"/>
      <c r="AG90" s="69">
        <f t="shared" si="13"/>
        <v>-685.75321428571419</v>
      </c>
      <c r="AH90" s="29">
        <f t="shared" si="14"/>
        <v>-3.2142857141934655E-3</v>
      </c>
    </row>
    <row r="91" spans="1:34" s="30" customFormat="1" ht="21.75" customHeight="1" x14ac:dyDescent="0.2">
      <c r="A91" s="18">
        <v>43454</v>
      </c>
      <c r="B91" s="19"/>
      <c r="C91" s="20" t="s">
        <v>63</v>
      </c>
      <c r="D91" s="20" t="s">
        <v>64</v>
      </c>
      <c r="E91" s="20" t="s">
        <v>120</v>
      </c>
      <c r="F91" s="21">
        <v>66792</v>
      </c>
      <c r="G91" s="22" t="s">
        <v>1140</v>
      </c>
      <c r="H91" s="23"/>
      <c r="I91" s="23"/>
      <c r="J91" s="23">
        <v>615.70000000000005</v>
      </c>
      <c r="K91" s="23"/>
      <c r="L91" s="24"/>
      <c r="M91" s="69">
        <f t="shared" si="10"/>
        <v>615.70000000000005</v>
      </c>
      <c r="N91" s="69">
        <f t="shared" si="11"/>
        <v>0</v>
      </c>
      <c r="O91" s="69">
        <f t="shared" si="12"/>
        <v>0</v>
      </c>
      <c r="P91" s="69">
        <v>615.70000000000005</v>
      </c>
      <c r="Q91" s="25"/>
      <c r="R91" s="25"/>
      <c r="S91" s="25"/>
      <c r="T91" s="26"/>
      <c r="U91" s="26"/>
      <c r="V91" s="26"/>
      <c r="W91" s="26"/>
      <c r="X91" s="26"/>
      <c r="Y91" s="25"/>
      <c r="Z91" s="25"/>
      <c r="AA91" s="25"/>
      <c r="AB91" s="25"/>
      <c r="AC91" s="26"/>
      <c r="AD91" s="26"/>
      <c r="AE91" s="25"/>
      <c r="AF91" s="25"/>
      <c r="AG91" s="69">
        <f t="shared" si="13"/>
        <v>-615.70000000000005</v>
      </c>
      <c r="AH91" s="29">
        <f t="shared" si="14"/>
        <v>0</v>
      </c>
    </row>
    <row r="92" spans="1:34" s="30" customFormat="1" ht="21.75" customHeight="1" x14ac:dyDescent="0.2">
      <c r="A92" s="18">
        <v>43455</v>
      </c>
      <c r="B92" s="19"/>
      <c r="C92" s="20" t="s">
        <v>1141</v>
      </c>
      <c r="D92" s="20" t="s">
        <v>273</v>
      </c>
      <c r="E92" s="20" t="s">
        <v>120</v>
      </c>
      <c r="F92" s="21">
        <v>166983</v>
      </c>
      <c r="G92" s="22" t="s">
        <v>1142</v>
      </c>
      <c r="H92" s="23"/>
      <c r="I92" s="23"/>
      <c r="J92" s="23"/>
      <c r="K92" s="23">
        <v>650</v>
      </c>
      <c r="L92" s="24"/>
      <c r="M92" s="69">
        <f t="shared" si="10"/>
        <v>580.35714285714278</v>
      </c>
      <c r="N92" s="69">
        <f t="shared" si="11"/>
        <v>69.642857142857125</v>
      </c>
      <c r="O92" s="69">
        <f t="shared" si="12"/>
        <v>0</v>
      </c>
      <c r="P92" s="69"/>
      <c r="Q92" s="25"/>
      <c r="R92" s="25"/>
      <c r="S92" s="25">
        <v>580.36</v>
      </c>
      <c r="T92" s="26"/>
      <c r="U92" s="26"/>
      <c r="V92" s="26"/>
      <c r="W92" s="26"/>
      <c r="X92" s="26"/>
      <c r="Y92" s="25"/>
      <c r="Z92" s="25"/>
      <c r="AA92" s="25"/>
      <c r="AB92" s="25"/>
      <c r="AC92" s="26"/>
      <c r="AD92" s="26"/>
      <c r="AE92" s="25"/>
      <c r="AF92" s="25"/>
      <c r="AG92" s="69">
        <f t="shared" si="13"/>
        <v>-650.00285714285712</v>
      </c>
      <c r="AH92" s="29">
        <f t="shared" si="14"/>
        <v>-2.8571428571240176E-3</v>
      </c>
    </row>
    <row r="93" spans="1:34" s="30" customFormat="1" ht="21.75" customHeight="1" x14ac:dyDescent="0.2">
      <c r="A93" s="18">
        <v>43455</v>
      </c>
      <c r="B93" s="19"/>
      <c r="C93" s="20" t="s">
        <v>68</v>
      </c>
      <c r="D93" s="20"/>
      <c r="E93" s="20"/>
      <c r="F93" s="21"/>
      <c r="G93" s="22" t="s">
        <v>384</v>
      </c>
      <c r="H93" s="23">
        <v>40</v>
      </c>
      <c r="I93" s="23"/>
      <c r="J93" s="23"/>
      <c r="K93" s="23"/>
      <c r="L93" s="24"/>
      <c r="M93" s="69">
        <f t="shared" si="10"/>
        <v>40</v>
      </c>
      <c r="N93" s="69">
        <f t="shared" si="11"/>
        <v>0</v>
      </c>
      <c r="O93" s="69">
        <f t="shared" si="12"/>
        <v>0</v>
      </c>
      <c r="P93" s="69"/>
      <c r="Q93" s="25"/>
      <c r="R93" s="25"/>
      <c r="S93" s="25"/>
      <c r="T93" s="26"/>
      <c r="U93" s="26"/>
      <c r="V93" s="26"/>
      <c r="W93" s="26"/>
      <c r="X93" s="26"/>
      <c r="Y93" s="25"/>
      <c r="Z93" s="25"/>
      <c r="AA93" s="25">
        <v>40</v>
      </c>
      <c r="AB93" s="25"/>
      <c r="AC93" s="26"/>
      <c r="AD93" s="26"/>
      <c r="AE93" s="25"/>
      <c r="AF93" s="25"/>
      <c r="AG93" s="69">
        <f t="shared" si="13"/>
        <v>-40</v>
      </c>
      <c r="AH93" s="29">
        <f t="shared" si="14"/>
        <v>0</v>
      </c>
    </row>
    <row r="94" spans="1:34" s="30" customFormat="1" ht="21.75" customHeight="1" x14ac:dyDescent="0.2">
      <c r="A94" s="18">
        <v>43455</v>
      </c>
      <c r="B94" s="19"/>
      <c r="C94" s="20" t="s">
        <v>705</v>
      </c>
      <c r="D94" s="20" t="s">
        <v>706</v>
      </c>
      <c r="E94" s="20" t="s">
        <v>707</v>
      </c>
      <c r="F94" s="21">
        <v>149078</v>
      </c>
      <c r="G94" s="22" t="s">
        <v>40</v>
      </c>
      <c r="H94" s="23"/>
      <c r="I94" s="23"/>
      <c r="J94" s="23"/>
      <c r="K94" s="23">
        <v>180</v>
      </c>
      <c r="L94" s="24"/>
      <c r="M94" s="69">
        <f t="shared" si="10"/>
        <v>160.71428571428569</v>
      </c>
      <c r="N94" s="69">
        <f t="shared" si="11"/>
        <v>19.285714285714281</v>
      </c>
      <c r="O94" s="69">
        <f t="shared" si="12"/>
        <v>0</v>
      </c>
      <c r="P94" s="69">
        <v>160.71</v>
      </c>
      <c r="Q94" s="25"/>
      <c r="R94" s="25"/>
      <c r="S94" s="25"/>
      <c r="T94" s="26"/>
      <c r="U94" s="26"/>
      <c r="V94" s="26"/>
      <c r="W94" s="26"/>
      <c r="X94" s="26"/>
      <c r="Y94" s="25"/>
      <c r="Z94" s="25"/>
      <c r="AA94" s="25"/>
      <c r="AB94" s="25"/>
      <c r="AC94" s="26"/>
      <c r="AD94" s="26"/>
      <c r="AE94" s="25"/>
      <c r="AF94" s="25"/>
      <c r="AG94" s="69">
        <f t="shared" si="13"/>
        <v>-179.99571428571429</v>
      </c>
      <c r="AH94" s="29">
        <f t="shared" si="14"/>
        <v>4.2857142857144481E-3</v>
      </c>
    </row>
    <row r="95" spans="1:34" s="30" customFormat="1" ht="21.75" customHeight="1" x14ac:dyDescent="0.2">
      <c r="A95" s="18">
        <v>43455</v>
      </c>
      <c r="B95" s="19"/>
      <c r="C95" s="20" t="s">
        <v>41</v>
      </c>
      <c r="D95" s="20" t="s">
        <v>88</v>
      </c>
      <c r="E95" s="20" t="s">
        <v>43</v>
      </c>
      <c r="F95" s="21">
        <v>2825</v>
      </c>
      <c r="G95" s="22" t="s">
        <v>1143</v>
      </c>
      <c r="H95" s="23"/>
      <c r="I95" s="23"/>
      <c r="J95" s="23">
        <v>1460</v>
      </c>
      <c r="K95" s="23"/>
      <c r="L95" s="24"/>
      <c r="M95" s="69">
        <f t="shared" si="10"/>
        <v>1460</v>
      </c>
      <c r="N95" s="69">
        <f t="shared" si="11"/>
        <v>0</v>
      </c>
      <c r="O95" s="69">
        <f t="shared" si="12"/>
        <v>0</v>
      </c>
      <c r="P95" s="69">
        <v>1460</v>
      </c>
      <c r="Q95" s="25"/>
      <c r="R95" s="25"/>
      <c r="S95" s="25"/>
      <c r="T95" s="26"/>
      <c r="U95" s="26"/>
      <c r="V95" s="26"/>
      <c r="W95" s="26"/>
      <c r="X95" s="26"/>
      <c r="Y95" s="25"/>
      <c r="Z95" s="25"/>
      <c r="AA95" s="25"/>
      <c r="AB95" s="25"/>
      <c r="AC95" s="26"/>
      <c r="AD95" s="26"/>
      <c r="AE95" s="25"/>
      <c r="AF95" s="25"/>
      <c r="AG95" s="69">
        <f t="shared" si="13"/>
        <v>-1460</v>
      </c>
      <c r="AH95" s="29">
        <f t="shared" si="14"/>
        <v>0</v>
      </c>
    </row>
    <row r="96" spans="1:34" s="30" customFormat="1" ht="21.75" customHeight="1" x14ac:dyDescent="0.2">
      <c r="A96" s="18">
        <v>43455</v>
      </c>
      <c r="B96" s="19"/>
      <c r="C96" s="20" t="s">
        <v>45</v>
      </c>
      <c r="D96" s="20"/>
      <c r="E96" s="20"/>
      <c r="F96" s="21"/>
      <c r="G96" s="22" t="s">
        <v>482</v>
      </c>
      <c r="H96" s="23">
        <v>100</v>
      </c>
      <c r="I96" s="23"/>
      <c r="J96" s="23"/>
      <c r="K96" s="23"/>
      <c r="L96" s="24"/>
      <c r="M96" s="69">
        <f t="shared" si="10"/>
        <v>100</v>
      </c>
      <c r="N96" s="69">
        <f t="shared" si="11"/>
        <v>0</v>
      </c>
      <c r="O96" s="69">
        <f t="shared" si="12"/>
        <v>0</v>
      </c>
      <c r="P96" s="69"/>
      <c r="Q96" s="25"/>
      <c r="R96" s="25"/>
      <c r="S96" s="25"/>
      <c r="T96" s="26"/>
      <c r="U96" s="26"/>
      <c r="V96" s="26"/>
      <c r="W96" s="26"/>
      <c r="X96" s="26"/>
      <c r="Y96" s="25"/>
      <c r="Z96" s="25"/>
      <c r="AA96" s="25">
        <v>100</v>
      </c>
      <c r="AB96" s="25"/>
      <c r="AC96" s="26"/>
      <c r="AD96" s="26"/>
      <c r="AE96" s="25"/>
      <c r="AF96" s="25"/>
      <c r="AG96" s="69">
        <f t="shared" si="13"/>
        <v>-100</v>
      </c>
      <c r="AH96" s="29">
        <f t="shared" si="14"/>
        <v>0</v>
      </c>
    </row>
    <row r="97" spans="1:34" s="30" customFormat="1" ht="21.75" customHeight="1" x14ac:dyDescent="0.2">
      <c r="A97" s="18">
        <v>43455</v>
      </c>
      <c r="B97" s="19"/>
      <c r="C97" s="20" t="s">
        <v>745</v>
      </c>
      <c r="D97" s="20" t="s">
        <v>812</v>
      </c>
      <c r="E97" s="20" t="s">
        <v>277</v>
      </c>
      <c r="F97" s="21">
        <v>33546</v>
      </c>
      <c r="G97" s="22" t="s">
        <v>1144</v>
      </c>
      <c r="H97" s="23"/>
      <c r="I97" s="23"/>
      <c r="J97" s="23"/>
      <c r="K97" s="23">
        <v>193.2</v>
      </c>
      <c r="L97" s="24"/>
      <c r="M97" s="69">
        <f t="shared" si="10"/>
        <v>172.49999999999997</v>
      </c>
      <c r="N97" s="69">
        <f t="shared" si="11"/>
        <v>20.699999999999996</v>
      </c>
      <c r="O97" s="69">
        <f t="shared" si="12"/>
        <v>0</v>
      </c>
      <c r="P97" s="69">
        <v>172.5</v>
      </c>
      <c r="Q97" s="25"/>
      <c r="R97" s="25"/>
      <c r="S97" s="25"/>
      <c r="T97" s="26"/>
      <c r="U97" s="26"/>
      <c r="V97" s="26"/>
      <c r="W97" s="26"/>
      <c r="X97" s="26"/>
      <c r="Y97" s="25"/>
      <c r="Z97" s="25"/>
      <c r="AA97" s="25"/>
      <c r="AB97" s="25"/>
      <c r="AC97" s="26"/>
      <c r="AD97" s="26"/>
      <c r="AE97" s="25"/>
      <c r="AF97" s="25"/>
      <c r="AG97" s="69">
        <f t="shared" si="13"/>
        <v>-193.2</v>
      </c>
      <c r="AH97" s="29">
        <f t="shared" si="14"/>
        <v>0</v>
      </c>
    </row>
    <row r="98" spans="1:34" s="30" customFormat="1" ht="21.75" customHeight="1" x14ac:dyDescent="0.2">
      <c r="A98" s="18">
        <v>43455</v>
      </c>
      <c r="B98" s="19"/>
      <c r="C98" s="20" t="s">
        <v>202</v>
      </c>
      <c r="D98" s="20" t="s">
        <v>1145</v>
      </c>
      <c r="E98" s="20" t="s">
        <v>120</v>
      </c>
      <c r="F98" s="21">
        <v>10701</v>
      </c>
      <c r="G98" s="22" t="s">
        <v>1146</v>
      </c>
      <c r="H98" s="23"/>
      <c r="I98" s="23"/>
      <c r="J98" s="23"/>
      <c r="K98" s="23">
        <v>956.82</v>
      </c>
      <c r="L98" s="24"/>
      <c r="M98" s="69">
        <f t="shared" si="10"/>
        <v>854.30357142857144</v>
      </c>
      <c r="N98" s="69">
        <f t="shared" si="11"/>
        <v>102.51642857142856</v>
      </c>
      <c r="O98" s="69">
        <f t="shared" si="12"/>
        <v>0</v>
      </c>
      <c r="P98" s="69">
        <v>854.3</v>
      </c>
      <c r="Q98" s="25"/>
      <c r="R98" s="25"/>
      <c r="S98" s="25"/>
      <c r="T98" s="26"/>
      <c r="U98" s="26"/>
      <c r="V98" s="26"/>
      <c r="W98" s="26"/>
      <c r="X98" s="26"/>
      <c r="Y98" s="25"/>
      <c r="Z98" s="25"/>
      <c r="AA98" s="25"/>
      <c r="AB98" s="25"/>
      <c r="AC98" s="26"/>
      <c r="AD98" s="26"/>
      <c r="AE98" s="25"/>
      <c r="AF98" s="25"/>
      <c r="AG98" s="69">
        <f t="shared" si="13"/>
        <v>-956.81642857142856</v>
      </c>
      <c r="AH98" s="29">
        <f t="shared" si="14"/>
        <v>3.5714285714902871E-3</v>
      </c>
    </row>
    <row r="99" spans="1:34" s="30" customFormat="1" ht="21.75" customHeight="1" x14ac:dyDescent="0.2">
      <c r="A99" s="18">
        <v>43456</v>
      </c>
      <c r="B99" s="19"/>
      <c r="C99" s="20" t="s">
        <v>466</v>
      </c>
      <c r="D99" s="20" t="s">
        <v>467</v>
      </c>
      <c r="E99" s="20" t="s">
        <v>120</v>
      </c>
      <c r="F99" s="21">
        <v>149407</v>
      </c>
      <c r="G99" s="22" t="s">
        <v>40</v>
      </c>
      <c r="H99" s="23"/>
      <c r="I99" s="23"/>
      <c r="J99" s="23"/>
      <c r="K99" s="23">
        <v>76</v>
      </c>
      <c r="L99" s="24"/>
      <c r="M99" s="69">
        <f t="shared" si="10"/>
        <v>67.857142857142847</v>
      </c>
      <c r="N99" s="69">
        <f t="shared" si="11"/>
        <v>8.1428571428571406</v>
      </c>
      <c r="O99" s="69">
        <f t="shared" si="12"/>
        <v>0</v>
      </c>
      <c r="P99" s="69"/>
      <c r="Q99" s="25">
        <v>67.86</v>
      </c>
      <c r="R99" s="25"/>
      <c r="S99" s="25"/>
      <c r="T99" s="26"/>
      <c r="U99" s="26"/>
      <c r="V99" s="26"/>
      <c r="W99" s="26"/>
      <c r="X99" s="26"/>
      <c r="Y99" s="25"/>
      <c r="Z99" s="25"/>
      <c r="AA99" s="25"/>
      <c r="AB99" s="25"/>
      <c r="AC99" s="26"/>
      <c r="AD99" s="26"/>
      <c r="AE99" s="25"/>
      <c r="AF99" s="25"/>
      <c r="AG99" s="69">
        <f t="shared" si="13"/>
        <v>-76.002857142857138</v>
      </c>
      <c r="AH99" s="29">
        <f t="shared" si="14"/>
        <v>-2.8571428571382285E-3</v>
      </c>
    </row>
    <row r="100" spans="1:34" s="30" customFormat="1" ht="21.75" customHeight="1" x14ac:dyDescent="0.2">
      <c r="A100" s="18">
        <v>43456</v>
      </c>
      <c r="B100" s="19"/>
      <c r="C100" s="20" t="s">
        <v>59</v>
      </c>
      <c r="D100" s="20" t="s">
        <v>60</v>
      </c>
      <c r="E100" s="20" t="s">
        <v>120</v>
      </c>
      <c r="F100" s="21">
        <v>721376</v>
      </c>
      <c r="G100" s="22" t="s">
        <v>509</v>
      </c>
      <c r="H100" s="23"/>
      <c r="I100" s="23"/>
      <c r="J100" s="23"/>
      <c r="K100" s="23">
        <v>99.75</v>
      </c>
      <c r="L100" s="24"/>
      <c r="M100" s="69">
        <f t="shared" si="10"/>
        <v>89.062499999999986</v>
      </c>
      <c r="N100" s="69">
        <f t="shared" si="11"/>
        <v>10.687499999999998</v>
      </c>
      <c r="O100" s="69">
        <f t="shared" si="12"/>
        <v>0</v>
      </c>
      <c r="P100" s="69"/>
      <c r="Q100" s="25"/>
      <c r="R100" s="25"/>
      <c r="S100" s="25"/>
      <c r="T100" s="26">
        <v>89.06</v>
      </c>
      <c r="U100" s="26"/>
      <c r="V100" s="26"/>
      <c r="W100" s="26"/>
      <c r="X100" s="26"/>
      <c r="Y100" s="25"/>
      <c r="Z100" s="25"/>
      <c r="AA100" s="25"/>
      <c r="AB100" s="25"/>
      <c r="AC100" s="26"/>
      <c r="AD100" s="26"/>
      <c r="AE100" s="25"/>
      <c r="AF100" s="25"/>
      <c r="AG100" s="69">
        <f t="shared" si="13"/>
        <v>-99.747500000000002</v>
      </c>
      <c r="AH100" s="29">
        <f t="shared" si="14"/>
        <v>2.4999999999977263E-3</v>
      </c>
    </row>
    <row r="101" spans="1:34" s="30" customFormat="1" ht="21.75" customHeight="1" x14ac:dyDescent="0.2">
      <c r="A101" s="18">
        <v>43456</v>
      </c>
      <c r="B101" s="19"/>
      <c r="C101" s="20" t="s">
        <v>745</v>
      </c>
      <c r="D101" s="20" t="s">
        <v>812</v>
      </c>
      <c r="E101" s="20" t="s">
        <v>277</v>
      </c>
      <c r="F101" s="21">
        <v>91579</v>
      </c>
      <c r="G101" s="22" t="s">
        <v>1147</v>
      </c>
      <c r="H101" s="23"/>
      <c r="I101" s="23"/>
      <c r="J101" s="23"/>
      <c r="K101" s="23">
        <v>57.06</v>
      </c>
      <c r="L101" s="24"/>
      <c r="M101" s="69">
        <f t="shared" ref="M101:M118" si="15">SUM(H101:J101,K101/1.12)</f>
        <v>50.946428571428569</v>
      </c>
      <c r="N101" s="69">
        <f t="shared" ref="N101:N118" si="16">K101/1.12*0.12</f>
        <v>6.1135714285714284</v>
      </c>
      <c r="O101" s="69">
        <f t="shared" ref="O101:O118" si="17">-SUM(I101:J101,K101/1.12)*L101</f>
        <v>0</v>
      </c>
      <c r="P101" s="69">
        <v>50.95</v>
      </c>
      <c r="Q101" s="25"/>
      <c r="R101" s="25"/>
      <c r="S101" s="25"/>
      <c r="T101" s="26"/>
      <c r="U101" s="26"/>
      <c r="V101" s="26"/>
      <c r="W101" s="26"/>
      <c r="X101" s="26"/>
      <c r="Y101" s="25"/>
      <c r="Z101" s="25"/>
      <c r="AA101" s="25"/>
      <c r="AB101" s="25"/>
      <c r="AC101" s="26"/>
      <c r="AD101" s="26"/>
      <c r="AE101" s="25"/>
      <c r="AF101" s="25"/>
      <c r="AG101" s="69">
        <f t="shared" ref="AG101:AG118" si="18">-SUM(N101:AF101)</f>
        <v>-57.063571428571429</v>
      </c>
      <c r="AH101" s="29">
        <f t="shared" ref="AH101:AH118" si="19">SUM(H101:K101)+AG101+O101</f>
        <v>-3.5714285714263383E-3</v>
      </c>
    </row>
    <row r="102" spans="1:34" s="30" customFormat="1" ht="21.75" customHeight="1" x14ac:dyDescent="0.2">
      <c r="A102" s="18">
        <v>43456</v>
      </c>
      <c r="B102" s="19"/>
      <c r="C102" s="20" t="s">
        <v>518</v>
      </c>
      <c r="D102" s="20" t="s">
        <v>1148</v>
      </c>
      <c r="E102" s="20" t="s">
        <v>633</v>
      </c>
      <c r="F102" s="21">
        <v>1602</v>
      </c>
      <c r="G102" s="22" t="s">
        <v>1149</v>
      </c>
      <c r="H102" s="23"/>
      <c r="I102" s="23"/>
      <c r="J102" s="23"/>
      <c r="K102" s="23">
        <v>1303.25</v>
      </c>
      <c r="L102" s="24"/>
      <c r="M102" s="69">
        <f t="shared" si="15"/>
        <v>1163.6160714285713</v>
      </c>
      <c r="N102" s="69">
        <f t="shared" si="16"/>
        <v>139.63392857142856</v>
      </c>
      <c r="O102" s="69">
        <f t="shared" si="17"/>
        <v>0</v>
      </c>
      <c r="P102" s="69">
        <v>1163.6199999999999</v>
      </c>
      <c r="Q102" s="25"/>
      <c r="R102" s="25"/>
      <c r="S102" s="25"/>
      <c r="T102" s="26"/>
      <c r="U102" s="26"/>
      <c r="V102" s="26"/>
      <c r="W102" s="26"/>
      <c r="X102" s="26"/>
      <c r="Y102" s="25"/>
      <c r="Z102" s="25"/>
      <c r="AA102" s="25"/>
      <c r="AB102" s="25"/>
      <c r="AC102" s="26"/>
      <c r="AD102" s="26"/>
      <c r="AE102" s="25"/>
      <c r="AF102" s="25"/>
      <c r="AG102" s="69">
        <f t="shared" si="18"/>
        <v>-1303.2539285714283</v>
      </c>
      <c r="AH102" s="29">
        <f t="shared" si="19"/>
        <v>-3.9285714283323614E-3</v>
      </c>
    </row>
    <row r="103" spans="1:34" s="30" customFormat="1" ht="21.75" customHeight="1" x14ac:dyDescent="0.2">
      <c r="A103" s="18">
        <v>43460</v>
      </c>
      <c r="B103" s="19"/>
      <c r="C103" s="20" t="s">
        <v>705</v>
      </c>
      <c r="D103" s="20" t="s">
        <v>706</v>
      </c>
      <c r="E103" s="20" t="s">
        <v>707</v>
      </c>
      <c r="F103" s="21">
        <v>101194</v>
      </c>
      <c r="G103" s="22" t="s">
        <v>40</v>
      </c>
      <c r="H103" s="23"/>
      <c r="I103" s="23"/>
      <c r="J103" s="23"/>
      <c r="K103" s="23">
        <v>180</v>
      </c>
      <c r="L103" s="24"/>
      <c r="M103" s="69">
        <f t="shared" si="15"/>
        <v>160.71428571428569</v>
      </c>
      <c r="N103" s="69">
        <f t="shared" si="16"/>
        <v>19.285714285714281</v>
      </c>
      <c r="O103" s="69">
        <f t="shared" si="17"/>
        <v>0</v>
      </c>
      <c r="P103" s="69"/>
      <c r="Q103" s="25">
        <v>160.71</v>
      </c>
      <c r="R103" s="25"/>
      <c r="S103" s="25"/>
      <c r="T103" s="26"/>
      <c r="U103" s="26"/>
      <c r="V103" s="26"/>
      <c r="W103" s="26"/>
      <c r="X103" s="26"/>
      <c r="Y103" s="25"/>
      <c r="Z103" s="25"/>
      <c r="AA103" s="25"/>
      <c r="AB103" s="25"/>
      <c r="AC103" s="26"/>
      <c r="AD103" s="26"/>
      <c r="AE103" s="25"/>
      <c r="AF103" s="25"/>
      <c r="AG103" s="69">
        <f t="shared" si="18"/>
        <v>-179.99571428571429</v>
      </c>
      <c r="AH103" s="29">
        <f t="shared" si="19"/>
        <v>4.2857142857144481E-3</v>
      </c>
    </row>
    <row r="104" spans="1:34" s="30" customFormat="1" ht="21.75" customHeight="1" x14ac:dyDescent="0.2">
      <c r="A104" s="18">
        <v>43460</v>
      </c>
      <c r="B104" s="19"/>
      <c r="C104" s="20" t="s">
        <v>614</v>
      </c>
      <c r="D104" s="20"/>
      <c r="E104" s="20"/>
      <c r="F104" s="21"/>
      <c r="G104" s="22" t="s">
        <v>666</v>
      </c>
      <c r="H104" s="23">
        <v>527</v>
      </c>
      <c r="I104" s="23"/>
      <c r="J104" s="23"/>
      <c r="K104" s="23"/>
      <c r="L104" s="24"/>
      <c r="M104" s="69">
        <f t="shared" si="15"/>
        <v>527</v>
      </c>
      <c r="N104" s="69">
        <f t="shared" si="16"/>
        <v>0</v>
      </c>
      <c r="O104" s="69">
        <f t="shared" si="17"/>
        <v>0</v>
      </c>
      <c r="P104" s="69"/>
      <c r="Q104" s="25"/>
      <c r="R104" s="25"/>
      <c r="S104" s="25"/>
      <c r="T104" s="26"/>
      <c r="U104" s="26"/>
      <c r="V104" s="26"/>
      <c r="W104" s="26"/>
      <c r="X104" s="26"/>
      <c r="Y104" s="25"/>
      <c r="Z104" s="25"/>
      <c r="AA104" s="25"/>
      <c r="AB104" s="25">
        <v>527</v>
      </c>
      <c r="AC104" s="26"/>
      <c r="AD104" s="26"/>
      <c r="AE104" s="25"/>
      <c r="AF104" s="25"/>
      <c r="AG104" s="69">
        <f t="shared" si="18"/>
        <v>-527</v>
      </c>
      <c r="AH104" s="29">
        <f t="shared" si="19"/>
        <v>0</v>
      </c>
    </row>
    <row r="105" spans="1:34" s="30" customFormat="1" ht="21.75" customHeight="1" x14ac:dyDescent="0.2">
      <c r="A105" s="18">
        <v>43461</v>
      </c>
      <c r="B105" s="19"/>
      <c r="C105" s="20" t="s">
        <v>745</v>
      </c>
      <c r="D105" s="20" t="s">
        <v>812</v>
      </c>
      <c r="E105" s="20" t="s">
        <v>277</v>
      </c>
      <c r="F105" s="21">
        <v>33376</v>
      </c>
      <c r="G105" s="22" t="s">
        <v>433</v>
      </c>
      <c r="H105" s="23"/>
      <c r="I105" s="23"/>
      <c r="J105" s="23"/>
      <c r="K105" s="23">
        <v>390</v>
      </c>
      <c r="L105" s="24"/>
      <c r="M105" s="69">
        <f t="shared" si="15"/>
        <v>348.21428571428567</v>
      </c>
      <c r="N105" s="69">
        <f t="shared" si="16"/>
        <v>41.785714285714278</v>
      </c>
      <c r="O105" s="69">
        <f t="shared" si="17"/>
        <v>0</v>
      </c>
      <c r="P105" s="69">
        <v>348.21</v>
      </c>
      <c r="Q105" s="25"/>
      <c r="R105" s="25"/>
      <c r="S105" s="25"/>
      <c r="T105" s="26"/>
      <c r="U105" s="26"/>
      <c r="V105" s="26"/>
      <c r="W105" s="26"/>
      <c r="X105" s="26"/>
      <c r="Y105" s="25"/>
      <c r="Z105" s="25"/>
      <c r="AA105" s="25"/>
      <c r="AB105" s="25"/>
      <c r="AC105" s="26"/>
      <c r="AD105" s="26"/>
      <c r="AE105" s="25"/>
      <c r="AF105" s="25"/>
      <c r="AG105" s="69">
        <f t="shared" si="18"/>
        <v>-389.99571428571426</v>
      </c>
      <c r="AH105" s="29">
        <f t="shared" si="19"/>
        <v>4.2857142857428698E-3</v>
      </c>
    </row>
    <row r="106" spans="1:34" s="30" customFormat="1" ht="21.75" customHeight="1" x14ac:dyDescent="0.2">
      <c r="A106" s="18">
        <v>43461</v>
      </c>
      <c r="B106" s="19"/>
      <c r="C106" s="20" t="s">
        <v>705</v>
      </c>
      <c r="D106" s="20" t="s">
        <v>706</v>
      </c>
      <c r="E106" s="20" t="s">
        <v>707</v>
      </c>
      <c r="F106" s="21">
        <v>144486</v>
      </c>
      <c r="G106" s="22" t="s">
        <v>40</v>
      </c>
      <c r="H106" s="23"/>
      <c r="I106" s="23"/>
      <c r="J106" s="23"/>
      <c r="K106" s="23">
        <v>180</v>
      </c>
      <c r="L106" s="24"/>
      <c r="M106" s="69">
        <f t="shared" si="15"/>
        <v>160.71428571428569</v>
      </c>
      <c r="N106" s="69">
        <f t="shared" si="16"/>
        <v>19.285714285714281</v>
      </c>
      <c r="O106" s="69">
        <f t="shared" si="17"/>
        <v>0</v>
      </c>
      <c r="P106" s="69"/>
      <c r="Q106" s="25">
        <v>160.71</v>
      </c>
      <c r="R106" s="25"/>
      <c r="S106" s="25"/>
      <c r="T106" s="26"/>
      <c r="U106" s="26"/>
      <c r="V106" s="26"/>
      <c r="W106" s="26"/>
      <c r="X106" s="26"/>
      <c r="Y106" s="25"/>
      <c r="Z106" s="25"/>
      <c r="AA106" s="25"/>
      <c r="AB106" s="25"/>
      <c r="AC106" s="26"/>
      <c r="AD106" s="26"/>
      <c r="AE106" s="25"/>
      <c r="AF106" s="25"/>
      <c r="AG106" s="69">
        <f t="shared" si="18"/>
        <v>-179.99571428571429</v>
      </c>
      <c r="AH106" s="29">
        <f t="shared" si="19"/>
        <v>4.2857142857144481E-3</v>
      </c>
    </row>
    <row r="107" spans="1:34" s="30" customFormat="1" ht="21.75" customHeight="1" x14ac:dyDescent="0.2">
      <c r="A107" s="18">
        <v>43462</v>
      </c>
      <c r="B107" s="19"/>
      <c r="C107" s="20" t="s">
        <v>705</v>
      </c>
      <c r="D107" s="20" t="s">
        <v>706</v>
      </c>
      <c r="E107" s="20" t="s">
        <v>707</v>
      </c>
      <c r="F107" s="21">
        <v>144533</v>
      </c>
      <c r="G107" s="22" t="s">
        <v>40</v>
      </c>
      <c r="H107" s="23"/>
      <c r="I107" s="23"/>
      <c r="J107" s="23"/>
      <c r="K107" s="23">
        <v>180</v>
      </c>
      <c r="L107" s="24"/>
      <c r="M107" s="69">
        <f t="shared" si="15"/>
        <v>160.71428571428569</v>
      </c>
      <c r="N107" s="69">
        <f t="shared" si="16"/>
        <v>19.285714285714281</v>
      </c>
      <c r="O107" s="69">
        <f t="shared" si="17"/>
        <v>0</v>
      </c>
      <c r="P107" s="69"/>
      <c r="Q107" s="25">
        <v>160.71</v>
      </c>
      <c r="R107" s="25"/>
      <c r="S107" s="25"/>
      <c r="T107" s="26"/>
      <c r="U107" s="26"/>
      <c r="V107" s="26"/>
      <c r="W107" s="26"/>
      <c r="X107" s="26"/>
      <c r="Y107" s="25"/>
      <c r="Z107" s="25"/>
      <c r="AA107" s="25"/>
      <c r="AB107" s="25"/>
      <c r="AC107" s="26"/>
      <c r="AD107" s="26"/>
      <c r="AE107" s="25"/>
      <c r="AF107" s="25"/>
      <c r="AG107" s="69">
        <f t="shared" si="18"/>
        <v>-179.99571428571429</v>
      </c>
      <c r="AH107" s="29">
        <f t="shared" si="19"/>
        <v>4.2857142857144481E-3</v>
      </c>
    </row>
    <row r="108" spans="1:34" s="30" customFormat="1" ht="21.75" customHeight="1" x14ac:dyDescent="0.2">
      <c r="A108" s="18">
        <v>43462</v>
      </c>
      <c r="B108" s="19"/>
      <c r="C108" s="20" t="s">
        <v>63</v>
      </c>
      <c r="D108" s="20" t="s">
        <v>64</v>
      </c>
      <c r="E108" s="20" t="s">
        <v>120</v>
      </c>
      <c r="F108" s="21">
        <v>195769</v>
      </c>
      <c r="G108" s="22" t="s">
        <v>1150</v>
      </c>
      <c r="H108" s="23"/>
      <c r="I108" s="23"/>
      <c r="J108" s="23">
        <v>295.25</v>
      </c>
      <c r="K108" s="23"/>
      <c r="L108" s="24"/>
      <c r="M108" s="69">
        <f t="shared" si="15"/>
        <v>295.25</v>
      </c>
      <c r="N108" s="69">
        <f t="shared" si="16"/>
        <v>0</v>
      </c>
      <c r="O108" s="69">
        <f t="shared" si="17"/>
        <v>0</v>
      </c>
      <c r="P108" s="69">
        <v>295.25</v>
      </c>
      <c r="Q108" s="25"/>
      <c r="R108" s="25"/>
      <c r="S108" s="25"/>
      <c r="T108" s="26"/>
      <c r="U108" s="26"/>
      <c r="V108" s="26"/>
      <c r="W108" s="26"/>
      <c r="X108" s="26"/>
      <c r="Y108" s="25"/>
      <c r="Z108" s="25"/>
      <c r="AA108" s="25"/>
      <c r="AB108" s="25"/>
      <c r="AC108" s="26"/>
      <c r="AD108" s="26"/>
      <c r="AE108" s="25"/>
      <c r="AF108" s="25"/>
      <c r="AG108" s="69">
        <f t="shared" si="18"/>
        <v>-295.25</v>
      </c>
      <c r="AH108" s="29">
        <f t="shared" si="19"/>
        <v>0</v>
      </c>
    </row>
    <row r="109" spans="1:34" s="30" customFormat="1" ht="21.75" customHeight="1" x14ac:dyDescent="0.2">
      <c r="A109" s="18">
        <v>43462</v>
      </c>
      <c r="B109" s="19"/>
      <c r="C109" s="20" t="s">
        <v>63</v>
      </c>
      <c r="D109" s="20" t="s">
        <v>64</v>
      </c>
      <c r="E109" s="20" t="s">
        <v>120</v>
      </c>
      <c r="F109" s="21">
        <v>195769</v>
      </c>
      <c r="G109" s="22" t="s">
        <v>1151</v>
      </c>
      <c r="H109" s="23"/>
      <c r="I109" s="23"/>
      <c r="J109" s="23"/>
      <c r="K109" s="23">
        <f>924.46+110.94</f>
        <v>1035.4000000000001</v>
      </c>
      <c r="L109" s="24"/>
      <c r="M109" s="69">
        <f t="shared" si="15"/>
        <v>924.46428571428567</v>
      </c>
      <c r="N109" s="69">
        <f t="shared" si="16"/>
        <v>110.93571428571427</v>
      </c>
      <c r="O109" s="69">
        <f t="shared" si="17"/>
        <v>0</v>
      </c>
      <c r="P109" s="69">
        <v>924.46</v>
      </c>
      <c r="Q109" s="25"/>
      <c r="R109" s="25"/>
      <c r="S109" s="25"/>
      <c r="T109" s="26"/>
      <c r="U109" s="26"/>
      <c r="V109" s="26"/>
      <c r="W109" s="26"/>
      <c r="X109" s="26"/>
      <c r="Y109" s="25"/>
      <c r="Z109" s="25"/>
      <c r="AA109" s="25"/>
      <c r="AB109" s="25"/>
      <c r="AC109" s="26"/>
      <c r="AD109" s="26"/>
      <c r="AE109" s="25"/>
      <c r="AF109" s="25"/>
      <c r="AG109" s="69">
        <f t="shared" si="18"/>
        <v>-1035.3957142857143</v>
      </c>
      <c r="AH109" s="29">
        <f t="shared" si="19"/>
        <v>4.2857142857428698E-3</v>
      </c>
    </row>
    <row r="110" spans="1:34" s="30" customFormat="1" ht="21.75" customHeight="1" x14ac:dyDescent="0.2">
      <c r="A110" s="18">
        <v>43462</v>
      </c>
      <c r="B110" s="19"/>
      <c r="C110" s="20" t="s">
        <v>745</v>
      </c>
      <c r="D110" s="20" t="s">
        <v>812</v>
      </c>
      <c r="E110" s="20" t="s">
        <v>277</v>
      </c>
      <c r="F110" s="21">
        <v>336013</v>
      </c>
      <c r="G110" s="22" t="s">
        <v>1152</v>
      </c>
      <c r="H110" s="23"/>
      <c r="I110" s="23"/>
      <c r="J110" s="23"/>
      <c r="K110" s="23">
        <v>652.04999999999995</v>
      </c>
      <c r="L110" s="24"/>
      <c r="M110" s="69">
        <f t="shared" si="15"/>
        <v>582.18749999999989</v>
      </c>
      <c r="N110" s="69">
        <f t="shared" si="16"/>
        <v>69.862499999999983</v>
      </c>
      <c r="O110" s="69">
        <f t="shared" si="17"/>
        <v>0</v>
      </c>
      <c r="P110" s="69">
        <v>582.19000000000005</v>
      </c>
      <c r="Q110" s="25"/>
      <c r="R110" s="25"/>
      <c r="S110" s="25"/>
      <c r="T110" s="26"/>
      <c r="U110" s="26"/>
      <c r="V110" s="26"/>
      <c r="W110" s="26"/>
      <c r="X110" s="26"/>
      <c r="Y110" s="25"/>
      <c r="Z110" s="25"/>
      <c r="AA110" s="25"/>
      <c r="AB110" s="25"/>
      <c r="AC110" s="26"/>
      <c r="AD110" s="26"/>
      <c r="AE110" s="25"/>
      <c r="AF110" s="25"/>
      <c r="AG110" s="69">
        <f t="shared" si="18"/>
        <v>-652.05250000000001</v>
      </c>
      <c r="AH110" s="29">
        <f t="shared" si="19"/>
        <v>-2.5000000000545697E-3</v>
      </c>
    </row>
    <row r="111" spans="1:34" s="30" customFormat="1" ht="21.75" customHeight="1" x14ac:dyDescent="0.2">
      <c r="A111" s="18">
        <v>43462</v>
      </c>
      <c r="B111" s="19"/>
      <c r="C111" s="20" t="s">
        <v>745</v>
      </c>
      <c r="D111" s="20" t="s">
        <v>812</v>
      </c>
      <c r="E111" s="20" t="s">
        <v>277</v>
      </c>
      <c r="F111" s="21">
        <v>33620</v>
      </c>
      <c r="G111" s="22" t="s">
        <v>1153</v>
      </c>
      <c r="H111" s="23"/>
      <c r="I111" s="23"/>
      <c r="J111" s="23"/>
      <c r="K111" s="23">
        <v>151</v>
      </c>
      <c r="L111" s="24"/>
      <c r="M111" s="69">
        <f t="shared" si="15"/>
        <v>134.82142857142856</v>
      </c>
      <c r="N111" s="69">
        <f t="shared" si="16"/>
        <v>16.178571428571427</v>
      </c>
      <c r="O111" s="69">
        <f t="shared" si="17"/>
        <v>0</v>
      </c>
      <c r="P111" s="69">
        <v>134.82</v>
      </c>
      <c r="Q111" s="25"/>
      <c r="R111" s="25"/>
      <c r="S111" s="25"/>
      <c r="T111" s="26"/>
      <c r="U111" s="26"/>
      <c r="V111" s="26"/>
      <c r="W111" s="26"/>
      <c r="X111" s="26"/>
      <c r="Y111" s="25"/>
      <c r="Z111" s="25"/>
      <c r="AA111" s="25"/>
      <c r="AB111" s="25"/>
      <c r="AC111" s="26"/>
      <c r="AD111" s="26"/>
      <c r="AE111" s="25"/>
      <c r="AF111" s="25"/>
      <c r="AG111" s="69">
        <f t="shared" si="18"/>
        <v>-150.99857142857141</v>
      </c>
      <c r="AH111" s="29">
        <f t="shared" si="19"/>
        <v>1.4285714285904305E-3</v>
      </c>
    </row>
    <row r="112" spans="1:34" s="30" customFormat="1" ht="21.75" customHeight="1" x14ac:dyDescent="0.2">
      <c r="A112" s="18">
        <v>43462</v>
      </c>
      <c r="B112" s="19"/>
      <c r="C112" s="20" t="s">
        <v>745</v>
      </c>
      <c r="D112" s="20" t="s">
        <v>812</v>
      </c>
      <c r="E112" s="20" t="s">
        <v>277</v>
      </c>
      <c r="F112" s="21">
        <v>33619</v>
      </c>
      <c r="G112" s="22" t="s">
        <v>593</v>
      </c>
      <c r="H112" s="23"/>
      <c r="I112" s="23"/>
      <c r="J112" s="23"/>
      <c r="K112" s="23">
        <v>639</v>
      </c>
      <c r="L112" s="24"/>
      <c r="M112" s="69">
        <f t="shared" si="15"/>
        <v>570.53571428571422</v>
      </c>
      <c r="N112" s="69">
        <f t="shared" si="16"/>
        <v>68.464285714285708</v>
      </c>
      <c r="O112" s="69">
        <f t="shared" si="17"/>
        <v>0</v>
      </c>
      <c r="P112" s="69">
        <v>570.54</v>
      </c>
      <c r="Q112" s="25"/>
      <c r="R112" s="25"/>
      <c r="S112" s="25"/>
      <c r="T112" s="26"/>
      <c r="U112" s="26"/>
      <c r="V112" s="26"/>
      <c r="W112" s="26"/>
      <c r="X112" s="26"/>
      <c r="Y112" s="25"/>
      <c r="Z112" s="25"/>
      <c r="AA112" s="25"/>
      <c r="AB112" s="25"/>
      <c r="AC112" s="26"/>
      <c r="AD112" s="26"/>
      <c r="AE112" s="25"/>
      <c r="AF112" s="25"/>
      <c r="AG112" s="69">
        <f t="shared" si="18"/>
        <v>-639.00428571428563</v>
      </c>
      <c r="AH112" s="29">
        <f t="shared" si="19"/>
        <v>-4.285714285629183E-3</v>
      </c>
    </row>
    <row r="113" spans="1:34" s="30" customFormat="1" ht="21.75" customHeight="1" x14ac:dyDescent="0.2">
      <c r="A113" s="18">
        <v>43462</v>
      </c>
      <c r="B113" s="19"/>
      <c r="C113" s="20" t="s">
        <v>745</v>
      </c>
      <c r="D113" s="20" t="s">
        <v>812</v>
      </c>
      <c r="E113" s="20" t="s">
        <v>277</v>
      </c>
      <c r="F113" s="21">
        <v>33619</v>
      </c>
      <c r="G113" s="22" t="s">
        <v>1154</v>
      </c>
      <c r="H113" s="23"/>
      <c r="I113" s="23"/>
      <c r="J113" s="23"/>
      <c r="K113" s="23">
        <v>51</v>
      </c>
      <c r="L113" s="24"/>
      <c r="M113" s="69">
        <f t="shared" si="15"/>
        <v>45.535714285714285</v>
      </c>
      <c r="N113" s="69">
        <f t="shared" si="16"/>
        <v>5.4642857142857135</v>
      </c>
      <c r="O113" s="69">
        <f t="shared" si="17"/>
        <v>0</v>
      </c>
      <c r="P113" s="69"/>
      <c r="Q113" s="25"/>
      <c r="R113" s="25">
        <v>45.54</v>
      </c>
      <c r="S113" s="25"/>
      <c r="T113" s="26"/>
      <c r="U113" s="26"/>
      <c r="V113" s="26"/>
      <c r="W113" s="26"/>
      <c r="X113" s="26"/>
      <c r="Y113" s="25"/>
      <c r="Z113" s="25"/>
      <c r="AA113" s="25"/>
      <c r="AB113" s="25"/>
      <c r="AC113" s="26"/>
      <c r="AD113" s="26"/>
      <c r="AE113" s="25"/>
      <c r="AF113" s="25"/>
      <c r="AG113" s="69">
        <f t="shared" si="18"/>
        <v>-51.004285714285714</v>
      </c>
      <c r="AH113" s="29">
        <f t="shared" si="19"/>
        <v>-4.2857142857144481E-3</v>
      </c>
    </row>
    <row r="114" spans="1:34" s="30" customFormat="1" ht="21.75" customHeight="1" x14ac:dyDescent="0.2">
      <c r="A114" s="18">
        <v>43463</v>
      </c>
      <c r="B114" s="19"/>
      <c r="C114" s="20" t="s">
        <v>466</v>
      </c>
      <c r="D114" s="20" t="s">
        <v>467</v>
      </c>
      <c r="E114" s="20" t="s">
        <v>120</v>
      </c>
      <c r="F114" s="21">
        <v>152906</v>
      </c>
      <c r="G114" s="22" t="s">
        <v>40</v>
      </c>
      <c r="H114" s="23"/>
      <c r="I114" s="23"/>
      <c r="J114" s="23"/>
      <c r="K114" s="23">
        <v>38</v>
      </c>
      <c r="L114" s="24"/>
      <c r="M114" s="69">
        <f t="shared" si="15"/>
        <v>33.928571428571423</v>
      </c>
      <c r="N114" s="69">
        <f t="shared" si="16"/>
        <v>4.0714285714285703</v>
      </c>
      <c r="O114" s="69">
        <f t="shared" si="17"/>
        <v>0</v>
      </c>
      <c r="P114" s="69"/>
      <c r="Q114" s="25">
        <v>33.93</v>
      </c>
      <c r="R114" s="25"/>
      <c r="S114" s="25"/>
      <c r="T114" s="26"/>
      <c r="U114" s="26"/>
      <c r="V114" s="26"/>
      <c r="W114" s="26"/>
      <c r="X114" s="26"/>
      <c r="Y114" s="25"/>
      <c r="Z114" s="25"/>
      <c r="AA114" s="25"/>
      <c r="AB114" s="25"/>
      <c r="AC114" s="26"/>
      <c r="AD114" s="26"/>
      <c r="AE114" s="25"/>
      <c r="AF114" s="25"/>
      <c r="AG114" s="69">
        <f t="shared" si="18"/>
        <v>-38.001428571428569</v>
      </c>
      <c r="AH114" s="29">
        <f t="shared" si="19"/>
        <v>-1.4285714285691142E-3</v>
      </c>
    </row>
    <row r="115" spans="1:34" s="30" customFormat="1" ht="21.75" customHeight="1" x14ac:dyDescent="0.2">
      <c r="A115" s="18">
        <v>43463</v>
      </c>
      <c r="B115" s="19"/>
      <c r="C115" s="20" t="s">
        <v>518</v>
      </c>
      <c r="D115" s="20" t="s">
        <v>1148</v>
      </c>
      <c r="E115" s="20" t="s">
        <v>633</v>
      </c>
      <c r="F115" s="21">
        <v>1607</v>
      </c>
      <c r="G115" s="22" t="s">
        <v>1155</v>
      </c>
      <c r="H115" s="23"/>
      <c r="I115" s="23"/>
      <c r="J115" s="23"/>
      <c r="K115" s="23">
        <v>652.12</v>
      </c>
      <c r="L115" s="24"/>
      <c r="M115" s="69">
        <f t="shared" si="15"/>
        <v>582.25</v>
      </c>
      <c r="N115" s="69">
        <f t="shared" si="16"/>
        <v>69.86999999999999</v>
      </c>
      <c r="O115" s="69">
        <f t="shared" si="17"/>
        <v>0</v>
      </c>
      <c r="P115" s="69">
        <v>582.25</v>
      </c>
      <c r="Q115" s="25"/>
      <c r="R115" s="25"/>
      <c r="S115" s="25"/>
      <c r="T115" s="26"/>
      <c r="U115" s="26"/>
      <c r="V115" s="26"/>
      <c r="W115" s="26"/>
      <c r="X115" s="26"/>
      <c r="Y115" s="25"/>
      <c r="Z115" s="25"/>
      <c r="AA115" s="25"/>
      <c r="AB115" s="25"/>
      <c r="AC115" s="26"/>
      <c r="AD115" s="26"/>
      <c r="AE115" s="25"/>
      <c r="AF115" s="25"/>
      <c r="AG115" s="69">
        <f t="shared" si="18"/>
        <v>-652.12</v>
      </c>
      <c r="AH115" s="29">
        <f t="shared" si="19"/>
        <v>0</v>
      </c>
    </row>
    <row r="116" spans="1:34" s="30" customFormat="1" ht="21.75" customHeight="1" x14ac:dyDescent="0.2">
      <c r="A116" s="18">
        <v>43463</v>
      </c>
      <c r="B116" s="19"/>
      <c r="C116" s="20" t="s">
        <v>353</v>
      </c>
      <c r="D116" s="20" t="s">
        <v>1045</v>
      </c>
      <c r="E116" s="20" t="s">
        <v>120</v>
      </c>
      <c r="F116" s="21">
        <v>185070</v>
      </c>
      <c r="G116" s="22" t="s">
        <v>1156</v>
      </c>
      <c r="H116" s="23"/>
      <c r="I116" s="23"/>
      <c r="J116" s="23"/>
      <c r="K116" s="23">
        <v>409</v>
      </c>
      <c r="L116" s="24"/>
      <c r="M116" s="69">
        <f t="shared" si="15"/>
        <v>365.17857142857139</v>
      </c>
      <c r="N116" s="69">
        <f t="shared" si="16"/>
        <v>43.821428571428562</v>
      </c>
      <c r="O116" s="69">
        <f t="shared" si="17"/>
        <v>0</v>
      </c>
      <c r="P116" s="69"/>
      <c r="Q116" s="25"/>
      <c r="R116" s="25">
        <v>365.18</v>
      </c>
      <c r="S116" s="25"/>
      <c r="T116" s="26"/>
      <c r="U116" s="26"/>
      <c r="V116" s="26"/>
      <c r="W116" s="26"/>
      <c r="X116" s="26"/>
      <c r="Y116" s="25"/>
      <c r="Z116" s="25"/>
      <c r="AA116" s="25"/>
      <c r="AB116" s="25"/>
      <c r="AC116" s="26"/>
      <c r="AD116" s="26"/>
      <c r="AE116" s="25"/>
      <c r="AF116" s="25"/>
      <c r="AG116" s="69">
        <f t="shared" si="18"/>
        <v>-409.00142857142856</v>
      </c>
      <c r="AH116" s="29">
        <f t="shared" si="19"/>
        <v>-1.4285714285620088E-3</v>
      </c>
    </row>
    <row r="117" spans="1:34" s="30" customFormat="1" ht="21.75" customHeight="1" x14ac:dyDescent="0.2">
      <c r="A117" s="18"/>
      <c r="B117" s="19"/>
      <c r="C117" s="20"/>
      <c r="D117" s="20"/>
      <c r="E117" s="20"/>
      <c r="F117" s="21"/>
      <c r="G117" s="22"/>
      <c r="H117" s="23"/>
      <c r="I117" s="23"/>
      <c r="J117" s="23"/>
      <c r="K117" s="23"/>
      <c r="L117" s="24"/>
      <c r="M117" s="69">
        <f t="shared" si="15"/>
        <v>0</v>
      </c>
      <c r="N117" s="69">
        <f t="shared" si="16"/>
        <v>0</v>
      </c>
      <c r="O117" s="69">
        <f t="shared" si="17"/>
        <v>0</v>
      </c>
      <c r="P117" s="69"/>
      <c r="Q117" s="25"/>
      <c r="R117" s="25"/>
      <c r="S117" s="25"/>
      <c r="T117" s="26"/>
      <c r="U117" s="26"/>
      <c r="V117" s="26"/>
      <c r="W117" s="26"/>
      <c r="X117" s="26"/>
      <c r="Y117" s="25"/>
      <c r="Z117" s="25"/>
      <c r="AA117" s="25"/>
      <c r="AB117" s="25"/>
      <c r="AC117" s="26"/>
      <c r="AD117" s="26"/>
      <c r="AE117" s="25"/>
      <c r="AF117" s="25"/>
      <c r="AG117" s="69">
        <f t="shared" si="18"/>
        <v>0</v>
      </c>
      <c r="AH117" s="29">
        <f t="shared" si="19"/>
        <v>0</v>
      </c>
    </row>
    <row r="118" spans="1:34" s="30" customFormat="1" ht="19.5" customHeight="1" x14ac:dyDescent="0.2">
      <c r="A118" s="18"/>
      <c r="B118" s="19"/>
      <c r="C118" s="47"/>
      <c r="D118" s="47"/>
      <c r="E118" s="47"/>
      <c r="F118" s="21"/>
      <c r="G118" s="22"/>
      <c r="H118" s="23"/>
      <c r="I118" s="23"/>
      <c r="J118" s="23"/>
      <c r="K118" s="23"/>
      <c r="L118" s="24"/>
      <c r="M118" s="25">
        <f t="shared" si="15"/>
        <v>0</v>
      </c>
      <c r="N118" s="25">
        <f t="shared" si="16"/>
        <v>0</v>
      </c>
      <c r="O118" s="25">
        <f t="shared" si="17"/>
        <v>0</v>
      </c>
      <c r="P118" s="25"/>
      <c r="Q118" s="25"/>
      <c r="R118" s="25"/>
      <c r="S118" s="25"/>
      <c r="T118" s="26"/>
      <c r="U118" s="26"/>
      <c r="V118" s="26"/>
      <c r="W118" s="26"/>
      <c r="X118" s="26"/>
      <c r="Y118" s="31"/>
      <c r="Z118" s="25"/>
      <c r="AA118" s="25"/>
      <c r="AB118" s="25"/>
      <c r="AC118" s="26"/>
      <c r="AD118" s="26"/>
      <c r="AE118" s="27"/>
      <c r="AF118" s="27"/>
      <c r="AG118" s="28">
        <f t="shared" si="18"/>
        <v>0</v>
      </c>
      <c r="AH118" s="29">
        <f t="shared" si="19"/>
        <v>0</v>
      </c>
    </row>
    <row r="119" spans="1:34" s="55" customFormat="1" ht="12" customHeight="1" x14ac:dyDescent="0.2">
      <c r="A119" s="48"/>
      <c r="B119" s="49"/>
      <c r="C119" s="50"/>
      <c r="D119" s="51"/>
      <c r="E119" s="51"/>
      <c r="F119" s="52"/>
      <c r="G119" s="50"/>
      <c r="H119" s="53">
        <f t="shared" ref="H119:AH119" si="20">SUM(H5:H118)</f>
        <v>6082.5</v>
      </c>
      <c r="I119" s="53">
        <f t="shared" si="20"/>
        <v>0</v>
      </c>
      <c r="J119" s="53">
        <f t="shared" si="20"/>
        <v>15351.35</v>
      </c>
      <c r="K119" s="53">
        <f t="shared" si="20"/>
        <v>31140.780000000006</v>
      </c>
      <c r="L119" s="53">
        <f t="shared" si="20"/>
        <v>0</v>
      </c>
      <c r="M119" s="53">
        <f t="shared" si="20"/>
        <v>49238.117857142854</v>
      </c>
      <c r="N119" s="53">
        <f t="shared" si="20"/>
        <v>3336.5121428571429</v>
      </c>
      <c r="O119" s="53">
        <f t="shared" si="20"/>
        <v>0</v>
      </c>
      <c r="P119" s="53">
        <f t="shared" si="20"/>
        <v>35532.18</v>
      </c>
      <c r="Q119" s="53">
        <f t="shared" si="20"/>
        <v>4910.9600000000009</v>
      </c>
      <c r="R119" s="53">
        <f t="shared" si="20"/>
        <v>410.72</v>
      </c>
      <c r="S119" s="53">
        <f t="shared" si="20"/>
        <v>792.36</v>
      </c>
      <c r="T119" s="53">
        <f t="shared" si="20"/>
        <v>1509.37</v>
      </c>
      <c r="U119" s="53">
        <f t="shared" si="20"/>
        <v>0</v>
      </c>
      <c r="V119" s="53">
        <f t="shared" si="20"/>
        <v>0</v>
      </c>
      <c r="W119" s="53">
        <f t="shared" si="20"/>
        <v>0</v>
      </c>
      <c r="X119" s="53">
        <f t="shared" si="20"/>
        <v>0</v>
      </c>
      <c r="Y119" s="53">
        <f t="shared" si="20"/>
        <v>0</v>
      </c>
      <c r="Z119" s="53">
        <f t="shared" si="20"/>
        <v>0</v>
      </c>
      <c r="AA119" s="53">
        <f t="shared" si="20"/>
        <v>810</v>
      </c>
      <c r="AB119" s="53">
        <f t="shared" si="20"/>
        <v>2572.5</v>
      </c>
      <c r="AC119" s="53">
        <f t="shared" si="20"/>
        <v>0</v>
      </c>
      <c r="AD119" s="53">
        <f t="shared" si="20"/>
        <v>2700</v>
      </c>
      <c r="AE119" s="53">
        <f t="shared" si="20"/>
        <v>0</v>
      </c>
      <c r="AF119" s="54">
        <f t="shared" si="20"/>
        <v>0</v>
      </c>
      <c r="AG119" s="53">
        <f t="shared" si="20"/>
        <v>-52574.602142857155</v>
      </c>
      <c r="AH119" s="53">
        <f t="shared" si="20"/>
        <v>2.7857142857669714E-2</v>
      </c>
    </row>
    <row r="120" spans="1:34" s="3" customFormat="1" ht="10.199999999999999" x14ac:dyDescent="0.2">
      <c r="K120" s="5"/>
      <c r="L120" s="6"/>
      <c r="M120" s="5"/>
      <c r="Y120" s="5"/>
    </row>
    <row r="127" spans="1:34" x14ac:dyDescent="0.25">
      <c r="Q127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7"/>
  <sheetViews>
    <sheetView topLeftCell="A79" zoomScale="90" zoomScaleNormal="90" workbookViewId="0">
      <selection activeCell="E90" sqref="A90:XFD96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28.44140625" style="3" customWidth="1"/>
    <col min="4" max="4" width="17.6640625" style="4" customWidth="1"/>
    <col min="5" max="5" width="28.6640625" style="4" customWidth="1"/>
    <col min="6" max="6" width="9.88671875" style="2" customWidth="1"/>
    <col min="7" max="7" width="39.77734375" style="3" customWidth="1"/>
    <col min="8" max="8" width="10.10937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9.6640625" style="5" customWidth="1"/>
    <col min="19" max="19" width="10.21875" style="5" customWidth="1"/>
    <col min="20" max="21" width="11.5546875" style="5"/>
    <col min="22" max="24" width="8.6640625" style="5" customWidth="1"/>
    <col min="25" max="25" width="11.6640625" style="5" customWidth="1"/>
    <col min="26" max="26" width="10.44140625" style="5" customWidth="1"/>
    <col min="27" max="27" width="8.44140625" style="5" customWidth="1"/>
    <col min="28" max="28" width="12.109375" style="5" customWidth="1"/>
    <col min="29" max="30" width="10.109375" style="5" customWidth="1"/>
    <col min="31" max="31" width="12.77734375" style="5" customWidth="1"/>
    <col min="32" max="32" width="0.21875" style="5" customWidth="1"/>
    <col min="33" max="33" width="13.44140625" style="5" customWidth="1"/>
    <col min="34" max="34" width="9.554687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193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30" customFormat="1" ht="19.5" customHeight="1" x14ac:dyDescent="0.2">
      <c r="A5" s="18">
        <v>43132</v>
      </c>
      <c r="B5" s="19"/>
      <c r="C5" s="20" t="s">
        <v>59</v>
      </c>
      <c r="D5" s="20" t="s">
        <v>137</v>
      </c>
      <c r="E5" s="20" t="s">
        <v>120</v>
      </c>
      <c r="F5" s="21">
        <v>626194</v>
      </c>
      <c r="G5" s="22" t="s">
        <v>194</v>
      </c>
      <c r="H5" s="23"/>
      <c r="I5" s="23"/>
      <c r="J5" s="23"/>
      <c r="K5" s="23">
        <v>79.5</v>
      </c>
      <c r="L5" s="24"/>
      <c r="M5" s="25">
        <f t="shared" ref="M5:M36" si="0">SUM(H5:J5,K5/1.12)</f>
        <v>70.982142857142847</v>
      </c>
      <c r="N5" s="25">
        <f t="shared" ref="N5:N36" si="1">K5/1.12*0.12</f>
        <v>8.5178571428571406</v>
      </c>
      <c r="O5" s="25">
        <f t="shared" ref="O5:O36" si="2">-SUM(I5:J5,K5/1.12)*L5</f>
        <v>0</v>
      </c>
      <c r="P5" s="25"/>
      <c r="Q5" s="25"/>
      <c r="R5" s="25"/>
      <c r="S5" s="25"/>
      <c r="T5" s="26">
        <v>70.98</v>
      </c>
      <c r="U5" s="26"/>
      <c r="V5" s="26"/>
      <c r="W5" s="26"/>
      <c r="X5" s="26"/>
      <c r="Y5" s="31"/>
      <c r="Z5" s="25"/>
      <c r="AA5" s="25"/>
      <c r="AB5" s="25"/>
      <c r="AC5" s="25"/>
      <c r="AD5" s="25"/>
      <c r="AE5" s="25"/>
      <c r="AF5" s="25"/>
      <c r="AG5" s="25">
        <f t="shared" ref="AG5:AG36" si="3">-SUM(N5:AF5)</f>
        <v>-79.497857142857143</v>
      </c>
      <c r="AH5" s="29">
        <f t="shared" ref="AH5:AH36" si="4">SUM(H5:K5)+AG5+O5</f>
        <v>2.1428571428572241E-3</v>
      </c>
    </row>
    <row r="6" spans="1:34" s="30" customFormat="1" ht="19.5" customHeight="1" x14ac:dyDescent="0.2">
      <c r="A6" s="18">
        <v>43132</v>
      </c>
      <c r="B6" s="19"/>
      <c r="C6" s="20" t="s">
        <v>51</v>
      </c>
      <c r="D6" s="20" t="s">
        <v>52</v>
      </c>
      <c r="E6" s="20" t="s">
        <v>39</v>
      </c>
      <c r="F6" s="21">
        <v>28374</v>
      </c>
      <c r="G6" s="22" t="s">
        <v>195</v>
      </c>
      <c r="H6" s="23"/>
      <c r="I6" s="23"/>
      <c r="J6" s="23"/>
      <c r="K6" s="23">
        <v>183.75</v>
      </c>
      <c r="L6" s="24"/>
      <c r="M6" s="25">
        <f t="shared" si="0"/>
        <v>164.06249999999997</v>
      </c>
      <c r="N6" s="25">
        <f t="shared" si="1"/>
        <v>19.687499999999996</v>
      </c>
      <c r="O6" s="25">
        <f t="shared" si="2"/>
        <v>0</v>
      </c>
      <c r="P6" s="25"/>
      <c r="Q6" s="25">
        <v>164.06</v>
      </c>
      <c r="R6" s="25"/>
      <c r="S6" s="25"/>
      <c r="T6" s="26"/>
      <c r="U6" s="26"/>
      <c r="V6" s="26"/>
      <c r="W6" s="26"/>
      <c r="X6" s="26"/>
      <c r="Y6" s="31"/>
      <c r="Z6" s="25"/>
      <c r="AA6" s="25"/>
      <c r="AB6" s="25"/>
      <c r="AC6" s="25"/>
      <c r="AD6" s="25"/>
      <c r="AE6" s="25"/>
      <c r="AF6" s="25"/>
      <c r="AG6" s="25">
        <f t="shared" si="3"/>
        <v>-183.7475</v>
      </c>
      <c r="AH6" s="29">
        <f t="shared" si="4"/>
        <v>2.4999999999977263E-3</v>
      </c>
    </row>
    <row r="7" spans="1:34" s="30" customFormat="1" ht="19.5" customHeight="1" x14ac:dyDescent="0.2">
      <c r="A7" s="18">
        <v>43132</v>
      </c>
      <c r="B7" s="19"/>
      <c r="C7" s="20" t="s">
        <v>41</v>
      </c>
      <c r="D7" s="20" t="s">
        <v>88</v>
      </c>
      <c r="E7" s="20" t="s">
        <v>43</v>
      </c>
      <c r="F7" s="21">
        <v>2270</v>
      </c>
      <c r="G7" s="22" t="s">
        <v>132</v>
      </c>
      <c r="H7" s="23"/>
      <c r="I7" s="23"/>
      <c r="J7" s="23">
        <v>3340</v>
      </c>
      <c r="K7" s="23"/>
      <c r="L7" s="24"/>
      <c r="M7" s="25">
        <f t="shared" si="0"/>
        <v>3340</v>
      </c>
      <c r="N7" s="25">
        <f t="shared" si="1"/>
        <v>0</v>
      </c>
      <c r="O7" s="25">
        <f t="shared" si="2"/>
        <v>0</v>
      </c>
      <c r="P7" s="25">
        <v>3340</v>
      </c>
      <c r="Q7" s="25"/>
      <c r="R7" s="25"/>
      <c r="S7" s="25"/>
      <c r="T7" s="26"/>
      <c r="U7" s="26"/>
      <c r="V7" s="26"/>
      <c r="W7" s="26"/>
      <c r="X7" s="26"/>
      <c r="Y7" s="31"/>
      <c r="Z7" s="25"/>
      <c r="AA7" s="25"/>
      <c r="AB7" s="25"/>
      <c r="AC7" s="25"/>
      <c r="AD7" s="25"/>
      <c r="AE7" s="25"/>
      <c r="AF7" s="25"/>
      <c r="AG7" s="25">
        <f t="shared" si="3"/>
        <v>-3340</v>
      </c>
      <c r="AH7" s="29">
        <f t="shared" si="4"/>
        <v>0</v>
      </c>
    </row>
    <row r="8" spans="1:34" s="30" customFormat="1" ht="19.5" customHeight="1" x14ac:dyDescent="0.2">
      <c r="A8" s="18">
        <v>43132</v>
      </c>
      <c r="B8" s="19"/>
      <c r="C8" s="20" t="s">
        <v>45</v>
      </c>
      <c r="D8" s="20"/>
      <c r="E8" s="20"/>
      <c r="F8" s="21"/>
      <c r="G8" s="22" t="s">
        <v>196</v>
      </c>
      <c r="H8" s="23">
        <v>100</v>
      </c>
      <c r="I8" s="23"/>
      <c r="J8" s="23"/>
      <c r="K8" s="23"/>
      <c r="L8" s="24"/>
      <c r="M8" s="25">
        <f t="shared" si="0"/>
        <v>100</v>
      </c>
      <c r="N8" s="25">
        <f t="shared" si="1"/>
        <v>0</v>
      </c>
      <c r="O8" s="25">
        <f t="shared" si="2"/>
        <v>0</v>
      </c>
      <c r="P8" s="25"/>
      <c r="Q8" s="25"/>
      <c r="R8" s="25"/>
      <c r="S8" s="25"/>
      <c r="T8" s="26"/>
      <c r="U8" s="26"/>
      <c r="V8" s="26"/>
      <c r="W8" s="26"/>
      <c r="X8" s="26"/>
      <c r="Y8" s="31"/>
      <c r="Z8" s="25"/>
      <c r="AA8" s="25">
        <v>100</v>
      </c>
      <c r="AB8" s="25"/>
      <c r="AC8" s="25"/>
      <c r="AD8" s="25"/>
      <c r="AE8" s="25"/>
      <c r="AF8" s="25"/>
      <c r="AG8" s="25">
        <f t="shared" si="3"/>
        <v>-100</v>
      </c>
      <c r="AH8" s="29">
        <f t="shared" si="4"/>
        <v>0</v>
      </c>
    </row>
    <row r="9" spans="1:34" s="30" customFormat="1" ht="19.5" customHeight="1" x14ac:dyDescent="0.2">
      <c r="A9" s="18">
        <v>43132</v>
      </c>
      <c r="B9" s="19"/>
      <c r="C9" s="20" t="s">
        <v>180</v>
      </c>
      <c r="D9" s="20" t="s">
        <v>71</v>
      </c>
      <c r="E9" s="20" t="s">
        <v>72</v>
      </c>
      <c r="F9" s="21">
        <v>32564</v>
      </c>
      <c r="G9" s="22" t="s">
        <v>197</v>
      </c>
      <c r="H9" s="23"/>
      <c r="I9" s="23"/>
      <c r="J9" s="23"/>
      <c r="K9" s="23">
        <v>375</v>
      </c>
      <c r="L9" s="24">
        <v>0.01</v>
      </c>
      <c r="M9" s="25">
        <f t="shared" si="0"/>
        <v>334.82142857142856</v>
      </c>
      <c r="N9" s="25">
        <f t="shared" si="1"/>
        <v>40.178571428571423</v>
      </c>
      <c r="O9" s="25">
        <f t="shared" si="2"/>
        <v>-3.3482142857142856</v>
      </c>
      <c r="P9" s="25">
        <v>334.82</v>
      </c>
      <c r="Q9" s="25"/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5"/>
      <c r="AD9" s="25"/>
      <c r="AE9" s="25"/>
      <c r="AF9" s="25"/>
      <c r="AG9" s="25">
        <f t="shared" si="3"/>
        <v>-371.65035714285716</v>
      </c>
      <c r="AH9" s="29">
        <f t="shared" si="4"/>
        <v>1.4285714285540152E-3</v>
      </c>
    </row>
    <row r="10" spans="1:34" s="30" customFormat="1" ht="19.5" customHeight="1" x14ac:dyDescent="0.2">
      <c r="A10" s="18">
        <v>43132</v>
      </c>
      <c r="B10" s="19"/>
      <c r="C10" s="20" t="s">
        <v>198</v>
      </c>
      <c r="D10" s="20" t="s">
        <v>199</v>
      </c>
      <c r="E10" s="20" t="s">
        <v>200</v>
      </c>
      <c r="F10" s="21">
        <v>7475</v>
      </c>
      <c r="G10" s="22" t="s">
        <v>201</v>
      </c>
      <c r="H10" s="23"/>
      <c r="I10" s="23"/>
      <c r="J10" s="23"/>
      <c r="K10" s="23">
        <v>492</v>
      </c>
      <c r="L10" s="24">
        <v>0.01</v>
      </c>
      <c r="M10" s="25">
        <f t="shared" si="0"/>
        <v>439.28571428571422</v>
      </c>
      <c r="N10" s="25">
        <f t="shared" si="1"/>
        <v>52.714285714285701</v>
      </c>
      <c r="O10" s="25">
        <f t="shared" si="2"/>
        <v>-4.3928571428571423</v>
      </c>
      <c r="P10" s="25">
        <v>439.29</v>
      </c>
      <c r="Q10" s="25"/>
      <c r="R10" s="25"/>
      <c r="S10" s="25"/>
      <c r="T10" s="26"/>
      <c r="U10" s="26"/>
      <c r="V10" s="26"/>
      <c r="W10" s="26"/>
      <c r="X10" s="26"/>
      <c r="Y10" s="31"/>
      <c r="Z10" s="25"/>
      <c r="AA10" s="25"/>
      <c r="AB10" s="25"/>
      <c r="AC10" s="25"/>
      <c r="AD10" s="25"/>
      <c r="AE10" s="25"/>
      <c r="AF10" s="25"/>
      <c r="AG10" s="25">
        <f t="shared" si="3"/>
        <v>-487.61142857142858</v>
      </c>
      <c r="AH10" s="29">
        <f t="shared" si="4"/>
        <v>-4.2857142857180008E-3</v>
      </c>
    </row>
    <row r="11" spans="1:34" s="30" customFormat="1" ht="19.5" customHeight="1" x14ac:dyDescent="0.2">
      <c r="A11" s="18">
        <v>43132</v>
      </c>
      <c r="B11" s="19"/>
      <c r="C11" s="20" t="s">
        <v>202</v>
      </c>
      <c r="D11" s="20" t="s">
        <v>203</v>
      </c>
      <c r="E11" s="20" t="s">
        <v>204</v>
      </c>
      <c r="F11" s="21">
        <v>24503</v>
      </c>
      <c r="G11" s="22" t="s">
        <v>205</v>
      </c>
      <c r="H11" s="23"/>
      <c r="I11" s="23"/>
      <c r="J11" s="23"/>
      <c r="K11" s="23">
        <v>1283.53</v>
      </c>
      <c r="L11" s="24"/>
      <c r="M11" s="25">
        <f t="shared" si="0"/>
        <v>1146.0089285714284</v>
      </c>
      <c r="N11" s="25">
        <f t="shared" si="1"/>
        <v>137.52107142857142</v>
      </c>
      <c r="O11" s="25">
        <f t="shared" si="2"/>
        <v>0</v>
      </c>
      <c r="P11" s="25">
        <v>1146.01</v>
      </c>
      <c r="Q11" s="25"/>
      <c r="R11" s="25"/>
      <c r="S11" s="25"/>
      <c r="T11" s="26"/>
      <c r="U11" s="26"/>
      <c r="V11" s="26"/>
      <c r="W11" s="26"/>
      <c r="X11" s="26"/>
      <c r="Y11" s="31"/>
      <c r="Z11" s="25"/>
      <c r="AA11" s="25"/>
      <c r="AB11" s="25"/>
      <c r="AC11" s="25"/>
      <c r="AD11" s="25"/>
      <c r="AE11" s="25"/>
      <c r="AF11" s="25"/>
      <c r="AG11" s="25">
        <f t="shared" si="3"/>
        <v>-1283.5310714285715</v>
      </c>
      <c r="AH11" s="29">
        <f t="shared" si="4"/>
        <v>-1.0714285715494043E-3</v>
      </c>
    </row>
    <row r="12" spans="1:34" s="30" customFormat="1" ht="19.5" customHeight="1" x14ac:dyDescent="0.2">
      <c r="A12" s="18">
        <v>43132</v>
      </c>
      <c r="B12" s="19"/>
      <c r="C12" s="20" t="s">
        <v>63</v>
      </c>
      <c r="D12" s="20" t="s">
        <v>64</v>
      </c>
      <c r="E12" s="20" t="s">
        <v>65</v>
      </c>
      <c r="F12" s="21">
        <v>81018</v>
      </c>
      <c r="G12" s="22" t="s">
        <v>206</v>
      </c>
      <c r="H12" s="23"/>
      <c r="I12" s="23"/>
      <c r="J12" s="23">
        <v>566.9</v>
      </c>
      <c r="K12" s="23"/>
      <c r="L12" s="24">
        <v>0.01</v>
      </c>
      <c r="M12" s="25">
        <f t="shared" si="0"/>
        <v>566.9</v>
      </c>
      <c r="N12" s="25">
        <f t="shared" si="1"/>
        <v>0</v>
      </c>
      <c r="O12" s="25">
        <f t="shared" si="2"/>
        <v>-5.6689999999999996</v>
      </c>
      <c r="P12" s="25">
        <v>566.9</v>
      </c>
      <c r="Q12" s="25"/>
      <c r="R12" s="25"/>
      <c r="S12" s="25"/>
      <c r="T12" s="26"/>
      <c r="U12" s="26"/>
      <c r="V12" s="26"/>
      <c r="W12" s="26"/>
      <c r="X12" s="26"/>
      <c r="Y12" s="31"/>
      <c r="Z12" s="25"/>
      <c r="AA12" s="25"/>
      <c r="AB12" s="25"/>
      <c r="AC12" s="25"/>
      <c r="AD12" s="25"/>
      <c r="AE12" s="25"/>
      <c r="AF12" s="25"/>
      <c r="AG12" s="25">
        <f t="shared" si="3"/>
        <v>-561.23099999999999</v>
      </c>
      <c r="AH12" s="29">
        <f t="shared" si="4"/>
        <v>-1.6875389974302379E-14</v>
      </c>
    </row>
    <row r="13" spans="1:34" s="30" customFormat="1" ht="21.75" customHeight="1" x14ac:dyDescent="0.2">
      <c r="A13" s="18">
        <v>43132</v>
      </c>
      <c r="B13" s="19"/>
      <c r="C13" s="20" t="s">
        <v>63</v>
      </c>
      <c r="D13" s="20" t="s">
        <v>64</v>
      </c>
      <c r="E13" s="20" t="s">
        <v>65</v>
      </c>
      <c r="F13" s="21">
        <v>81018</v>
      </c>
      <c r="G13" s="22" t="s">
        <v>207</v>
      </c>
      <c r="H13" s="23"/>
      <c r="I13" s="23"/>
      <c r="J13" s="23"/>
      <c r="K13" s="23">
        <f>899.82+107.98</f>
        <v>1007.8000000000001</v>
      </c>
      <c r="L13" s="24">
        <v>0.01</v>
      </c>
      <c r="M13" s="25">
        <f t="shared" si="0"/>
        <v>899.82142857142856</v>
      </c>
      <c r="N13" s="25">
        <f t="shared" si="1"/>
        <v>107.97857142857143</v>
      </c>
      <c r="O13" s="25">
        <f t="shared" si="2"/>
        <v>-8.9982142857142851</v>
      </c>
      <c r="P13" s="25">
        <v>899.82</v>
      </c>
      <c r="Q13" s="25"/>
      <c r="R13" s="25"/>
      <c r="S13" s="25"/>
      <c r="T13" s="26"/>
      <c r="U13" s="26"/>
      <c r="V13" s="26"/>
      <c r="W13" s="26"/>
      <c r="X13" s="26"/>
      <c r="Y13" s="31"/>
      <c r="Z13" s="25"/>
      <c r="AA13" s="25"/>
      <c r="AB13" s="25"/>
      <c r="AC13" s="25"/>
      <c r="AD13" s="25"/>
      <c r="AE13" s="25"/>
      <c r="AF13" s="25"/>
      <c r="AG13" s="25">
        <f t="shared" si="3"/>
        <v>-998.80035714285714</v>
      </c>
      <c r="AH13" s="29">
        <f t="shared" si="4"/>
        <v>1.4285714286454976E-3</v>
      </c>
    </row>
    <row r="14" spans="1:34" s="30" customFormat="1" ht="22.5" customHeight="1" x14ac:dyDescent="0.2">
      <c r="A14" s="18">
        <v>43132</v>
      </c>
      <c r="B14" s="19"/>
      <c r="C14" s="20" t="s">
        <v>68</v>
      </c>
      <c r="D14" s="20"/>
      <c r="E14" s="20"/>
      <c r="F14" s="21"/>
      <c r="G14" s="22" t="s">
        <v>208</v>
      </c>
      <c r="H14" s="23">
        <v>140</v>
      </c>
      <c r="I14" s="23"/>
      <c r="J14" s="23"/>
      <c r="K14" s="23"/>
      <c r="L14" s="24"/>
      <c r="M14" s="25">
        <f t="shared" si="0"/>
        <v>140</v>
      </c>
      <c r="N14" s="25">
        <f t="shared" si="1"/>
        <v>0</v>
      </c>
      <c r="O14" s="25">
        <f t="shared" si="2"/>
        <v>0</v>
      </c>
      <c r="P14" s="25"/>
      <c r="Q14" s="25"/>
      <c r="R14" s="25"/>
      <c r="S14" s="25"/>
      <c r="T14" s="26"/>
      <c r="U14" s="26"/>
      <c r="V14" s="26"/>
      <c r="W14" s="26"/>
      <c r="X14" s="26"/>
      <c r="Y14" s="31"/>
      <c r="Z14" s="25"/>
      <c r="AA14" s="25">
        <v>140</v>
      </c>
      <c r="AB14" s="25"/>
      <c r="AC14" s="25"/>
      <c r="AD14" s="25"/>
      <c r="AE14" s="25"/>
      <c r="AF14" s="25"/>
      <c r="AG14" s="25">
        <f t="shared" si="3"/>
        <v>-140</v>
      </c>
      <c r="AH14" s="29">
        <f t="shared" si="4"/>
        <v>0</v>
      </c>
    </row>
    <row r="15" spans="1:34" s="30" customFormat="1" ht="19.5" customHeight="1" x14ac:dyDescent="0.2">
      <c r="A15" s="18">
        <v>43132</v>
      </c>
      <c r="B15" s="19"/>
      <c r="C15" s="20" t="s">
        <v>209</v>
      </c>
      <c r="D15" s="20" t="s">
        <v>210</v>
      </c>
      <c r="E15" s="20" t="s">
        <v>120</v>
      </c>
      <c r="F15" s="21">
        <v>41165</v>
      </c>
      <c r="G15" s="22" t="s">
        <v>211</v>
      </c>
      <c r="H15" s="23"/>
      <c r="I15" s="23"/>
      <c r="J15" s="23"/>
      <c r="K15" s="23">
        <v>350</v>
      </c>
      <c r="L15" s="24"/>
      <c r="M15" s="25">
        <f t="shared" si="0"/>
        <v>312.49999999999994</v>
      </c>
      <c r="N15" s="25">
        <f t="shared" si="1"/>
        <v>37.499999999999993</v>
      </c>
      <c r="O15" s="25">
        <f t="shared" si="2"/>
        <v>0</v>
      </c>
      <c r="P15" s="25"/>
      <c r="Q15" s="25"/>
      <c r="R15" s="25"/>
      <c r="S15" s="25"/>
      <c r="T15" s="26"/>
      <c r="U15" s="26"/>
      <c r="V15" s="26"/>
      <c r="W15" s="26"/>
      <c r="X15" s="26"/>
      <c r="Y15" s="31">
        <v>312.5</v>
      </c>
      <c r="Z15" s="25"/>
      <c r="AA15" s="25"/>
      <c r="AB15" s="25"/>
      <c r="AC15" s="25"/>
      <c r="AD15" s="25"/>
      <c r="AE15" s="25"/>
      <c r="AF15" s="25"/>
      <c r="AG15" s="25">
        <f t="shared" si="3"/>
        <v>-350</v>
      </c>
      <c r="AH15" s="29">
        <f t="shared" si="4"/>
        <v>0</v>
      </c>
    </row>
    <row r="16" spans="1:34" s="30" customFormat="1" ht="19.5" customHeight="1" x14ac:dyDescent="0.2">
      <c r="A16" s="18">
        <v>43133</v>
      </c>
      <c r="B16" s="19"/>
      <c r="C16" s="20" t="s">
        <v>59</v>
      </c>
      <c r="D16" s="20" t="s">
        <v>137</v>
      </c>
      <c r="E16" s="20" t="s">
        <v>120</v>
      </c>
      <c r="F16" s="21">
        <v>626673</v>
      </c>
      <c r="G16" s="22" t="s">
        <v>212</v>
      </c>
      <c r="H16" s="23"/>
      <c r="I16" s="23"/>
      <c r="J16" s="23"/>
      <c r="K16" s="23">
        <v>51.75</v>
      </c>
      <c r="L16" s="24"/>
      <c r="M16" s="25">
        <f t="shared" si="0"/>
        <v>46.205357142857139</v>
      </c>
      <c r="N16" s="25">
        <f t="shared" si="1"/>
        <v>5.5446428571428568</v>
      </c>
      <c r="O16" s="25">
        <f t="shared" si="2"/>
        <v>0</v>
      </c>
      <c r="P16" s="25"/>
      <c r="Q16" s="25"/>
      <c r="R16" s="25"/>
      <c r="S16" s="25"/>
      <c r="T16" s="26"/>
      <c r="U16" s="26"/>
      <c r="V16" s="26"/>
      <c r="W16" s="26">
        <v>46.21</v>
      </c>
      <c r="X16" s="26"/>
      <c r="Y16" s="31"/>
      <c r="Z16" s="25"/>
      <c r="AA16" s="25"/>
      <c r="AB16" s="25"/>
      <c r="AC16" s="25"/>
      <c r="AD16" s="25"/>
      <c r="AE16" s="25"/>
      <c r="AF16" s="25"/>
      <c r="AG16" s="25">
        <f t="shared" si="3"/>
        <v>-51.754642857142855</v>
      </c>
      <c r="AH16" s="29">
        <f t="shared" si="4"/>
        <v>-4.6428571428549503E-3</v>
      </c>
    </row>
    <row r="17" spans="1:34" s="30" customFormat="1" ht="19.5" customHeight="1" x14ac:dyDescent="0.2">
      <c r="A17" s="18">
        <v>43133</v>
      </c>
      <c r="B17" s="19"/>
      <c r="C17" s="20" t="s">
        <v>59</v>
      </c>
      <c r="D17" s="20" t="s">
        <v>137</v>
      </c>
      <c r="E17" s="20" t="s">
        <v>120</v>
      </c>
      <c r="F17" s="21">
        <v>626673</v>
      </c>
      <c r="G17" s="22" t="s">
        <v>213</v>
      </c>
      <c r="H17" s="23"/>
      <c r="I17" s="23"/>
      <c r="J17" s="23"/>
      <c r="K17" s="23">
        <v>28</v>
      </c>
      <c r="L17" s="24"/>
      <c r="M17" s="25">
        <f t="shared" si="0"/>
        <v>24.999999999999996</v>
      </c>
      <c r="N17" s="25">
        <f t="shared" si="1"/>
        <v>2.9999999999999996</v>
      </c>
      <c r="O17" s="25">
        <f t="shared" si="2"/>
        <v>0</v>
      </c>
      <c r="P17" s="25"/>
      <c r="Q17" s="25"/>
      <c r="R17" s="25"/>
      <c r="S17" s="25"/>
      <c r="T17" s="26"/>
      <c r="U17" s="26"/>
      <c r="V17" s="26"/>
      <c r="W17" s="26"/>
      <c r="X17" s="26"/>
      <c r="Y17" s="31"/>
      <c r="Z17" s="25">
        <v>25</v>
      </c>
      <c r="AA17" s="25"/>
      <c r="AB17" s="25"/>
      <c r="AC17" s="25"/>
      <c r="AD17" s="25"/>
      <c r="AE17" s="25"/>
      <c r="AF17" s="25"/>
      <c r="AG17" s="25">
        <f t="shared" si="3"/>
        <v>-28</v>
      </c>
      <c r="AH17" s="29">
        <f t="shared" si="4"/>
        <v>0</v>
      </c>
    </row>
    <row r="18" spans="1:34" s="30" customFormat="1" ht="24.75" customHeight="1" x14ac:dyDescent="0.2">
      <c r="A18" s="18">
        <v>43133</v>
      </c>
      <c r="B18" s="19"/>
      <c r="C18" s="20" t="s">
        <v>59</v>
      </c>
      <c r="D18" s="20" t="s">
        <v>137</v>
      </c>
      <c r="E18" s="20" t="s">
        <v>120</v>
      </c>
      <c r="F18" s="21">
        <v>626673</v>
      </c>
      <c r="G18" s="22" t="s">
        <v>214</v>
      </c>
      <c r="H18" s="23"/>
      <c r="I18" s="23"/>
      <c r="J18" s="23"/>
      <c r="K18" s="23">
        <f>3.75+14.5+220</f>
        <v>238.25</v>
      </c>
      <c r="L18" s="24"/>
      <c r="M18" s="25">
        <f t="shared" si="0"/>
        <v>212.72321428571428</v>
      </c>
      <c r="N18" s="25">
        <f t="shared" si="1"/>
        <v>25.526785714285712</v>
      </c>
      <c r="O18" s="25">
        <f t="shared" si="2"/>
        <v>0</v>
      </c>
      <c r="P18" s="25"/>
      <c r="Q18" s="25"/>
      <c r="R18" s="25"/>
      <c r="S18" s="25"/>
      <c r="T18" s="26">
        <v>212.72</v>
      </c>
      <c r="U18" s="26"/>
      <c r="V18" s="26"/>
      <c r="W18" s="26"/>
      <c r="X18" s="26"/>
      <c r="Y18" s="31"/>
      <c r="Z18" s="25"/>
      <c r="AA18" s="25"/>
      <c r="AB18" s="25"/>
      <c r="AC18" s="25"/>
      <c r="AD18" s="25"/>
      <c r="AE18" s="25"/>
      <c r="AF18" s="25"/>
      <c r="AG18" s="25">
        <f t="shared" si="3"/>
        <v>-238.24678571428572</v>
      </c>
      <c r="AH18" s="29">
        <f t="shared" si="4"/>
        <v>3.2142857142787307E-3</v>
      </c>
    </row>
    <row r="19" spans="1:34" s="30" customFormat="1" ht="19.5" customHeight="1" x14ac:dyDescent="0.2">
      <c r="A19" s="18">
        <v>43134</v>
      </c>
      <c r="B19" s="19"/>
      <c r="C19" s="20" t="s">
        <v>41</v>
      </c>
      <c r="D19" s="20" t="s">
        <v>88</v>
      </c>
      <c r="E19" s="20" t="s">
        <v>43</v>
      </c>
      <c r="F19" s="21">
        <v>2273</v>
      </c>
      <c r="G19" s="22" t="s">
        <v>172</v>
      </c>
      <c r="H19" s="23"/>
      <c r="I19" s="23"/>
      <c r="J19" s="23">
        <v>680</v>
      </c>
      <c r="K19" s="23"/>
      <c r="L19" s="24"/>
      <c r="M19" s="25">
        <f t="shared" si="0"/>
        <v>680</v>
      </c>
      <c r="N19" s="25">
        <f t="shared" si="1"/>
        <v>0</v>
      </c>
      <c r="O19" s="25">
        <f t="shared" si="2"/>
        <v>0</v>
      </c>
      <c r="P19" s="25">
        <v>680</v>
      </c>
      <c r="Q19" s="25"/>
      <c r="R19" s="25"/>
      <c r="S19" s="25"/>
      <c r="T19" s="26"/>
      <c r="U19" s="26"/>
      <c r="V19" s="26"/>
      <c r="W19" s="26"/>
      <c r="X19" s="26"/>
      <c r="Y19" s="31"/>
      <c r="Z19" s="25"/>
      <c r="AA19" s="25"/>
      <c r="AB19" s="25"/>
      <c r="AC19" s="25"/>
      <c r="AD19" s="25"/>
      <c r="AE19" s="25"/>
      <c r="AF19" s="25"/>
      <c r="AG19" s="25">
        <f t="shared" si="3"/>
        <v>-680</v>
      </c>
      <c r="AH19" s="29">
        <f t="shared" si="4"/>
        <v>0</v>
      </c>
    </row>
    <row r="20" spans="1:34" s="30" customFormat="1" ht="19.5" customHeight="1" x14ac:dyDescent="0.2">
      <c r="A20" s="18">
        <v>43134</v>
      </c>
      <c r="B20" s="19"/>
      <c r="C20" s="20" t="s">
        <v>215</v>
      </c>
      <c r="D20" s="20" t="s">
        <v>216</v>
      </c>
      <c r="E20" s="20" t="s">
        <v>175</v>
      </c>
      <c r="F20" s="21">
        <v>1523</v>
      </c>
      <c r="G20" s="22" t="s">
        <v>217</v>
      </c>
      <c r="H20" s="23"/>
      <c r="I20" s="23"/>
      <c r="J20" s="23"/>
      <c r="K20" s="23">
        <v>1320</v>
      </c>
      <c r="L20" s="24">
        <v>0.01</v>
      </c>
      <c r="M20" s="25">
        <f t="shared" si="0"/>
        <v>1178.5714285714284</v>
      </c>
      <c r="N20" s="25">
        <f t="shared" si="1"/>
        <v>141.42857142857142</v>
      </c>
      <c r="O20" s="25">
        <f t="shared" si="2"/>
        <v>-11.785714285714285</v>
      </c>
      <c r="P20" s="25">
        <v>1178.57</v>
      </c>
      <c r="Q20" s="25"/>
      <c r="R20" s="25"/>
      <c r="S20" s="25"/>
      <c r="T20" s="26"/>
      <c r="U20" s="26"/>
      <c r="V20" s="26"/>
      <c r="W20" s="26"/>
      <c r="X20" s="26"/>
      <c r="Y20" s="31"/>
      <c r="Z20" s="25"/>
      <c r="AA20" s="25"/>
      <c r="AB20" s="25"/>
      <c r="AC20" s="25"/>
      <c r="AD20" s="25"/>
      <c r="AE20" s="25"/>
      <c r="AF20" s="25"/>
      <c r="AG20" s="25">
        <f t="shared" si="3"/>
        <v>-1308.212857142857</v>
      </c>
      <c r="AH20" s="29">
        <f t="shared" si="4"/>
        <v>1.4285714286685902E-3</v>
      </c>
    </row>
    <row r="21" spans="1:34" s="30" customFormat="1" ht="19.5" customHeight="1" x14ac:dyDescent="0.2">
      <c r="A21" s="33">
        <v>43134</v>
      </c>
      <c r="B21" s="34"/>
      <c r="C21" s="36" t="s">
        <v>174</v>
      </c>
      <c r="D21" s="36"/>
      <c r="E21" s="36" t="s">
        <v>175</v>
      </c>
      <c r="F21" s="37">
        <v>21936</v>
      </c>
      <c r="G21" s="38" t="s">
        <v>218</v>
      </c>
      <c r="H21" s="39">
        <v>308</v>
      </c>
      <c r="I21" s="39"/>
      <c r="J21" s="39"/>
      <c r="K21" s="39"/>
      <c r="L21" s="40"/>
      <c r="M21" s="41">
        <f t="shared" si="0"/>
        <v>308</v>
      </c>
      <c r="N21" s="41">
        <f t="shared" si="1"/>
        <v>0</v>
      </c>
      <c r="O21" s="41">
        <f t="shared" si="2"/>
        <v>0</v>
      </c>
      <c r="P21" s="41"/>
      <c r="Q21" s="41"/>
      <c r="R21" s="41"/>
      <c r="S21" s="41"/>
      <c r="T21" s="42"/>
      <c r="U21" s="42"/>
      <c r="V21" s="42"/>
      <c r="W21" s="42"/>
      <c r="X21" s="42"/>
      <c r="Y21" s="41"/>
      <c r="Z21" s="41"/>
      <c r="AA21" s="41">
        <v>308</v>
      </c>
      <c r="AB21" s="41"/>
      <c r="AC21" s="41"/>
      <c r="AD21" s="41"/>
      <c r="AE21" s="41"/>
      <c r="AF21" s="41"/>
      <c r="AG21" s="41">
        <f t="shared" si="3"/>
        <v>-308</v>
      </c>
      <c r="AH21" s="45">
        <f t="shared" si="4"/>
        <v>0</v>
      </c>
    </row>
    <row r="22" spans="1:34" s="30" customFormat="1" ht="18" customHeight="1" x14ac:dyDescent="0.2">
      <c r="A22" s="18">
        <v>43133</v>
      </c>
      <c r="B22" s="19"/>
      <c r="C22" s="20" t="s">
        <v>51</v>
      </c>
      <c r="D22" s="20" t="s">
        <v>52</v>
      </c>
      <c r="E22" s="20" t="s">
        <v>39</v>
      </c>
      <c r="F22" s="21">
        <v>28337</v>
      </c>
      <c r="G22" s="21" t="s">
        <v>219</v>
      </c>
      <c r="H22" s="23"/>
      <c r="I22" s="23"/>
      <c r="J22" s="23"/>
      <c r="K22" s="23">
        <v>191.98</v>
      </c>
      <c r="L22" s="24"/>
      <c r="M22" s="25">
        <f t="shared" si="0"/>
        <v>171.41071428571425</v>
      </c>
      <c r="N22" s="25">
        <f t="shared" si="1"/>
        <v>20.569285714285709</v>
      </c>
      <c r="O22" s="25">
        <f t="shared" si="2"/>
        <v>0</v>
      </c>
      <c r="P22" s="25">
        <v>171.41</v>
      </c>
      <c r="Q22" s="25"/>
      <c r="R22" s="25"/>
      <c r="S22" s="25"/>
      <c r="T22" s="26"/>
      <c r="U22" s="26"/>
      <c r="V22" s="26"/>
      <c r="W22" s="26"/>
      <c r="X22" s="26"/>
      <c r="Y22" s="31"/>
      <c r="Z22" s="25"/>
      <c r="AA22" s="25"/>
      <c r="AB22" s="25"/>
      <c r="AC22" s="25"/>
      <c r="AD22" s="25"/>
      <c r="AE22" s="25"/>
      <c r="AF22" s="25"/>
      <c r="AG22" s="25">
        <f t="shared" si="3"/>
        <v>-191.97928571428571</v>
      </c>
      <c r="AH22" s="29">
        <f t="shared" si="4"/>
        <v>7.142857142810044E-4</v>
      </c>
    </row>
    <row r="23" spans="1:34" s="30" customFormat="1" ht="24.75" customHeight="1" x14ac:dyDescent="0.2">
      <c r="A23" s="18">
        <v>43134</v>
      </c>
      <c r="B23" s="19"/>
      <c r="C23" s="20" t="s">
        <v>63</v>
      </c>
      <c r="D23" s="20" t="s">
        <v>64</v>
      </c>
      <c r="E23" s="20" t="s">
        <v>65</v>
      </c>
      <c r="F23" s="21">
        <v>93699</v>
      </c>
      <c r="G23" s="22" t="s">
        <v>220</v>
      </c>
      <c r="H23" s="23"/>
      <c r="I23" s="23"/>
      <c r="J23" s="23"/>
      <c r="K23" s="23">
        <f>647.32+77.68</f>
        <v>725</v>
      </c>
      <c r="L23" s="24"/>
      <c r="M23" s="25">
        <f t="shared" si="0"/>
        <v>647.32142857142856</v>
      </c>
      <c r="N23" s="25">
        <f t="shared" si="1"/>
        <v>77.678571428571431</v>
      </c>
      <c r="O23" s="25">
        <f t="shared" si="2"/>
        <v>0</v>
      </c>
      <c r="P23" s="25">
        <v>647.32000000000005</v>
      </c>
      <c r="Q23" s="25"/>
      <c r="R23" s="25"/>
      <c r="S23" s="25"/>
      <c r="T23" s="26"/>
      <c r="U23" s="26"/>
      <c r="V23" s="26"/>
      <c r="W23" s="26"/>
      <c r="X23" s="26"/>
      <c r="Y23" s="31"/>
      <c r="Z23" s="25"/>
      <c r="AA23" s="25"/>
      <c r="AB23" s="25"/>
      <c r="AC23" s="25"/>
      <c r="AD23" s="25"/>
      <c r="AE23" s="25"/>
      <c r="AF23" s="25"/>
      <c r="AG23" s="25">
        <f t="shared" si="3"/>
        <v>-724.99857142857149</v>
      </c>
      <c r="AH23" s="29">
        <f t="shared" si="4"/>
        <v>1.4285714285051654E-3</v>
      </c>
    </row>
    <row r="24" spans="1:34" s="30" customFormat="1" ht="19.5" customHeight="1" x14ac:dyDescent="0.2">
      <c r="A24" s="18">
        <v>43134</v>
      </c>
      <c r="B24" s="19"/>
      <c r="C24" s="20" t="s">
        <v>63</v>
      </c>
      <c r="D24" s="20" t="s">
        <v>64</v>
      </c>
      <c r="E24" s="20" t="s">
        <v>65</v>
      </c>
      <c r="F24" s="21">
        <v>93699</v>
      </c>
      <c r="G24" s="22" t="s">
        <v>221</v>
      </c>
      <c r="H24" s="23"/>
      <c r="I24" s="23"/>
      <c r="J24" s="23">
        <v>637.1</v>
      </c>
      <c r="K24" s="23"/>
      <c r="L24" s="24"/>
      <c r="M24" s="25">
        <f t="shared" si="0"/>
        <v>637.1</v>
      </c>
      <c r="N24" s="25">
        <f t="shared" si="1"/>
        <v>0</v>
      </c>
      <c r="O24" s="25">
        <f t="shared" si="2"/>
        <v>0</v>
      </c>
      <c r="P24" s="25">
        <v>637.1</v>
      </c>
      <c r="Q24" s="25"/>
      <c r="R24" s="25"/>
      <c r="S24" s="25"/>
      <c r="T24" s="26"/>
      <c r="U24" s="26"/>
      <c r="V24" s="26"/>
      <c r="W24" s="26"/>
      <c r="X24" s="26"/>
      <c r="Y24" s="31"/>
      <c r="Z24" s="25"/>
      <c r="AA24" s="25"/>
      <c r="AB24" s="25"/>
      <c r="AC24" s="25"/>
      <c r="AD24" s="25"/>
      <c r="AE24" s="25"/>
      <c r="AF24" s="25"/>
      <c r="AG24" s="25">
        <f t="shared" si="3"/>
        <v>-637.1</v>
      </c>
      <c r="AH24" s="29">
        <f t="shared" si="4"/>
        <v>0</v>
      </c>
    </row>
    <row r="25" spans="1:34" s="30" customFormat="1" ht="19.5" customHeight="1" x14ac:dyDescent="0.2">
      <c r="A25" s="18">
        <v>43134</v>
      </c>
      <c r="B25" s="19"/>
      <c r="C25" s="20" t="s">
        <v>51</v>
      </c>
      <c r="D25" s="20" t="s">
        <v>52</v>
      </c>
      <c r="E25" s="20" t="s">
        <v>39</v>
      </c>
      <c r="F25" s="21">
        <v>28349</v>
      </c>
      <c r="G25" s="22" t="s">
        <v>148</v>
      </c>
      <c r="H25" s="23"/>
      <c r="I25" s="23"/>
      <c r="J25" s="23"/>
      <c r="K25" s="23">
        <v>170</v>
      </c>
      <c r="L25" s="24"/>
      <c r="M25" s="25">
        <f t="shared" si="0"/>
        <v>151.78571428571428</v>
      </c>
      <c r="N25" s="25">
        <f t="shared" si="1"/>
        <v>18.214285714285712</v>
      </c>
      <c r="O25" s="25">
        <f t="shared" si="2"/>
        <v>0</v>
      </c>
      <c r="P25" s="25">
        <v>151.79</v>
      </c>
      <c r="Q25" s="25"/>
      <c r="R25" s="25"/>
      <c r="S25" s="25"/>
      <c r="T25" s="26"/>
      <c r="U25" s="26"/>
      <c r="V25" s="26"/>
      <c r="W25" s="26"/>
      <c r="X25" s="26"/>
      <c r="Y25" s="31"/>
      <c r="Z25" s="25"/>
      <c r="AA25" s="25"/>
      <c r="AB25" s="25"/>
      <c r="AC25" s="25"/>
      <c r="AD25" s="25"/>
      <c r="AE25" s="25"/>
      <c r="AF25" s="25"/>
      <c r="AG25" s="25">
        <f t="shared" si="3"/>
        <v>-170.00428571428571</v>
      </c>
      <c r="AH25" s="29">
        <f t="shared" si="4"/>
        <v>-4.2857142857144481E-3</v>
      </c>
    </row>
    <row r="26" spans="1:34" s="30" customFormat="1" ht="19.5" customHeight="1" x14ac:dyDescent="0.2">
      <c r="A26" s="18">
        <v>43136</v>
      </c>
      <c r="B26" s="19"/>
      <c r="C26" s="20" t="s">
        <v>63</v>
      </c>
      <c r="D26" s="20" t="s">
        <v>64</v>
      </c>
      <c r="E26" s="20" t="s">
        <v>65</v>
      </c>
      <c r="F26" s="21">
        <v>6087</v>
      </c>
      <c r="G26" s="22" t="s">
        <v>222</v>
      </c>
      <c r="H26" s="23"/>
      <c r="I26" s="23"/>
      <c r="J26" s="23"/>
      <c r="K26" s="23">
        <v>49.75</v>
      </c>
      <c r="L26" s="24"/>
      <c r="M26" s="25">
        <f t="shared" si="0"/>
        <v>44.419642857142854</v>
      </c>
      <c r="N26" s="25">
        <f t="shared" si="1"/>
        <v>5.3303571428571423</v>
      </c>
      <c r="O26" s="25">
        <f t="shared" si="2"/>
        <v>0</v>
      </c>
      <c r="P26" s="25"/>
      <c r="Q26" s="25"/>
      <c r="R26" s="25"/>
      <c r="S26" s="25"/>
      <c r="T26" s="26"/>
      <c r="U26" s="26"/>
      <c r="V26" s="26"/>
      <c r="W26" s="26"/>
      <c r="X26" s="26">
        <v>44.42</v>
      </c>
      <c r="Y26" s="31"/>
      <c r="Z26" s="25"/>
      <c r="AA26" s="25"/>
      <c r="AB26" s="25"/>
      <c r="AC26" s="25"/>
      <c r="AD26" s="25"/>
      <c r="AE26" s="25"/>
      <c r="AF26" s="25"/>
      <c r="AG26" s="25">
        <f t="shared" si="3"/>
        <v>-49.750357142857141</v>
      </c>
      <c r="AH26" s="29">
        <f t="shared" si="4"/>
        <v>-3.571428571405022E-4</v>
      </c>
    </row>
    <row r="27" spans="1:34" s="30" customFormat="1" ht="19.5" customHeight="1" x14ac:dyDescent="0.2">
      <c r="A27" s="18">
        <v>43136</v>
      </c>
      <c r="B27" s="19"/>
      <c r="C27" s="20" t="s">
        <v>223</v>
      </c>
      <c r="D27" s="20" t="s">
        <v>224</v>
      </c>
      <c r="E27" s="20" t="s">
        <v>65</v>
      </c>
      <c r="F27" s="21">
        <v>122056</v>
      </c>
      <c r="G27" s="22" t="s">
        <v>225</v>
      </c>
      <c r="H27" s="23"/>
      <c r="I27" s="23"/>
      <c r="J27" s="23"/>
      <c r="K27" s="23">
        <v>255</v>
      </c>
      <c r="L27" s="24"/>
      <c r="M27" s="25">
        <f t="shared" si="0"/>
        <v>227.67857142857142</v>
      </c>
      <c r="N27" s="25">
        <f t="shared" si="1"/>
        <v>27.321428571428569</v>
      </c>
      <c r="O27" s="25">
        <f t="shared" si="2"/>
        <v>0</v>
      </c>
      <c r="P27" s="25"/>
      <c r="Q27" s="25"/>
      <c r="R27" s="25"/>
      <c r="S27" s="25"/>
      <c r="T27" s="26"/>
      <c r="U27" s="26"/>
      <c r="V27" s="26"/>
      <c r="W27" s="26"/>
      <c r="X27" s="26">
        <v>227.68</v>
      </c>
      <c r="Y27" s="31"/>
      <c r="Z27" s="25"/>
      <c r="AA27" s="25"/>
      <c r="AB27" s="25"/>
      <c r="AC27" s="25"/>
      <c r="AD27" s="25"/>
      <c r="AE27" s="25"/>
      <c r="AF27" s="25"/>
      <c r="AG27" s="25">
        <f t="shared" si="3"/>
        <v>-255.00142857142856</v>
      </c>
      <c r="AH27" s="29">
        <f t="shared" si="4"/>
        <v>-1.4285714285620088E-3</v>
      </c>
    </row>
    <row r="28" spans="1:34" s="30" customFormat="1" ht="19.5" customHeight="1" x14ac:dyDescent="0.2">
      <c r="A28" s="18">
        <v>43136</v>
      </c>
      <c r="B28" s="19"/>
      <c r="C28" s="20" t="s">
        <v>96</v>
      </c>
      <c r="D28" s="20"/>
      <c r="E28" s="20"/>
      <c r="F28" s="21"/>
      <c r="G28" s="22" t="s">
        <v>226</v>
      </c>
      <c r="H28" s="23">
        <v>500</v>
      </c>
      <c r="I28" s="23"/>
      <c r="J28" s="23"/>
      <c r="K28" s="23"/>
      <c r="L28" s="24"/>
      <c r="M28" s="25">
        <f t="shared" si="0"/>
        <v>500</v>
      </c>
      <c r="N28" s="25">
        <f t="shared" si="1"/>
        <v>0</v>
      </c>
      <c r="O28" s="25">
        <f t="shared" si="2"/>
        <v>0</v>
      </c>
      <c r="P28" s="25"/>
      <c r="Q28" s="25"/>
      <c r="R28" s="25"/>
      <c r="S28" s="25"/>
      <c r="T28" s="26"/>
      <c r="U28" s="26"/>
      <c r="V28" s="26"/>
      <c r="W28" s="26"/>
      <c r="X28" s="26"/>
      <c r="Y28" s="31"/>
      <c r="Z28" s="25"/>
      <c r="AA28" s="25"/>
      <c r="AB28" s="25"/>
      <c r="AC28" s="25"/>
      <c r="AD28" s="25"/>
      <c r="AE28" s="25"/>
      <c r="AF28" s="25">
        <v>500</v>
      </c>
      <c r="AG28" s="25">
        <f t="shared" si="3"/>
        <v>-500</v>
      </c>
      <c r="AH28" s="29">
        <f t="shared" si="4"/>
        <v>0</v>
      </c>
    </row>
    <row r="29" spans="1:34" s="30" customFormat="1" ht="27" customHeight="1" x14ac:dyDescent="0.2">
      <c r="A29" s="18">
        <v>43136</v>
      </c>
      <c r="B29" s="19"/>
      <c r="C29" s="20" t="s">
        <v>96</v>
      </c>
      <c r="D29" s="20"/>
      <c r="E29" s="20"/>
      <c r="F29" s="21"/>
      <c r="G29" s="22" t="s">
        <v>227</v>
      </c>
      <c r="H29" s="23">
        <v>106</v>
      </c>
      <c r="I29" s="23"/>
      <c r="J29" s="23"/>
      <c r="K29" s="23"/>
      <c r="L29" s="24"/>
      <c r="M29" s="25">
        <f t="shared" si="0"/>
        <v>106</v>
      </c>
      <c r="N29" s="25">
        <f t="shared" si="1"/>
        <v>0</v>
      </c>
      <c r="O29" s="25">
        <f t="shared" si="2"/>
        <v>0</v>
      </c>
      <c r="P29" s="25"/>
      <c r="Q29" s="25"/>
      <c r="R29" s="25"/>
      <c r="S29" s="25"/>
      <c r="T29" s="26"/>
      <c r="U29" s="26"/>
      <c r="V29" s="26"/>
      <c r="W29" s="26"/>
      <c r="X29" s="26"/>
      <c r="Y29" s="31"/>
      <c r="Z29" s="25"/>
      <c r="AA29" s="25">
        <v>106</v>
      </c>
      <c r="AB29" s="25"/>
      <c r="AC29" s="25"/>
      <c r="AD29" s="25"/>
      <c r="AE29" s="25"/>
      <c r="AF29" s="25"/>
      <c r="AG29" s="25">
        <f t="shared" si="3"/>
        <v>-106</v>
      </c>
      <c r="AH29" s="29">
        <f t="shared" si="4"/>
        <v>0</v>
      </c>
    </row>
    <row r="30" spans="1:34" s="30" customFormat="1" ht="46.5" customHeight="1" x14ac:dyDescent="0.2">
      <c r="A30" s="18">
        <v>43136</v>
      </c>
      <c r="B30" s="19"/>
      <c r="C30" s="20" t="s">
        <v>68</v>
      </c>
      <c r="D30" s="20"/>
      <c r="E30" s="20"/>
      <c r="F30" s="21"/>
      <c r="G30" s="22" t="s">
        <v>228</v>
      </c>
      <c r="H30" s="23">
        <v>80</v>
      </c>
      <c r="I30" s="23"/>
      <c r="J30" s="23"/>
      <c r="K30" s="23"/>
      <c r="L30" s="24"/>
      <c r="M30" s="25">
        <f t="shared" si="0"/>
        <v>80</v>
      </c>
      <c r="N30" s="25">
        <f t="shared" si="1"/>
        <v>0</v>
      </c>
      <c r="O30" s="25">
        <f t="shared" si="2"/>
        <v>0</v>
      </c>
      <c r="P30" s="25"/>
      <c r="Q30" s="25"/>
      <c r="R30" s="25"/>
      <c r="S30" s="25"/>
      <c r="T30" s="26"/>
      <c r="U30" s="26"/>
      <c r="V30" s="26"/>
      <c r="W30" s="26"/>
      <c r="X30" s="26"/>
      <c r="Y30" s="31"/>
      <c r="Z30" s="25"/>
      <c r="AA30" s="25">
        <v>80</v>
      </c>
      <c r="AB30" s="25"/>
      <c r="AC30" s="25"/>
      <c r="AD30" s="25"/>
      <c r="AE30" s="25"/>
      <c r="AF30" s="25"/>
      <c r="AG30" s="25">
        <f t="shared" si="3"/>
        <v>-80</v>
      </c>
      <c r="AH30" s="29">
        <f t="shared" si="4"/>
        <v>0</v>
      </c>
    </row>
    <row r="31" spans="1:34" s="30" customFormat="1" ht="21.75" customHeight="1" x14ac:dyDescent="0.2">
      <c r="A31" s="18">
        <v>43136</v>
      </c>
      <c r="B31" s="19"/>
      <c r="C31" s="20" t="s">
        <v>229</v>
      </c>
      <c r="D31" s="20"/>
      <c r="E31" s="20"/>
      <c r="F31" s="21"/>
      <c r="G31" s="22" t="s">
        <v>230</v>
      </c>
      <c r="H31" s="23">
        <v>2000</v>
      </c>
      <c r="I31" s="23"/>
      <c r="J31" s="23"/>
      <c r="K31" s="23"/>
      <c r="L31" s="24"/>
      <c r="M31" s="25">
        <f t="shared" si="0"/>
        <v>2000</v>
      </c>
      <c r="N31" s="25">
        <f t="shared" si="1"/>
        <v>0</v>
      </c>
      <c r="O31" s="25">
        <f t="shared" si="2"/>
        <v>0</v>
      </c>
      <c r="P31" s="25"/>
      <c r="Q31" s="25"/>
      <c r="R31" s="25"/>
      <c r="S31" s="25"/>
      <c r="T31" s="26"/>
      <c r="U31" s="26"/>
      <c r="V31" s="26"/>
      <c r="W31" s="26"/>
      <c r="X31" s="26"/>
      <c r="Y31" s="31"/>
      <c r="Z31" s="25"/>
      <c r="AA31" s="25"/>
      <c r="AB31" s="25"/>
      <c r="AC31" s="25">
        <v>2000</v>
      </c>
      <c r="AD31" s="25"/>
      <c r="AE31" s="25"/>
      <c r="AF31" s="25"/>
      <c r="AG31" s="25">
        <f t="shared" si="3"/>
        <v>-2000</v>
      </c>
      <c r="AH31" s="29">
        <f t="shared" si="4"/>
        <v>0</v>
      </c>
    </row>
    <row r="32" spans="1:34" s="30" customFormat="1" ht="19.5" customHeight="1" x14ac:dyDescent="0.2">
      <c r="A32" s="18">
        <v>43136</v>
      </c>
      <c r="B32" s="19"/>
      <c r="C32" s="20" t="s">
        <v>96</v>
      </c>
      <c r="D32" s="20"/>
      <c r="E32" s="20"/>
      <c r="F32" s="21"/>
      <c r="G32" s="22" t="s">
        <v>231</v>
      </c>
      <c r="H32" s="23">
        <v>318</v>
      </c>
      <c r="I32" s="23"/>
      <c r="J32" s="23"/>
      <c r="K32" s="23"/>
      <c r="L32" s="24"/>
      <c r="M32" s="25">
        <f t="shared" si="0"/>
        <v>318</v>
      </c>
      <c r="N32" s="25">
        <f t="shared" si="1"/>
        <v>0</v>
      </c>
      <c r="O32" s="25">
        <f t="shared" si="2"/>
        <v>0</v>
      </c>
      <c r="P32" s="25"/>
      <c r="Q32" s="25"/>
      <c r="R32" s="25"/>
      <c r="S32" s="25"/>
      <c r="T32" s="26"/>
      <c r="U32" s="26"/>
      <c r="V32" s="26"/>
      <c r="W32" s="26"/>
      <c r="X32" s="26"/>
      <c r="Y32" s="31"/>
      <c r="Z32" s="25"/>
      <c r="AA32" s="25"/>
      <c r="AB32" s="25"/>
      <c r="AC32" s="25"/>
      <c r="AD32" s="25"/>
      <c r="AE32" s="25"/>
      <c r="AF32" s="25">
        <v>318</v>
      </c>
      <c r="AG32" s="25">
        <f t="shared" si="3"/>
        <v>-318</v>
      </c>
      <c r="AH32" s="29">
        <f t="shared" si="4"/>
        <v>0</v>
      </c>
    </row>
    <row r="33" spans="1:34" s="30" customFormat="1" ht="19.5" customHeight="1" x14ac:dyDescent="0.2">
      <c r="A33" s="18">
        <v>43137</v>
      </c>
      <c r="B33" s="19"/>
      <c r="C33" s="20" t="s">
        <v>51</v>
      </c>
      <c r="D33" s="20" t="s">
        <v>52</v>
      </c>
      <c r="E33" s="20" t="s">
        <v>39</v>
      </c>
      <c r="F33" s="21">
        <v>29473</v>
      </c>
      <c r="G33" s="22" t="s">
        <v>232</v>
      </c>
      <c r="H33" s="23"/>
      <c r="I33" s="23"/>
      <c r="J33" s="23"/>
      <c r="K33" s="23">
        <v>133.5</v>
      </c>
      <c r="L33" s="24"/>
      <c r="M33" s="25">
        <f t="shared" si="0"/>
        <v>119.19642857142856</v>
      </c>
      <c r="N33" s="25">
        <f t="shared" si="1"/>
        <v>14.303571428571425</v>
      </c>
      <c r="O33" s="25">
        <f t="shared" si="2"/>
        <v>0</v>
      </c>
      <c r="P33" s="25">
        <v>119.2</v>
      </c>
      <c r="Q33" s="25"/>
      <c r="R33" s="25"/>
      <c r="S33" s="25"/>
      <c r="T33" s="26"/>
      <c r="U33" s="26"/>
      <c r="V33" s="26"/>
      <c r="W33" s="26"/>
      <c r="X33" s="26"/>
      <c r="Y33" s="31"/>
      <c r="Z33" s="25"/>
      <c r="AA33" s="25"/>
      <c r="AB33" s="25"/>
      <c r="AC33" s="25"/>
      <c r="AD33" s="25"/>
      <c r="AE33" s="25"/>
      <c r="AF33" s="25"/>
      <c r="AG33" s="25">
        <f t="shared" si="3"/>
        <v>-133.50357142857143</v>
      </c>
      <c r="AH33" s="29">
        <f t="shared" si="4"/>
        <v>-3.5714285714334437E-3</v>
      </c>
    </row>
    <row r="34" spans="1:34" s="30" customFormat="1" ht="21.75" customHeight="1" x14ac:dyDescent="0.2">
      <c r="A34" s="18">
        <v>43137</v>
      </c>
      <c r="B34" s="19"/>
      <c r="C34" s="20" t="s">
        <v>45</v>
      </c>
      <c r="D34" s="20"/>
      <c r="E34" s="20"/>
      <c r="F34" s="21"/>
      <c r="G34" s="22" t="s">
        <v>233</v>
      </c>
      <c r="H34" s="23">
        <v>250</v>
      </c>
      <c r="I34" s="23"/>
      <c r="J34" s="23"/>
      <c r="K34" s="23"/>
      <c r="L34" s="24"/>
      <c r="M34" s="25">
        <f t="shared" si="0"/>
        <v>250</v>
      </c>
      <c r="N34" s="25">
        <f t="shared" si="1"/>
        <v>0</v>
      </c>
      <c r="O34" s="25">
        <f t="shared" si="2"/>
        <v>0</v>
      </c>
      <c r="P34" s="25"/>
      <c r="Q34" s="25"/>
      <c r="R34" s="25"/>
      <c r="S34" s="25"/>
      <c r="T34" s="26"/>
      <c r="U34" s="26"/>
      <c r="V34" s="26"/>
      <c r="W34" s="26"/>
      <c r="X34" s="26"/>
      <c r="Y34" s="31"/>
      <c r="Z34" s="25"/>
      <c r="AA34" s="25"/>
      <c r="AB34" s="25">
        <v>250</v>
      </c>
      <c r="AC34" s="25"/>
      <c r="AD34" s="25"/>
      <c r="AE34" s="25"/>
      <c r="AF34" s="25"/>
      <c r="AG34" s="25">
        <f t="shared" si="3"/>
        <v>-250</v>
      </c>
      <c r="AH34" s="29">
        <f t="shared" si="4"/>
        <v>0</v>
      </c>
    </row>
    <row r="35" spans="1:34" s="30" customFormat="1" ht="22.5" customHeight="1" x14ac:dyDescent="0.2">
      <c r="A35" s="18">
        <v>43138</v>
      </c>
      <c r="B35" s="19"/>
      <c r="C35" s="20" t="s">
        <v>234</v>
      </c>
      <c r="D35" s="20" t="s">
        <v>235</v>
      </c>
      <c r="E35" s="20" t="s">
        <v>236</v>
      </c>
      <c r="F35" s="21">
        <v>115222</v>
      </c>
      <c r="G35" s="22" t="s">
        <v>237</v>
      </c>
      <c r="H35" s="23"/>
      <c r="I35" s="23"/>
      <c r="J35" s="23"/>
      <c r="K35" s="23">
        <v>2500</v>
      </c>
      <c r="L35" s="24">
        <v>0.02</v>
      </c>
      <c r="M35" s="25">
        <f t="shared" si="0"/>
        <v>2232.1428571428569</v>
      </c>
      <c r="N35" s="25">
        <f t="shared" si="1"/>
        <v>267.85714285714283</v>
      </c>
      <c r="O35" s="25">
        <f t="shared" si="2"/>
        <v>-44.642857142857139</v>
      </c>
      <c r="P35" s="25"/>
      <c r="Q35" s="25"/>
      <c r="R35" s="25"/>
      <c r="S35" s="25"/>
      <c r="T35" s="26"/>
      <c r="U35" s="26"/>
      <c r="V35" s="26"/>
      <c r="W35" s="26"/>
      <c r="X35" s="26"/>
      <c r="Y35" s="31">
        <v>2232.14</v>
      </c>
      <c r="Z35" s="25"/>
      <c r="AA35" s="25"/>
      <c r="AB35" s="25"/>
      <c r="AC35" s="25"/>
      <c r="AD35" s="25"/>
      <c r="AE35" s="25"/>
      <c r="AF35" s="25"/>
      <c r="AG35" s="25">
        <f t="shared" si="3"/>
        <v>-2455.3542857142857</v>
      </c>
      <c r="AH35" s="29">
        <f t="shared" si="4"/>
        <v>2.8571428572092827E-3</v>
      </c>
    </row>
    <row r="36" spans="1:34" s="30" customFormat="1" ht="19.5" customHeight="1" x14ac:dyDescent="0.2">
      <c r="A36" s="18">
        <v>43138</v>
      </c>
      <c r="B36" s="19"/>
      <c r="C36" s="20" t="s">
        <v>51</v>
      </c>
      <c r="D36" s="20" t="s">
        <v>52</v>
      </c>
      <c r="E36" s="20" t="s">
        <v>39</v>
      </c>
      <c r="F36" s="21">
        <v>29480</v>
      </c>
      <c r="G36" s="22" t="s">
        <v>238</v>
      </c>
      <c r="H36" s="23"/>
      <c r="I36" s="23"/>
      <c r="J36" s="23"/>
      <c r="K36" s="23">
        <f>109.9+87</f>
        <v>196.9</v>
      </c>
      <c r="L36" s="24"/>
      <c r="M36" s="25">
        <f t="shared" si="0"/>
        <v>175.80357142857142</v>
      </c>
      <c r="N36" s="25">
        <f t="shared" si="1"/>
        <v>21.096428571428568</v>
      </c>
      <c r="O36" s="25">
        <f t="shared" si="2"/>
        <v>0</v>
      </c>
      <c r="P36" s="25">
        <v>175.5</v>
      </c>
      <c r="Q36" s="25"/>
      <c r="R36" s="25"/>
      <c r="S36" s="25"/>
      <c r="T36" s="26"/>
      <c r="U36" s="26"/>
      <c r="V36" s="26"/>
      <c r="W36" s="26"/>
      <c r="X36" s="26"/>
      <c r="Y36" s="31"/>
      <c r="Z36" s="25"/>
      <c r="AA36" s="25"/>
      <c r="AB36" s="25"/>
      <c r="AC36" s="25"/>
      <c r="AD36" s="25"/>
      <c r="AE36" s="25"/>
      <c r="AF36" s="25"/>
      <c r="AG36" s="25">
        <f t="shared" si="3"/>
        <v>-196.59642857142856</v>
      </c>
      <c r="AH36" s="29">
        <f t="shared" si="4"/>
        <v>0.30357142857144481</v>
      </c>
    </row>
    <row r="37" spans="1:34" s="30" customFormat="1" ht="19.5" customHeight="1" x14ac:dyDescent="0.2">
      <c r="A37" s="18">
        <v>43138</v>
      </c>
      <c r="B37" s="19"/>
      <c r="C37" s="20" t="s">
        <v>51</v>
      </c>
      <c r="D37" s="20" t="s">
        <v>52</v>
      </c>
      <c r="E37" s="20" t="s">
        <v>39</v>
      </c>
      <c r="F37" s="21">
        <v>29480</v>
      </c>
      <c r="G37" s="22" t="s">
        <v>239</v>
      </c>
      <c r="H37" s="23"/>
      <c r="I37" s="23"/>
      <c r="J37" s="23"/>
      <c r="K37" s="23">
        <v>123.59</v>
      </c>
      <c r="L37" s="24"/>
      <c r="M37" s="25">
        <f t="shared" ref="M37:M68" si="5">SUM(H37:J37,K37/1.12)</f>
        <v>110.34821428571428</v>
      </c>
      <c r="N37" s="25">
        <f t="shared" ref="N37:N68" si="6">K37/1.12*0.12</f>
        <v>13.241785714285713</v>
      </c>
      <c r="O37" s="25">
        <f t="shared" ref="O37:O68" si="7">-SUM(I37:J37,K37/1.12)*L37</f>
        <v>0</v>
      </c>
      <c r="P37" s="25"/>
      <c r="Q37" s="25"/>
      <c r="R37" s="25"/>
      <c r="S37" s="25">
        <v>110.35</v>
      </c>
      <c r="T37" s="26"/>
      <c r="U37" s="26"/>
      <c r="V37" s="26"/>
      <c r="W37" s="26"/>
      <c r="X37" s="26"/>
      <c r="Y37" s="31"/>
      <c r="Z37" s="25"/>
      <c r="AA37" s="25"/>
      <c r="AB37" s="25"/>
      <c r="AC37" s="25"/>
      <c r="AD37" s="25"/>
      <c r="AE37" s="25"/>
      <c r="AF37" s="25"/>
      <c r="AG37" s="25">
        <f t="shared" ref="AG37:AG68" si="8">-SUM(N37:AF37)</f>
        <v>-123.59178571428571</v>
      </c>
      <c r="AH37" s="29">
        <f t="shared" ref="AH37:AH68" si="9">SUM(H37:K37)+AG37+O37</f>
        <v>-1.785714285702511E-3</v>
      </c>
    </row>
    <row r="38" spans="1:34" s="30" customFormat="1" ht="19.5" customHeight="1" x14ac:dyDescent="0.2">
      <c r="A38" s="18">
        <v>43138</v>
      </c>
      <c r="B38" s="19"/>
      <c r="C38" s="20" t="s">
        <v>51</v>
      </c>
      <c r="D38" s="20" t="s">
        <v>52</v>
      </c>
      <c r="E38" s="20" t="s">
        <v>39</v>
      </c>
      <c r="F38" s="21">
        <v>29486</v>
      </c>
      <c r="G38" s="22" t="s">
        <v>240</v>
      </c>
      <c r="H38" s="23"/>
      <c r="I38" s="23"/>
      <c r="J38" s="23"/>
      <c r="K38" s="23">
        <v>175.7</v>
      </c>
      <c r="L38" s="24"/>
      <c r="M38" s="25">
        <f t="shared" si="5"/>
        <v>156.87499999999997</v>
      </c>
      <c r="N38" s="25">
        <f t="shared" si="6"/>
        <v>18.824999999999996</v>
      </c>
      <c r="O38" s="25">
        <f t="shared" si="7"/>
        <v>0</v>
      </c>
      <c r="P38" s="25">
        <v>156.88</v>
      </c>
      <c r="Q38" s="25"/>
      <c r="R38" s="25"/>
      <c r="S38" s="25"/>
      <c r="T38" s="26"/>
      <c r="U38" s="26"/>
      <c r="V38" s="26"/>
      <c r="W38" s="26"/>
      <c r="X38" s="26"/>
      <c r="Y38" s="31"/>
      <c r="Z38" s="25"/>
      <c r="AA38" s="25"/>
      <c r="AB38" s="25"/>
      <c r="AC38" s="25"/>
      <c r="AD38" s="25"/>
      <c r="AE38" s="25"/>
      <c r="AF38" s="25"/>
      <c r="AG38" s="25">
        <f t="shared" si="8"/>
        <v>-175.70499999999998</v>
      </c>
      <c r="AH38" s="29">
        <f t="shared" si="9"/>
        <v>-4.9999999999954525E-3</v>
      </c>
    </row>
    <row r="39" spans="1:34" s="30" customFormat="1" ht="24.75" customHeight="1" x14ac:dyDescent="0.2">
      <c r="A39" s="18">
        <v>43138</v>
      </c>
      <c r="B39" s="19"/>
      <c r="C39" s="20" t="s">
        <v>63</v>
      </c>
      <c r="D39" s="20" t="s">
        <v>64</v>
      </c>
      <c r="E39" s="20" t="s">
        <v>65</v>
      </c>
      <c r="F39" s="21">
        <v>67509</v>
      </c>
      <c r="G39" s="22" t="s">
        <v>241</v>
      </c>
      <c r="H39" s="23"/>
      <c r="I39" s="23"/>
      <c r="J39" s="23"/>
      <c r="K39" s="23">
        <v>2649.55</v>
      </c>
      <c r="L39" s="24"/>
      <c r="M39" s="25">
        <f t="shared" si="5"/>
        <v>2365.6696428571427</v>
      </c>
      <c r="N39" s="25">
        <f t="shared" si="6"/>
        <v>283.88035714285712</v>
      </c>
      <c r="O39" s="25">
        <f t="shared" si="7"/>
        <v>0</v>
      </c>
      <c r="P39" s="25">
        <v>2365.67</v>
      </c>
      <c r="Q39" s="25"/>
      <c r="R39" s="25"/>
      <c r="S39" s="25"/>
      <c r="T39" s="26"/>
      <c r="U39" s="26"/>
      <c r="V39" s="26"/>
      <c r="W39" s="26"/>
      <c r="X39" s="26"/>
      <c r="Y39" s="31"/>
      <c r="Z39" s="25"/>
      <c r="AA39" s="25"/>
      <c r="AB39" s="25"/>
      <c r="AC39" s="25"/>
      <c r="AD39" s="25"/>
      <c r="AE39" s="25"/>
      <c r="AF39" s="25"/>
      <c r="AG39" s="25">
        <f t="shared" si="8"/>
        <v>-2649.5503571428571</v>
      </c>
      <c r="AH39" s="29">
        <f t="shared" si="9"/>
        <v>-3.5714285695576109E-4</v>
      </c>
    </row>
    <row r="40" spans="1:34" s="30" customFormat="1" ht="19.5" customHeight="1" x14ac:dyDescent="0.2">
      <c r="A40" s="18">
        <v>43138</v>
      </c>
      <c r="B40" s="19"/>
      <c r="C40" s="20" t="s">
        <v>63</v>
      </c>
      <c r="D40" s="20" t="s">
        <v>64</v>
      </c>
      <c r="E40" s="20" t="s">
        <v>65</v>
      </c>
      <c r="F40" s="21">
        <v>67509</v>
      </c>
      <c r="G40" s="22" t="s">
        <v>242</v>
      </c>
      <c r="H40" s="23"/>
      <c r="I40" s="23"/>
      <c r="J40" s="23">
        <v>1047.2</v>
      </c>
      <c r="K40" s="23"/>
      <c r="L40" s="24"/>
      <c r="M40" s="25">
        <f t="shared" si="5"/>
        <v>1047.2</v>
      </c>
      <c r="N40" s="25">
        <f t="shared" si="6"/>
        <v>0</v>
      </c>
      <c r="O40" s="25">
        <f t="shared" si="7"/>
        <v>0</v>
      </c>
      <c r="P40" s="25">
        <v>1047.2</v>
      </c>
      <c r="Q40" s="25"/>
      <c r="R40" s="25"/>
      <c r="S40" s="25"/>
      <c r="T40" s="26"/>
      <c r="U40" s="26"/>
      <c r="V40" s="26"/>
      <c r="W40" s="26"/>
      <c r="X40" s="26"/>
      <c r="Y40" s="31"/>
      <c r="Z40" s="25"/>
      <c r="AA40" s="25"/>
      <c r="AB40" s="25"/>
      <c r="AC40" s="25"/>
      <c r="AD40" s="25"/>
      <c r="AE40" s="25"/>
      <c r="AF40" s="25"/>
      <c r="AG40" s="25">
        <f t="shared" si="8"/>
        <v>-1047.2</v>
      </c>
      <c r="AH40" s="29">
        <f t="shared" si="9"/>
        <v>0</v>
      </c>
    </row>
    <row r="41" spans="1:34" s="30" customFormat="1" ht="19.5" customHeight="1" x14ac:dyDescent="0.2">
      <c r="A41" s="18">
        <v>43138</v>
      </c>
      <c r="B41" s="19"/>
      <c r="C41" s="20" t="s">
        <v>63</v>
      </c>
      <c r="D41" s="20" t="s">
        <v>64</v>
      </c>
      <c r="E41" s="20" t="s">
        <v>65</v>
      </c>
      <c r="F41" s="21">
        <v>67509</v>
      </c>
      <c r="G41" s="22"/>
      <c r="H41" s="23"/>
      <c r="I41" s="23"/>
      <c r="J41" s="23"/>
      <c r="K41" s="23">
        <v>99</v>
      </c>
      <c r="L41" s="24"/>
      <c r="M41" s="25">
        <f t="shared" si="5"/>
        <v>88.392857142857139</v>
      </c>
      <c r="N41" s="25">
        <f t="shared" si="6"/>
        <v>10.607142857142856</v>
      </c>
      <c r="O41" s="25">
        <f t="shared" si="7"/>
        <v>0</v>
      </c>
      <c r="P41" s="25"/>
      <c r="Q41" s="25"/>
      <c r="R41" s="25">
        <v>88.39</v>
      </c>
      <c r="S41" s="25"/>
      <c r="T41" s="26"/>
      <c r="U41" s="26"/>
      <c r="V41" s="26"/>
      <c r="W41" s="26"/>
      <c r="X41" s="26"/>
      <c r="Y41" s="31"/>
      <c r="Z41" s="25"/>
      <c r="AA41" s="25"/>
      <c r="AB41" s="25"/>
      <c r="AC41" s="25"/>
      <c r="AD41" s="25"/>
      <c r="AE41" s="25"/>
      <c r="AF41" s="25"/>
      <c r="AG41" s="25">
        <f t="shared" si="8"/>
        <v>-98.997142857142862</v>
      </c>
      <c r="AH41" s="29">
        <f t="shared" si="9"/>
        <v>2.8571428571382285E-3</v>
      </c>
    </row>
    <row r="42" spans="1:34" s="30" customFormat="1" ht="19.5" customHeight="1" x14ac:dyDescent="0.2">
      <c r="A42" s="18">
        <v>43139</v>
      </c>
      <c r="B42" s="19"/>
      <c r="C42" s="20" t="s">
        <v>59</v>
      </c>
      <c r="D42" s="20" t="s">
        <v>137</v>
      </c>
      <c r="E42" s="20" t="s">
        <v>120</v>
      </c>
      <c r="F42" s="21">
        <v>627860</v>
      </c>
      <c r="G42" s="22" t="s">
        <v>243</v>
      </c>
      <c r="H42" s="23"/>
      <c r="I42" s="23"/>
      <c r="J42" s="23"/>
      <c r="K42" s="23">
        <v>430</v>
      </c>
      <c r="L42" s="24"/>
      <c r="M42" s="25">
        <f t="shared" si="5"/>
        <v>383.92857142857139</v>
      </c>
      <c r="N42" s="25">
        <f t="shared" si="6"/>
        <v>46.071428571428562</v>
      </c>
      <c r="O42" s="25">
        <f t="shared" si="7"/>
        <v>0</v>
      </c>
      <c r="P42" s="25"/>
      <c r="Q42" s="25"/>
      <c r="R42" s="25"/>
      <c r="S42" s="25"/>
      <c r="T42" s="26">
        <v>383.93</v>
      </c>
      <c r="U42" s="26"/>
      <c r="V42" s="26"/>
      <c r="W42" s="26"/>
      <c r="X42" s="26"/>
      <c r="Y42" s="31"/>
      <c r="Z42" s="25"/>
      <c r="AA42" s="25"/>
      <c r="AB42" s="25"/>
      <c r="AC42" s="25"/>
      <c r="AD42" s="25"/>
      <c r="AE42" s="25"/>
      <c r="AF42" s="25"/>
      <c r="AG42" s="25">
        <f t="shared" si="8"/>
        <v>-430.00142857142856</v>
      </c>
      <c r="AH42" s="29">
        <f t="shared" si="9"/>
        <v>-1.4285714285620088E-3</v>
      </c>
    </row>
    <row r="43" spans="1:34" s="30" customFormat="1" ht="19.5" customHeight="1" x14ac:dyDescent="0.2">
      <c r="A43" s="18">
        <v>43139</v>
      </c>
      <c r="B43" s="19"/>
      <c r="C43" s="20" t="s">
        <v>59</v>
      </c>
      <c r="D43" s="20" t="s">
        <v>137</v>
      </c>
      <c r="E43" s="20" t="s">
        <v>120</v>
      </c>
      <c r="F43" s="21">
        <v>627677</v>
      </c>
      <c r="G43" s="22" t="s">
        <v>244</v>
      </c>
      <c r="H43" s="23"/>
      <c r="I43" s="23"/>
      <c r="J43" s="23"/>
      <c r="K43" s="23">
        <v>89.5</v>
      </c>
      <c r="L43" s="24"/>
      <c r="M43" s="25">
        <f t="shared" si="5"/>
        <v>79.910714285714278</v>
      </c>
      <c r="N43" s="25">
        <f t="shared" si="6"/>
        <v>9.5892857142857135</v>
      </c>
      <c r="O43" s="25">
        <f t="shared" si="7"/>
        <v>0</v>
      </c>
      <c r="P43" s="25"/>
      <c r="Q43" s="25"/>
      <c r="R43" s="25"/>
      <c r="S43" s="25"/>
      <c r="T43" s="26">
        <v>79.91</v>
      </c>
      <c r="U43" s="26"/>
      <c r="V43" s="26"/>
      <c r="W43" s="26"/>
      <c r="X43" s="26"/>
      <c r="Y43" s="31"/>
      <c r="Z43" s="25"/>
      <c r="AA43" s="25"/>
      <c r="AB43" s="25"/>
      <c r="AC43" s="25"/>
      <c r="AD43" s="25"/>
      <c r="AE43" s="25"/>
      <c r="AF43" s="25"/>
      <c r="AG43" s="25">
        <f t="shared" si="8"/>
        <v>-89.499285714285705</v>
      </c>
      <c r="AH43" s="29">
        <f t="shared" si="9"/>
        <v>7.1428571429521526E-4</v>
      </c>
    </row>
    <row r="44" spans="1:34" s="30" customFormat="1" ht="19.5" customHeight="1" x14ac:dyDescent="0.2">
      <c r="A44" s="18">
        <v>43139</v>
      </c>
      <c r="B44" s="19"/>
      <c r="C44" s="20" t="s">
        <v>51</v>
      </c>
      <c r="D44" s="20" t="s">
        <v>52</v>
      </c>
      <c r="E44" s="20" t="s">
        <v>39</v>
      </c>
      <c r="F44" s="21">
        <v>28416</v>
      </c>
      <c r="G44" s="22" t="s">
        <v>245</v>
      </c>
      <c r="H44" s="23"/>
      <c r="I44" s="23"/>
      <c r="J44" s="23"/>
      <c r="K44" s="23">
        <v>180</v>
      </c>
      <c r="L44" s="24"/>
      <c r="M44" s="25">
        <f t="shared" si="5"/>
        <v>160.71428571428569</v>
      </c>
      <c r="N44" s="25">
        <f t="shared" si="6"/>
        <v>19.285714285714281</v>
      </c>
      <c r="O44" s="25">
        <f t="shared" si="7"/>
        <v>0</v>
      </c>
      <c r="P44" s="25"/>
      <c r="Q44" s="25">
        <v>160.71</v>
      </c>
      <c r="R44" s="25"/>
      <c r="S44" s="25"/>
      <c r="T44" s="26"/>
      <c r="U44" s="26"/>
      <c r="V44" s="26"/>
      <c r="W44" s="26"/>
      <c r="X44" s="26"/>
      <c r="Y44" s="31"/>
      <c r="Z44" s="25"/>
      <c r="AA44" s="25"/>
      <c r="AB44" s="25"/>
      <c r="AC44" s="25"/>
      <c r="AD44" s="25"/>
      <c r="AE44" s="25"/>
      <c r="AF44" s="25"/>
      <c r="AG44" s="25">
        <f t="shared" si="8"/>
        <v>-179.99571428571429</v>
      </c>
      <c r="AH44" s="29">
        <f t="shared" si="9"/>
        <v>4.2857142857144481E-3</v>
      </c>
    </row>
    <row r="45" spans="1:34" s="30" customFormat="1" ht="19.5" customHeight="1" x14ac:dyDescent="0.2">
      <c r="A45" s="18">
        <v>43139</v>
      </c>
      <c r="B45" s="19"/>
      <c r="C45" s="20" t="s">
        <v>246</v>
      </c>
      <c r="D45" s="20" t="s">
        <v>88</v>
      </c>
      <c r="E45" s="20" t="s">
        <v>43</v>
      </c>
      <c r="F45" s="21">
        <v>2282</v>
      </c>
      <c r="G45" s="22" t="s">
        <v>90</v>
      </c>
      <c r="H45" s="23"/>
      <c r="I45" s="23"/>
      <c r="J45" s="23">
        <v>270</v>
      </c>
      <c r="K45" s="23"/>
      <c r="L45" s="24"/>
      <c r="M45" s="25">
        <f t="shared" si="5"/>
        <v>270</v>
      </c>
      <c r="N45" s="25">
        <f t="shared" si="6"/>
        <v>0</v>
      </c>
      <c r="O45" s="25">
        <f t="shared" si="7"/>
        <v>0</v>
      </c>
      <c r="P45" s="25">
        <v>270</v>
      </c>
      <c r="Q45" s="25"/>
      <c r="R45" s="25"/>
      <c r="S45" s="25"/>
      <c r="T45" s="26"/>
      <c r="U45" s="26"/>
      <c r="V45" s="26"/>
      <c r="W45" s="26"/>
      <c r="X45" s="26"/>
      <c r="Y45" s="31"/>
      <c r="Z45" s="25"/>
      <c r="AA45" s="25"/>
      <c r="AB45" s="25"/>
      <c r="AC45" s="25"/>
      <c r="AD45" s="25"/>
      <c r="AE45" s="25"/>
      <c r="AF45" s="25"/>
      <c r="AG45" s="25">
        <f t="shared" si="8"/>
        <v>-270</v>
      </c>
      <c r="AH45" s="29">
        <f t="shared" si="9"/>
        <v>0</v>
      </c>
    </row>
    <row r="46" spans="1:34" s="30" customFormat="1" ht="19.5" customHeight="1" x14ac:dyDescent="0.2">
      <c r="A46" s="18">
        <v>43139</v>
      </c>
      <c r="B46" s="19"/>
      <c r="C46" s="20" t="s">
        <v>45</v>
      </c>
      <c r="D46" s="20" t="s">
        <v>52</v>
      </c>
      <c r="E46" s="20" t="s">
        <v>39</v>
      </c>
      <c r="F46" s="21"/>
      <c r="G46" s="22" t="s">
        <v>247</v>
      </c>
      <c r="H46" s="23">
        <v>100</v>
      </c>
      <c r="I46" s="23"/>
      <c r="J46" s="23"/>
      <c r="K46" s="23"/>
      <c r="L46" s="24"/>
      <c r="M46" s="25">
        <f t="shared" si="5"/>
        <v>100</v>
      </c>
      <c r="N46" s="25">
        <f t="shared" si="6"/>
        <v>0</v>
      </c>
      <c r="O46" s="25">
        <f t="shared" si="7"/>
        <v>0</v>
      </c>
      <c r="P46" s="25"/>
      <c r="Q46" s="25"/>
      <c r="R46" s="25"/>
      <c r="S46" s="25"/>
      <c r="T46" s="26"/>
      <c r="U46" s="26"/>
      <c r="V46" s="26"/>
      <c r="W46" s="26"/>
      <c r="X46" s="26"/>
      <c r="Y46" s="31"/>
      <c r="Z46" s="25"/>
      <c r="AA46" s="25">
        <v>100</v>
      </c>
      <c r="AB46" s="25"/>
      <c r="AC46" s="25"/>
      <c r="AD46" s="25"/>
      <c r="AE46" s="25"/>
      <c r="AF46" s="25"/>
      <c r="AG46" s="25">
        <f t="shared" si="8"/>
        <v>-100</v>
      </c>
      <c r="AH46" s="29">
        <f t="shared" si="9"/>
        <v>0</v>
      </c>
    </row>
    <row r="47" spans="1:34" s="30" customFormat="1" ht="24.75" customHeight="1" x14ac:dyDescent="0.2">
      <c r="A47" s="18">
        <v>43140</v>
      </c>
      <c r="B47" s="19"/>
      <c r="C47" s="20" t="s">
        <v>248</v>
      </c>
      <c r="D47" s="20" t="s">
        <v>55</v>
      </c>
      <c r="E47" s="20" t="s">
        <v>249</v>
      </c>
      <c r="F47" s="21">
        <v>133</v>
      </c>
      <c r="G47" s="22" t="s">
        <v>250</v>
      </c>
      <c r="H47" s="23"/>
      <c r="I47" s="23"/>
      <c r="J47" s="23">
        <v>3524</v>
      </c>
      <c r="K47" s="23"/>
      <c r="L47" s="24">
        <v>0.01</v>
      </c>
      <c r="M47" s="25">
        <f t="shared" si="5"/>
        <v>3524</v>
      </c>
      <c r="N47" s="25">
        <f t="shared" si="6"/>
        <v>0</v>
      </c>
      <c r="O47" s="25">
        <f t="shared" si="7"/>
        <v>-35.24</v>
      </c>
      <c r="P47" s="25">
        <v>3524</v>
      </c>
      <c r="Q47" s="25"/>
      <c r="R47" s="25"/>
      <c r="S47" s="25"/>
      <c r="T47" s="26"/>
      <c r="U47" s="26"/>
      <c r="V47" s="26"/>
      <c r="W47" s="26"/>
      <c r="X47" s="26"/>
      <c r="Y47" s="31"/>
      <c r="Z47" s="25"/>
      <c r="AA47" s="25"/>
      <c r="AB47" s="25"/>
      <c r="AC47" s="25"/>
      <c r="AD47" s="25"/>
      <c r="AE47" s="25"/>
      <c r="AF47" s="25"/>
      <c r="AG47" s="25">
        <f t="shared" si="8"/>
        <v>-3488.76</v>
      </c>
      <c r="AH47" s="29">
        <f t="shared" si="9"/>
        <v>-2.2026824808563106E-13</v>
      </c>
    </row>
    <row r="48" spans="1:34" s="30" customFormat="1" ht="24.75" customHeight="1" x14ac:dyDescent="0.2">
      <c r="A48" s="18">
        <v>43140</v>
      </c>
      <c r="B48" s="19"/>
      <c r="C48" s="20" t="s">
        <v>104</v>
      </c>
      <c r="D48" s="20" t="s">
        <v>105</v>
      </c>
      <c r="E48" s="20" t="s">
        <v>146</v>
      </c>
      <c r="F48" s="21">
        <v>91301</v>
      </c>
      <c r="G48" s="22" t="s">
        <v>251</v>
      </c>
      <c r="H48" s="23"/>
      <c r="I48" s="23"/>
      <c r="J48" s="23"/>
      <c r="K48" s="23">
        <v>3164.74</v>
      </c>
      <c r="L48" s="24">
        <v>0.01</v>
      </c>
      <c r="M48" s="25">
        <f t="shared" si="5"/>
        <v>2825.6607142857138</v>
      </c>
      <c r="N48" s="25">
        <f t="shared" si="6"/>
        <v>339.07928571428562</v>
      </c>
      <c r="O48" s="25">
        <f t="shared" si="7"/>
        <v>-28.256607142857138</v>
      </c>
      <c r="P48" s="25">
        <v>2825.66</v>
      </c>
      <c r="Q48" s="25"/>
      <c r="R48" s="25"/>
      <c r="S48" s="25"/>
      <c r="T48" s="26"/>
      <c r="U48" s="26"/>
      <c r="V48" s="26"/>
      <c r="W48" s="26"/>
      <c r="X48" s="26"/>
      <c r="Y48" s="31"/>
      <c r="Z48" s="25"/>
      <c r="AA48" s="25"/>
      <c r="AB48" s="25"/>
      <c r="AC48" s="25"/>
      <c r="AD48" s="25"/>
      <c r="AE48" s="25"/>
      <c r="AF48" s="25"/>
      <c r="AG48" s="25">
        <f t="shared" si="8"/>
        <v>-3136.4826785714286</v>
      </c>
      <c r="AH48" s="29">
        <f t="shared" si="9"/>
        <v>7.1428571409271058E-4</v>
      </c>
    </row>
    <row r="49" spans="1:34" s="30" customFormat="1" ht="24.75" customHeight="1" x14ac:dyDescent="0.2">
      <c r="A49" s="33">
        <v>43140</v>
      </c>
      <c r="B49" s="34"/>
      <c r="C49" s="36" t="s">
        <v>68</v>
      </c>
      <c r="D49" s="36"/>
      <c r="E49" s="36"/>
      <c r="F49" s="37"/>
      <c r="G49" s="38" t="s">
        <v>252</v>
      </c>
      <c r="H49" s="39">
        <v>40</v>
      </c>
      <c r="I49" s="39"/>
      <c r="J49" s="39"/>
      <c r="K49" s="39"/>
      <c r="L49" s="40"/>
      <c r="M49" s="41">
        <f t="shared" si="5"/>
        <v>40</v>
      </c>
      <c r="N49" s="41">
        <f t="shared" si="6"/>
        <v>0</v>
      </c>
      <c r="O49" s="41">
        <f t="shared" si="7"/>
        <v>0</v>
      </c>
      <c r="P49" s="41"/>
      <c r="Q49" s="41"/>
      <c r="R49" s="41"/>
      <c r="S49" s="41"/>
      <c r="T49" s="42"/>
      <c r="U49" s="42"/>
      <c r="V49" s="42"/>
      <c r="W49" s="42"/>
      <c r="X49" s="42"/>
      <c r="Y49" s="41"/>
      <c r="Z49" s="41"/>
      <c r="AA49" s="41">
        <v>40</v>
      </c>
      <c r="AB49" s="41"/>
      <c r="AC49" s="41"/>
      <c r="AD49" s="41"/>
      <c r="AE49" s="41"/>
      <c r="AF49" s="41"/>
      <c r="AG49" s="41">
        <f t="shared" si="8"/>
        <v>-40</v>
      </c>
      <c r="AH49" s="45">
        <f t="shared" si="9"/>
        <v>0</v>
      </c>
    </row>
    <row r="50" spans="1:34" s="30" customFormat="1" ht="21.75" customHeight="1" x14ac:dyDescent="0.2">
      <c r="A50" s="18">
        <v>43141</v>
      </c>
      <c r="B50" s="19"/>
      <c r="C50" s="20" t="s">
        <v>253</v>
      </c>
      <c r="D50" s="20" t="s">
        <v>254</v>
      </c>
      <c r="E50" s="20" t="s">
        <v>156</v>
      </c>
      <c r="F50" s="21">
        <v>2949</v>
      </c>
      <c r="G50" s="21" t="s">
        <v>255</v>
      </c>
      <c r="H50" s="23"/>
      <c r="I50" s="23"/>
      <c r="J50" s="23">
        <v>525</v>
      </c>
      <c r="K50" s="23"/>
      <c r="L50" s="24"/>
      <c r="M50" s="25">
        <f t="shared" si="5"/>
        <v>525</v>
      </c>
      <c r="N50" s="25">
        <f t="shared" si="6"/>
        <v>0</v>
      </c>
      <c r="O50" s="25">
        <f t="shared" si="7"/>
        <v>0</v>
      </c>
      <c r="P50" s="25"/>
      <c r="Q50" s="25"/>
      <c r="R50" s="25"/>
      <c r="S50" s="25"/>
      <c r="T50" s="26"/>
      <c r="U50" s="26"/>
      <c r="V50" s="26">
        <v>525</v>
      </c>
      <c r="W50" s="26"/>
      <c r="X50" s="26"/>
      <c r="Y50" s="31"/>
      <c r="Z50" s="25"/>
      <c r="AA50" s="25"/>
      <c r="AB50" s="25"/>
      <c r="AC50" s="25"/>
      <c r="AD50" s="25"/>
      <c r="AE50" s="25"/>
      <c r="AF50" s="25"/>
      <c r="AG50" s="25">
        <f t="shared" si="8"/>
        <v>-525</v>
      </c>
      <c r="AH50" s="29">
        <f t="shared" si="9"/>
        <v>0</v>
      </c>
    </row>
    <row r="51" spans="1:34" s="30" customFormat="1" ht="24.75" customHeight="1" x14ac:dyDescent="0.2">
      <c r="A51" s="18">
        <v>43141</v>
      </c>
      <c r="B51" s="19"/>
      <c r="C51" s="20" t="s">
        <v>256</v>
      </c>
      <c r="D51" s="20" t="s">
        <v>155</v>
      </c>
      <c r="E51" s="20" t="s">
        <v>156</v>
      </c>
      <c r="F51" s="21">
        <v>108545</v>
      </c>
      <c r="G51" s="22" t="s">
        <v>159</v>
      </c>
      <c r="H51" s="23"/>
      <c r="I51" s="23"/>
      <c r="J51" s="23"/>
      <c r="K51" s="23">
        <v>960</v>
      </c>
      <c r="L51" s="24"/>
      <c r="M51" s="25">
        <f t="shared" si="5"/>
        <v>857.14285714285711</v>
      </c>
      <c r="N51" s="25">
        <f t="shared" si="6"/>
        <v>102.85714285714285</v>
      </c>
      <c r="O51" s="25">
        <f t="shared" si="7"/>
        <v>0</v>
      </c>
      <c r="P51" s="25">
        <v>857.14</v>
      </c>
      <c r="Q51" s="25"/>
      <c r="R51" s="25"/>
      <c r="S51" s="25"/>
      <c r="T51" s="26"/>
      <c r="U51" s="26"/>
      <c r="V51" s="26"/>
      <c r="W51" s="26"/>
      <c r="X51" s="26"/>
      <c r="Y51" s="31"/>
      <c r="Z51" s="25"/>
      <c r="AA51" s="25"/>
      <c r="AB51" s="25"/>
      <c r="AC51" s="25"/>
      <c r="AD51" s="25"/>
      <c r="AE51" s="25"/>
      <c r="AF51" s="25"/>
      <c r="AG51" s="25">
        <f t="shared" si="8"/>
        <v>-959.99714285714288</v>
      </c>
      <c r="AH51" s="29">
        <f t="shared" si="9"/>
        <v>2.8571428571240176E-3</v>
      </c>
    </row>
    <row r="52" spans="1:34" s="30" customFormat="1" ht="19.5" customHeight="1" x14ac:dyDescent="0.2">
      <c r="A52" s="18">
        <v>43141</v>
      </c>
      <c r="B52" s="19"/>
      <c r="C52" s="20" t="s">
        <v>256</v>
      </c>
      <c r="D52" s="20" t="s">
        <v>155</v>
      </c>
      <c r="E52" s="20" t="s">
        <v>156</v>
      </c>
      <c r="F52" s="21">
        <v>108545</v>
      </c>
      <c r="G52" s="22" t="s">
        <v>257</v>
      </c>
      <c r="H52" s="23"/>
      <c r="I52" s="23"/>
      <c r="J52" s="23"/>
      <c r="K52" s="23">
        <v>200</v>
      </c>
      <c r="L52" s="24"/>
      <c r="M52" s="25">
        <f t="shared" si="5"/>
        <v>178.57142857142856</v>
      </c>
      <c r="N52" s="25">
        <f t="shared" si="6"/>
        <v>21.428571428571427</v>
      </c>
      <c r="O52" s="25">
        <f t="shared" si="7"/>
        <v>0</v>
      </c>
      <c r="P52" s="25"/>
      <c r="Q52" s="25"/>
      <c r="R52" s="25"/>
      <c r="S52" s="25">
        <v>178.57</v>
      </c>
      <c r="T52" s="26"/>
      <c r="U52" s="26"/>
      <c r="V52" s="26"/>
      <c r="W52" s="26"/>
      <c r="X52" s="26"/>
      <c r="Y52" s="31"/>
      <c r="Z52" s="25"/>
      <c r="AA52" s="25"/>
      <c r="AB52" s="25"/>
      <c r="AC52" s="25"/>
      <c r="AD52" s="25"/>
      <c r="AE52" s="25"/>
      <c r="AF52" s="25"/>
      <c r="AG52" s="25">
        <f t="shared" si="8"/>
        <v>-199.99857142857141</v>
      </c>
      <c r="AH52" s="29">
        <f t="shared" si="9"/>
        <v>1.4285714285904305E-3</v>
      </c>
    </row>
    <row r="53" spans="1:34" s="30" customFormat="1" ht="21.75" customHeight="1" x14ac:dyDescent="0.2">
      <c r="A53" s="18">
        <v>43141</v>
      </c>
      <c r="B53" s="19"/>
      <c r="C53" s="20" t="s">
        <v>68</v>
      </c>
      <c r="D53" s="20"/>
      <c r="E53" s="20"/>
      <c r="F53" s="21"/>
      <c r="G53" s="22" t="s">
        <v>258</v>
      </c>
      <c r="H53" s="23">
        <v>130</v>
      </c>
      <c r="I53" s="23"/>
      <c r="J53" s="23"/>
      <c r="K53" s="23"/>
      <c r="L53" s="24"/>
      <c r="M53" s="25">
        <f t="shared" si="5"/>
        <v>130</v>
      </c>
      <c r="N53" s="25">
        <f t="shared" si="6"/>
        <v>0</v>
      </c>
      <c r="O53" s="25">
        <f t="shared" si="7"/>
        <v>0</v>
      </c>
      <c r="P53" s="25"/>
      <c r="Q53" s="25"/>
      <c r="R53" s="25"/>
      <c r="S53" s="25"/>
      <c r="T53" s="26"/>
      <c r="U53" s="26"/>
      <c r="V53" s="26"/>
      <c r="W53" s="26"/>
      <c r="X53" s="26"/>
      <c r="Y53" s="31"/>
      <c r="Z53" s="25"/>
      <c r="AA53" s="25">
        <v>130</v>
      </c>
      <c r="AB53" s="25"/>
      <c r="AC53" s="25"/>
      <c r="AD53" s="25"/>
      <c r="AE53" s="25"/>
      <c r="AF53" s="25"/>
      <c r="AG53" s="25">
        <f t="shared" si="8"/>
        <v>-130</v>
      </c>
      <c r="AH53" s="29">
        <f t="shared" si="9"/>
        <v>0</v>
      </c>
    </row>
    <row r="54" spans="1:34" s="30" customFormat="1" ht="19.5" customHeight="1" x14ac:dyDescent="0.2">
      <c r="A54" s="18">
        <v>43141</v>
      </c>
      <c r="B54" s="19"/>
      <c r="C54" s="20" t="s">
        <v>59</v>
      </c>
      <c r="D54" s="20" t="s">
        <v>137</v>
      </c>
      <c r="E54" s="20" t="s">
        <v>120</v>
      </c>
      <c r="F54" s="21">
        <v>657616</v>
      </c>
      <c r="G54" s="22" t="s">
        <v>259</v>
      </c>
      <c r="H54" s="23"/>
      <c r="I54" s="23"/>
      <c r="J54" s="23"/>
      <c r="K54" s="23">
        <v>121.5</v>
      </c>
      <c r="L54" s="24"/>
      <c r="M54" s="25">
        <f t="shared" si="5"/>
        <v>108.48214285714285</v>
      </c>
      <c r="N54" s="25">
        <f t="shared" si="6"/>
        <v>13.017857142857141</v>
      </c>
      <c r="O54" s="25">
        <f t="shared" si="7"/>
        <v>0</v>
      </c>
      <c r="P54" s="25"/>
      <c r="Q54" s="25"/>
      <c r="R54" s="25"/>
      <c r="S54" s="25">
        <v>108.48</v>
      </c>
      <c r="T54" s="26"/>
      <c r="U54" s="26"/>
      <c r="V54" s="26"/>
      <c r="W54" s="26"/>
      <c r="X54" s="26"/>
      <c r="Y54" s="31"/>
      <c r="Z54" s="25"/>
      <c r="AA54" s="25"/>
      <c r="AB54" s="25"/>
      <c r="AC54" s="25"/>
      <c r="AD54" s="25"/>
      <c r="AE54" s="25"/>
      <c r="AF54" s="25"/>
      <c r="AG54" s="25">
        <f t="shared" si="8"/>
        <v>-121.49785714285714</v>
      </c>
      <c r="AH54" s="29">
        <f t="shared" si="9"/>
        <v>2.1428571428572241E-3</v>
      </c>
    </row>
    <row r="55" spans="1:34" s="30" customFormat="1" ht="22.5" customHeight="1" x14ac:dyDescent="0.2">
      <c r="A55" s="18">
        <v>43143</v>
      </c>
      <c r="B55" s="19"/>
      <c r="C55" s="20" t="s">
        <v>223</v>
      </c>
      <c r="D55" s="20" t="s">
        <v>260</v>
      </c>
      <c r="E55" s="20" t="s">
        <v>261</v>
      </c>
      <c r="F55" s="21">
        <v>112569</v>
      </c>
      <c r="G55" s="22" t="s">
        <v>262</v>
      </c>
      <c r="H55" s="23"/>
      <c r="I55" s="23"/>
      <c r="J55" s="23"/>
      <c r="K55" s="23">
        <v>199</v>
      </c>
      <c r="L55" s="24"/>
      <c r="M55" s="25">
        <f t="shared" si="5"/>
        <v>177.67857142857142</v>
      </c>
      <c r="N55" s="25">
        <f t="shared" si="6"/>
        <v>21.321428571428569</v>
      </c>
      <c r="O55" s="25">
        <f t="shared" si="7"/>
        <v>0</v>
      </c>
      <c r="P55" s="25"/>
      <c r="Q55" s="25"/>
      <c r="R55" s="25"/>
      <c r="S55" s="25"/>
      <c r="T55" s="26"/>
      <c r="U55" s="26"/>
      <c r="V55" s="26">
        <v>177.68</v>
      </c>
      <c r="W55" s="26"/>
      <c r="X55" s="26"/>
      <c r="Y55" s="31"/>
      <c r="Z55" s="25"/>
      <c r="AA55" s="25"/>
      <c r="AB55" s="25"/>
      <c r="AC55" s="25"/>
      <c r="AD55" s="25"/>
      <c r="AE55" s="25"/>
      <c r="AF55" s="25"/>
      <c r="AG55" s="25">
        <f t="shared" si="8"/>
        <v>-199.00142857142856</v>
      </c>
      <c r="AH55" s="29">
        <f t="shared" si="9"/>
        <v>-1.4285714285620088E-3</v>
      </c>
    </row>
    <row r="56" spans="1:34" s="30" customFormat="1" ht="19.5" customHeight="1" x14ac:dyDescent="0.2">
      <c r="A56" s="18">
        <v>43143</v>
      </c>
      <c r="B56" s="19"/>
      <c r="C56" s="20" t="s">
        <v>263</v>
      </c>
      <c r="D56" s="20" t="s">
        <v>264</v>
      </c>
      <c r="E56" s="20" t="s">
        <v>261</v>
      </c>
      <c r="F56" s="21">
        <v>298</v>
      </c>
      <c r="G56" s="22" t="s">
        <v>265</v>
      </c>
      <c r="H56" s="23"/>
      <c r="I56" s="23"/>
      <c r="J56" s="23"/>
      <c r="K56" s="23">
        <v>100</v>
      </c>
      <c r="L56" s="24"/>
      <c r="M56" s="25">
        <f t="shared" si="5"/>
        <v>89.285714285714278</v>
      </c>
      <c r="N56" s="25">
        <f t="shared" si="6"/>
        <v>10.714285714285714</v>
      </c>
      <c r="O56" s="25">
        <f t="shared" si="7"/>
        <v>0</v>
      </c>
      <c r="P56" s="25"/>
      <c r="Q56" s="25"/>
      <c r="R56" s="25"/>
      <c r="S56" s="25">
        <v>89.29</v>
      </c>
      <c r="T56" s="26"/>
      <c r="U56" s="26"/>
      <c r="V56" s="26"/>
      <c r="W56" s="26"/>
      <c r="X56" s="26"/>
      <c r="Y56" s="31"/>
      <c r="Z56" s="25"/>
      <c r="AA56" s="25"/>
      <c r="AB56" s="25"/>
      <c r="AC56" s="25"/>
      <c r="AD56" s="25"/>
      <c r="AE56" s="25"/>
      <c r="AF56" s="25"/>
      <c r="AG56" s="25">
        <f t="shared" si="8"/>
        <v>-100.00428571428571</v>
      </c>
      <c r="AH56" s="29">
        <f t="shared" si="9"/>
        <v>-4.2857142857144481E-3</v>
      </c>
    </row>
    <row r="57" spans="1:34" s="30" customFormat="1" ht="18.75" customHeight="1" x14ac:dyDescent="0.2">
      <c r="A57" s="18">
        <v>43143</v>
      </c>
      <c r="B57" s="19"/>
      <c r="C57" s="20" t="s">
        <v>59</v>
      </c>
      <c r="D57" s="20" t="s">
        <v>137</v>
      </c>
      <c r="E57" s="20" t="s">
        <v>120</v>
      </c>
      <c r="F57" s="21">
        <v>628349</v>
      </c>
      <c r="G57" s="22" t="s">
        <v>266</v>
      </c>
      <c r="H57" s="23"/>
      <c r="I57" s="23"/>
      <c r="J57" s="23"/>
      <c r="K57" s="23">
        <v>31.5</v>
      </c>
      <c r="L57" s="24"/>
      <c r="M57" s="25">
        <f t="shared" si="5"/>
        <v>28.124999999999996</v>
      </c>
      <c r="N57" s="25">
        <f t="shared" si="6"/>
        <v>3.3749999999999996</v>
      </c>
      <c r="O57" s="25">
        <f t="shared" si="7"/>
        <v>0</v>
      </c>
      <c r="P57" s="25"/>
      <c r="Q57" s="25"/>
      <c r="R57" s="25"/>
      <c r="S57" s="25"/>
      <c r="T57" s="26">
        <v>28.13</v>
      </c>
      <c r="U57" s="26"/>
      <c r="V57" s="26"/>
      <c r="W57" s="26"/>
      <c r="X57" s="26"/>
      <c r="Y57" s="31"/>
      <c r="Z57" s="25"/>
      <c r="AA57" s="25"/>
      <c r="AB57" s="25"/>
      <c r="AC57" s="25"/>
      <c r="AD57" s="25"/>
      <c r="AE57" s="25"/>
      <c r="AF57" s="25"/>
      <c r="AG57" s="25">
        <f t="shared" si="8"/>
        <v>-31.504999999999999</v>
      </c>
      <c r="AH57" s="29">
        <f t="shared" si="9"/>
        <v>-4.9999999999990052E-3</v>
      </c>
    </row>
    <row r="58" spans="1:34" s="30" customFormat="1" ht="21" customHeight="1" x14ac:dyDescent="0.2">
      <c r="A58" s="18">
        <v>43145</v>
      </c>
      <c r="B58" s="19"/>
      <c r="C58" s="20" t="s">
        <v>63</v>
      </c>
      <c r="D58" s="20" t="s">
        <v>64</v>
      </c>
      <c r="E58" s="20" t="s">
        <v>65</v>
      </c>
      <c r="F58" s="21">
        <v>65076</v>
      </c>
      <c r="G58" s="22" t="s">
        <v>267</v>
      </c>
      <c r="H58" s="23"/>
      <c r="I58" s="23"/>
      <c r="J58" s="23">
        <f>371.8+710.75</f>
        <v>1082.55</v>
      </c>
      <c r="K58" s="23"/>
      <c r="L58" s="24"/>
      <c r="M58" s="25">
        <f t="shared" si="5"/>
        <v>1082.55</v>
      </c>
      <c r="N58" s="25">
        <f t="shared" si="6"/>
        <v>0</v>
      </c>
      <c r="O58" s="25">
        <f t="shared" si="7"/>
        <v>0</v>
      </c>
      <c r="P58" s="25">
        <v>1082.55</v>
      </c>
      <c r="Q58" s="25"/>
      <c r="R58" s="25"/>
      <c r="S58" s="25"/>
      <c r="T58" s="26"/>
      <c r="U58" s="26"/>
      <c r="V58" s="26"/>
      <c r="W58" s="26"/>
      <c r="X58" s="26"/>
      <c r="Y58" s="31"/>
      <c r="Z58" s="25"/>
      <c r="AA58" s="25"/>
      <c r="AB58" s="25"/>
      <c r="AC58" s="25"/>
      <c r="AD58" s="25"/>
      <c r="AE58" s="25"/>
      <c r="AF58" s="25"/>
      <c r="AG58" s="25">
        <f t="shared" si="8"/>
        <v>-1082.55</v>
      </c>
      <c r="AH58" s="29">
        <f t="shared" si="9"/>
        <v>0</v>
      </c>
    </row>
    <row r="59" spans="1:34" s="30" customFormat="1" ht="21.75" customHeight="1" x14ac:dyDescent="0.2">
      <c r="A59" s="18">
        <v>43145</v>
      </c>
      <c r="B59" s="19"/>
      <c r="C59" s="20" t="s">
        <v>63</v>
      </c>
      <c r="D59" s="20" t="s">
        <v>64</v>
      </c>
      <c r="E59" s="20" t="s">
        <v>65</v>
      </c>
      <c r="F59" s="21">
        <v>65076</v>
      </c>
      <c r="G59" s="22" t="s">
        <v>268</v>
      </c>
      <c r="H59" s="23"/>
      <c r="I59" s="23"/>
      <c r="J59" s="23"/>
      <c r="K59" s="23">
        <f>130.7+265.5</f>
        <v>396.2</v>
      </c>
      <c r="L59" s="24"/>
      <c r="M59" s="25">
        <f t="shared" si="5"/>
        <v>353.74999999999994</v>
      </c>
      <c r="N59" s="25">
        <f t="shared" si="6"/>
        <v>42.449999999999989</v>
      </c>
      <c r="O59" s="25">
        <f t="shared" si="7"/>
        <v>0</v>
      </c>
      <c r="P59" s="25">
        <v>353.75</v>
      </c>
      <c r="Q59" s="25"/>
      <c r="R59" s="25"/>
      <c r="S59" s="25"/>
      <c r="T59" s="26"/>
      <c r="U59" s="26"/>
      <c r="V59" s="26"/>
      <c r="W59" s="26"/>
      <c r="X59" s="26"/>
      <c r="Y59" s="31"/>
      <c r="Z59" s="25"/>
      <c r="AA59" s="25"/>
      <c r="AB59" s="25"/>
      <c r="AC59" s="25"/>
      <c r="AD59" s="25"/>
      <c r="AE59" s="25"/>
      <c r="AF59" s="25"/>
      <c r="AG59" s="25">
        <f t="shared" si="8"/>
        <v>-396.2</v>
      </c>
      <c r="AH59" s="29">
        <f t="shared" si="9"/>
        <v>0</v>
      </c>
    </row>
    <row r="60" spans="1:34" s="30" customFormat="1" ht="19.5" customHeight="1" x14ac:dyDescent="0.2">
      <c r="A60" s="18">
        <v>43145</v>
      </c>
      <c r="B60" s="19"/>
      <c r="C60" s="20" t="s">
        <v>51</v>
      </c>
      <c r="D60" s="20" t="s">
        <v>52</v>
      </c>
      <c r="E60" s="20" t="s">
        <v>39</v>
      </c>
      <c r="F60" s="21">
        <v>27832</v>
      </c>
      <c r="G60" s="22" t="s">
        <v>269</v>
      </c>
      <c r="H60" s="23"/>
      <c r="I60" s="23"/>
      <c r="J60" s="23"/>
      <c r="K60" s="23">
        <v>128</v>
      </c>
      <c r="L60" s="24"/>
      <c r="M60" s="25">
        <f t="shared" si="5"/>
        <v>114.28571428571428</v>
      </c>
      <c r="N60" s="25">
        <f t="shared" si="6"/>
        <v>13.714285714285714</v>
      </c>
      <c r="O60" s="25">
        <f t="shared" si="7"/>
        <v>0</v>
      </c>
      <c r="P60" s="25"/>
      <c r="Q60" s="25"/>
      <c r="R60" s="25">
        <v>114.29</v>
      </c>
      <c r="S60" s="25"/>
      <c r="T60" s="26"/>
      <c r="U60" s="26"/>
      <c r="V60" s="26"/>
      <c r="W60" s="26"/>
      <c r="X60" s="26"/>
      <c r="Y60" s="31"/>
      <c r="Z60" s="25"/>
      <c r="AA60" s="25"/>
      <c r="AB60" s="25"/>
      <c r="AC60" s="25"/>
      <c r="AD60" s="25"/>
      <c r="AE60" s="25"/>
      <c r="AF60" s="25"/>
      <c r="AG60" s="25">
        <f t="shared" si="8"/>
        <v>-128.00428571428571</v>
      </c>
      <c r="AH60" s="29">
        <f t="shared" si="9"/>
        <v>-4.2857142857144481E-3</v>
      </c>
    </row>
    <row r="61" spans="1:34" s="30" customFormat="1" ht="19.5" customHeight="1" x14ac:dyDescent="0.2">
      <c r="A61" s="33">
        <v>43145</v>
      </c>
      <c r="B61" s="34"/>
      <c r="C61" s="36" t="s">
        <v>127</v>
      </c>
      <c r="D61" s="36" t="s">
        <v>38</v>
      </c>
      <c r="E61" s="36" t="s">
        <v>39</v>
      </c>
      <c r="F61" s="37">
        <v>23139</v>
      </c>
      <c r="G61" s="38" t="s">
        <v>40</v>
      </c>
      <c r="H61" s="39"/>
      <c r="I61" s="39"/>
      <c r="J61" s="39"/>
      <c r="K61" s="39">
        <v>70</v>
      </c>
      <c r="L61" s="40"/>
      <c r="M61" s="41">
        <f t="shared" si="5"/>
        <v>62.499999999999993</v>
      </c>
      <c r="N61" s="41">
        <f t="shared" si="6"/>
        <v>7.4999999999999991</v>
      </c>
      <c r="O61" s="41">
        <f t="shared" si="7"/>
        <v>0</v>
      </c>
      <c r="P61" s="41"/>
      <c r="Q61" s="41">
        <v>62.5</v>
      </c>
      <c r="R61" s="41"/>
      <c r="S61" s="41"/>
      <c r="T61" s="42"/>
      <c r="U61" s="42"/>
      <c r="V61" s="42"/>
      <c r="W61" s="42"/>
      <c r="X61" s="42"/>
      <c r="Y61" s="41"/>
      <c r="Z61" s="41"/>
      <c r="AA61" s="41"/>
      <c r="AB61" s="41"/>
      <c r="AC61" s="41"/>
      <c r="AD61" s="41"/>
      <c r="AE61" s="41"/>
      <c r="AF61" s="41"/>
      <c r="AG61" s="41">
        <f t="shared" si="8"/>
        <v>-70</v>
      </c>
      <c r="AH61" s="45">
        <f t="shared" si="9"/>
        <v>0</v>
      </c>
    </row>
    <row r="62" spans="1:34" s="30" customFormat="1" ht="21.75" customHeight="1" x14ac:dyDescent="0.2">
      <c r="A62" s="56">
        <v>43136</v>
      </c>
      <c r="B62" s="57"/>
      <c r="C62" s="20" t="s">
        <v>270</v>
      </c>
      <c r="D62" s="20"/>
      <c r="E62" s="20"/>
      <c r="F62" s="58"/>
      <c r="G62" s="58" t="s">
        <v>271</v>
      </c>
      <c r="H62" s="23"/>
      <c r="I62" s="23"/>
      <c r="J62" s="23"/>
      <c r="K62" s="23">
        <v>2000</v>
      </c>
      <c r="L62" s="24"/>
      <c r="M62" s="25">
        <f t="shared" si="5"/>
        <v>1785.7142857142856</v>
      </c>
      <c r="N62" s="25">
        <f t="shared" si="6"/>
        <v>214.28571428571425</v>
      </c>
      <c r="O62" s="25">
        <f t="shared" si="7"/>
        <v>0</v>
      </c>
      <c r="P62" s="25"/>
      <c r="Q62" s="25"/>
      <c r="R62" s="25"/>
      <c r="S62" s="25"/>
      <c r="T62" s="26"/>
      <c r="U62" s="26"/>
      <c r="V62" s="26"/>
      <c r="W62" s="26"/>
      <c r="X62" s="26"/>
      <c r="Y62" s="31"/>
      <c r="Z62" s="25"/>
      <c r="AA62" s="25"/>
      <c r="AB62" s="25"/>
      <c r="AC62" s="25">
        <v>1785.71</v>
      </c>
      <c r="AD62" s="25"/>
      <c r="AE62" s="25"/>
      <c r="AF62" s="25"/>
      <c r="AG62" s="25">
        <f t="shared" si="8"/>
        <v>-1999.9957142857143</v>
      </c>
      <c r="AH62" s="29">
        <f t="shared" si="9"/>
        <v>4.2857142857428698E-3</v>
      </c>
    </row>
    <row r="63" spans="1:34" s="30" customFormat="1" ht="24.75" customHeight="1" x14ac:dyDescent="0.2">
      <c r="A63" s="56">
        <v>43141</v>
      </c>
      <c r="B63" s="57"/>
      <c r="C63" s="20" t="s">
        <v>272</v>
      </c>
      <c r="D63" s="20" t="s">
        <v>273</v>
      </c>
      <c r="E63" s="20" t="s">
        <v>120</v>
      </c>
      <c r="F63" s="58">
        <v>144563</v>
      </c>
      <c r="G63" s="59" t="s">
        <v>274</v>
      </c>
      <c r="H63" s="23"/>
      <c r="I63" s="23"/>
      <c r="J63" s="23"/>
      <c r="K63" s="23">
        <f>595-65</f>
        <v>530</v>
      </c>
      <c r="L63" s="24"/>
      <c r="M63" s="25">
        <f t="shared" si="5"/>
        <v>473.21428571428567</v>
      </c>
      <c r="N63" s="25">
        <f t="shared" si="6"/>
        <v>56.785714285714278</v>
      </c>
      <c r="O63" s="25">
        <f t="shared" si="7"/>
        <v>0</v>
      </c>
      <c r="P63" s="25"/>
      <c r="Q63" s="25"/>
      <c r="R63" s="25"/>
      <c r="S63" s="25">
        <v>473.21</v>
      </c>
      <c r="T63" s="26"/>
      <c r="U63" s="26"/>
      <c r="V63" s="26"/>
      <c r="W63" s="26"/>
      <c r="X63" s="26"/>
      <c r="Y63" s="31"/>
      <c r="Z63" s="25"/>
      <c r="AA63" s="25"/>
      <c r="AB63" s="25"/>
      <c r="AC63" s="25"/>
      <c r="AD63" s="25"/>
      <c r="AE63" s="25"/>
      <c r="AF63" s="25"/>
      <c r="AG63" s="25">
        <f t="shared" si="8"/>
        <v>-529.99571428571426</v>
      </c>
      <c r="AH63" s="29">
        <f t="shared" si="9"/>
        <v>4.2857142857428698E-3</v>
      </c>
    </row>
    <row r="64" spans="1:34" s="30" customFormat="1" ht="19.5" customHeight="1" x14ac:dyDescent="0.2">
      <c r="A64" s="56">
        <v>43141</v>
      </c>
      <c r="B64" s="57"/>
      <c r="C64" s="20" t="s">
        <v>272</v>
      </c>
      <c r="D64" s="20" t="s">
        <v>273</v>
      </c>
      <c r="E64" s="20" t="s">
        <v>120</v>
      </c>
      <c r="F64" s="58">
        <v>144563</v>
      </c>
      <c r="G64" s="59" t="s">
        <v>275</v>
      </c>
      <c r="H64" s="23"/>
      <c r="I64" s="23"/>
      <c r="J64" s="23"/>
      <c r="K64" s="23">
        <v>65</v>
      </c>
      <c r="L64" s="24"/>
      <c r="M64" s="25">
        <f t="shared" si="5"/>
        <v>58.035714285714278</v>
      </c>
      <c r="N64" s="25">
        <f t="shared" si="6"/>
        <v>6.9642857142857126</v>
      </c>
      <c r="O64" s="25">
        <f t="shared" si="7"/>
        <v>0</v>
      </c>
      <c r="P64" s="25"/>
      <c r="Q64" s="25"/>
      <c r="R64" s="25">
        <v>58.04</v>
      </c>
      <c r="S64" s="25"/>
      <c r="T64" s="26"/>
      <c r="U64" s="26"/>
      <c r="V64" s="26"/>
      <c r="W64" s="26"/>
      <c r="X64" s="26"/>
      <c r="Y64" s="31"/>
      <c r="Z64" s="25"/>
      <c r="AA64" s="25"/>
      <c r="AB64" s="25"/>
      <c r="AC64" s="25"/>
      <c r="AD64" s="25"/>
      <c r="AE64" s="25"/>
      <c r="AF64" s="25"/>
      <c r="AG64" s="25">
        <f t="shared" si="8"/>
        <v>-65.004285714285714</v>
      </c>
      <c r="AH64" s="29">
        <f t="shared" si="9"/>
        <v>-4.2857142857144481E-3</v>
      </c>
    </row>
    <row r="65" spans="1:34" s="30" customFormat="1" ht="21.75" customHeight="1" x14ac:dyDescent="0.2">
      <c r="A65" s="56">
        <v>43146</v>
      </c>
      <c r="B65" s="57"/>
      <c r="C65" s="20" t="s">
        <v>276</v>
      </c>
      <c r="D65" s="20" t="s">
        <v>52</v>
      </c>
      <c r="E65" s="20" t="s">
        <v>277</v>
      </c>
      <c r="F65" s="58">
        <v>27847</v>
      </c>
      <c r="G65" s="59" t="s">
        <v>278</v>
      </c>
      <c r="H65" s="23"/>
      <c r="I65" s="23"/>
      <c r="J65" s="23"/>
      <c r="K65" s="23">
        <v>147</v>
      </c>
      <c r="L65" s="24"/>
      <c r="M65" s="25">
        <f t="shared" si="5"/>
        <v>131.25</v>
      </c>
      <c r="N65" s="25">
        <f t="shared" si="6"/>
        <v>15.75</v>
      </c>
      <c r="O65" s="25">
        <f t="shared" si="7"/>
        <v>0</v>
      </c>
      <c r="P65" s="25"/>
      <c r="Q65" s="25"/>
      <c r="R65" s="25">
        <v>131.25</v>
      </c>
      <c r="S65" s="25"/>
      <c r="T65" s="26"/>
      <c r="U65" s="26"/>
      <c r="V65" s="26"/>
      <c r="W65" s="26"/>
      <c r="X65" s="26"/>
      <c r="Y65" s="31"/>
      <c r="Z65" s="25"/>
      <c r="AA65" s="25"/>
      <c r="AB65" s="25"/>
      <c r="AC65" s="25"/>
      <c r="AD65" s="25"/>
      <c r="AE65" s="25"/>
      <c r="AF65" s="25"/>
      <c r="AG65" s="25">
        <f t="shared" si="8"/>
        <v>-147</v>
      </c>
      <c r="AH65" s="29">
        <f t="shared" si="9"/>
        <v>0</v>
      </c>
    </row>
    <row r="66" spans="1:34" s="30" customFormat="1" ht="19.5" customHeight="1" x14ac:dyDescent="0.2">
      <c r="A66" s="56">
        <v>43151</v>
      </c>
      <c r="B66" s="57"/>
      <c r="C66" s="20" t="s">
        <v>68</v>
      </c>
      <c r="D66" s="20"/>
      <c r="E66" s="20"/>
      <c r="F66" s="58"/>
      <c r="G66" s="59" t="s">
        <v>279</v>
      </c>
      <c r="H66" s="23">
        <v>80</v>
      </c>
      <c r="I66" s="23"/>
      <c r="J66" s="23"/>
      <c r="K66" s="23"/>
      <c r="L66" s="24"/>
      <c r="M66" s="25">
        <f t="shared" si="5"/>
        <v>80</v>
      </c>
      <c r="N66" s="25">
        <f t="shared" si="6"/>
        <v>0</v>
      </c>
      <c r="O66" s="25">
        <f t="shared" si="7"/>
        <v>0</v>
      </c>
      <c r="P66" s="25"/>
      <c r="Q66" s="25"/>
      <c r="R66" s="25"/>
      <c r="S66" s="25"/>
      <c r="T66" s="26"/>
      <c r="U66" s="26"/>
      <c r="V66" s="26"/>
      <c r="W66" s="26"/>
      <c r="X66" s="26"/>
      <c r="Y66" s="31"/>
      <c r="Z66" s="25"/>
      <c r="AA66" s="25">
        <v>80</v>
      </c>
      <c r="AB66" s="25"/>
      <c r="AC66" s="25"/>
      <c r="AD66" s="25"/>
      <c r="AE66" s="25"/>
      <c r="AF66" s="25"/>
      <c r="AG66" s="25">
        <f t="shared" si="8"/>
        <v>-80</v>
      </c>
      <c r="AH66" s="29">
        <f t="shared" si="9"/>
        <v>0</v>
      </c>
    </row>
    <row r="67" spans="1:34" s="30" customFormat="1" ht="22.5" customHeight="1" x14ac:dyDescent="0.2">
      <c r="A67" s="56">
        <v>43152</v>
      </c>
      <c r="B67" s="57"/>
      <c r="C67" s="20" t="s">
        <v>280</v>
      </c>
      <c r="D67" s="20" t="s">
        <v>281</v>
      </c>
      <c r="E67" s="20" t="s">
        <v>282</v>
      </c>
      <c r="F67" s="58">
        <v>653286</v>
      </c>
      <c r="G67" s="59" t="s">
        <v>283</v>
      </c>
      <c r="H67" s="23"/>
      <c r="I67" s="23"/>
      <c r="J67" s="23"/>
      <c r="K67" s="23">
        <v>1240</v>
      </c>
      <c r="L67" s="24"/>
      <c r="M67" s="25">
        <f t="shared" si="5"/>
        <v>1107.1428571428571</v>
      </c>
      <c r="N67" s="25">
        <f t="shared" si="6"/>
        <v>132.85714285714286</v>
      </c>
      <c r="O67" s="25">
        <f t="shared" si="7"/>
        <v>0</v>
      </c>
      <c r="P67" s="25"/>
      <c r="Q67" s="25"/>
      <c r="R67" s="25"/>
      <c r="S67" s="25"/>
      <c r="T67" s="26"/>
      <c r="U67" s="26"/>
      <c r="V67" s="26"/>
      <c r="W67" s="26"/>
      <c r="X67" s="26"/>
      <c r="Y67" s="31">
        <v>1107.1400000000001</v>
      </c>
      <c r="Z67" s="25"/>
      <c r="AA67" s="25"/>
      <c r="AB67" s="25"/>
      <c r="AC67" s="25"/>
      <c r="AD67" s="25"/>
      <c r="AE67" s="25"/>
      <c r="AF67" s="25"/>
      <c r="AG67" s="25">
        <f t="shared" si="8"/>
        <v>-1239.997142857143</v>
      </c>
      <c r="AH67" s="29">
        <f t="shared" si="9"/>
        <v>2.8571428570103308E-3</v>
      </c>
    </row>
    <row r="68" spans="1:34" s="30" customFormat="1" ht="22.5" customHeight="1" x14ac:dyDescent="0.2">
      <c r="A68" s="56">
        <v>43152</v>
      </c>
      <c r="B68" s="57"/>
      <c r="C68" s="20" t="s">
        <v>284</v>
      </c>
      <c r="D68" s="20" t="s">
        <v>184</v>
      </c>
      <c r="E68" s="20" t="s">
        <v>285</v>
      </c>
      <c r="F68" s="58">
        <v>1579627</v>
      </c>
      <c r="G68" s="59" t="s">
        <v>286</v>
      </c>
      <c r="H68" s="23"/>
      <c r="I68" s="23"/>
      <c r="J68" s="23"/>
      <c r="K68" s="23">
        <v>450</v>
      </c>
      <c r="L68" s="24"/>
      <c r="M68" s="25">
        <f t="shared" si="5"/>
        <v>401.78571428571422</v>
      </c>
      <c r="N68" s="25">
        <f t="shared" si="6"/>
        <v>48.214285714285708</v>
      </c>
      <c r="O68" s="25">
        <f t="shared" si="7"/>
        <v>0</v>
      </c>
      <c r="P68" s="25"/>
      <c r="Q68" s="25"/>
      <c r="R68" s="25"/>
      <c r="S68" s="25"/>
      <c r="T68" s="26"/>
      <c r="U68" s="26"/>
      <c r="V68" s="26"/>
      <c r="W68" s="26"/>
      <c r="X68" s="26"/>
      <c r="Y68" s="31"/>
      <c r="Z68" s="25">
        <v>401.79</v>
      </c>
      <c r="AA68" s="25"/>
      <c r="AB68" s="25"/>
      <c r="AC68" s="25"/>
      <c r="AD68" s="25"/>
      <c r="AE68" s="25"/>
      <c r="AF68" s="25"/>
      <c r="AG68" s="25">
        <f t="shared" si="8"/>
        <v>-450.00428571428574</v>
      </c>
      <c r="AH68" s="29">
        <f t="shared" si="9"/>
        <v>-4.2857142857428698E-3</v>
      </c>
    </row>
    <row r="69" spans="1:34" s="30" customFormat="1" ht="22.5" customHeight="1" x14ac:dyDescent="0.2">
      <c r="A69" s="56">
        <v>43152</v>
      </c>
      <c r="B69" s="57"/>
      <c r="C69" s="20" t="s">
        <v>96</v>
      </c>
      <c r="D69" s="20"/>
      <c r="E69" s="20"/>
      <c r="F69" s="58"/>
      <c r="G69" s="59" t="s">
        <v>279</v>
      </c>
      <c r="H69" s="23">
        <v>16</v>
      </c>
      <c r="I69" s="23"/>
      <c r="J69" s="23"/>
      <c r="K69" s="23"/>
      <c r="L69" s="24"/>
      <c r="M69" s="25">
        <f t="shared" ref="M69:M88" si="10">SUM(H69:J69,K69/1.12)</f>
        <v>16</v>
      </c>
      <c r="N69" s="25">
        <f t="shared" ref="N69:N88" si="11">K69/1.12*0.12</f>
        <v>0</v>
      </c>
      <c r="O69" s="25">
        <f t="shared" ref="O69:O88" si="12">-SUM(I69:J69,K69/1.12)*L69</f>
        <v>0</v>
      </c>
      <c r="P69" s="25"/>
      <c r="Q69" s="25"/>
      <c r="R69" s="25"/>
      <c r="S69" s="25"/>
      <c r="T69" s="26"/>
      <c r="U69" s="26"/>
      <c r="V69" s="26"/>
      <c r="W69" s="26"/>
      <c r="X69" s="26"/>
      <c r="Y69" s="31"/>
      <c r="Z69" s="25"/>
      <c r="AA69" s="25">
        <v>16</v>
      </c>
      <c r="AB69" s="25"/>
      <c r="AC69" s="25"/>
      <c r="AD69" s="25"/>
      <c r="AE69" s="25"/>
      <c r="AF69" s="25"/>
      <c r="AG69" s="25">
        <f t="shared" ref="AG69:AG88" si="13">-SUM(N69:AF69)</f>
        <v>-16</v>
      </c>
      <c r="AH69" s="29">
        <f t="shared" ref="AH69:AH88" si="14">SUM(H69:K69)+AG69+O69</f>
        <v>0</v>
      </c>
    </row>
    <row r="70" spans="1:34" s="30" customFormat="1" ht="22.5" customHeight="1" x14ac:dyDescent="0.2">
      <c r="A70" s="56">
        <v>43152</v>
      </c>
      <c r="B70" s="57"/>
      <c r="C70" s="20" t="s">
        <v>287</v>
      </c>
      <c r="D70" s="20" t="s">
        <v>288</v>
      </c>
      <c r="E70" s="20" t="s">
        <v>120</v>
      </c>
      <c r="F70" s="58">
        <v>545445</v>
      </c>
      <c r="G70" s="59" t="s">
        <v>289</v>
      </c>
      <c r="H70" s="23"/>
      <c r="I70" s="23"/>
      <c r="J70" s="23"/>
      <c r="K70" s="23">
        <v>721.5</v>
      </c>
      <c r="L70" s="24"/>
      <c r="M70" s="25">
        <f t="shared" si="10"/>
        <v>644.19642857142856</v>
      </c>
      <c r="N70" s="25">
        <f t="shared" si="11"/>
        <v>77.303571428571431</v>
      </c>
      <c r="O70" s="25">
        <f t="shared" si="12"/>
        <v>0</v>
      </c>
      <c r="P70" s="25"/>
      <c r="Q70" s="25">
        <v>644.20000000000005</v>
      </c>
      <c r="R70" s="25"/>
      <c r="S70" s="25"/>
      <c r="T70" s="26"/>
      <c r="U70" s="26"/>
      <c r="V70" s="26"/>
      <c r="W70" s="26"/>
      <c r="X70" s="26"/>
      <c r="Y70" s="31"/>
      <c r="Z70" s="25"/>
      <c r="AA70" s="25"/>
      <c r="AB70" s="25"/>
      <c r="AC70" s="25"/>
      <c r="AD70" s="25"/>
      <c r="AE70" s="25"/>
      <c r="AF70" s="25"/>
      <c r="AG70" s="25">
        <f t="shared" si="13"/>
        <v>-721.50357142857149</v>
      </c>
      <c r="AH70" s="29">
        <f t="shared" si="14"/>
        <v>-3.5714285714902871E-3</v>
      </c>
    </row>
    <row r="71" spans="1:34" s="30" customFormat="1" ht="22.5" customHeight="1" x14ac:dyDescent="0.2">
      <c r="A71" s="56">
        <v>43152</v>
      </c>
      <c r="B71" s="57"/>
      <c r="C71" s="20" t="s">
        <v>287</v>
      </c>
      <c r="D71" s="20" t="s">
        <v>288</v>
      </c>
      <c r="E71" s="20" t="s">
        <v>120</v>
      </c>
      <c r="F71" s="58">
        <v>545445</v>
      </c>
      <c r="G71" s="59" t="s">
        <v>290</v>
      </c>
      <c r="H71" s="23"/>
      <c r="I71" s="23"/>
      <c r="J71" s="23"/>
      <c r="K71" s="23">
        <v>300</v>
      </c>
      <c r="L71" s="24"/>
      <c r="M71" s="25">
        <f t="shared" si="10"/>
        <v>267.85714285714283</v>
      </c>
      <c r="N71" s="25">
        <f t="shared" si="11"/>
        <v>32.142857142857139</v>
      </c>
      <c r="O71" s="25">
        <f t="shared" si="12"/>
        <v>0</v>
      </c>
      <c r="P71" s="25">
        <v>267.86</v>
      </c>
      <c r="Q71" s="25"/>
      <c r="R71" s="25"/>
      <c r="S71" s="25"/>
      <c r="T71" s="26"/>
      <c r="U71" s="26"/>
      <c r="V71" s="26"/>
      <c r="W71" s="26"/>
      <c r="X71" s="26"/>
      <c r="Y71" s="31"/>
      <c r="Z71" s="25"/>
      <c r="AA71" s="25"/>
      <c r="AB71" s="25"/>
      <c r="AC71" s="25"/>
      <c r="AD71" s="25"/>
      <c r="AE71" s="25"/>
      <c r="AF71" s="25"/>
      <c r="AG71" s="25">
        <f t="shared" si="13"/>
        <v>-300.00285714285712</v>
      </c>
      <c r="AH71" s="29">
        <f t="shared" si="14"/>
        <v>-2.8571428571240176E-3</v>
      </c>
    </row>
    <row r="72" spans="1:34" s="30" customFormat="1" ht="22.5" customHeight="1" x14ac:dyDescent="0.2">
      <c r="A72" s="56">
        <v>43153</v>
      </c>
      <c r="B72" s="57"/>
      <c r="C72" s="20" t="s">
        <v>41</v>
      </c>
      <c r="D72" s="20" t="s">
        <v>88</v>
      </c>
      <c r="E72" s="20" t="s">
        <v>43</v>
      </c>
      <c r="F72" s="58">
        <v>2304</v>
      </c>
      <c r="G72" s="59" t="s">
        <v>172</v>
      </c>
      <c r="H72" s="23"/>
      <c r="I72" s="23"/>
      <c r="J72" s="23">
        <v>850</v>
      </c>
      <c r="K72" s="23"/>
      <c r="L72" s="24"/>
      <c r="M72" s="25">
        <f t="shared" si="10"/>
        <v>850</v>
      </c>
      <c r="N72" s="25">
        <f t="shared" si="11"/>
        <v>0</v>
      </c>
      <c r="O72" s="25">
        <f t="shared" si="12"/>
        <v>0</v>
      </c>
      <c r="P72" s="25">
        <v>850</v>
      </c>
      <c r="Q72" s="25"/>
      <c r="R72" s="25"/>
      <c r="S72" s="25"/>
      <c r="T72" s="26"/>
      <c r="U72" s="26"/>
      <c r="V72" s="26"/>
      <c r="W72" s="26"/>
      <c r="X72" s="26"/>
      <c r="Y72" s="31"/>
      <c r="Z72" s="25"/>
      <c r="AA72" s="25"/>
      <c r="AB72" s="25"/>
      <c r="AC72" s="25"/>
      <c r="AD72" s="25"/>
      <c r="AE72" s="25"/>
      <c r="AF72" s="25"/>
      <c r="AG72" s="25">
        <f t="shared" si="13"/>
        <v>-850</v>
      </c>
      <c r="AH72" s="29">
        <f t="shared" si="14"/>
        <v>0</v>
      </c>
    </row>
    <row r="73" spans="1:34" s="30" customFormat="1" ht="22.5" customHeight="1" x14ac:dyDescent="0.2">
      <c r="A73" s="56">
        <v>43153</v>
      </c>
      <c r="B73" s="57"/>
      <c r="C73" s="20" t="s">
        <v>45</v>
      </c>
      <c r="D73" s="20"/>
      <c r="E73" s="20"/>
      <c r="F73" s="58"/>
      <c r="G73" s="59" t="s">
        <v>279</v>
      </c>
      <c r="H73" s="23">
        <v>100</v>
      </c>
      <c r="I73" s="23"/>
      <c r="J73" s="23"/>
      <c r="K73" s="23"/>
      <c r="L73" s="24"/>
      <c r="M73" s="25">
        <f t="shared" si="10"/>
        <v>100</v>
      </c>
      <c r="N73" s="25">
        <f t="shared" si="11"/>
        <v>0</v>
      </c>
      <c r="O73" s="25">
        <f t="shared" si="12"/>
        <v>0</v>
      </c>
      <c r="P73" s="25"/>
      <c r="Q73" s="25"/>
      <c r="R73" s="25"/>
      <c r="S73" s="25"/>
      <c r="T73" s="26"/>
      <c r="U73" s="26"/>
      <c r="V73" s="26"/>
      <c r="W73" s="26"/>
      <c r="X73" s="26"/>
      <c r="Y73" s="31"/>
      <c r="Z73" s="25"/>
      <c r="AA73" s="25">
        <v>100</v>
      </c>
      <c r="AB73" s="25"/>
      <c r="AC73" s="25"/>
      <c r="AD73" s="25"/>
      <c r="AE73" s="25"/>
      <c r="AF73" s="25"/>
      <c r="AG73" s="25">
        <f t="shared" si="13"/>
        <v>-100</v>
      </c>
      <c r="AH73" s="29">
        <f t="shared" si="14"/>
        <v>0</v>
      </c>
    </row>
    <row r="74" spans="1:34" s="30" customFormat="1" ht="22.5" customHeight="1" x14ac:dyDescent="0.2">
      <c r="A74" s="56">
        <v>43153</v>
      </c>
      <c r="B74" s="57"/>
      <c r="C74" s="20" t="s">
        <v>59</v>
      </c>
      <c r="D74" s="20" t="s">
        <v>60</v>
      </c>
      <c r="E74" s="20" t="s">
        <v>120</v>
      </c>
      <c r="F74" s="58">
        <v>630221</v>
      </c>
      <c r="G74" s="59" t="s">
        <v>291</v>
      </c>
      <c r="H74" s="23"/>
      <c r="I74" s="23"/>
      <c r="J74" s="23"/>
      <c r="K74" s="23">
        <v>464</v>
      </c>
      <c r="L74" s="24"/>
      <c r="M74" s="25">
        <f t="shared" si="10"/>
        <v>414.28571428571422</v>
      </c>
      <c r="N74" s="25">
        <f t="shared" si="11"/>
        <v>49.714285714285708</v>
      </c>
      <c r="O74" s="25">
        <f t="shared" si="12"/>
        <v>0</v>
      </c>
      <c r="P74" s="25"/>
      <c r="Q74" s="25"/>
      <c r="R74" s="25"/>
      <c r="S74" s="25"/>
      <c r="T74" s="26">
        <v>414.29</v>
      </c>
      <c r="U74" s="26"/>
      <c r="V74" s="26"/>
      <c r="W74" s="26"/>
      <c r="X74" s="26"/>
      <c r="Y74" s="31"/>
      <c r="Z74" s="25"/>
      <c r="AA74" s="25"/>
      <c r="AB74" s="25"/>
      <c r="AC74" s="25"/>
      <c r="AD74" s="25"/>
      <c r="AE74" s="25"/>
      <c r="AF74" s="25"/>
      <c r="AG74" s="25">
        <f t="shared" si="13"/>
        <v>-464.00428571428574</v>
      </c>
      <c r="AH74" s="29">
        <f t="shared" si="14"/>
        <v>-4.2857142857428698E-3</v>
      </c>
    </row>
    <row r="75" spans="1:34" s="30" customFormat="1" ht="21.75" customHeight="1" x14ac:dyDescent="0.2">
      <c r="A75" s="56">
        <v>43153</v>
      </c>
      <c r="B75" s="57"/>
      <c r="C75" s="20" t="s">
        <v>68</v>
      </c>
      <c r="D75" s="20"/>
      <c r="E75" s="20"/>
      <c r="F75" s="58"/>
      <c r="G75" s="59" t="s">
        <v>279</v>
      </c>
      <c r="H75" s="23">
        <v>50</v>
      </c>
      <c r="I75" s="23"/>
      <c r="J75" s="23"/>
      <c r="K75" s="23"/>
      <c r="L75" s="24"/>
      <c r="M75" s="25">
        <f t="shared" si="10"/>
        <v>50</v>
      </c>
      <c r="N75" s="25">
        <f t="shared" si="11"/>
        <v>0</v>
      </c>
      <c r="O75" s="25">
        <f t="shared" si="12"/>
        <v>0</v>
      </c>
      <c r="P75" s="25"/>
      <c r="Q75" s="25"/>
      <c r="R75" s="25"/>
      <c r="S75" s="25"/>
      <c r="T75" s="26"/>
      <c r="U75" s="26"/>
      <c r="V75" s="26"/>
      <c r="W75" s="26"/>
      <c r="X75" s="26"/>
      <c r="Y75" s="31"/>
      <c r="Z75" s="25"/>
      <c r="AA75" s="25">
        <v>50</v>
      </c>
      <c r="AB75" s="25"/>
      <c r="AC75" s="25"/>
      <c r="AD75" s="25"/>
      <c r="AE75" s="25"/>
      <c r="AF75" s="25"/>
      <c r="AG75" s="25">
        <f t="shared" si="13"/>
        <v>-50</v>
      </c>
      <c r="AH75" s="29">
        <f t="shared" si="14"/>
        <v>0</v>
      </c>
    </row>
    <row r="76" spans="1:34" s="30" customFormat="1" ht="23.25" customHeight="1" x14ac:dyDescent="0.2">
      <c r="A76" s="56">
        <v>43153</v>
      </c>
      <c r="B76" s="57"/>
      <c r="C76" s="20" t="s">
        <v>63</v>
      </c>
      <c r="D76" s="20" t="s">
        <v>64</v>
      </c>
      <c r="E76" s="20" t="s">
        <v>65</v>
      </c>
      <c r="F76" s="58">
        <v>95260</v>
      </c>
      <c r="G76" s="59" t="s">
        <v>292</v>
      </c>
      <c r="H76" s="23"/>
      <c r="I76" s="23"/>
      <c r="J76" s="23">
        <v>397.75</v>
      </c>
      <c r="K76" s="23"/>
      <c r="L76" s="24"/>
      <c r="M76" s="25">
        <f t="shared" si="10"/>
        <v>397.75</v>
      </c>
      <c r="N76" s="25">
        <f t="shared" si="11"/>
        <v>0</v>
      </c>
      <c r="O76" s="25">
        <f t="shared" si="12"/>
        <v>0</v>
      </c>
      <c r="P76" s="25">
        <v>397.75</v>
      </c>
      <c r="Q76" s="25"/>
      <c r="R76" s="25"/>
      <c r="S76" s="25"/>
      <c r="T76" s="26"/>
      <c r="U76" s="26"/>
      <c r="V76" s="26"/>
      <c r="W76" s="26"/>
      <c r="X76" s="26"/>
      <c r="Y76" s="31"/>
      <c r="Z76" s="25"/>
      <c r="AA76" s="25"/>
      <c r="AB76" s="25"/>
      <c r="AC76" s="25"/>
      <c r="AD76" s="25"/>
      <c r="AE76" s="25"/>
      <c r="AF76" s="25"/>
      <c r="AG76" s="25">
        <f t="shared" si="13"/>
        <v>-397.75</v>
      </c>
      <c r="AH76" s="29">
        <f t="shared" si="14"/>
        <v>0</v>
      </c>
    </row>
    <row r="77" spans="1:34" s="30" customFormat="1" ht="21" customHeight="1" x14ac:dyDescent="0.2">
      <c r="A77" s="56">
        <v>43153</v>
      </c>
      <c r="B77" s="57"/>
      <c r="C77" s="20" t="s">
        <v>63</v>
      </c>
      <c r="D77" s="20" t="s">
        <v>64</v>
      </c>
      <c r="E77" s="20" t="s">
        <v>65</v>
      </c>
      <c r="F77" s="58">
        <v>95260</v>
      </c>
      <c r="G77" s="59" t="s">
        <v>293</v>
      </c>
      <c r="H77" s="23"/>
      <c r="I77" s="23"/>
      <c r="J77" s="23"/>
      <c r="K77" s="23">
        <f>1276.21+153.14</f>
        <v>1429.35</v>
      </c>
      <c r="L77" s="24"/>
      <c r="M77" s="25">
        <f t="shared" si="10"/>
        <v>1276.2053571428569</v>
      </c>
      <c r="N77" s="25">
        <f t="shared" si="11"/>
        <v>153.14464285714283</v>
      </c>
      <c r="O77" s="25">
        <f t="shared" si="12"/>
        <v>0</v>
      </c>
      <c r="P77" s="25">
        <v>1276.21</v>
      </c>
      <c r="Q77" s="25"/>
      <c r="R77" s="25"/>
      <c r="S77" s="25"/>
      <c r="T77" s="26"/>
      <c r="U77" s="26"/>
      <c r="V77" s="26"/>
      <c r="W77" s="26"/>
      <c r="X77" s="26"/>
      <c r="Y77" s="31"/>
      <c r="Z77" s="25"/>
      <c r="AA77" s="25"/>
      <c r="AB77" s="25"/>
      <c r="AC77" s="25"/>
      <c r="AD77" s="25"/>
      <c r="AE77" s="25"/>
      <c r="AF77" s="25"/>
      <c r="AG77" s="25">
        <f t="shared" si="13"/>
        <v>-1429.3546428571428</v>
      </c>
      <c r="AH77" s="29">
        <f t="shared" si="14"/>
        <v>-4.6428571429260046E-3</v>
      </c>
    </row>
    <row r="78" spans="1:34" s="30" customFormat="1" ht="21.75" customHeight="1" x14ac:dyDescent="0.2">
      <c r="A78" s="56">
        <v>43155</v>
      </c>
      <c r="B78" s="57"/>
      <c r="C78" s="20" t="s">
        <v>41</v>
      </c>
      <c r="D78" s="20" t="s">
        <v>88</v>
      </c>
      <c r="E78" s="20" t="s">
        <v>43</v>
      </c>
      <c r="F78" s="58">
        <v>2308</v>
      </c>
      <c r="G78" s="59" t="s">
        <v>172</v>
      </c>
      <c r="H78" s="23"/>
      <c r="I78" s="23"/>
      <c r="J78" s="23">
        <v>510</v>
      </c>
      <c r="K78" s="23"/>
      <c r="L78" s="24"/>
      <c r="M78" s="25">
        <f t="shared" si="10"/>
        <v>510</v>
      </c>
      <c r="N78" s="25">
        <f t="shared" si="11"/>
        <v>0</v>
      </c>
      <c r="O78" s="25">
        <f t="shared" si="12"/>
        <v>0</v>
      </c>
      <c r="P78" s="25">
        <v>510</v>
      </c>
      <c r="Q78" s="25"/>
      <c r="R78" s="25"/>
      <c r="S78" s="25"/>
      <c r="T78" s="26"/>
      <c r="U78" s="26"/>
      <c r="V78" s="26"/>
      <c r="W78" s="26"/>
      <c r="X78" s="26"/>
      <c r="Y78" s="31"/>
      <c r="Z78" s="25"/>
      <c r="AA78" s="25"/>
      <c r="AB78" s="25"/>
      <c r="AC78" s="25"/>
      <c r="AD78" s="25"/>
      <c r="AE78" s="25"/>
      <c r="AF78" s="25"/>
      <c r="AG78" s="25">
        <f t="shared" si="13"/>
        <v>-510</v>
      </c>
      <c r="AH78" s="29">
        <f t="shared" si="14"/>
        <v>0</v>
      </c>
    </row>
    <row r="79" spans="1:34" s="30" customFormat="1" ht="19.5" customHeight="1" x14ac:dyDescent="0.2">
      <c r="A79" s="60">
        <v>43155</v>
      </c>
      <c r="B79" s="61"/>
      <c r="C79" s="36" t="s">
        <v>294</v>
      </c>
      <c r="D79" s="36" t="s">
        <v>295</v>
      </c>
      <c r="E79" s="36" t="s">
        <v>43</v>
      </c>
      <c r="F79" s="62">
        <v>12847</v>
      </c>
      <c r="G79" s="63" t="s">
        <v>296</v>
      </c>
      <c r="H79" s="39"/>
      <c r="I79" s="39"/>
      <c r="J79" s="39">
        <v>440</v>
      </c>
      <c r="K79" s="39"/>
      <c r="L79" s="40"/>
      <c r="M79" s="41">
        <f t="shared" si="10"/>
        <v>440</v>
      </c>
      <c r="N79" s="41">
        <f t="shared" si="11"/>
        <v>0</v>
      </c>
      <c r="O79" s="41">
        <f t="shared" si="12"/>
        <v>0</v>
      </c>
      <c r="P79" s="41">
        <v>440</v>
      </c>
      <c r="Q79" s="41"/>
      <c r="R79" s="41"/>
      <c r="S79" s="41"/>
      <c r="T79" s="42"/>
      <c r="U79" s="42"/>
      <c r="V79" s="42"/>
      <c r="W79" s="42"/>
      <c r="X79" s="42"/>
      <c r="Y79" s="41"/>
      <c r="Z79" s="41"/>
      <c r="AA79" s="41"/>
      <c r="AB79" s="41"/>
      <c r="AC79" s="41"/>
      <c r="AD79" s="41"/>
      <c r="AE79" s="41"/>
      <c r="AF79" s="41"/>
      <c r="AG79" s="41">
        <f t="shared" si="13"/>
        <v>-440</v>
      </c>
      <c r="AH79" s="45">
        <f t="shared" si="14"/>
        <v>0</v>
      </c>
    </row>
    <row r="80" spans="1:34" s="30" customFormat="1" ht="21.75" customHeight="1" x14ac:dyDescent="0.2">
      <c r="A80" s="56">
        <v>43155</v>
      </c>
      <c r="B80" s="57"/>
      <c r="C80" s="20" t="s">
        <v>276</v>
      </c>
      <c r="D80" s="20" t="s">
        <v>52</v>
      </c>
      <c r="E80" s="20" t="s">
        <v>277</v>
      </c>
      <c r="F80" s="58">
        <v>31155</v>
      </c>
      <c r="G80" s="58" t="s">
        <v>297</v>
      </c>
      <c r="H80" s="23"/>
      <c r="I80" s="23"/>
      <c r="J80" s="23"/>
      <c r="K80" s="23">
        <v>170.57</v>
      </c>
      <c r="L80" s="24"/>
      <c r="M80" s="25">
        <f t="shared" si="10"/>
        <v>152.29464285714283</v>
      </c>
      <c r="N80" s="25">
        <f t="shared" si="11"/>
        <v>18.275357142857139</v>
      </c>
      <c r="O80" s="25">
        <f t="shared" si="12"/>
        <v>0</v>
      </c>
      <c r="P80" s="25">
        <v>152.29</v>
      </c>
      <c r="Q80" s="25"/>
      <c r="R80" s="25"/>
      <c r="S80" s="25"/>
      <c r="T80" s="26"/>
      <c r="U80" s="26"/>
      <c r="V80" s="26"/>
      <c r="W80" s="26"/>
      <c r="X80" s="26"/>
      <c r="Y80" s="31"/>
      <c r="Z80" s="25"/>
      <c r="AA80" s="25"/>
      <c r="AB80" s="25"/>
      <c r="AC80" s="25"/>
      <c r="AD80" s="25"/>
      <c r="AE80" s="25"/>
      <c r="AF80" s="25"/>
      <c r="AG80" s="25">
        <f t="shared" si="13"/>
        <v>-170.56535714285712</v>
      </c>
      <c r="AH80" s="29">
        <f t="shared" si="14"/>
        <v>4.6428571428691612E-3</v>
      </c>
    </row>
    <row r="81" spans="1:34" s="30" customFormat="1" ht="24.75" customHeight="1" x14ac:dyDescent="0.2">
      <c r="A81" s="56">
        <v>43158</v>
      </c>
      <c r="B81" s="57"/>
      <c r="C81" s="20" t="s">
        <v>63</v>
      </c>
      <c r="D81" s="20" t="s">
        <v>64</v>
      </c>
      <c r="E81" s="20" t="s">
        <v>65</v>
      </c>
      <c r="F81" s="58">
        <v>67575</v>
      </c>
      <c r="G81" s="59" t="s">
        <v>79</v>
      </c>
      <c r="H81" s="23"/>
      <c r="I81" s="23"/>
      <c r="J81" s="23">
        <v>652.04999999999995</v>
      </c>
      <c r="K81" s="23"/>
      <c r="L81" s="24"/>
      <c r="M81" s="25">
        <f t="shared" si="10"/>
        <v>652.04999999999995</v>
      </c>
      <c r="N81" s="25">
        <f t="shared" si="11"/>
        <v>0</v>
      </c>
      <c r="O81" s="25">
        <f t="shared" si="12"/>
        <v>0</v>
      </c>
      <c r="P81" s="25">
        <v>652.04999999999995</v>
      </c>
      <c r="Q81" s="25"/>
      <c r="R81" s="25"/>
      <c r="S81" s="25"/>
      <c r="T81" s="26"/>
      <c r="U81" s="26"/>
      <c r="V81" s="26"/>
      <c r="W81" s="26"/>
      <c r="X81" s="26"/>
      <c r="Y81" s="31"/>
      <c r="Z81" s="25"/>
      <c r="AA81" s="25"/>
      <c r="AB81" s="25"/>
      <c r="AC81" s="25"/>
      <c r="AD81" s="25"/>
      <c r="AE81" s="25"/>
      <c r="AF81" s="25"/>
      <c r="AG81" s="25">
        <f t="shared" si="13"/>
        <v>-652.04999999999995</v>
      </c>
      <c r="AH81" s="29">
        <f t="shared" si="14"/>
        <v>0</v>
      </c>
    </row>
    <row r="82" spans="1:34" s="30" customFormat="1" ht="19.5" customHeight="1" x14ac:dyDescent="0.2">
      <c r="A82" s="56">
        <v>43158</v>
      </c>
      <c r="B82" s="57"/>
      <c r="C82" s="20" t="s">
        <v>63</v>
      </c>
      <c r="D82" s="20" t="s">
        <v>64</v>
      </c>
      <c r="E82" s="20" t="s">
        <v>65</v>
      </c>
      <c r="F82" s="58">
        <v>67575</v>
      </c>
      <c r="G82" s="59" t="s">
        <v>159</v>
      </c>
      <c r="H82" s="23"/>
      <c r="I82" s="23"/>
      <c r="J82" s="23"/>
      <c r="K82" s="23">
        <f>646.47+77.58</f>
        <v>724.05000000000007</v>
      </c>
      <c r="L82" s="24"/>
      <c r="M82" s="25">
        <f t="shared" si="10"/>
        <v>646.47321428571433</v>
      </c>
      <c r="N82" s="25">
        <f t="shared" si="11"/>
        <v>77.57678571428572</v>
      </c>
      <c r="O82" s="25">
        <f t="shared" si="12"/>
        <v>0</v>
      </c>
      <c r="P82" s="25">
        <v>646.47</v>
      </c>
      <c r="Q82" s="25"/>
      <c r="R82" s="25"/>
      <c r="S82" s="25"/>
      <c r="T82" s="26"/>
      <c r="U82" s="26"/>
      <c r="V82" s="26"/>
      <c r="W82" s="26"/>
      <c r="X82" s="26"/>
      <c r="Y82" s="31"/>
      <c r="Z82" s="25"/>
      <c r="AA82" s="25"/>
      <c r="AB82" s="25"/>
      <c r="AC82" s="25"/>
      <c r="AD82" s="25"/>
      <c r="AE82" s="25"/>
      <c r="AF82" s="25"/>
      <c r="AG82" s="25">
        <f t="shared" si="13"/>
        <v>-724.04678571428576</v>
      </c>
      <c r="AH82" s="29">
        <f t="shared" si="14"/>
        <v>3.2142857143071524E-3</v>
      </c>
    </row>
    <row r="83" spans="1:34" s="30" customFormat="1" ht="21" customHeight="1" x14ac:dyDescent="0.2">
      <c r="A83" s="56">
        <v>43158</v>
      </c>
      <c r="B83" s="57"/>
      <c r="C83" s="20" t="s">
        <v>63</v>
      </c>
      <c r="D83" s="20" t="s">
        <v>64</v>
      </c>
      <c r="E83" s="20" t="s">
        <v>65</v>
      </c>
      <c r="F83" s="58">
        <v>119906</v>
      </c>
      <c r="G83" s="59" t="s">
        <v>298</v>
      </c>
      <c r="H83" s="23"/>
      <c r="I83" s="23"/>
      <c r="J83" s="23"/>
      <c r="K83" s="23">
        <v>129.85</v>
      </c>
      <c r="L83" s="24"/>
      <c r="M83" s="25">
        <f t="shared" si="10"/>
        <v>115.93749999999999</v>
      </c>
      <c r="N83" s="25">
        <f t="shared" si="11"/>
        <v>13.912499999999998</v>
      </c>
      <c r="O83" s="25">
        <f t="shared" si="12"/>
        <v>0</v>
      </c>
      <c r="P83" s="25">
        <v>115.85</v>
      </c>
      <c r="Q83" s="25"/>
      <c r="R83" s="25"/>
      <c r="S83" s="25"/>
      <c r="T83" s="26"/>
      <c r="U83" s="26"/>
      <c r="V83" s="26"/>
      <c r="W83" s="26"/>
      <c r="X83" s="26"/>
      <c r="Y83" s="31"/>
      <c r="Z83" s="25"/>
      <c r="AA83" s="25"/>
      <c r="AB83" s="25"/>
      <c r="AC83" s="25"/>
      <c r="AD83" s="25"/>
      <c r="AE83" s="25"/>
      <c r="AF83" s="25"/>
      <c r="AG83" s="25">
        <f t="shared" si="13"/>
        <v>-129.76249999999999</v>
      </c>
      <c r="AH83" s="29">
        <f t="shared" si="14"/>
        <v>8.7500000000005684E-2</v>
      </c>
    </row>
    <row r="84" spans="1:34" s="30" customFormat="1" ht="19.5" customHeight="1" x14ac:dyDescent="0.2">
      <c r="A84" s="56">
        <v>43159</v>
      </c>
      <c r="B84" s="57"/>
      <c r="C84" s="20" t="s">
        <v>63</v>
      </c>
      <c r="D84" s="20" t="s">
        <v>64</v>
      </c>
      <c r="E84" s="20" t="s">
        <v>65</v>
      </c>
      <c r="F84" s="58">
        <v>78597</v>
      </c>
      <c r="G84" s="59" t="s">
        <v>299</v>
      </c>
      <c r="H84" s="23"/>
      <c r="I84" s="23"/>
      <c r="J84" s="23">
        <v>1669.25</v>
      </c>
      <c r="K84" s="23"/>
      <c r="L84" s="24"/>
      <c r="M84" s="25">
        <f t="shared" si="10"/>
        <v>1669.25</v>
      </c>
      <c r="N84" s="25">
        <f t="shared" si="11"/>
        <v>0</v>
      </c>
      <c r="O84" s="25">
        <f t="shared" si="12"/>
        <v>0</v>
      </c>
      <c r="P84" s="25">
        <v>1669.25</v>
      </c>
      <c r="Q84" s="25"/>
      <c r="R84" s="25"/>
      <c r="S84" s="25"/>
      <c r="T84" s="26"/>
      <c r="U84" s="26"/>
      <c r="V84" s="26"/>
      <c r="W84" s="26"/>
      <c r="X84" s="26"/>
      <c r="Y84" s="31"/>
      <c r="Z84" s="25"/>
      <c r="AA84" s="25"/>
      <c r="AB84" s="25"/>
      <c r="AC84" s="25"/>
      <c r="AD84" s="25"/>
      <c r="AE84" s="25"/>
      <c r="AF84" s="25"/>
      <c r="AG84" s="25">
        <f t="shared" si="13"/>
        <v>-1669.25</v>
      </c>
      <c r="AH84" s="29">
        <f t="shared" si="14"/>
        <v>0</v>
      </c>
    </row>
    <row r="85" spans="1:34" s="30" customFormat="1" ht="19.5" customHeight="1" x14ac:dyDescent="0.2">
      <c r="A85" s="56">
        <v>43159</v>
      </c>
      <c r="B85" s="57"/>
      <c r="C85" s="20" t="s">
        <v>63</v>
      </c>
      <c r="D85" s="20" t="s">
        <v>64</v>
      </c>
      <c r="E85" s="20" t="s">
        <v>65</v>
      </c>
      <c r="F85" s="58">
        <v>78597</v>
      </c>
      <c r="G85" s="59" t="s">
        <v>300</v>
      </c>
      <c r="H85" s="23"/>
      <c r="I85" s="23"/>
      <c r="J85" s="23"/>
      <c r="K85" s="23">
        <f>192.95+23.15</f>
        <v>216.1</v>
      </c>
      <c r="L85" s="24"/>
      <c r="M85" s="25">
        <f t="shared" si="10"/>
        <v>192.94642857142856</v>
      </c>
      <c r="N85" s="25">
        <f t="shared" si="11"/>
        <v>23.153571428571425</v>
      </c>
      <c r="O85" s="25">
        <f t="shared" si="12"/>
        <v>0</v>
      </c>
      <c r="P85" s="25">
        <v>192.95</v>
      </c>
      <c r="Q85" s="25"/>
      <c r="R85" s="25"/>
      <c r="S85" s="25"/>
      <c r="T85" s="26"/>
      <c r="U85" s="26"/>
      <c r="V85" s="26"/>
      <c r="W85" s="26"/>
      <c r="X85" s="26"/>
      <c r="Y85" s="31"/>
      <c r="Z85" s="25"/>
      <c r="AA85" s="25"/>
      <c r="AB85" s="25"/>
      <c r="AC85" s="25"/>
      <c r="AD85" s="25"/>
      <c r="AE85" s="25"/>
      <c r="AF85" s="25"/>
      <c r="AG85" s="25">
        <f t="shared" si="13"/>
        <v>-216.1035714285714</v>
      </c>
      <c r="AH85" s="29">
        <f t="shared" si="14"/>
        <v>-3.571428571405022E-3</v>
      </c>
    </row>
    <row r="86" spans="1:34" s="30" customFormat="1" ht="19.5" customHeight="1" x14ac:dyDescent="0.2">
      <c r="A86" s="56">
        <v>43159</v>
      </c>
      <c r="B86" s="57"/>
      <c r="C86" s="20" t="s">
        <v>276</v>
      </c>
      <c r="D86" s="20" t="s">
        <v>52</v>
      </c>
      <c r="E86" s="20" t="s">
        <v>277</v>
      </c>
      <c r="F86" s="58">
        <v>28462</v>
      </c>
      <c r="G86" s="59" t="s">
        <v>301</v>
      </c>
      <c r="H86" s="23"/>
      <c r="I86" s="23"/>
      <c r="J86" s="23"/>
      <c r="K86" s="23">
        <v>248</v>
      </c>
      <c r="L86" s="24"/>
      <c r="M86" s="25">
        <f t="shared" si="10"/>
        <v>221.42857142857142</v>
      </c>
      <c r="N86" s="25">
        <f t="shared" si="11"/>
        <v>26.571428571428569</v>
      </c>
      <c r="O86" s="25">
        <f t="shared" si="12"/>
        <v>0</v>
      </c>
      <c r="P86" s="25">
        <v>221.43</v>
      </c>
      <c r="Q86" s="25"/>
      <c r="R86" s="25"/>
      <c r="S86" s="25"/>
      <c r="T86" s="26"/>
      <c r="U86" s="26"/>
      <c r="V86" s="26"/>
      <c r="W86" s="26"/>
      <c r="X86" s="26"/>
      <c r="Y86" s="31"/>
      <c r="Z86" s="25"/>
      <c r="AA86" s="25"/>
      <c r="AB86" s="25"/>
      <c r="AC86" s="25"/>
      <c r="AD86" s="25"/>
      <c r="AE86" s="25"/>
      <c r="AF86" s="25"/>
      <c r="AG86" s="25">
        <f t="shared" si="13"/>
        <v>-248.00142857142856</v>
      </c>
      <c r="AH86" s="29">
        <f t="shared" si="14"/>
        <v>-1.4285714285620088E-3</v>
      </c>
    </row>
    <row r="87" spans="1:34" s="30" customFormat="1" ht="19.5" customHeight="1" x14ac:dyDescent="0.2">
      <c r="A87" s="18"/>
      <c r="B87" s="19"/>
      <c r="C87" s="20"/>
      <c r="D87" s="20"/>
      <c r="E87" s="20"/>
      <c r="F87" s="21"/>
      <c r="G87" s="22"/>
      <c r="H87" s="23"/>
      <c r="I87" s="23"/>
      <c r="J87" s="23"/>
      <c r="K87" s="23"/>
      <c r="L87" s="24"/>
      <c r="M87" s="25">
        <f t="shared" si="10"/>
        <v>0</v>
      </c>
      <c r="N87" s="25">
        <f t="shared" si="11"/>
        <v>0</v>
      </c>
      <c r="O87" s="25">
        <f t="shared" si="12"/>
        <v>0</v>
      </c>
      <c r="P87" s="25"/>
      <c r="Q87" s="25"/>
      <c r="R87" s="25"/>
      <c r="S87" s="25"/>
      <c r="T87" s="26"/>
      <c r="U87" s="26"/>
      <c r="V87" s="26"/>
      <c r="W87" s="26"/>
      <c r="X87" s="26"/>
      <c r="Y87" s="31"/>
      <c r="Z87" s="25"/>
      <c r="AA87" s="25"/>
      <c r="AB87" s="25"/>
      <c r="AC87" s="26"/>
      <c r="AD87" s="26"/>
      <c r="AE87" s="27"/>
      <c r="AF87" s="27"/>
      <c r="AG87" s="28">
        <f t="shared" si="13"/>
        <v>0</v>
      </c>
      <c r="AH87" s="29">
        <f t="shared" si="14"/>
        <v>0</v>
      </c>
    </row>
    <row r="88" spans="1:34" s="30" customFormat="1" ht="19.5" customHeight="1" x14ac:dyDescent="0.2">
      <c r="A88" s="18"/>
      <c r="B88" s="19"/>
      <c r="C88" s="47"/>
      <c r="D88" s="47"/>
      <c r="E88" s="47"/>
      <c r="F88" s="21"/>
      <c r="G88" s="22"/>
      <c r="H88" s="23"/>
      <c r="I88" s="23"/>
      <c r="J88" s="23"/>
      <c r="K88" s="23"/>
      <c r="L88" s="24"/>
      <c r="M88" s="25">
        <f t="shared" si="10"/>
        <v>0</v>
      </c>
      <c r="N88" s="25">
        <f t="shared" si="11"/>
        <v>0</v>
      </c>
      <c r="O88" s="25">
        <f t="shared" si="12"/>
        <v>0</v>
      </c>
      <c r="P88" s="25"/>
      <c r="Q88" s="25"/>
      <c r="R88" s="25"/>
      <c r="S88" s="25"/>
      <c r="T88" s="26"/>
      <c r="U88" s="26"/>
      <c r="V88" s="26"/>
      <c r="W88" s="26"/>
      <c r="X88" s="26"/>
      <c r="Y88" s="31"/>
      <c r="Z88" s="25"/>
      <c r="AA88" s="25"/>
      <c r="AB88" s="25"/>
      <c r="AC88" s="26"/>
      <c r="AD88" s="26"/>
      <c r="AE88" s="27"/>
      <c r="AF88" s="27"/>
      <c r="AG88" s="28">
        <f t="shared" si="13"/>
        <v>0</v>
      </c>
      <c r="AH88" s="29">
        <f t="shared" si="14"/>
        <v>0</v>
      </c>
    </row>
    <row r="89" spans="1:34" s="55" customFormat="1" ht="12" customHeight="1" x14ac:dyDescent="0.2">
      <c r="A89" s="48"/>
      <c r="B89" s="49"/>
      <c r="C89" s="50"/>
      <c r="D89" s="51"/>
      <c r="E89" s="51"/>
      <c r="F89" s="52"/>
      <c r="G89" s="50"/>
      <c r="H89" s="53">
        <f t="shared" ref="H89:AH89" si="15">SUM(H5:H88)</f>
        <v>4318</v>
      </c>
      <c r="I89" s="53">
        <f t="shared" si="15"/>
        <v>0</v>
      </c>
      <c r="J89" s="53">
        <f t="shared" si="15"/>
        <v>16191.8</v>
      </c>
      <c r="K89" s="53">
        <f t="shared" si="15"/>
        <v>27585.409999999996</v>
      </c>
      <c r="L89" s="53">
        <f t="shared" si="15"/>
        <v>0.09</v>
      </c>
      <c r="M89" s="53">
        <f t="shared" si="15"/>
        <v>45139.630357142865</v>
      </c>
      <c r="N89" s="53">
        <f t="shared" si="15"/>
        <v>2955.5796428571425</v>
      </c>
      <c r="O89" s="53">
        <f t="shared" si="15"/>
        <v>-142.33346428571429</v>
      </c>
      <c r="P89" s="53">
        <f t="shared" si="15"/>
        <v>30362.690000000002</v>
      </c>
      <c r="Q89" s="53">
        <f t="shared" si="15"/>
        <v>1031.47</v>
      </c>
      <c r="R89" s="53">
        <f t="shared" si="15"/>
        <v>391.97</v>
      </c>
      <c r="S89" s="53">
        <f t="shared" si="15"/>
        <v>959.9</v>
      </c>
      <c r="T89" s="53">
        <f t="shared" si="15"/>
        <v>1189.96</v>
      </c>
      <c r="U89" s="53">
        <f t="shared" si="15"/>
        <v>0</v>
      </c>
      <c r="V89" s="53">
        <f t="shared" si="15"/>
        <v>702.68000000000006</v>
      </c>
      <c r="W89" s="53">
        <f t="shared" si="15"/>
        <v>46.21</v>
      </c>
      <c r="X89" s="53">
        <f t="shared" si="15"/>
        <v>272.10000000000002</v>
      </c>
      <c r="Y89" s="53">
        <f t="shared" si="15"/>
        <v>3651.7799999999997</v>
      </c>
      <c r="Z89" s="53">
        <f t="shared" si="15"/>
        <v>426.79</v>
      </c>
      <c r="AA89" s="53">
        <f t="shared" si="15"/>
        <v>1250</v>
      </c>
      <c r="AB89" s="53">
        <f t="shared" si="15"/>
        <v>250</v>
      </c>
      <c r="AC89" s="53">
        <f t="shared" si="15"/>
        <v>3785.71</v>
      </c>
      <c r="AD89" s="53">
        <f t="shared" si="15"/>
        <v>0</v>
      </c>
      <c r="AE89" s="53">
        <f t="shared" si="15"/>
        <v>0</v>
      </c>
      <c r="AF89" s="54">
        <f t="shared" si="15"/>
        <v>818</v>
      </c>
      <c r="AG89" s="53">
        <f t="shared" si="15"/>
        <v>-47952.506178571421</v>
      </c>
      <c r="AH89" s="53">
        <f t="shared" si="15"/>
        <v>0.37035714285680932</v>
      </c>
    </row>
    <row r="90" spans="1:34" ht="12" customHeight="1" x14ac:dyDescent="0.25"/>
    <row r="91" spans="1:34" ht="12" customHeight="1" x14ac:dyDescent="0.25"/>
    <row r="92" spans="1:34" ht="12" customHeight="1" x14ac:dyDescent="0.25"/>
    <row r="93" spans="1:34" ht="12" customHeight="1" x14ac:dyDescent="0.25"/>
    <row r="94" spans="1:34" ht="12" customHeight="1" x14ac:dyDescent="0.25"/>
    <row r="95" spans="1:34" ht="12" customHeight="1" x14ac:dyDescent="0.25"/>
    <row r="96" spans="1:34" ht="12" customHeight="1" x14ac:dyDescent="0.25">
      <c r="Q96" s="5">
        <v>0</v>
      </c>
    </row>
    <row r="97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5"/>
  <sheetViews>
    <sheetView topLeftCell="A7" zoomScale="90" zoomScaleNormal="90" workbookViewId="0">
      <selection activeCell="G10" sqref="A10:XFD17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32.5546875" style="3" customWidth="1"/>
    <col min="4" max="4" width="17.6640625" style="4" hidden="1" customWidth="1"/>
    <col min="5" max="5" width="28.6640625" style="4" hidden="1" customWidth="1"/>
    <col min="6" max="6" width="9.88671875" style="2" hidden="1" customWidth="1"/>
    <col min="7" max="7" width="30.21875" style="3" customWidth="1"/>
    <col min="8" max="8" width="10.21875" style="5" hidden="1" customWidth="1"/>
    <col min="9" max="9" width="10.6640625" style="5" hidden="1" customWidth="1"/>
    <col min="10" max="10" width="12.21875" style="5" customWidth="1"/>
    <col min="11" max="11" width="13.109375" style="5" customWidth="1"/>
    <col min="12" max="12" width="9.88671875" style="6" hidden="1" customWidth="1"/>
    <col min="13" max="13" width="12.21875" style="5" customWidth="1"/>
    <col min="14" max="15" width="10.77734375" style="5" hidden="1" customWidth="1"/>
    <col min="16" max="16" width="12.44140625" style="5" customWidth="1"/>
    <col min="17" max="17" width="9.88671875" style="5" hidden="1" customWidth="1"/>
    <col min="18" max="18" width="9.6640625" style="5" hidden="1" customWidth="1"/>
    <col min="19" max="19" width="10.21875" style="5" customWidth="1"/>
    <col min="20" max="24" width="8.6640625" style="5" hidden="1" customWidth="1"/>
    <col min="25" max="25" width="11.6640625" style="5" customWidth="1"/>
    <col min="26" max="26" width="10.44140625" style="5" hidden="1" customWidth="1"/>
    <col min="27" max="27" width="8.44140625" style="5" hidden="1" customWidth="1"/>
    <col min="28" max="28" width="12.109375" style="5" hidden="1" customWidth="1"/>
    <col min="29" max="30" width="10.109375" style="5" hidden="1" customWidth="1"/>
    <col min="31" max="31" width="13" style="5" hidden="1" customWidth="1"/>
    <col min="32" max="32" width="9.88671875" style="5" hidden="1" customWidth="1"/>
    <col min="33" max="33" width="13.44140625" style="5" customWidth="1"/>
    <col min="34" max="34" width="9.8867187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193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34</v>
      </c>
      <c r="AG4" s="13" t="s">
        <v>36</v>
      </c>
    </row>
    <row r="5" spans="1:34" s="30" customFormat="1" ht="21.75" customHeight="1" x14ac:dyDescent="0.2">
      <c r="A5" s="56">
        <v>43136</v>
      </c>
      <c r="B5" s="57"/>
      <c r="C5" s="20" t="s">
        <v>68</v>
      </c>
      <c r="D5" s="20"/>
      <c r="E5" s="20"/>
      <c r="F5" s="58"/>
      <c r="G5" s="58" t="s">
        <v>302</v>
      </c>
      <c r="H5" s="23"/>
      <c r="I5" s="23"/>
      <c r="J5" s="23">
        <v>202</v>
      </c>
      <c r="K5" s="23"/>
      <c r="L5" s="24"/>
      <c r="M5" s="25">
        <f>SUM(H5:J5,K5/1.12)</f>
        <v>202</v>
      </c>
      <c r="N5" s="25">
        <f>K5/1.12*0.12</f>
        <v>0</v>
      </c>
      <c r="O5" s="25">
        <f>-SUM(I5:J5,K5/1.12)*L5</f>
        <v>0</v>
      </c>
      <c r="P5" s="25">
        <v>202</v>
      </c>
      <c r="Q5" s="25"/>
      <c r="R5" s="25"/>
      <c r="S5" s="25"/>
      <c r="T5" s="26"/>
      <c r="U5" s="26"/>
      <c r="V5" s="26"/>
      <c r="W5" s="26"/>
      <c r="X5" s="26"/>
      <c r="Y5" s="31"/>
      <c r="Z5" s="25"/>
      <c r="AA5" s="25"/>
      <c r="AB5" s="25"/>
      <c r="AC5" s="25"/>
      <c r="AD5" s="25"/>
      <c r="AE5" s="25"/>
      <c r="AF5" s="25"/>
      <c r="AG5" s="25">
        <f>-SUM(N5:AF5)</f>
        <v>-202</v>
      </c>
      <c r="AH5" s="29">
        <f>SUM(H5:K5)+AG5+O5</f>
        <v>0</v>
      </c>
    </row>
    <row r="6" spans="1:34" s="30" customFormat="1" ht="24.75" customHeight="1" x14ac:dyDescent="0.2">
      <c r="A6" s="56">
        <v>43141</v>
      </c>
      <c r="B6" s="57"/>
      <c r="C6" s="20" t="s">
        <v>96</v>
      </c>
      <c r="D6" s="20"/>
      <c r="E6" s="20"/>
      <c r="F6" s="58"/>
      <c r="G6" s="59" t="s">
        <v>303</v>
      </c>
      <c r="H6" s="23"/>
      <c r="I6" s="23"/>
      <c r="J6" s="23">
        <v>150</v>
      </c>
      <c r="K6" s="23"/>
      <c r="L6" s="24"/>
      <c r="M6" s="25">
        <f>SUM(H6:J6,K6/1.12)</f>
        <v>150</v>
      </c>
      <c r="N6" s="25">
        <f>K6/1.12*0.12</f>
        <v>0</v>
      </c>
      <c r="O6" s="25">
        <f>-SUM(I6:J6,K6/1.12)*L6</f>
        <v>0</v>
      </c>
      <c r="P6" s="25"/>
      <c r="Q6" s="25"/>
      <c r="R6" s="25"/>
      <c r="S6" s="25"/>
      <c r="T6" s="26"/>
      <c r="U6" s="26"/>
      <c r="V6" s="26"/>
      <c r="W6" s="26"/>
      <c r="X6" s="26"/>
      <c r="Y6" s="31">
        <v>150</v>
      </c>
      <c r="Z6" s="25"/>
      <c r="AA6" s="25"/>
      <c r="AB6" s="25"/>
      <c r="AC6" s="25"/>
      <c r="AD6" s="25"/>
      <c r="AE6" s="25"/>
      <c r="AF6" s="25"/>
      <c r="AG6" s="25">
        <f>-SUM(N6:AF6)</f>
        <v>-150</v>
      </c>
      <c r="AH6" s="29">
        <f>SUM(H6:K6)+AG6+O6</f>
        <v>0</v>
      </c>
    </row>
    <row r="7" spans="1:34" s="30" customFormat="1" ht="19.5" customHeight="1" x14ac:dyDescent="0.2">
      <c r="A7" s="56">
        <v>43141</v>
      </c>
      <c r="B7" s="57"/>
      <c r="C7" s="20" t="s">
        <v>96</v>
      </c>
      <c r="D7" s="20"/>
      <c r="E7" s="20"/>
      <c r="F7" s="58"/>
      <c r="G7" s="59" t="s">
        <v>187</v>
      </c>
      <c r="H7" s="23"/>
      <c r="I7" s="23"/>
      <c r="J7" s="23">
        <v>50</v>
      </c>
      <c r="K7" s="23"/>
      <c r="L7" s="24"/>
      <c r="M7" s="25">
        <f>SUM(H7:J7,K7/1.12)</f>
        <v>50</v>
      </c>
      <c r="N7" s="25">
        <f>K7/1.12*0.12</f>
        <v>0</v>
      </c>
      <c r="O7" s="25">
        <f>-SUM(I7:J7,K7/1.12)*L7</f>
        <v>0</v>
      </c>
      <c r="P7" s="25"/>
      <c r="Q7" s="25"/>
      <c r="R7" s="25"/>
      <c r="S7" s="25">
        <v>50</v>
      </c>
      <c r="T7" s="26"/>
      <c r="U7" s="26"/>
      <c r="V7" s="26"/>
      <c r="W7" s="26"/>
      <c r="X7" s="26"/>
      <c r="Y7" s="31"/>
      <c r="Z7" s="25"/>
      <c r="AA7" s="25"/>
      <c r="AB7" s="25"/>
      <c r="AC7" s="25"/>
      <c r="AD7" s="25"/>
      <c r="AE7" s="25"/>
      <c r="AF7" s="25"/>
      <c r="AG7" s="25">
        <f>-SUM(N7:AF7)</f>
        <v>-50</v>
      </c>
      <c r="AH7" s="29">
        <f>SUM(H7:K7)+AG7+O7</f>
        <v>0</v>
      </c>
    </row>
    <row r="8" spans="1:34" s="30" customFormat="1" ht="19.5" customHeight="1" x14ac:dyDescent="0.2">
      <c r="A8" s="56"/>
      <c r="B8" s="57"/>
      <c r="C8" s="20"/>
      <c r="D8" s="20"/>
      <c r="E8" s="20"/>
      <c r="F8" s="58"/>
      <c r="G8" s="59"/>
      <c r="H8" s="23"/>
      <c r="I8" s="23"/>
      <c r="J8" s="23"/>
      <c r="K8" s="23"/>
      <c r="L8" s="24"/>
      <c r="M8" s="25">
        <f>SUM(H8:J8,K8/1.12)</f>
        <v>0</v>
      </c>
      <c r="N8" s="25">
        <f>K8/1.12*0.12</f>
        <v>0</v>
      </c>
      <c r="O8" s="25">
        <f>-SUM(I8:J8,K8/1.12)*L8</f>
        <v>0</v>
      </c>
      <c r="P8" s="25"/>
      <c r="Q8" s="25"/>
      <c r="R8" s="25"/>
      <c r="S8" s="25"/>
      <c r="T8" s="26"/>
      <c r="U8" s="26"/>
      <c r="V8" s="26"/>
      <c r="W8" s="26"/>
      <c r="X8" s="26"/>
      <c r="Y8" s="31"/>
      <c r="Z8" s="25"/>
      <c r="AA8" s="25"/>
      <c r="AB8" s="25"/>
      <c r="AC8" s="25"/>
      <c r="AD8" s="25"/>
      <c r="AE8" s="25"/>
      <c r="AF8" s="25"/>
      <c r="AG8" s="25">
        <f>-SUM(N8:AF8)</f>
        <v>0</v>
      </c>
      <c r="AH8" s="29">
        <f>SUM(H8:K8)+AG8+O8</f>
        <v>0</v>
      </c>
    </row>
    <row r="9" spans="1:34" s="55" customFormat="1" ht="17.25" customHeight="1" x14ac:dyDescent="0.2">
      <c r="A9" s="48"/>
      <c r="B9" s="49"/>
      <c r="C9" s="50"/>
      <c r="D9" s="51"/>
      <c r="E9" s="51"/>
      <c r="F9" s="52"/>
      <c r="G9" s="50"/>
      <c r="H9" s="53">
        <f t="shared" ref="H9:T9" si="0">SUM(H5:H8)</f>
        <v>0</v>
      </c>
      <c r="I9" s="53">
        <f t="shared" si="0"/>
        <v>0</v>
      </c>
      <c r="J9" s="53">
        <f t="shared" si="0"/>
        <v>402</v>
      </c>
      <c r="K9" s="53">
        <f t="shared" si="0"/>
        <v>0</v>
      </c>
      <c r="L9" s="53">
        <f t="shared" si="0"/>
        <v>0</v>
      </c>
      <c r="M9" s="53">
        <f t="shared" si="0"/>
        <v>402</v>
      </c>
      <c r="N9" s="53">
        <f t="shared" si="0"/>
        <v>0</v>
      </c>
      <c r="O9" s="53">
        <f t="shared" si="0"/>
        <v>0</v>
      </c>
      <c r="P9" s="53">
        <f t="shared" si="0"/>
        <v>202</v>
      </c>
      <c r="Q9" s="53">
        <f t="shared" si="0"/>
        <v>0</v>
      </c>
      <c r="R9" s="53">
        <f t="shared" si="0"/>
        <v>0</v>
      </c>
      <c r="S9" s="53">
        <f t="shared" si="0"/>
        <v>50</v>
      </c>
      <c r="T9" s="53">
        <f t="shared" si="0"/>
        <v>0</v>
      </c>
      <c r="U9" s="53"/>
      <c r="V9" s="53"/>
      <c r="W9" s="53"/>
      <c r="X9" s="53"/>
      <c r="Y9" s="53">
        <f t="shared" ref="Y9:AH9" si="1">SUM(Y5:Y8)</f>
        <v>150</v>
      </c>
      <c r="Z9" s="53">
        <f t="shared" si="1"/>
        <v>0</v>
      </c>
      <c r="AA9" s="53">
        <f t="shared" si="1"/>
        <v>0</v>
      </c>
      <c r="AB9" s="53">
        <f t="shared" si="1"/>
        <v>0</v>
      </c>
      <c r="AC9" s="53">
        <f t="shared" si="1"/>
        <v>0</v>
      </c>
      <c r="AD9" s="53">
        <f t="shared" si="1"/>
        <v>0</v>
      </c>
      <c r="AE9" s="53">
        <f t="shared" si="1"/>
        <v>0</v>
      </c>
      <c r="AF9" s="53">
        <f t="shared" si="1"/>
        <v>0</v>
      </c>
      <c r="AG9" s="53">
        <f t="shared" si="1"/>
        <v>-402</v>
      </c>
      <c r="AH9" s="53">
        <f t="shared" si="1"/>
        <v>0</v>
      </c>
    </row>
    <row r="15" spans="1:34" x14ac:dyDescent="0.25">
      <c r="Q15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7"/>
  <sheetViews>
    <sheetView zoomScale="90" zoomScaleNormal="90" workbookViewId="0">
      <selection activeCell="G21" sqref="A21:XFD27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34.88671875" style="3" customWidth="1"/>
    <col min="4" max="4" width="17.6640625" style="4" hidden="1" customWidth="1"/>
    <col min="5" max="5" width="28.6640625" style="4" hidden="1" customWidth="1"/>
    <col min="6" max="6" width="9.88671875" style="2" customWidth="1"/>
    <col min="7" max="7" width="57.109375" style="3" customWidth="1"/>
    <col min="8" max="8" width="14.5546875" style="5" customWidth="1"/>
    <col min="9" max="9" width="10.6640625" style="5" hidden="1" customWidth="1"/>
    <col min="10" max="10" width="12.21875" style="5" hidden="1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8.6640625" style="5" hidden="1" customWidth="1"/>
    <col min="16" max="16" width="12.44140625" style="5" hidden="1" customWidth="1"/>
    <col min="17" max="17" width="9.88671875" style="5" hidden="1" customWidth="1"/>
    <col min="18" max="18" width="9.6640625" style="5" hidden="1" customWidth="1"/>
    <col min="19" max="19" width="10.21875" style="5" hidden="1" customWidth="1"/>
    <col min="20" max="24" width="8.6640625" style="5" hidden="1" customWidth="1"/>
    <col min="25" max="25" width="14.5546875" style="5" customWidth="1"/>
    <col min="26" max="26" width="10.44140625" style="5" hidden="1" customWidth="1"/>
    <col min="27" max="27" width="8.44140625" style="5" hidden="1" customWidth="1"/>
    <col min="28" max="28" width="12.109375" style="5" hidden="1" customWidth="1"/>
    <col min="29" max="30" width="10.109375" style="5" hidden="1" customWidth="1"/>
    <col min="31" max="31" width="13" style="5" hidden="1" customWidth="1"/>
    <col min="32" max="32" width="15.88671875" style="5" customWidth="1"/>
    <col min="33" max="33" width="13.44140625" style="5" customWidth="1"/>
    <col min="34" max="34" width="12.10937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304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34</v>
      </c>
      <c r="AG4" s="13" t="s">
        <v>36</v>
      </c>
    </row>
    <row r="5" spans="1:34" s="30" customFormat="1" ht="21" customHeight="1" x14ac:dyDescent="0.2">
      <c r="A5" s="18">
        <v>43144</v>
      </c>
      <c r="B5" s="19"/>
      <c r="C5" s="20" t="s">
        <v>305</v>
      </c>
      <c r="D5" s="20"/>
      <c r="E5" s="20"/>
      <c r="F5" s="21"/>
      <c r="G5" s="21" t="s">
        <v>306</v>
      </c>
      <c r="H5" s="23">
        <v>1000</v>
      </c>
      <c r="I5" s="23"/>
      <c r="J5" s="23"/>
      <c r="K5" s="23"/>
      <c r="L5" s="24"/>
      <c r="M5" s="25">
        <f t="shared" ref="M5:M19" si="0">SUM(H5:J5,K5/1.12)</f>
        <v>1000</v>
      </c>
      <c r="N5" s="25">
        <f t="shared" ref="N5:N19" si="1">K5/1.12*0.12</f>
        <v>0</v>
      </c>
      <c r="O5" s="25">
        <f t="shared" ref="O5:O19" si="2">-SUM(I5:J5,K5/1.12)*L5</f>
        <v>0</v>
      </c>
      <c r="P5" s="25"/>
      <c r="Q5" s="25"/>
      <c r="R5" s="25"/>
      <c r="S5" s="25"/>
      <c r="T5" s="26"/>
      <c r="U5" s="26"/>
      <c r="V5" s="26"/>
      <c r="W5" s="26"/>
      <c r="X5" s="26"/>
      <c r="Y5" s="25">
        <v>1000</v>
      </c>
      <c r="Z5" s="25"/>
      <c r="AA5" s="25"/>
      <c r="AB5" s="25"/>
      <c r="AC5" s="25"/>
      <c r="AD5" s="25"/>
      <c r="AE5" s="25"/>
      <c r="AF5" s="25"/>
      <c r="AG5" s="25">
        <f t="shared" ref="AG5:AG19" si="3">-SUM(N5:AF5)</f>
        <v>-1000</v>
      </c>
      <c r="AH5" s="29">
        <f t="shared" ref="AH5:AH19" si="4">SUM(H5:K5)+AG5+O5</f>
        <v>0</v>
      </c>
    </row>
    <row r="6" spans="1:34" s="30" customFormat="1" ht="19.5" customHeight="1" x14ac:dyDescent="0.2">
      <c r="A6" s="18">
        <v>43146</v>
      </c>
      <c r="B6" s="19"/>
      <c r="C6" s="20" t="s">
        <v>305</v>
      </c>
      <c r="D6" s="20"/>
      <c r="E6" s="20"/>
      <c r="F6" s="21"/>
      <c r="G6" s="22" t="s">
        <v>307</v>
      </c>
      <c r="H6" s="23">
        <v>1500</v>
      </c>
      <c r="I6" s="23"/>
      <c r="J6" s="23"/>
      <c r="K6" s="23"/>
      <c r="L6" s="24"/>
      <c r="M6" s="25">
        <f t="shared" si="0"/>
        <v>1500</v>
      </c>
      <c r="N6" s="25">
        <f t="shared" si="1"/>
        <v>0</v>
      </c>
      <c r="O6" s="25">
        <f t="shared" si="2"/>
        <v>0</v>
      </c>
      <c r="P6" s="25"/>
      <c r="Q6" s="25"/>
      <c r="R6" s="25"/>
      <c r="S6" s="25"/>
      <c r="T6" s="26"/>
      <c r="U6" s="26"/>
      <c r="V6" s="26"/>
      <c r="W6" s="26"/>
      <c r="X6" s="26"/>
      <c r="Y6" s="31">
        <v>1500</v>
      </c>
      <c r="Z6" s="25"/>
      <c r="AA6" s="25"/>
      <c r="AB6" s="25"/>
      <c r="AC6" s="25"/>
      <c r="AD6" s="25"/>
      <c r="AE6" s="25"/>
      <c r="AF6" s="25"/>
      <c r="AG6" s="25">
        <f t="shared" si="3"/>
        <v>-1500</v>
      </c>
      <c r="AH6" s="29">
        <f t="shared" si="4"/>
        <v>0</v>
      </c>
    </row>
    <row r="7" spans="1:34" s="30" customFormat="1" ht="19.5" customHeight="1" x14ac:dyDescent="0.2">
      <c r="A7" s="18">
        <v>43146</v>
      </c>
      <c r="B7" s="19"/>
      <c r="C7" s="20" t="s">
        <v>305</v>
      </c>
      <c r="D7" s="20"/>
      <c r="E7" s="20"/>
      <c r="F7" s="21"/>
      <c r="G7" s="21" t="s">
        <v>308</v>
      </c>
      <c r="H7" s="23">
        <v>5000</v>
      </c>
      <c r="I7" s="23"/>
      <c r="J7" s="23"/>
      <c r="K7" s="23"/>
      <c r="L7" s="24"/>
      <c r="M7" s="25">
        <f t="shared" si="0"/>
        <v>5000</v>
      </c>
      <c r="N7" s="25">
        <f t="shared" si="1"/>
        <v>0</v>
      </c>
      <c r="O7" s="25">
        <f t="shared" si="2"/>
        <v>0</v>
      </c>
      <c r="P7" s="25"/>
      <c r="Q7" s="25"/>
      <c r="R7" s="25"/>
      <c r="S7" s="25"/>
      <c r="T7" s="26"/>
      <c r="U7" s="26"/>
      <c r="V7" s="26"/>
      <c r="W7" s="26"/>
      <c r="X7" s="26"/>
      <c r="Y7" s="31">
        <v>5000</v>
      </c>
      <c r="Z7" s="25"/>
      <c r="AA7" s="25"/>
      <c r="AB7" s="25"/>
      <c r="AC7" s="25"/>
      <c r="AD7" s="25"/>
      <c r="AE7" s="25"/>
      <c r="AF7" s="25"/>
      <c r="AG7" s="25">
        <f t="shared" si="3"/>
        <v>-5000</v>
      </c>
      <c r="AH7" s="29">
        <f t="shared" si="4"/>
        <v>0</v>
      </c>
    </row>
    <row r="8" spans="1:34" s="30" customFormat="1" ht="19.5" customHeight="1" x14ac:dyDescent="0.2">
      <c r="A8" s="18">
        <v>43149</v>
      </c>
      <c r="B8" s="19"/>
      <c r="C8" s="20" t="s">
        <v>305</v>
      </c>
      <c r="D8" s="20"/>
      <c r="E8" s="20"/>
      <c r="F8" s="21"/>
      <c r="G8" s="22" t="s">
        <v>309</v>
      </c>
      <c r="H8" s="23">
        <v>6000</v>
      </c>
      <c r="I8" s="23"/>
      <c r="J8" s="23"/>
      <c r="K8" s="23"/>
      <c r="L8" s="24"/>
      <c r="M8" s="25">
        <f t="shared" si="0"/>
        <v>6000</v>
      </c>
      <c r="N8" s="25">
        <f t="shared" si="1"/>
        <v>0</v>
      </c>
      <c r="O8" s="25">
        <f t="shared" si="2"/>
        <v>0</v>
      </c>
      <c r="P8" s="25"/>
      <c r="Q8" s="25"/>
      <c r="R8" s="25"/>
      <c r="S8" s="25"/>
      <c r="T8" s="26"/>
      <c r="U8" s="26"/>
      <c r="V8" s="26"/>
      <c r="W8" s="26"/>
      <c r="X8" s="26"/>
      <c r="Y8" s="31">
        <v>6000</v>
      </c>
      <c r="Z8" s="25"/>
      <c r="AA8" s="25"/>
      <c r="AB8" s="25"/>
      <c r="AC8" s="25"/>
      <c r="AD8" s="25"/>
      <c r="AE8" s="25"/>
      <c r="AF8" s="25"/>
      <c r="AG8" s="25">
        <f t="shared" si="3"/>
        <v>-6000</v>
      </c>
      <c r="AH8" s="29">
        <f t="shared" si="4"/>
        <v>0</v>
      </c>
    </row>
    <row r="9" spans="1:34" s="30" customFormat="1" ht="19.5" customHeight="1" x14ac:dyDescent="0.2">
      <c r="A9" s="18">
        <v>43149</v>
      </c>
      <c r="B9" s="19"/>
      <c r="C9" s="20" t="s">
        <v>310</v>
      </c>
      <c r="D9" s="20"/>
      <c r="E9" s="20"/>
      <c r="F9" s="21"/>
      <c r="G9" s="22" t="s">
        <v>311</v>
      </c>
      <c r="H9" s="23">
        <v>3650</v>
      </c>
      <c r="I9" s="23"/>
      <c r="J9" s="23"/>
      <c r="K9" s="23"/>
      <c r="L9" s="24"/>
      <c r="M9" s="25">
        <f t="shared" si="0"/>
        <v>3650</v>
      </c>
      <c r="N9" s="25">
        <f t="shared" si="1"/>
        <v>0</v>
      </c>
      <c r="O9" s="25">
        <f t="shared" si="2"/>
        <v>0</v>
      </c>
      <c r="P9" s="25"/>
      <c r="Q9" s="25"/>
      <c r="R9" s="25"/>
      <c r="S9" s="25"/>
      <c r="T9" s="26"/>
      <c r="U9" s="26"/>
      <c r="V9" s="26"/>
      <c r="W9" s="26"/>
      <c r="X9" s="26"/>
      <c r="Y9" s="31">
        <v>3650</v>
      </c>
      <c r="Z9" s="25"/>
      <c r="AA9" s="25"/>
      <c r="AB9" s="25"/>
      <c r="AC9" s="25"/>
      <c r="AD9" s="25"/>
      <c r="AE9" s="25"/>
      <c r="AF9" s="25"/>
      <c r="AG9" s="25">
        <f t="shared" si="3"/>
        <v>-3650</v>
      </c>
      <c r="AH9" s="29">
        <f t="shared" si="4"/>
        <v>0</v>
      </c>
    </row>
    <row r="10" spans="1:34" s="30" customFormat="1" ht="18" customHeight="1" x14ac:dyDescent="0.2">
      <c r="A10" s="18">
        <v>43149</v>
      </c>
      <c r="B10" s="19"/>
      <c r="C10" s="20" t="s">
        <v>312</v>
      </c>
      <c r="D10" s="20"/>
      <c r="E10" s="20"/>
      <c r="F10" s="21"/>
      <c r="G10" s="22" t="s">
        <v>313</v>
      </c>
      <c r="H10" s="23">
        <v>3000</v>
      </c>
      <c r="I10" s="23"/>
      <c r="J10" s="23"/>
      <c r="K10" s="23"/>
      <c r="L10" s="24"/>
      <c r="M10" s="25">
        <f t="shared" si="0"/>
        <v>3000</v>
      </c>
      <c r="N10" s="25">
        <f t="shared" si="1"/>
        <v>0</v>
      </c>
      <c r="O10" s="25">
        <f t="shared" si="2"/>
        <v>0</v>
      </c>
      <c r="P10" s="25"/>
      <c r="Q10" s="25"/>
      <c r="R10" s="25"/>
      <c r="S10" s="25"/>
      <c r="T10" s="26"/>
      <c r="U10" s="26"/>
      <c r="V10" s="26"/>
      <c r="W10" s="26"/>
      <c r="X10" s="26"/>
      <c r="Y10" s="31">
        <v>3000</v>
      </c>
      <c r="Z10" s="25"/>
      <c r="AA10" s="25"/>
      <c r="AB10" s="25"/>
      <c r="AC10" s="25"/>
      <c r="AD10" s="25"/>
      <c r="AE10" s="25"/>
      <c r="AF10" s="25"/>
      <c r="AG10" s="25">
        <f t="shared" si="3"/>
        <v>-3000</v>
      </c>
      <c r="AH10" s="29">
        <f t="shared" si="4"/>
        <v>0</v>
      </c>
    </row>
    <row r="11" spans="1:34" s="30" customFormat="1" ht="18" customHeight="1" x14ac:dyDescent="0.2">
      <c r="A11" s="18">
        <v>43149</v>
      </c>
      <c r="B11" s="19"/>
      <c r="C11" s="20" t="s">
        <v>314</v>
      </c>
      <c r="D11" s="20"/>
      <c r="E11" s="20"/>
      <c r="F11" s="21">
        <v>126771</v>
      </c>
      <c r="G11" s="22" t="s">
        <v>315</v>
      </c>
      <c r="H11" s="23"/>
      <c r="I11" s="23"/>
      <c r="J11" s="23"/>
      <c r="K11" s="23">
        <v>1103</v>
      </c>
      <c r="L11" s="24"/>
      <c r="M11" s="25">
        <f t="shared" si="0"/>
        <v>984.82142857142844</v>
      </c>
      <c r="N11" s="25">
        <f t="shared" si="1"/>
        <v>118.1785714285714</v>
      </c>
      <c r="O11" s="25">
        <f t="shared" si="2"/>
        <v>0</v>
      </c>
      <c r="P11" s="25"/>
      <c r="Q11" s="25"/>
      <c r="R11" s="25"/>
      <c r="S11" s="25"/>
      <c r="T11" s="26"/>
      <c r="U11" s="26"/>
      <c r="V11" s="26"/>
      <c r="W11" s="26"/>
      <c r="X11" s="26"/>
      <c r="Y11" s="31">
        <v>984.82</v>
      </c>
      <c r="Z11" s="25"/>
      <c r="AA11" s="25"/>
      <c r="AB11" s="25"/>
      <c r="AC11" s="25"/>
      <c r="AD11" s="25"/>
      <c r="AE11" s="25"/>
      <c r="AF11" s="25"/>
      <c r="AG11" s="25">
        <f t="shared" si="3"/>
        <v>-1102.9985714285715</v>
      </c>
      <c r="AH11" s="29">
        <f t="shared" si="4"/>
        <v>1.4285714285051654E-3</v>
      </c>
    </row>
    <row r="12" spans="1:34" s="30" customFormat="1" ht="18" customHeight="1" x14ac:dyDescent="0.2">
      <c r="A12" s="18">
        <v>43149</v>
      </c>
      <c r="B12" s="19"/>
      <c r="C12" s="20" t="s">
        <v>314</v>
      </c>
      <c r="D12" s="20"/>
      <c r="E12" s="20"/>
      <c r="F12" s="21">
        <v>126772</v>
      </c>
      <c r="G12" s="22" t="s">
        <v>315</v>
      </c>
      <c r="H12" s="23"/>
      <c r="I12" s="23"/>
      <c r="J12" s="23"/>
      <c r="K12" s="23">
        <v>255</v>
      </c>
      <c r="L12" s="24"/>
      <c r="M12" s="25">
        <f t="shared" si="0"/>
        <v>227.67857142857142</v>
      </c>
      <c r="N12" s="25">
        <f t="shared" si="1"/>
        <v>27.321428571428569</v>
      </c>
      <c r="O12" s="25">
        <f t="shared" si="2"/>
        <v>0</v>
      </c>
      <c r="P12" s="25"/>
      <c r="Q12" s="25"/>
      <c r="R12" s="25"/>
      <c r="S12" s="25"/>
      <c r="T12" s="26"/>
      <c r="U12" s="26"/>
      <c r="V12" s="26"/>
      <c r="W12" s="26"/>
      <c r="X12" s="26"/>
      <c r="Y12" s="31">
        <v>227.68</v>
      </c>
      <c r="Z12" s="25"/>
      <c r="AA12" s="25"/>
      <c r="AB12" s="25"/>
      <c r="AC12" s="25"/>
      <c r="AD12" s="25"/>
      <c r="AE12" s="25"/>
      <c r="AF12" s="25"/>
      <c r="AG12" s="25">
        <f t="shared" si="3"/>
        <v>-255.00142857142856</v>
      </c>
      <c r="AH12" s="29">
        <f t="shared" si="4"/>
        <v>-1.4285714285620088E-3</v>
      </c>
    </row>
    <row r="13" spans="1:34" s="30" customFormat="1" ht="19.5" customHeight="1" x14ac:dyDescent="0.2">
      <c r="A13" s="18">
        <v>43149</v>
      </c>
      <c r="B13" s="19"/>
      <c r="C13" s="20" t="s">
        <v>316</v>
      </c>
      <c r="D13" s="20"/>
      <c r="E13" s="20"/>
      <c r="F13" s="21">
        <v>1241</v>
      </c>
      <c r="G13" s="22" t="s">
        <v>317</v>
      </c>
      <c r="H13" s="23"/>
      <c r="I13" s="23"/>
      <c r="J13" s="23"/>
      <c r="K13" s="23">
        <v>645.54999999999995</v>
      </c>
      <c r="L13" s="24"/>
      <c r="M13" s="25">
        <f t="shared" si="0"/>
        <v>576.38392857142844</v>
      </c>
      <c r="N13" s="25">
        <f t="shared" si="1"/>
        <v>69.166071428571414</v>
      </c>
      <c r="O13" s="25">
        <f t="shared" si="2"/>
        <v>0</v>
      </c>
      <c r="P13" s="25"/>
      <c r="Q13" s="25"/>
      <c r="R13" s="25"/>
      <c r="S13" s="25"/>
      <c r="T13" s="26"/>
      <c r="U13" s="26"/>
      <c r="V13" s="26"/>
      <c r="W13" s="26"/>
      <c r="X13" s="26"/>
      <c r="Y13" s="31">
        <v>576.38</v>
      </c>
      <c r="Z13" s="25"/>
      <c r="AA13" s="25"/>
      <c r="AB13" s="25"/>
      <c r="AC13" s="25"/>
      <c r="AD13" s="25"/>
      <c r="AE13" s="25"/>
      <c r="AF13" s="25"/>
      <c r="AG13" s="25">
        <f t="shared" si="3"/>
        <v>-645.54607142857139</v>
      </c>
      <c r="AH13" s="29">
        <f t="shared" si="4"/>
        <v>3.9285714285597351E-3</v>
      </c>
    </row>
    <row r="14" spans="1:34" s="30" customFormat="1" ht="19.5" customHeight="1" x14ac:dyDescent="0.2">
      <c r="A14" s="18">
        <v>43149</v>
      </c>
      <c r="B14" s="19"/>
      <c r="C14" s="20" t="s">
        <v>316</v>
      </c>
      <c r="D14" s="20"/>
      <c r="E14" s="20"/>
      <c r="F14" s="21">
        <v>1245</v>
      </c>
      <c r="G14" s="22" t="s">
        <v>317</v>
      </c>
      <c r="H14" s="23"/>
      <c r="I14" s="23"/>
      <c r="J14" s="23"/>
      <c r="K14" s="23">
        <v>429.75</v>
      </c>
      <c r="L14" s="24"/>
      <c r="M14" s="25">
        <f t="shared" si="0"/>
        <v>383.70535714285711</v>
      </c>
      <c r="N14" s="25">
        <f t="shared" si="1"/>
        <v>46.044642857142854</v>
      </c>
      <c r="O14" s="25">
        <f t="shared" si="2"/>
        <v>0</v>
      </c>
      <c r="P14" s="25"/>
      <c r="Q14" s="25"/>
      <c r="R14" s="25"/>
      <c r="S14" s="25"/>
      <c r="T14" s="26"/>
      <c r="U14" s="26"/>
      <c r="V14" s="26"/>
      <c r="W14" s="26"/>
      <c r="X14" s="26"/>
      <c r="Y14" s="31">
        <v>383.71</v>
      </c>
      <c r="Z14" s="25"/>
      <c r="AA14" s="25"/>
      <c r="AB14" s="25"/>
      <c r="AC14" s="25"/>
      <c r="AD14" s="25"/>
      <c r="AE14" s="25"/>
      <c r="AF14" s="25"/>
      <c r="AG14" s="25">
        <f t="shared" si="3"/>
        <v>-429.75464285714281</v>
      </c>
      <c r="AH14" s="29">
        <f t="shared" si="4"/>
        <v>-4.6428571428123178E-3</v>
      </c>
    </row>
    <row r="15" spans="1:34" s="30" customFormat="1" ht="22.5" customHeight="1" x14ac:dyDescent="0.2">
      <c r="A15" s="18">
        <v>43149</v>
      </c>
      <c r="B15" s="19"/>
      <c r="C15" s="20" t="s">
        <v>318</v>
      </c>
      <c r="D15" s="20"/>
      <c r="E15" s="20"/>
      <c r="F15" s="21">
        <v>23147</v>
      </c>
      <c r="G15" s="22" t="s">
        <v>128</v>
      </c>
      <c r="H15" s="23"/>
      <c r="I15" s="23"/>
      <c r="J15" s="23"/>
      <c r="K15" s="23">
        <v>35</v>
      </c>
      <c r="L15" s="24"/>
      <c r="M15" s="25">
        <f t="shared" si="0"/>
        <v>31.249999999999996</v>
      </c>
      <c r="N15" s="25">
        <f t="shared" si="1"/>
        <v>3.7499999999999996</v>
      </c>
      <c r="O15" s="25">
        <f t="shared" si="2"/>
        <v>0</v>
      </c>
      <c r="P15" s="25"/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/>
      <c r="AC15" s="25"/>
      <c r="AD15" s="25"/>
      <c r="AE15" s="25"/>
      <c r="AF15" s="25">
        <v>31.25</v>
      </c>
      <c r="AG15" s="25">
        <f t="shared" si="3"/>
        <v>-35</v>
      </c>
      <c r="AH15" s="29">
        <f t="shared" si="4"/>
        <v>0</v>
      </c>
    </row>
    <row r="16" spans="1:34" s="30" customFormat="1" ht="19.5" customHeight="1" x14ac:dyDescent="0.2">
      <c r="A16" s="18">
        <v>43149</v>
      </c>
      <c r="B16" s="19"/>
      <c r="C16" s="20" t="s">
        <v>319</v>
      </c>
      <c r="D16" s="20"/>
      <c r="E16" s="20"/>
      <c r="F16" s="21">
        <v>48543</v>
      </c>
      <c r="G16" s="22" t="s">
        <v>320</v>
      </c>
      <c r="H16" s="23"/>
      <c r="I16" s="23"/>
      <c r="J16" s="23"/>
      <c r="K16" s="23">
        <v>885</v>
      </c>
      <c r="L16" s="24"/>
      <c r="M16" s="25">
        <f t="shared" si="0"/>
        <v>790.17857142857133</v>
      </c>
      <c r="N16" s="25">
        <f t="shared" si="1"/>
        <v>94.821428571428555</v>
      </c>
      <c r="O16" s="25">
        <f t="shared" si="2"/>
        <v>0</v>
      </c>
      <c r="P16" s="25"/>
      <c r="Q16" s="25"/>
      <c r="R16" s="25"/>
      <c r="S16" s="25"/>
      <c r="T16" s="26"/>
      <c r="U16" s="26"/>
      <c r="V16" s="26"/>
      <c r="W16" s="26"/>
      <c r="X16" s="26"/>
      <c r="Y16" s="25"/>
      <c r="Z16" s="25"/>
      <c r="AA16" s="25"/>
      <c r="AB16" s="25"/>
      <c r="AC16" s="25"/>
      <c r="AD16" s="25"/>
      <c r="AE16" s="25"/>
      <c r="AF16" s="25">
        <v>790.18</v>
      </c>
      <c r="AG16" s="25">
        <f t="shared" si="3"/>
        <v>-885.00142857142851</v>
      </c>
      <c r="AH16" s="29">
        <f t="shared" si="4"/>
        <v>-1.4285714285051654E-3</v>
      </c>
    </row>
    <row r="17" spans="1:34" s="30" customFormat="1" ht="19.5" customHeight="1" x14ac:dyDescent="0.2">
      <c r="A17" s="18">
        <v>43149</v>
      </c>
      <c r="B17" s="19"/>
      <c r="C17" s="20" t="s">
        <v>321</v>
      </c>
      <c r="D17" s="20"/>
      <c r="E17" s="20"/>
      <c r="F17" s="21">
        <v>29356</v>
      </c>
      <c r="G17" s="22" t="s">
        <v>322</v>
      </c>
      <c r="H17" s="23"/>
      <c r="I17" s="23"/>
      <c r="J17" s="23"/>
      <c r="K17" s="23">
        <v>161.5</v>
      </c>
      <c r="L17" s="24"/>
      <c r="M17" s="25">
        <f t="shared" si="0"/>
        <v>144.19642857142856</v>
      </c>
      <c r="N17" s="25">
        <f t="shared" si="1"/>
        <v>17.303571428571427</v>
      </c>
      <c r="O17" s="25">
        <f t="shared" si="2"/>
        <v>0</v>
      </c>
      <c r="P17" s="25"/>
      <c r="Q17" s="25"/>
      <c r="R17" s="25"/>
      <c r="S17" s="25"/>
      <c r="T17" s="26"/>
      <c r="U17" s="26"/>
      <c r="V17" s="26"/>
      <c r="W17" s="26"/>
      <c r="X17" s="26"/>
      <c r="Y17" s="25"/>
      <c r="Z17" s="25"/>
      <c r="AA17" s="25"/>
      <c r="AB17" s="25"/>
      <c r="AC17" s="25"/>
      <c r="AD17" s="25"/>
      <c r="AE17" s="25"/>
      <c r="AF17" s="25">
        <v>144.19999999999999</v>
      </c>
      <c r="AG17" s="25">
        <f t="shared" si="3"/>
        <v>-161.50357142857141</v>
      </c>
      <c r="AH17" s="29">
        <f t="shared" si="4"/>
        <v>-3.571428571405022E-3</v>
      </c>
    </row>
    <row r="18" spans="1:34" s="30" customFormat="1" ht="19.5" customHeight="1" x14ac:dyDescent="0.2">
      <c r="A18" s="18"/>
      <c r="B18" s="19"/>
      <c r="C18" s="20"/>
      <c r="D18" s="20"/>
      <c r="E18" s="20"/>
      <c r="F18" s="21"/>
      <c r="G18" s="22"/>
      <c r="H18" s="23"/>
      <c r="I18" s="23"/>
      <c r="J18" s="23"/>
      <c r="K18" s="23"/>
      <c r="L18" s="24"/>
      <c r="M18" s="25">
        <f t="shared" si="0"/>
        <v>0</v>
      </c>
      <c r="N18" s="25">
        <f t="shared" si="1"/>
        <v>0</v>
      </c>
      <c r="O18" s="25">
        <f t="shared" si="2"/>
        <v>0</v>
      </c>
      <c r="P18" s="25"/>
      <c r="Q18" s="25"/>
      <c r="R18" s="25"/>
      <c r="S18" s="25"/>
      <c r="T18" s="26"/>
      <c r="U18" s="26"/>
      <c r="V18" s="26"/>
      <c r="W18" s="26"/>
      <c r="X18" s="26"/>
      <c r="Y18" s="31"/>
      <c r="Z18" s="25"/>
      <c r="AA18" s="25"/>
      <c r="AB18" s="25"/>
      <c r="AC18" s="25"/>
      <c r="AD18" s="25"/>
      <c r="AE18" s="25"/>
      <c r="AF18" s="25"/>
      <c r="AG18" s="25">
        <f t="shared" si="3"/>
        <v>0</v>
      </c>
      <c r="AH18" s="29">
        <f t="shared" si="4"/>
        <v>0</v>
      </c>
    </row>
    <row r="19" spans="1:34" s="30" customFormat="1" ht="19.5" customHeight="1" x14ac:dyDescent="0.2">
      <c r="A19" s="18"/>
      <c r="B19" s="19"/>
      <c r="C19" s="47"/>
      <c r="D19" s="47"/>
      <c r="E19" s="47"/>
      <c r="F19" s="21"/>
      <c r="G19" s="22"/>
      <c r="H19" s="23"/>
      <c r="I19" s="23"/>
      <c r="J19" s="23"/>
      <c r="K19" s="23"/>
      <c r="L19" s="24"/>
      <c r="M19" s="25">
        <f t="shared" si="0"/>
        <v>0</v>
      </c>
      <c r="N19" s="25">
        <f t="shared" si="1"/>
        <v>0</v>
      </c>
      <c r="O19" s="25">
        <f t="shared" si="2"/>
        <v>0</v>
      </c>
      <c r="P19" s="25"/>
      <c r="Q19" s="25"/>
      <c r="R19" s="25"/>
      <c r="S19" s="25"/>
      <c r="T19" s="26"/>
      <c r="U19" s="26"/>
      <c r="V19" s="26"/>
      <c r="W19" s="26"/>
      <c r="X19" s="26"/>
      <c r="Y19" s="31"/>
      <c r="Z19" s="25"/>
      <c r="AA19" s="25"/>
      <c r="AB19" s="25"/>
      <c r="AC19" s="25"/>
      <c r="AD19" s="25"/>
      <c r="AE19" s="25"/>
      <c r="AF19" s="25"/>
      <c r="AG19" s="25">
        <f t="shared" si="3"/>
        <v>0</v>
      </c>
      <c r="AH19" s="29">
        <f t="shared" si="4"/>
        <v>0</v>
      </c>
    </row>
    <row r="20" spans="1:34" s="55" customFormat="1" ht="12" customHeight="1" x14ac:dyDescent="0.2">
      <c r="A20" s="48"/>
      <c r="B20" s="49"/>
      <c r="C20" s="50"/>
      <c r="D20" s="51"/>
      <c r="E20" s="51"/>
      <c r="F20" s="52"/>
      <c r="G20" s="50"/>
      <c r="H20" s="53">
        <f t="shared" ref="H20:T20" si="5">SUM(H5:H19)</f>
        <v>20150</v>
      </c>
      <c r="I20" s="53">
        <f t="shared" si="5"/>
        <v>0</v>
      </c>
      <c r="J20" s="53">
        <f t="shared" si="5"/>
        <v>0</v>
      </c>
      <c r="K20" s="53">
        <f t="shared" si="5"/>
        <v>3514.8</v>
      </c>
      <c r="L20" s="53">
        <f t="shared" si="5"/>
        <v>0</v>
      </c>
      <c r="M20" s="53">
        <f t="shared" si="5"/>
        <v>23288.214285714286</v>
      </c>
      <c r="N20" s="53">
        <f t="shared" si="5"/>
        <v>376.58571428571423</v>
      </c>
      <c r="O20" s="53">
        <f t="shared" si="5"/>
        <v>0</v>
      </c>
      <c r="P20" s="53">
        <f t="shared" si="5"/>
        <v>0</v>
      </c>
      <c r="Q20" s="53">
        <f t="shared" si="5"/>
        <v>0</v>
      </c>
      <c r="R20" s="53">
        <f t="shared" si="5"/>
        <v>0</v>
      </c>
      <c r="S20" s="53">
        <f t="shared" si="5"/>
        <v>0</v>
      </c>
      <c r="T20" s="53">
        <f t="shared" si="5"/>
        <v>0</v>
      </c>
      <c r="U20" s="53"/>
      <c r="V20" s="53"/>
      <c r="W20" s="53"/>
      <c r="X20" s="53"/>
      <c r="Y20" s="53">
        <f t="shared" ref="Y20:AH20" si="6">SUM(Y5:Y19)</f>
        <v>22322.59</v>
      </c>
      <c r="Z20" s="53">
        <f t="shared" si="6"/>
        <v>0</v>
      </c>
      <c r="AA20" s="53">
        <f t="shared" si="6"/>
        <v>0</v>
      </c>
      <c r="AB20" s="53">
        <f t="shared" si="6"/>
        <v>0</v>
      </c>
      <c r="AC20" s="53">
        <f t="shared" si="6"/>
        <v>0</v>
      </c>
      <c r="AD20" s="53">
        <f t="shared" si="6"/>
        <v>0</v>
      </c>
      <c r="AE20" s="53">
        <f t="shared" si="6"/>
        <v>0</v>
      </c>
      <c r="AF20" s="53">
        <f t="shared" si="6"/>
        <v>965.62999999999988</v>
      </c>
      <c r="AG20" s="53">
        <f t="shared" si="6"/>
        <v>-23664.805714285718</v>
      </c>
      <c r="AH20" s="53">
        <f t="shared" si="6"/>
        <v>-5.7142857142196135E-3</v>
      </c>
    </row>
    <row r="21" spans="1:34" ht="12" customHeight="1" x14ac:dyDescent="0.25"/>
    <row r="27" spans="1:34" x14ac:dyDescent="0.25">
      <c r="Q27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0"/>
  <sheetViews>
    <sheetView zoomScale="90" zoomScaleNormal="90" workbookViewId="0">
      <selection activeCell="G23" sqref="A23:XFD28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32.5546875" style="3" customWidth="1"/>
    <col min="4" max="4" width="17.6640625" style="4" hidden="1" customWidth="1"/>
    <col min="5" max="5" width="28.6640625" style="4" hidden="1" customWidth="1"/>
    <col min="6" max="6" width="9.88671875" style="2" customWidth="1"/>
    <col min="7" max="7" width="30.21875" style="3" customWidth="1"/>
    <col min="8" max="8" width="10.21875" style="5" customWidth="1"/>
    <col min="9" max="9" width="10.6640625" style="5" hidden="1" customWidth="1"/>
    <col min="10" max="10" width="12.21875" style="5" hidden="1" customWidth="1"/>
    <col min="11" max="11" width="13.109375" style="5" hidden="1" customWidth="1"/>
    <col min="12" max="12" width="9.88671875" style="6" hidden="1" customWidth="1"/>
    <col min="13" max="13" width="12.21875" style="5" customWidth="1"/>
    <col min="14" max="14" width="10.77734375" style="5" hidden="1" customWidth="1"/>
    <col min="15" max="15" width="8.6640625" style="5" hidden="1" customWidth="1"/>
    <col min="16" max="16" width="12.44140625" style="5" hidden="1" customWidth="1"/>
    <col min="17" max="17" width="9.88671875" style="5" hidden="1" customWidth="1"/>
    <col min="18" max="18" width="9.6640625" style="5" hidden="1" customWidth="1"/>
    <col min="19" max="19" width="10.21875" style="5" hidden="1" customWidth="1"/>
    <col min="20" max="24" width="8.6640625" style="5" hidden="1" customWidth="1"/>
    <col min="25" max="25" width="11.6640625" style="5" hidden="1" customWidth="1"/>
    <col min="26" max="26" width="10.44140625" style="5" hidden="1" customWidth="1"/>
    <col min="27" max="27" width="8.44140625" style="5" hidden="1" customWidth="1"/>
    <col min="28" max="28" width="12.109375" style="5" hidden="1" customWidth="1"/>
    <col min="29" max="30" width="10.109375" style="5" hidden="1" customWidth="1"/>
    <col min="31" max="31" width="13" style="5" hidden="1" customWidth="1"/>
    <col min="32" max="32" width="15.88671875" style="5" customWidth="1"/>
    <col min="33" max="33" width="13.44140625" style="5" customWidth="1"/>
    <col min="34" max="34" width="9.8867187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323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34</v>
      </c>
      <c r="AG4" s="13" t="s">
        <v>36</v>
      </c>
    </row>
    <row r="5" spans="1:34" s="30" customFormat="1" ht="19.5" customHeight="1" x14ac:dyDescent="0.2">
      <c r="A5" s="18">
        <v>43141</v>
      </c>
      <c r="B5" s="19"/>
      <c r="C5" s="20" t="s">
        <v>324</v>
      </c>
      <c r="D5" s="20" t="s">
        <v>52</v>
      </c>
      <c r="E5" s="20" t="s">
        <v>39</v>
      </c>
      <c r="F5" s="21"/>
      <c r="G5" s="21" t="s">
        <v>325</v>
      </c>
      <c r="H5" s="23">
        <v>7000</v>
      </c>
      <c r="I5" s="23"/>
      <c r="J5" s="23"/>
      <c r="K5" s="23"/>
      <c r="L5" s="24"/>
      <c r="M5" s="25">
        <f t="shared" ref="M5:M21" si="0">SUM(H5:J5,K5/1.12)</f>
        <v>7000</v>
      </c>
      <c r="N5" s="25">
        <f t="shared" ref="N5:N21" si="1">K5/1.12*0.12</f>
        <v>0</v>
      </c>
      <c r="O5" s="25">
        <f t="shared" ref="O5:O21" si="2">-SUM(I5:J5,K5/1.12)*L5</f>
        <v>0</v>
      </c>
      <c r="P5" s="25"/>
      <c r="Q5" s="25"/>
      <c r="R5" s="25"/>
      <c r="S5" s="25"/>
      <c r="T5" s="26"/>
      <c r="U5" s="26"/>
      <c r="V5" s="26"/>
      <c r="W5" s="26"/>
      <c r="X5" s="26"/>
      <c r="Y5" s="25"/>
      <c r="Z5" s="25"/>
      <c r="AA5" s="25"/>
      <c r="AB5" s="25"/>
      <c r="AC5" s="25"/>
      <c r="AD5" s="25"/>
      <c r="AE5" s="25"/>
      <c r="AF5" s="25">
        <v>7000</v>
      </c>
      <c r="AG5" s="25">
        <f t="shared" ref="AG5:AG21" si="3">-SUM(N5:AF5)</f>
        <v>-7000</v>
      </c>
      <c r="AH5" s="29">
        <f t="shared" ref="AH5:AH21" si="4">SUM(H5:K5)+AG5+O5</f>
        <v>0</v>
      </c>
    </row>
    <row r="6" spans="1:34" s="30" customFormat="1" ht="19.5" customHeight="1" x14ac:dyDescent="0.2">
      <c r="A6" s="18"/>
      <c r="B6" s="19"/>
      <c r="C6" s="20"/>
      <c r="D6" s="20" t="s">
        <v>52</v>
      </c>
      <c r="E6" s="20" t="s">
        <v>39</v>
      </c>
      <c r="F6" s="21"/>
      <c r="G6" s="22"/>
      <c r="H6" s="23"/>
      <c r="I6" s="23"/>
      <c r="J6" s="23"/>
      <c r="K6" s="23"/>
      <c r="L6" s="24"/>
      <c r="M6" s="25">
        <f t="shared" si="0"/>
        <v>0</v>
      </c>
      <c r="N6" s="25">
        <f t="shared" si="1"/>
        <v>0</v>
      </c>
      <c r="O6" s="25">
        <f t="shared" si="2"/>
        <v>0</v>
      </c>
      <c r="P6" s="25"/>
      <c r="Q6" s="25"/>
      <c r="R6" s="25"/>
      <c r="S6" s="25"/>
      <c r="T6" s="26"/>
      <c r="U6" s="26"/>
      <c r="V6" s="26"/>
      <c r="W6" s="26"/>
      <c r="X6" s="26"/>
      <c r="Y6" s="31"/>
      <c r="Z6" s="25"/>
      <c r="AA6" s="25"/>
      <c r="AB6" s="25"/>
      <c r="AC6" s="25"/>
      <c r="AD6" s="25"/>
      <c r="AE6" s="25"/>
      <c r="AF6" s="25"/>
      <c r="AG6" s="25">
        <f t="shared" si="3"/>
        <v>0</v>
      </c>
      <c r="AH6" s="29">
        <f t="shared" si="4"/>
        <v>0</v>
      </c>
    </row>
    <row r="7" spans="1:34" s="30" customFormat="1" ht="19.5" hidden="1" customHeight="1" x14ac:dyDescent="0.2">
      <c r="A7" s="18"/>
      <c r="B7" s="19"/>
      <c r="C7" s="20"/>
      <c r="D7" s="20" t="s">
        <v>71</v>
      </c>
      <c r="E7" s="20" t="s">
        <v>72</v>
      </c>
      <c r="F7" s="21"/>
      <c r="G7" s="22"/>
      <c r="H7" s="23"/>
      <c r="I7" s="23"/>
      <c r="J7" s="23"/>
      <c r="K7" s="23"/>
      <c r="L7" s="24"/>
      <c r="M7" s="25">
        <f t="shared" si="0"/>
        <v>0</v>
      </c>
      <c r="N7" s="25">
        <f t="shared" si="1"/>
        <v>0</v>
      </c>
      <c r="O7" s="25">
        <f t="shared" si="2"/>
        <v>0</v>
      </c>
      <c r="P7" s="25"/>
      <c r="Q7" s="25"/>
      <c r="R7" s="25"/>
      <c r="S7" s="25"/>
      <c r="T7" s="26"/>
      <c r="U7" s="26"/>
      <c r="V7" s="26"/>
      <c r="W7" s="26"/>
      <c r="X7" s="26"/>
      <c r="Y7" s="31"/>
      <c r="Z7" s="25"/>
      <c r="AA7" s="25"/>
      <c r="AB7" s="25"/>
      <c r="AC7" s="25"/>
      <c r="AD7" s="25"/>
      <c r="AE7" s="25"/>
      <c r="AF7" s="25"/>
      <c r="AG7" s="25">
        <f t="shared" si="3"/>
        <v>0</v>
      </c>
      <c r="AH7" s="29">
        <f t="shared" si="4"/>
        <v>0</v>
      </c>
    </row>
    <row r="8" spans="1:34" s="30" customFormat="1" ht="19.5" hidden="1" customHeight="1" x14ac:dyDescent="0.2">
      <c r="A8" s="18"/>
      <c r="B8" s="19"/>
      <c r="C8" s="20"/>
      <c r="D8" s="20" t="s">
        <v>64</v>
      </c>
      <c r="E8" s="20" t="s">
        <v>65</v>
      </c>
      <c r="F8" s="21"/>
      <c r="G8" s="20"/>
      <c r="H8" s="23"/>
      <c r="I8" s="23"/>
      <c r="J8" s="23"/>
      <c r="K8" s="23"/>
      <c r="L8" s="24"/>
      <c r="M8" s="25">
        <f t="shared" si="0"/>
        <v>0</v>
      </c>
      <c r="N8" s="25">
        <f t="shared" si="1"/>
        <v>0</v>
      </c>
      <c r="O8" s="25">
        <f t="shared" si="2"/>
        <v>0</v>
      </c>
      <c r="P8" s="25"/>
      <c r="Q8" s="25"/>
      <c r="R8" s="25"/>
      <c r="S8" s="25"/>
      <c r="T8" s="26"/>
      <c r="U8" s="26"/>
      <c r="V8" s="26"/>
      <c r="W8" s="26"/>
      <c r="X8" s="26"/>
      <c r="Y8" s="31"/>
      <c r="Z8" s="25"/>
      <c r="AA8" s="25"/>
      <c r="AB8" s="25"/>
      <c r="AC8" s="25"/>
      <c r="AD8" s="25"/>
      <c r="AE8" s="25"/>
      <c r="AF8" s="25"/>
      <c r="AG8" s="25">
        <f t="shared" si="3"/>
        <v>0</v>
      </c>
      <c r="AH8" s="29">
        <f t="shared" si="4"/>
        <v>0</v>
      </c>
    </row>
    <row r="9" spans="1:34" s="30" customFormat="1" ht="19.5" hidden="1" customHeight="1" x14ac:dyDescent="0.2">
      <c r="A9" s="18"/>
      <c r="B9" s="19"/>
      <c r="C9" s="20"/>
      <c r="D9" s="20" t="s">
        <v>64</v>
      </c>
      <c r="E9" s="20" t="s">
        <v>65</v>
      </c>
      <c r="F9" s="21"/>
      <c r="G9" s="22"/>
      <c r="H9" s="23"/>
      <c r="I9" s="23"/>
      <c r="J9" s="23"/>
      <c r="K9" s="23"/>
      <c r="L9" s="24"/>
      <c r="M9" s="25">
        <f t="shared" si="0"/>
        <v>0</v>
      </c>
      <c r="N9" s="25">
        <f t="shared" si="1"/>
        <v>0</v>
      </c>
      <c r="O9" s="25">
        <f t="shared" si="2"/>
        <v>0</v>
      </c>
      <c r="P9" s="25"/>
      <c r="Q9" s="25"/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5"/>
      <c r="AD9" s="25"/>
      <c r="AE9" s="25"/>
      <c r="AF9" s="25"/>
      <c r="AG9" s="25">
        <f t="shared" si="3"/>
        <v>0</v>
      </c>
      <c r="AH9" s="29">
        <f t="shared" si="4"/>
        <v>0</v>
      </c>
    </row>
    <row r="10" spans="1:34" s="30" customFormat="1" ht="19.5" hidden="1" customHeight="1" x14ac:dyDescent="0.2">
      <c r="A10" s="18"/>
      <c r="B10" s="19"/>
      <c r="C10" s="20"/>
      <c r="D10" s="20" t="s">
        <v>64</v>
      </c>
      <c r="E10" s="20" t="s">
        <v>65</v>
      </c>
      <c r="F10" s="21"/>
      <c r="G10" s="22"/>
      <c r="H10" s="23"/>
      <c r="I10" s="23"/>
      <c r="J10" s="23"/>
      <c r="K10" s="23"/>
      <c r="L10" s="24"/>
      <c r="M10" s="25">
        <f t="shared" si="0"/>
        <v>0</v>
      </c>
      <c r="N10" s="25">
        <f t="shared" si="1"/>
        <v>0</v>
      </c>
      <c r="O10" s="25">
        <f t="shared" si="2"/>
        <v>0</v>
      </c>
      <c r="P10" s="25"/>
      <c r="Q10" s="25"/>
      <c r="R10" s="25"/>
      <c r="S10" s="25"/>
      <c r="T10" s="26"/>
      <c r="U10" s="26"/>
      <c r="V10" s="26"/>
      <c r="W10" s="26"/>
      <c r="X10" s="26"/>
      <c r="Y10" s="31"/>
      <c r="Z10" s="25"/>
      <c r="AA10" s="25"/>
      <c r="AB10" s="25"/>
      <c r="AC10" s="25"/>
      <c r="AD10" s="25"/>
      <c r="AE10" s="25"/>
      <c r="AF10" s="25"/>
      <c r="AG10" s="25">
        <f t="shared" si="3"/>
        <v>0</v>
      </c>
      <c r="AH10" s="29">
        <f t="shared" si="4"/>
        <v>0</v>
      </c>
    </row>
    <row r="11" spans="1:34" s="30" customFormat="1" ht="19.5" hidden="1" customHeight="1" x14ac:dyDescent="0.2">
      <c r="A11" s="18"/>
      <c r="B11" s="19"/>
      <c r="C11" s="20"/>
      <c r="D11" s="20" t="s">
        <v>52</v>
      </c>
      <c r="E11" s="20" t="s">
        <v>39</v>
      </c>
      <c r="F11" s="21"/>
      <c r="G11" s="22"/>
      <c r="H11" s="23"/>
      <c r="I11" s="23"/>
      <c r="J11" s="23"/>
      <c r="K11" s="23"/>
      <c r="L11" s="24"/>
      <c r="M11" s="25">
        <f t="shared" si="0"/>
        <v>0</v>
      </c>
      <c r="N11" s="25">
        <f t="shared" si="1"/>
        <v>0</v>
      </c>
      <c r="O11" s="25">
        <f t="shared" si="2"/>
        <v>0</v>
      </c>
      <c r="P11" s="25"/>
      <c r="Q11" s="25"/>
      <c r="R11" s="25"/>
      <c r="S11" s="25"/>
      <c r="T11" s="26"/>
      <c r="U11" s="26"/>
      <c r="V11" s="26"/>
      <c r="W11" s="26"/>
      <c r="X11" s="26"/>
      <c r="Y11" s="31"/>
      <c r="Z11" s="25"/>
      <c r="AA11" s="25"/>
      <c r="AB11" s="25"/>
      <c r="AC11" s="25"/>
      <c r="AD11" s="25"/>
      <c r="AE11" s="25"/>
      <c r="AF11" s="25"/>
      <c r="AG11" s="25">
        <f t="shared" si="3"/>
        <v>0</v>
      </c>
      <c r="AH11" s="29">
        <f t="shared" si="4"/>
        <v>0</v>
      </c>
    </row>
    <row r="12" spans="1:34" s="30" customFormat="1" ht="19.5" hidden="1" customHeight="1" x14ac:dyDescent="0.2">
      <c r="A12" s="18"/>
      <c r="B12" s="19"/>
      <c r="C12" s="20"/>
      <c r="D12" s="20" t="s">
        <v>88</v>
      </c>
      <c r="E12" s="20" t="s">
        <v>43</v>
      </c>
      <c r="F12" s="21"/>
      <c r="G12" s="22"/>
      <c r="H12" s="23"/>
      <c r="I12" s="23"/>
      <c r="J12" s="23"/>
      <c r="K12" s="23"/>
      <c r="L12" s="24"/>
      <c r="M12" s="25">
        <f t="shared" si="0"/>
        <v>0</v>
      </c>
      <c r="N12" s="25">
        <f t="shared" si="1"/>
        <v>0</v>
      </c>
      <c r="O12" s="25">
        <f t="shared" si="2"/>
        <v>0</v>
      </c>
      <c r="P12" s="25"/>
      <c r="Q12" s="25"/>
      <c r="R12" s="25"/>
      <c r="S12" s="25"/>
      <c r="T12" s="26"/>
      <c r="U12" s="26"/>
      <c r="V12" s="26"/>
      <c r="W12" s="26"/>
      <c r="X12" s="26"/>
      <c r="Y12" s="31"/>
      <c r="Z12" s="25"/>
      <c r="AA12" s="25"/>
      <c r="AB12" s="25"/>
      <c r="AC12" s="25"/>
      <c r="AD12" s="25"/>
      <c r="AE12" s="25"/>
      <c r="AF12" s="25"/>
      <c r="AG12" s="25">
        <f t="shared" si="3"/>
        <v>0</v>
      </c>
      <c r="AH12" s="29">
        <f t="shared" si="4"/>
        <v>0</v>
      </c>
    </row>
    <row r="13" spans="1:34" s="30" customFormat="1" ht="19.5" hidden="1" customHeight="1" x14ac:dyDescent="0.2">
      <c r="A13" s="18"/>
      <c r="B13" s="19"/>
      <c r="C13" s="20"/>
      <c r="D13" s="20" t="s">
        <v>71</v>
      </c>
      <c r="E13" s="20" t="s">
        <v>72</v>
      </c>
      <c r="F13" s="21"/>
      <c r="G13" s="22"/>
      <c r="H13" s="23"/>
      <c r="I13" s="23"/>
      <c r="J13" s="23"/>
      <c r="K13" s="23"/>
      <c r="L13" s="24"/>
      <c r="M13" s="25">
        <f t="shared" si="0"/>
        <v>0</v>
      </c>
      <c r="N13" s="25">
        <f t="shared" si="1"/>
        <v>0</v>
      </c>
      <c r="O13" s="25">
        <f t="shared" si="2"/>
        <v>0</v>
      </c>
      <c r="P13" s="25"/>
      <c r="Q13" s="25"/>
      <c r="R13" s="25"/>
      <c r="S13" s="25"/>
      <c r="T13" s="26"/>
      <c r="U13" s="26"/>
      <c r="V13" s="26"/>
      <c r="W13" s="26"/>
      <c r="X13" s="26"/>
      <c r="Y13" s="31"/>
      <c r="Z13" s="25"/>
      <c r="AA13" s="25"/>
      <c r="AB13" s="25"/>
      <c r="AC13" s="25"/>
      <c r="AD13" s="25"/>
      <c r="AE13" s="25"/>
      <c r="AF13" s="25"/>
      <c r="AG13" s="25">
        <f t="shared" si="3"/>
        <v>0</v>
      </c>
      <c r="AH13" s="29">
        <f t="shared" si="4"/>
        <v>0</v>
      </c>
    </row>
    <row r="14" spans="1:34" s="30" customFormat="1" ht="19.5" hidden="1" customHeight="1" x14ac:dyDescent="0.2">
      <c r="A14" s="18"/>
      <c r="B14" s="19"/>
      <c r="C14" s="20"/>
      <c r="D14" s="20" t="s">
        <v>199</v>
      </c>
      <c r="E14" s="20" t="s">
        <v>200</v>
      </c>
      <c r="F14" s="21"/>
      <c r="G14" s="22"/>
      <c r="H14" s="23"/>
      <c r="I14" s="23"/>
      <c r="J14" s="23"/>
      <c r="K14" s="23"/>
      <c r="L14" s="24"/>
      <c r="M14" s="25">
        <f t="shared" si="0"/>
        <v>0</v>
      </c>
      <c r="N14" s="25">
        <f t="shared" si="1"/>
        <v>0</v>
      </c>
      <c r="O14" s="25">
        <f t="shared" si="2"/>
        <v>0</v>
      </c>
      <c r="P14" s="25"/>
      <c r="Q14" s="25"/>
      <c r="R14" s="25"/>
      <c r="S14" s="25"/>
      <c r="T14" s="26"/>
      <c r="U14" s="26"/>
      <c r="V14" s="26"/>
      <c r="W14" s="26"/>
      <c r="X14" s="26"/>
      <c r="Y14" s="31"/>
      <c r="Z14" s="25"/>
      <c r="AA14" s="25"/>
      <c r="AB14" s="25"/>
      <c r="AC14" s="25"/>
      <c r="AD14" s="25"/>
      <c r="AE14" s="25"/>
      <c r="AF14" s="25"/>
      <c r="AG14" s="25">
        <f t="shared" si="3"/>
        <v>0</v>
      </c>
      <c r="AH14" s="29">
        <f t="shared" si="4"/>
        <v>0</v>
      </c>
    </row>
    <row r="15" spans="1:34" s="30" customFormat="1" ht="19.5" hidden="1" customHeight="1" x14ac:dyDescent="0.2">
      <c r="A15" s="18"/>
      <c r="B15" s="19"/>
      <c r="C15" s="20"/>
      <c r="D15" s="20" t="s">
        <v>203</v>
      </c>
      <c r="E15" s="20" t="s">
        <v>204</v>
      </c>
      <c r="F15" s="21"/>
      <c r="G15" s="22"/>
      <c r="H15" s="23"/>
      <c r="I15" s="23"/>
      <c r="J15" s="23"/>
      <c r="K15" s="23"/>
      <c r="L15" s="24"/>
      <c r="M15" s="25">
        <f t="shared" si="0"/>
        <v>0</v>
      </c>
      <c r="N15" s="25">
        <f t="shared" si="1"/>
        <v>0</v>
      </c>
      <c r="O15" s="25">
        <f t="shared" si="2"/>
        <v>0</v>
      </c>
      <c r="P15" s="25"/>
      <c r="Q15" s="25"/>
      <c r="R15" s="25"/>
      <c r="S15" s="25"/>
      <c r="T15" s="26"/>
      <c r="U15" s="26"/>
      <c r="V15" s="26"/>
      <c r="W15" s="26"/>
      <c r="X15" s="26"/>
      <c r="Y15" s="31"/>
      <c r="Z15" s="25"/>
      <c r="AA15" s="25"/>
      <c r="AB15" s="25"/>
      <c r="AC15" s="25"/>
      <c r="AD15" s="25"/>
      <c r="AE15" s="25"/>
      <c r="AF15" s="25"/>
      <c r="AG15" s="25">
        <f t="shared" si="3"/>
        <v>0</v>
      </c>
      <c r="AH15" s="29">
        <f t="shared" si="4"/>
        <v>0</v>
      </c>
    </row>
    <row r="16" spans="1:34" s="30" customFormat="1" ht="19.5" hidden="1" customHeight="1" x14ac:dyDescent="0.2">
      <c r="A16" s="18"/>
      <c r="B16" s="19"/>
      <c r="C16" s="20"/>
      <c r="D16" s="20" t="s">
        <v>64</v>
      </c>
      <c r="E16" s="20" t="s">
        <v>65</v>
      </c>
      <c r="F16" s="21"/>
      <c r="G16" s="22"/>
      <c r="H16" s="23"/>
      <c r="I16" s="23"/>
      <c r="J16" s="23"/>
      <c r="K16" s="23"/>
      <c r="L16" s="24"/>
      <c r="M16" s="25">
        <f t="shared" si="0"/>
        <v>0</v>
      </c>
      <c r="N16" s="25">
        <f t="shared" si="1"/>
        <v>0</v>
      </c>
      <c r="O16" s="25">
        <f t="shared" si="2"/>
        <v>0</v>
      </c>
      <c r="P16" s="25"/>
      <c r="Q16" s="25"/>
      <c r="R16" s="25"/>
      <c r="S16" s="25"/>
      <c r="T16" s="26"/>
      <c r="U16" s="26"/>
      <c r="V16" s="26"/>
      <c r="W16" s="26"/>
      <c r="X16" s="26"/>
      <c r="Y16" s="31"/>
      <c r="Z16" s="25"/>
      <c r="AA16" s="25"/>
      <c r="AB16" s="25"/>
      <c r="AC16" s="25"/>
      <c r="AD16" s="25"/>
      <c r="AE16" s="25"/>
      <c r="AF16" s="25"/>
      <c r="AG16" s="25">
        <f t="shared" si="3"/>
        <v>0</v>
      </c>
      <c r="AH16" s="29">
        <f t="shared" si="4"/>
        <v>0</v>
      </c>
    </row>
    <row r="17" spans="1:34" s="30" customFormat="1" ht="21.75" hidden="1" customHeight="1" x14ac:dyDescent="0.2">
      <c r="A17" s="18"/>
      <c r="B17" s="19"/>
      <c r="C17" s="20"/>
      <c r="D17" s="20" t="s">
        <v>64</v>
      </c>
      <c r="E17" s="20" t="s">
        <v>65</v>
      </c>
      <c r="F17" s="21"/>
      <c r="G17" s="22"/>
      <c r="H17" s="23"/>
      <c r="I17" s="23"/>
      <c r="J17" s="23"/>
      <c r="K17" s="23"/>
      <c r="L17" s="24"/>
      <c r="M17" s="25">
        <f t="shared" si="0"/>
        <v>0</v>
      </c>
      <c r="N17" s="25">
        <f t="shared" si="1"/>
        <v>0</v>
      </c>
      <c r="O17" s="25">
        <f t="shared" si="2"/>
        <v>0</v>
      </c>
      <c r="P17" s="25"/>
      <c r="Q17" s="25"/>
      <c r="R17" s="25"/>
      <c r="S17" s="25"/>
      <c r="T17" s="26"/>
      <c r="U17" s="26"/>
      <c r="V17" s="26"/>
      <c r="W17" s="26"/>
      <c r="X17" s="26"/>
      <c r="Y17" s="31"/>
      <c r="Z17" s="25"/>
      <c r="AA17" s="25"/>
      <c r="AB17" s="25"/>
      <c r="AC17" s="25"/>
      <c r="AD17" s="25"/>
      <c r="AE17" s="25"/>
      <c r="AF17" s="25"/>
      <c r="AG17" s="25">
        <f t="shared" si="3"/>
        <v>0</v>
      </c>
      <c r="AH17" s="29">
        <f t="shared" si="4"/>
        <v>0</v>
      </c>
    </row>
    <row r="18" spans="1:34" s="30" customFormat="1" ht="19.5" hidden="1" customHeight="1" x14ac:dyDescent="0.2">
      <c r="A18" s="18"/>
      <c r="B18" s="19"/>
      <c r="C18" s="20"/>
      <c r="D18" s="20" t="s">
        <v>88</v>
      </c>
      <c r="E18" s="20" t="s">
        <v>43</v>
      </c>
      <c r="F18" s="21"/>
      <c r="G18" s="22"/>
      <c r="H18" s="23"/>
      <c r="I18" s="23"/>
      <c r="J18" s="23"/>
      <c r="K18" s="23"/>
      <c r="L18" s="24"/>
      <c r="M18" s="25">
        <f t="shared" si="0"/>
        <v>0</v>
      </c>
      <c r="N18" s="25">
        <f t="shared" si="1"/>
        <v>0</v>
      </c>
      <c r="O18" s="25">
        <f t="shared" si="2"/>
        <v>0</v>
      </c>
      <c r="P18" s="25"/>
      <c r="Q18" s="25"/>
      <c r="R18" s="25"/>
      <c r="S18" s="25"/>
      <c r="T18" s="26"/>
      <c r="U18" s="26"/>
      <c r="V18" s="26"/>
      <c r="W18" s="26"/>
      <c r="X18" s="26"/>
      <c r="Y18" s="31"/>
      <c r="Z18" s="25"/>
      <c r="AA18" s="25"/>
      <c r="AB18" s="25"/>
      <c r="AC18" s="25"/>
      <c r="AD18" s="25"/>
      <c r="AE18" s="25"/>
      <c r="AF18" s="25"/>
      <c r="AG18" s="25">
        <f t="shared" si="3"/>
        <v>0</v>
      </c>
      <c r="AH18" s="29">
        <f t="shared" si="4"/>
        <v>0</v>
      </c>
    </row>
    <row r="19" spans="1:34" s="30" customFormat="1" ht="19.5" hidden="1" customHeight="1" x14ac:dyDescent="0.2">
      <c r="A19" s="18"/>
      <c r="B19" s="19"/>
      <c r="C19" s="20"/>
      <c r="D19" s="20" t="s">
        <v>216</v>
      </c>
      <c r="E19" s="20" t="s">
        <v>175</v>
      </c>
      <c r="F19" s="21"/>
      <c r="G19" s="22"/>
      <c r="H19" s="23"/>
      <c r="I19" s="23"/>
      <c r="J19" s="23"/>
      <c r="K19" s="23"/>
      <c r="L19" s="24"/>
      <c r="M19" s="25">
        <f t="shared" si="0"/>
        <v>0</v>
      </c>
      <c r="N19" s="25">
        <f t="shared" si="1"/>
        <v>0</v>
      </c>
      <c r="O19" s="25">
        <f t="shared" si="2"/>
        <v>0</v>
      </c>
      <c r="P19" s="25"/>
      <c r="Q19" s="25"/>
      <c r="R19" s="25"/>
      <c r="S19" s="25"/>
      <c r="T19" s="26"/>
      <c r="U19" s="26"/>
      <c r="V19" s="26"/>
      <c r="W19" s="26"/>
      <c r="X19" s="26"/>
      <c r="Y19" s="31"/>
      <c r="Z19" s="25"/>
      <c r="AA19" s="25"/>
      <c r="AB19" s="25"/>
      <c r="AC19" s="25"/>
      <c r="AD19" s="25"/>
      <c r="AE19" s="25"/>
      <c r="AF19" s="25"/>
      <c r="AG19" s="25">
        <f t="shared" si="3"/>
        <v>0</v>
      </c>
      <c r="AH19" s="29">
        <f t="shared" si="4"/>
        <v>0</v>
      </c>
    </row>
    <row r="20" spans="1:34" s="30" customFormat="1" ht="19.5" hidden="1" customHeight="1" x14ac:dyDescent="0.2">
      <c r="A20" s="18"/>
      <c r="B20" s="19"/>
      <c r="C20" s="20"/>
      <c r="D20" s="20"/>
      <c r="E20" s="20"/>
      <c r="F20" s="21"/>
      <c r="G20" s="22"/>
      <c r="H20" s="23"/>
      <c r="I20" s="23"/>
      <c r="J20" s="23"/>
      <c r="K20" s="23"/>
      <c r="L20" s="24"/>
      <c r="M20" s="25">
        <f t="shared" si="0"/>
        <v>0</v>
      </c>
      <c r="N20" s="25">
        <f t="shared" si="1"/>
        <v>0</v>
      </c>
      <c r="O20" s="25">
        <f t="shared" si="2"/>
        <v>0</v>
      </c>
      <c r="P20" s="25"/>
      <c r="Q20" s="25"/>
      <c r="R20" s="25"/>
      <c r="S20" s="25"/>
      <c r="T20" s="26"/>
      <c r="U20" s="26"/>
      <c r="V20" s="26"/>
      <c r="W20" s="26"/>
      <c r="X20" s="26"/>
      <c r="Y20" s="31"/>
      <c r="Z20" s="25"/>
      <c r="AA20" s="25"/>
      <c r="AB20" s="25"/>
      <c r="AC20" s="25"/>
      <c r="AD20" s="25"/>
      <c r="AE20" s="25"/>
      <c r="AF20" s="25"/>
      <c r="AG20" s="25">
        <f t="shared" si="3"/>
        <v>0</v>
      </c>
      <c r="AH20" s="29">
        <f t="shared" si="4"/>
        <v>0</v>
      </c>
    </row>
    <row r="21" spans="1:34" s="30" customFormat="1" ht="19.5" customHeight="1" x14ac:dyDescent="0.2">
      <c r="A21" s="18"/>
      <c r="B21" s="19"/>
      <c r="C21" s="47"/>
      <c r="D21" s="47"/>
      <c r="E21" s="47"/>
      <c r="F21" s="21"/>
      <c r="G21" s="22"/>
      <c r="H21" s="23"/>
      <c r="I21" s="23"/>
      <c r="J21" s="23"/>
      <c r="K21" s="23"/>
      <c r="L21" s="24"/>
      <c r="M21" s="25">
        <f t="shared" si="0"/>
        <v>0</v>
      </c>
      <c r="N21" s="25">
        <f t="shared" si="1"/>
        <v>0</v>
      </c>
      <c r="O21" s="25">
        <f t="shared" si="2"/>
        <v>0</v>
      </c>
      <c r="P21" s="25"/>
      <c r="Q21" s="25"/>
      <c r="R21" s="25"/>
      <c r="S21" s="25"/>
      <c r="T21" s="26"/>
      <c r="U21" s="26"/>
      <c r="V21" s="26"/>
      <c r="W21" s="26"/>
      <c r="X21" s="26"/>
      <c r="Y21" s="31"/>
      <c r="Z21" s="25"/>
      <c r="AA21" s="25"/>
      <c r="AB21" s="25"/>
      <c r="AC21" s="25"/>
      <c r="AD21" s="25"/>
      <c r="AE21" s="25"/>
      <c r="AF21" s="25"/>
      <c r="AG21" s="25">
        <f t="shared" si="3"/>
        <v>0</v>
      </c>
      <c r="AH21" s="29">
        <f t="shared" si="4"/>
        <v>0</v>
      </c>
    </row>
    <row r="22" spans="1:34" s="55" customFormat="1" ht="12" customHeight="1" x14ac:dyDescent="0.2">
      <c r="A22" s="48"/>
      <c r="B22" s="49"/>
      <c r="C22" s="50"/>
      <c r="D22" s="51"/>
      <c r="E22" s="51"/>
      <c r="F22" s="52"/>
      <c r="G22" s="50"/>
      <c r="H22" s="53">
        <f t="shared" ref="H22:T22" si="5">SUM(H5:H21)</f>
        <v>7000</v>
      </c>
      <c r="I22" s="53">
        <f t="shared" si="5"/>
        <v>0</v>
      </c>
      <c r="J22" s="53">
        <f t="shared" si="5"/>
        <v>0</v>
      </c>
      <c r="K22" s="53">
        <f t="shared" si="5"/>
        <v>0</v>
      </c>
      <c r="L22" s="53">
        <f t="shared" si="5"/>
        <v>0</v>
      </c>
      <c r="M22" s="53">
        <f t="shared" si="5"/>
        <v>7000</v>
      </c>
      <c r="N22" s="53">
        <f t="shared" si="5"/>
        <v>0</v>
      </c>
      <c r="O22" s="53">
        <f t="shared" si="5"/>
        <v>0</v>
      </c>
      <c r="P22" s="53">
        <f t="shared" si="5"/>
        <v>0</v>
      </c>
      <c r="Q22" s="53">
        <f t="shared" si="5"/>
        <v>0</v>
      </c>
      <c r="R22" s="53">
        <f t="shared" si="5"/>
        <v>0</v>
      </c>
      <c r="S22" s="53">
        <f t="shared" si="5"/>
        <v>0</v>
      </c>
      <c r="T22" s="53">
        <f t="shared" si="5"/>
        <v>0</v>
      </c>
      <c r="U22" s="53"/>
      <c r="V22" s="53"/>
      <c r="W22" s="53"/>
      <c r="X22" s="53"/>
      <c r="Y22" s="53">
        <f t="shared" ref="Y22:AH22" si="6">SUM(Y5:Y21)</f>
        <v>0</v>
      </c>
      <c r="Z22" s="53">
        <f t="shared" si="6"/>
        <v>0</v>
      </c>
      <c r="AA22" s="53">
        <f t="shared" si="6"/>
        <v>0</v>
      </c>
      <c r="AB22" s="53">
        <f t="shared" si="6"/>
        <v>0</v>
      </c>
      <c r="AC22" s="53">
        <f t="shared" si="6"/>
        <v>0</v>
      </c>
      <c r="AD22" s="53">
        <f t="shared" si="6"/>
        <v>0</v>
      </c>
      <c r="AE22" s="53">
        <f t="shared" si="6"/>
        <v>0</v>
      </c>
      <c r="AF22" s="53">
        <f t="shared" si="6"/>
        <v>7000</v>
      </c>
      <c r="AG22" s="53">
        <f t="shared" si="6"/>
        <v>-7000</v>
      </c>
      <c r="AH22" s="53">
        <f t="shared" si="6"/>
        <v>0</v>
      </c>
    </row>
    <row r="23" spans="1:34" s="3" customFormat="1" ht="12" customHeight="1" x14ac:dyDescent="0.2">
      <c r="K23" s="5"/>
      <c r="L23" s="6"/>
      <c r="M23" s="5"/>
      <c r="Y23" s="5"/>
    </row>
    <row r="24" spans="1:34" ht="12" customHeight="1" x14ac:dyDescent="0.25"/>
    <row r="30" spans="1:34" x14ac:dyDescent="0.25">
      <c r="Q30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8"/>
  <sheetViews>
    <sheetView topLeftCell="A46" zoomScale="90" zoomScaleNormal="90" workbookViewId="0">
      <selection activeCell="E60" sqref="A60:XFD65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28.44140625" style="3" customWidth="1"/>
    <col min="4" max="4" width="17.6640625" style="4" customWidth="1"/>
    <col min="5" max="5" width="28.6640625" style="4" customWidth="1"/>
    <col min="6" max="6" width="9.88671875" style="2" customWidth="1"/>
    <col min="7" max="7" width="39.77734375" style="3" customWidth="1"/>
    <col min="8" max="8" width="10.10937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9.6640625" style="5" customWidth="1"/>
    <col min="19" max="19" width="10.21875" style="5" customWidth="1"/>
    <col min="20" max="21" width="11.5546875" style="5"/>
    <col min="22" max="24" width="8.6640625" style="5" customWidth="1"/>
    <col min="25" max="25" width="11.6640625" style="5" customWidth="1"/>
    <col min="26" max="26" width="10.44140625" style="5" customWidth="1"/>
    <col min="27" max="27" width="8.44140625" style="5" customWidth="1"/>
    <col min="28" max="28" width="12.109375" style="5" customWidth="1"/>
    <col min="29" max="30" width="10.109375" style="5" customWidth="1"/>
    <col min="31" max="31" width="12.77734375" style="5" customWidth="1"/>
    <col min="32" max="32" width="0.21875" style="5" customWidth="1"/>
    <col min="33" max="33" width="13.44140625" style="5" customWidth="1"/>
    <col min="34" max="34" width="9.554687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326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30" customFormat="1" ht="19.5" customHeight="1" x14ac:dyDescent="0.2">
      <c r="A5" s="56">
        <v>43160</v>
      </c>
      <c r="B5" s="57"/>
      <c r="C5" s="20" t="s">
        <v>215</v>
      </c>
      <c r="D5" s="20" t="s">
        <v>216</v>
      </c>
      <c r="E5" s="20" t="s">
        <v>175</v>
      </c>
      <c r="F5" s="58">
        <v>2249</v>
      </c>
      <c r="G5" s="59" t="s">
        <v>201</v>
      </c>
      <c r="H5" s="23"/>
      <c r="I5" s="23"/>
      <c r="J5" s="23"/>
      <c r="K5" s="23">
        <v>1320</v>
      </c>
      <c r="L5" s="24">
        <v>0.01</v>
      </c>
      <c r="M5" s="25">
        <f t="shared" ref="M5:M36" si="0">SUM(H5:J5,K5/1.12)</f>
        <v>1178.5714285714284</v>
      </c>
      <c r="N5" s="25">
        <f t="shared" ref="N5:N36" si="1">K5/1.12*0.12</f>
        <v>141.42857142857142</v>
      </c>
      <c r="O5" s="25">
        <f t="shared" ref="O5:O36" si="2">-SUM(I5:J5,K5/1.12)*L5</f>
        <v>-11.785714285714285</v>
      </c>
      <c r="P5" s="25"/>
      <c r="Q5" s="25">
        <v>1178.57</v>
      </c>
      <c r="R5" s="25"/>
      <c r="S5" s="25"/>
      <c r="T5" s="26"/>
      <c r="U5" s="26"/>
      <c r="V5" s="26"/>
      <c r="W5" s="26"/>
      <c r="X5" s="26"/>
      <c r="Y5" s="31"/>
      <c r="Z5" s="25"/>
      <c r="AA5" s="25"/>
      <c r="AB5" s="25"/>
      <c r="AC5" s="25"/>
      <c r="AD5" s="25"/>
      <c r="AE5" s="25"/>
      <c r="AF5" s="25"/>
      <c r="AG5" s="25">
        <f t="shared" ref="AG5:AG36" si="3">-SUM(N5:AF5)</f>
        <v>-1308.212857142857</v>
      </c>
      <c r="AH5" s="29">
        <f t="shared" ref="AH5:AH36" si="4">SUM(H5:K5)+AG5+O5</f>
        <v>1.4285714286685902E-3</v>
      </c>
    </row>
    <row r="6" spans="1:34" s="30" customFormat="1" ht="19.5" customHeight="1" x14ac:dyDescent="0.2">
      <c r="A6" s="56">
        <v>43160</v>
      </c>
      <c r="B6" s="57"/>
      <c r="C6" s="20" t="s">
        <v>276</v>
      </c>
      <c r="D6" s="20" t="s">
        <v>52</v>
      </c>
      <c r="E6" s="20" t="s">
        <v>277</v>
      </c>
      <c r="F6" s="58">
        <v>29668</v>
      </c>
      <c r="G6" s="59" t="s">
        <v>327</v>
      </c>
      <c r="H6" s="23"/>
      <c r="I6" s="23"/>
      <c r="J6" s="23"/>
      <c r="K6" s="23">
        <v>80</v>
      </c>
      <c r="L6" s="24"/>
      <c r="M6" s="25">
        <f t="shared" si="0"/>
        <v>71.428571428571416</v>
      </c>
      <c r="N6" s="25">
        <f t="shared" si="1"/>
        <v>8.5714285714285694</v>
      </c>
      <c r="O6" s="25">
        <f t="shared" si="2"/>
        <v>0</v>
      </c>
      <c r="P6" s="25">
        <v>71.430000000000007</v>
      </c>
      <c r="Q6" s="25"/>
      <c r="R6" s="25"/>
      <c r="S6" s="25"/>
      <c r="T6" s="26"/>
      <c r="U6" s="26"/>
      <c r="V6" s="26"/>
      <c r="W6" s="26"/>
      <c r="X6" s="26"/>
      <c r="Y6" s="31"/>
      <c r="Z6" s="25"/>
      <c r="AA6" s="25"/>
      <c r="AB6" s="25"/>
      <c r="AC6" s="25"/>
      <c r="AD6" s="25"/>
      <c r="AE6" s="25"/>
      <c r="AF6" s="25"/>
      <c r="AG6" s="25">
        <f t="shared" si="3"/>
        <v>-80.001428571428576</v>
      </c>
      <c r="AH6" s="29">
        <f t="shared" si="4"/>
        <v>-1.4285714285762197E-3</v>
      </c>
    </row>
    <row r="7" spans="1:34" s="30" customFormat="1" ht="19.5" customHeight="1" x14ac:dyDescent="0.2">
      <c r="A7" s="56">
        <v>43160</v>
      </c>
      <c r="B7" s="57"/>
      <c r="C7" s="20" t="s">
        <v>328</v>
      </c>
      <c r="D7" s="20" t="s">
        <v>329</v>
      </c>
      <c r="E7" s="20" t="s">
        <v>330</v>
      </c>
      <c r="F7" s="58">
        <v>3090</v>
      </c>
      <c r="G7" s="59" t="s">
        <v>331</v>
      </c>
      <c r="H7" s="23"/>
      <c r="I7" s="23"/>
      <c r="J7" s="23"/>
      <c r="K7" s="23">
        <v>500</v>
      </c>
      <c r="L7" s="24">
        <v>0.02</v>
      </c>
      <c r="M7" s="25">
        <f t="shared" si="0"/>
        <v>446.42857142857139</v>
      </c>
      <c r="N7" s="25">
        <f t="shared" si="1"/>
        <v>53.571428571428562</v>
      </c>
      <c r="O7" s="25">
        <f t="shared" si="2"/>
        <v>-8.9285714285714288</v>
      </c>
      <c r="P7" s="25"/>
      <c r="Q7" s="25"/>
      <c r="R7" s="25"/>
      <c r="S7" s="25"/>
      <c r="T7" s="26"/>
      <c r="U7" s="26"/>
      <c r="V7" s="26"/>
      <c r="W7" s="26"/>
      <c r="X7" s="26"/>
      <c r="Y7" s="31">
        <v>446.43</v>
      </c>
      <c r="Z7" s="25"/>
      <c r="AA7" s="25"/>
      <c r="AB7" s="25"/>
      <c r="AC7" s="25"/>
      <c r="AD7" s="25"/>
      <c r="AE7" s="25"/>
      <c r="AF7" s="25"/>
      <c r="AG7" s="25">
        <f t="shared" si="3"/>
        <v>-491.07285714285712</v>
      </c>
      <c r="AH7" s="29">
        <f t="shared" si="4"/>
        <v>-1.4285714285460216E-3</v>
      </c>
    </row>
    <row r="8" spans="1:34" s="30" customFormat="1" ht="21.75" customHeight="1" x14ac:dyDescent="0.2">
      <c r="A8" s="56">
        <v>43160</v>
      </c>
      <c r="B8" s="57"/>
      <c r="C8" s="20" t="s">
        <v>276</v>
      </c>
      <c r="D8" s="20" t="s">
        <v>52</v>
      </c>
      <c r="E8" s="20" t="s">
        <v>277</v>
      </c>
      <c r="F8" s="58">
        <v>83307</v>
      </c>
      <c r="G8" s="59" t="s">
        <v>327</v>
      </c>
      <c r="H8" s="23"/>
      <c r="I8" s="23"/>
      <c r="J8" s="23"/>
      <c r="K8" s="23">
        <v>240</v>
      </c>
      <c r="L8" s="24"/>
      <c r="M8" s="25">
        <f t="shared" si="0"/>
        <v>214.28571428571428</v>
      </c>
      <c r="N8" s="25">
        <f t="shared" si="1"/>
        <v>25.714285714285712</v>
      </c>
      <c r="O8" s="25">
        <f t="shared" si="2"/>
        <v>0</v>
      </c>
      <c r="P8" s="25">
        <v>214.29</v>
      </c>
      <c r="Q8" s="25"/>
      <c r="R8" s="25"/>
      <c r="S8" s="25"/>
      <c r="T8" s="26"/>
      <c r="U8" s="26"/>
      <c r="V8" s="26"/>
      <c r="W8" s="26"/>
      <c r="X8" s="26"/>
      <c r="Y8" s="31"/>
      <c r="Z8" s="25"/>
      <c r="AA8" s="25"/>
      <c r="AB8" s="25"/>
      <c r="AC8" s="25"/>
      <c r="AD8" s="25"/>
      <c r="AE8" s="25"/>
      <c r="AF8" s="25"/>
      <c r="AG8" s="25">
        <f t="shared" si="3"/>
        <v>-240.00428571428571</v>
      </c>
      <c r="AH8" s="29">
        <f t="shared" si="4"/>
        <v>-4.2857142857144481E-3</v>
      </c>
    </row>
    <row r="9" spans="1:34" s="30" customFormat="1" ht="19.5" customHeight="1" x14ac:dyDescent="0.2">
      <c r="A9" s="56">
        <v>43160</v>
      </c>
      <c r="B9" s="57"/>
      <c r="C9" s="20" t="s">
        <v>63</v>
      </c>
      <c r="D9" s="20" t="s">
        <v>64</v>
      </c>
      <c r="E9" s="20" t="s">
        <v>65</v>
      </c>
      <c r="F9" s="58">
        <v>125312</v>
      </c>
      <c r="G9" s="59" t="s">
        <v>332</v>
      </c>
      <c r="H9" s="23"/>
      <c r="I9" s="23"/>
      <c r="J9" s="23"/>
      <c r="K9" s="23">
        <v>696</v>
      </c>
      <c r="L9" s="24"/>
      <c r="M9" s="25">
        <f t="shared" si="0"/>
        <v>621.42857142857133</v>
      </c>
      <c r="N9" s="25">
        <f t="shared" si="1"/>
        <v>74.571428571428555</v>
      </c>
      <c r="O9" s="25">
        <f t="shared" si="2"/>
        <v>0</v>
      </c>
      <c r="P9" s="25"/>
      <c r="Q9" s="25">
        <v>621.42999999999995</v>
      </c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5"/>
      <c r="AD9" s="25"/>
      <c r="AE9" s="25"/>
      <c r="AF9" s="25"/>
      <c r="AG9" s="25">
        <f t="shared" si="3"/>
        <v>-696.00142857142851</v>
      </c>
      <c r="AH9" s="29">
        <f t="shared" si="4"/>
        <v>-1.4285714285051654E-3</v>
      </c>
    </row>
    <row r="10" spans="1:34" s="30" customFormat="1" ht="22.5" customHeight="1" x14ac:dyDescent="0.2">
      <c r="A10" s="56">
        <v>43160</v>
      </c>
      <c r="B10" s="57"/>
      <c r="C10" s="20" t="s">
        <v>63</v>
      </c>
      <c r="D10" s="20" t="s">
        <v>64</v>
      </c>
      <c r="E10" s="20" t="s">
        <v>65</v>
      </c>
      <c r="F10" s="58">
        <v>71891</v>
      </c>
      <c r="G10" s="59" t="s">
        <v>333</v>
      </c>
      <c r="H10" s="23"/>
      <c r="I10" s="23"/>
      <c r="J10" s="23"/>
      <c r="K10" s="23">
        <f>2106.79+252.81</f>
        <v>2359.6</v>
      </c>
      <c r="L10" s="24">
        <v>0.01</v>
      </c>
      <c r="M10" s="25">
        <f t="shared" si="0"/>
        <v>2106.7857142857142</v>
      </c>
      <c r="N10" s="25">
        <f t="shared" si="1"/>
        <v>252.81428571428569</v>
      </c>
      <c r="O10" s="25">
        <f t="shared" si="2"/>
        <v>-21.067857142857143</v>
      </c>
      <c r="P10" s="25">
        <v>2106.79</v>
      </c>
      <c r="Q10" s="25"/>
      <c r="R10" s="25"/>
      <c r="S10" s="25"/>
      <c r="T10" s="26"/>
      <c r="U10" s="26"/>
      <c r="V10" s="26"/>
      <c r="W10" s="26"/>
      <c r="X10" s="26"/>
      <c r="Y10" s="31"/>
      <c r="Z10" s="25"/>
      <c r="AA10" s="25"/>
      <c r="AB10" s="25"/>
      <c r="AC10" s="25"/>
      <c r="AD10" s="25"/>
      <c r="AE10" s="25"/>
      <c r="AF10" s="25"/>
      <c r="AG10" s="25">
        <f t="shared" si="3"/>
        <v>-2338.5364285714286</v>
      </c>
      <c r="AH10" s="29">
        <f t="shared" si="4"/>
        <v>-4.2857142858210295E-3</v>
      </c>
    </row>
    <row r="11" spans="1:34" s="30" customFormat="1" ht="22.5" customHeight="1" x14ac:dyDescent="0.2">
      <c r="A11" s="56">
        <v>43160</v>
      </c>
      <c r="B11" s="57"/>
      <c r="C11" s="20" t="s">
        <v>63</v>
      </c>
      <c r="D11" s="20" t="s">
        <v>64</v>
      </c>
      <c r="E11" s="20" t="s">
        <v>65</v>
      </c>
      <c r="F11" s="58">
        <v>71891</v>
      </c>
      <c r="G11" s="59" t="s">
        <v>334</v>
      </c>
      <c r="H11" s="23"/>
      <c r="I11" s="23"/>
      <c r="J11" s="23">
        <v>546.79999999999995</v>
      </c>
      <c r="K11" s="23"/>
      <c r="L11" s="24">
        <v>0.01</v>
      </c>
      <c r="M11" s="25">
        <f t="shared" si="0"/>
        <v>546.79999999999995</v>
      </c>
      <c r="N11" s="25">
        <f t="shared" si="1"/>
        <v>0</v>
      </c>
      <c r="O11" s="25">
        <f t="shared" si="2"/>
        <v>-5.468</v>
      </c>
      <c r="P11" s="25">
        <v>546.79999999999995</v>
      </c>
      <c r="Q11" s="25"/>
      <c r="R11" s="25"/>
      <c r="S11" s="25"/>
      <c r="T11" s="26"/>
      <c r="U11" s="26"/>
      <c r="V11" s="26"/>
      <c r="W11" s="26"/>
      <c r="X11" s="26"/>
      <c r="Y11" s="31"/>
      <c r="Z11" s="25"/>
      <c r="AA11" s="25"/>
      <c r="AB11" s="25"/>
      <c r="AC11" s="25"/>
      <c r="AD11" s="25"/>
      <c r="AE11" s="25"/>
      <c r="AF11" s="25"/>
      <c r="AG11" s="25">
        <f t="shared" si="3"/>
        <v>-541.33199999999999</v>
      </c>
      <c r="AH11" s="29">
        <f t="shared" si="4"/>
        <v>-3.907985046680551E-14</v>
      </c>
    </row>
    <row r="12" spans="1:34" s="30" customFormat="1" ht="22.5" customHeight="1" x14ac:dyDescent="0.2">
      <c r="A12" s="56">
        <v>43133</v>
      </c>
      <c r="B12" s="57"/>
      <c r="C12" s="20" t="s">
        <v>276</v>
      </c>
      <c r="D12" s="20" t="s">
        <v>52</v>
      </c>
      <c r="E12" s="20" t="s">
        <v>277</v>
      </c>
      <c r="F12" s="58">
        <v>28505</v>
      </c>
      <c r="G12" s="59" t="s">
        <v>335</v>
      </c>
      <c r="H12" s="23"/>
      <c r="I12" s="23"/>
      <c r="J12" s="23"/>
      <c r="K12" s="23">
        <v>267</v>
      </c>
      <c r="L12" s="24"/>
      <c r="M12" s="25">
        <f t="shared" si="0"/>
        <v>238.39285714285711</v>
      </c>
      <c r="N12" s="25">
        <f t="shared" si="1"/>
        <v>28.607142857142851</v>
      </c>
      <c r="O12" s="25">
        <f t="shared" si="2"/>
        <v>0</v>
      </c>
      <c r="P12" s="25">
        <v>238.39</v>
      </c>
      <c r="Q12" s="25"/>
      <c r="R12" s="25"/>
      <c r="S12" s="25"/>
      <c r="T12" s="26"/>
      <c r="U12" s="26"/>
      <c r="V12" s="26"/>
      <c r="W12" s="26"/>
      <c r="X12" s="26"/>
      <c r="Y12" s="31"/>
      <c r="Z12" s="25"/>
      <c r="AA12" s="25"/>
      <c r="AB12" s="25"/>
      <c r="AC12" s="25"/>
      <c r="AD12" s="25"/>
      <c r="AE12" s="25"/>
      <c r="AF12" s="25"/>
      <c r="AG12" s="25">
        <f t="shared" si="3"/>
        <v>-266.99714285714282</v>
      </c>
      <c r="AH12" s="29">
        <f t="shared" si="4"/>
        <v>2.857142857180861E-3</v>
      </c>
    </row>
    <row r="13" spans="1:34" s="30" customFormat="1" ht="22.5" customHeight="1" x14ac:dyDescent="0.2">
      <c r="A13" s="56">
        <v>43161</v>
      </c>
      <c r="B13" s="57"/>
      <c r="C13" s="20" t="s">
        <v>294</v>
      </c>
      <c r="D13" s="20" t="s">
        <v>295</v>
      </c>
      <c r="E13" s="20" t="s">
        <v>43</v>
      </c>
      <c r="F13" s="58">
        <v>9595</v>
      </c>
      <c r="G13" s="59" t="s">
        <v>336</v>
      </c>
      <c r="H13" s="23"/>
      <c r="I13" s="23"/>
      <c r="J13" s="23">
        <v>1100</v>
      </c>
      <c r="K13" s="23"/>
      <c r="L13" s="24"/>
      <c r="M13" s="25">
        <f t="shared" si="0"/>
        <v>1100</v>
      </c>
      <c r="N13" s="25">
        <f t="shared" si="1"/>
        <v>0</v>
      </c>
      <c r="O13" s="25">
        <f t="shared" si="2"/>
        <v>0</v>
      </c>
      <c r="P13" s="25">
        <v>1100</v>
      </c>
      <c r="Q13" s="25"/>
      <c r="R13" s="25"/>
      <c r="S13" s="25"/>
      <c r="T13" s="26"/>
      <c r="U13" s="26"/>
      <c r="V13" s="26"/>
      <c r="W13" s="26"/>
      <c r="X13" s="26"/>
      <c r="Y13" s="31"/>
      <c r="Z13" s="25"/>
      <c r="AA13" s="25"/>
      <c r="AB13" s="25"/>
      <c r="AC13" s="25"/>
      <c r="AD13" s="25"/>
      <c r="AE13" s="25"/>
      <c r="AF13" s="25"/>
      <c r="AG13" s="25">
        <f t="shared" si="3"/>
        <v>-1100</v>
      </c>
      <c r="AH13" s="29">
        <f t="shared" si="4"/>
        <v>0</v>
      </c>
    </row>
    <row r="14" spans="1:34" s="30" customFormat="1" ht="22.5" customHeight="1" x14ac:dyDescent="0.2">
      <c r="A14" s="56">
        <v>43161</v>
      </c>
      <c r="B14" s="57"/>
      <c r="C14" s="20" t="s">
        <v>41</v>
      </c>
      <c r="D14" s="20" t="s">
        <v>88</v>
      </c>
      <c r="E14" s="20" t="s">
        <v>43</v>
      </c>
      <c r="F14" s="58">
        <v>2316</v>
      </c>
      <c r="G14" s="59" t="s">
        <v>172</v>
      </c>
      <c r="H14" s="23"/>
      <c r="I14" s="23"/>
      <c r="J14" s="23">
        <v>1700</v>
      </c>
      <c r="K14" s="23"/>
      <c r="L14" s="24"/>
      <c r="M14" s="25">
        <f t="shared" si="0"/>
        <v>1700</v>
      </c>
      <c r="N14" s="25">
        <f t="shared" si="1"/>
        <v>0</v>
      </c>
      <c r="O14" s="25">
        <f t="shared" si="2"/>
        <v>0</v>
      </c>
      <c r="P14" s="25">
        <v>1700</v>
      </c>
      <c r="Q14" s="25"/>
      <c r="R14" s="25"/>
      <c r="S14" s="25"/>
      <c r="T14" s="26"/>
      <c r="U14" s="26"/>
      <c r="V14" s="26"/>
      <c r="W14" s="26"/>
      <c r="X14" s="26"/>
      <c r="Y14" s="31"/>
      <c r="Z14" s="25"/>
      <c r="AA14" s="25"/>
      <c r="AB14" s="25"/>
      <c r="AC14" s="25"/>
      <c r="AD14" s="25"/>
      <c r="AE14" s="25"/>
      <c r="AF14" s="25"/>
      <c r="AG14" s="25">
        <f t="shared" si="3"/>
        <v>-1700</v>
      </c>
      <c r="AH14" s="29">
        <f t="shared" si="4"/>
        <v>0</v>
      </c>
    </row>
    <row r="15" spans="1:34" s="30" customFormat="1" ht="22.5" customHeight="1" x14ac:dyDescent="0.2">
      <c r="A15" s="56">
        <v>43161</v>
      </c>
      <c r="B15" s="57"/>
      <c r="C15" s="20" t="s">
        <v>45</v>
      </c>
      <c r="D15" s="20"/>
      <c r="E15" s="20"/>
      <c r="F15" s="58"/>
      <c r="G15" s="59" t="s">
        <v>337</v>
      </c>
      <c r="H15" s="23">
        <v>100</v>
      </c>
      <c r="I15" s="23"/>
      <c r="J15" s="23"/>
      <c r="K15" s="23"/>
      <c r="L15" s="24"/>
      <c r="M15" s="25">
        <f t="shared" si="0"/>
        <v>100</v>
      </c>
      <c r="N15" s="25">
        <f t="shared" si="1"/>
        <v>0</v>
      </c>
      <c r="O15" s="25">
        <f t="shared" si="2"/>
        <v>0</v>
      </c>
      <c r="P15" s="25"/>
      <c r="Q15" s="25"/>
      <c r="R15" s="25"/>
      <c r="S15" s="25"/>
      <c r="T15" s="26"/>
      <c r="U15" s="26"/>
      <c r="V15" s="26"/>
      <c r="W15" s="26"/>
      <c r="X15" s="26"/>
      <c r="Y15" s="31"/>
      <c r="Z15" s="25"/>
      <c r="AA15" s="25">
        <v>100</v>
      </c>
      <c r="AB15" s="25"/>
      <c r="AC15" s="25"/>
      <c r="AD15" s="25"/>
      <c r="AE15" s="25"/>
      <c r="AF15" s="25"/>
      <c r="AG15" s="25">
        <f t="shared" si="3"/>
        <v>-100</v>
      </c>
      <c r="AH15" s="29">
        <f t="shared" si="4"/>
        <v>0</v>
      </c>
    </row>
    <row r="16" spans="1:34" s="30" customFormat="1" ht="22.5" customHeight="1" x14ac:dyDescent="0.2">
      <c r="A16" s="56">
        <v>43161</v>
      </c>
      <c r="B16" s="57"/>
      <c r="C16" s="20" t="s">
        <v>338</v>
      </c>
      <c r="D16" s="20" t="s">
        <v>339</v>
      </c>
      <c r="E16" s="20" t="s">
        <v>65</v>
      </c>
      <c r="F16" s="58">
        <v>19052</v>
      </c>
      <c r="G16" s="59" t="s">
        <v>340</v>
      </c>
      <c r="H16" s="23"/>
      <c r="I16" s="23"/>
      <c r="J16" s="23"/>
      <c r="K16" s="23">
        <v>1965</v>
      </c>
      <c r="L16" s="24"/>
      <c r="M16" s="25">
        <f t="shared" si="0"/>
        <v>1754.4642857142856</v>
      </c>
      <c r="N16" s="25">
        <f t="shared" si="1"/>
        <v>210.53571428571425</v>
      </c>
      <c r="O16" s="25">
        <f t="shared" si="2"/>
        <v>0</v>
      </c>
      <c r="P16" s="25"/>
      <c r="Q16" s="25"/>
      <c r="R16" s="25"/>
      <c r="S16" s="25"/>
      <c r="T16" s="26"/>
      <c r="U16" s="26"/>
      <c r="V16" s="26"/>
      <c r="W16" s="26"/>
      <c r="X16" s="26"/>
      <c r="Y16" s="31">
        <v>1754.46</v>
      </c>
      <c r="Z16" s="25"/>
      <c r="AA16" s="25"/>
      <c r="AB16" s="25"/>
      <c r="AC16" s="25"/>
      <c r="AD16" s="25"/>
      <c r="AE16" s="25"/>
      <c r="AF16" s="25"/>
      <c r="AG16" s="25">
        <f t="shared" si="3"/>
        <v>-1964.9957142857143</v>
      </c>
      <c r="AH16" s="29">
        <f t="shared" si="4"/>
        <v>4.2857142857428698E-3</v>
      </c>
    </row>
    <row r="17" spans="1:34" s="30" customFormat="1" ht="22.5" customHeight="1" x14ac:dyDescent="0.2">
      <c r="A17" s="56">
        <v>43161</v>
      </c>
      <c r="B17" s="57"/>
      <c r="C17" s="20" t="s">
        <v>63</v>
      </c>
      <c r="D17" s="20" t="s">
        <v>64</v>
      </c>
      <c r="E17" s="20" t="s">
        <v>65</v>
      </c>
      <c r="F17" s="58">
        <v>75329</v>
      </c>
      <c r="G17" s="59" t="s">
        <v>341</v>
      </c>
      <c r="H17" s="23"/>
      <c r="I17" s="23"/>
      <c r="J17" s="23"/>
      <c r="K17" s="23">
        <f>555.94+66.71</f>
        <v>622.65000000000009</v>
      </c>
      <c r="L17" s="24"/>
      <c r="M17" s="25">
        <f t="shared" si="0"/>
        <v>555.9375</v>
      </c>
      <c r="N17" s="25">
        <f t="shared" si="1"/>
        <v>66.712499999999991</v>
      </c>
      <c r="O17" s="25">
        <f t="shared" si="2"/>
        <v>0</v>
      </c>
      <c r="P17" s="25">
        <v>555.94000000000005</v>
      </c>
      <c r="Q17" s="25"/>
      <c r="R17" s="25"/>
      <c r="S17" s="25"/>
      <c r="T17" s="26"/>
      <c r="U17" s="26"/>
      <c r="V17" s="26"/>
      <c r="W17" s="26"/>
      <c r="X17" s="26"/>
      <c r="Y17" s="31"/>
      <c r="Z17" s="25"/>
      <c r="AA17" s="25"/>
      <c r="AB17" s="25"/>
      <c r="AC17" s="25"/>
      <c r="AD17" s="25"/>
      <c r="AE17" s="25"/>
      <c r="AF17" s="25"/>
      <c r="AG17" s="25">
        <f t="shared" si="3"/>
        <v>-622.65250000000003</v>
      </c>
      <c r="AH17" s="29">
        <f t="shared" si="4"/>
        <v>-2.4999999999408828E-3</v>
      </c>
    </row>
    <row r="18" spans="1:34" s="30" customFormat="1" ht="21.75" customHeight="1" x14ac:dyDescent="0.2">
      <c r="A18" s="56">
        <v>43161</v>
      </c>
      <c r="B18" s="57"/>
      <c r="C18" s="20" t="s">
        <v>63</v>
      </c>
      <c r="D18" s="20" t="s">
        <v>64</v>
      </c>
      <c r="E18" s="20" t="s">
        <v>65</v>
      </c>
      <c r="F18" s="58">
        <v>45329</v>
      </c>
      <c r="G18" s="59" t="s">
        <v>342</v>
      </c>
      <c r="H18" s="23"/>
      <c r="I18" s="23"/>
      <c r="J18" s="23">
        <v>700.2</v>
      </c>
      <c r="K18" s="23"/>
      <c r="L18" s="24"/>
      <c r="M18" s="25">
        <f t="shared" si="0"/>
        <v>700.2</v>
      </c>
      <c r="N18" s="25">
        <f t="shared" si="1"/>
        <v>0</v>
      </c>
      <c r="O18" s="25">
        <f t="shared" si="2"/>
        <v>0</v>
      </c>
      <c r="P18" s="25">
        <v>700.2</v>
      </c>
      <c r="Q18" s="25"/>
      <c r="R18" s="25"/>
      <c r="S18" s="25"/>
      <c r="T18" s="26"/>
      <c r="U18" s="26"/>
      <c r="V18" s="26"/>
      <c r="W18" s="26"/>
      <c r="X18" s="26"/>
      <c r="Y18" s="31"/>
      <c r="Z18" s="25"/>
      <c r="AA18" s="25"/>
      <c r="AB18" s="25"/>
      <c r="AC18" s="25"/>
      <c r="AD18" s="25"/>
      <c r="AE18" s="25"/>
      <c r="AF18" s="25"/>
      <c r="AG18" s="25">
        <f t="shared" si="3"/>
        <v>-700.2</v>
      </c>
      <c r="AH18" s="29">
        <f t="shared" si="4"/>
        <v>0</v>
      </c>
    </row>
    <row r="19" spans="1:34" s="46" customFormat="1" ht="19.5" customHeight="1" x14ac:dyDescent="0.2">
      <c r="A19" s="60">
        <v>43162</v>
      </c>
      <c r="B19" s="61"/>
      <c r="C19" s="36" t="s">
        <v>276</v>
      </c>
      <c r="D19" s="36" t="s">
        <v>52</v>
      </c>
      <c r="E19" s="36" t="s">
        <v>277</v>
      </c>
      <c r="F19" s="62">
        <v>28528</v>
      </c>
      <c r="G19" s="63" t="s">
        <v>343</v>
      </c>
      <c r="H19" s="39"/>
      <c r="I19" s="39"/>
      <c r="J19" s="39"/>
      <c r="K19" s="39">
        <v>219.5</v>
      </c>
      <c r="L19" s="40"/>
      <c r="M19" s="41">
        <f t="shared" si="0"/>
        <v>195.98214285714283</v>
      </c>
      <c r="N19" s="41">
        <f t="shared" si="1"/>
        <v>23.517857142857139</v>
      </c>
      <c r="O19" s="41">
        <f t="shared" si="2"/>
        <v>0</v>
      </c>
      <c r="P19" s="41">
        <v>195.98</v>
      </c>
      <c r="Q19" s="41"/>
      <c r="R19" s="41"/>
      <c r="S19" s="41"/>
      <c r="T19" s="42"/>
      <c r="U19" s="42"/>
      <c r="V19" s="42"/>
      <c r="W19" s="42"/>
      <c r="X19" s="42"/>
      <c r="Y19" s="41"/>
      <c r="Z19" s="41"/>
      <c r="AA19" s="41"/>
      <c r="AB19" s="41"/>
      <c r="AC19" s="41"/>
      <c r="AD19" s="41"/>
      <c r="AE19" s="41"/>
      <c r="AF19" s="41"/>
      <c r="AG19" s="41">
        <f t="shared" si="3"/>
        <v>-219.49785714285713</v>
      </c>
      <c r="AH19" s="45">
        <f t="shared" si="4"/>
        <v>2.1428571428714349E-3</v>
      </c>
    </row>
    <row r="20" spans="1:34" s="30" customFormat="1" ht="19.5" customHeight="1" x14ac:dyDescent="0.2">
      <c r="A20" s="56">
        <v>43162</v>
      </c>
      <c r="B20" s="57"/>
      <c r="C20" s="20" t="s">
        <v>104</v>
      </c>
      <c r="D20" s="20" t="s">
        <v>105</v>
      </c>
      <c r="E20" s="20" t="s">
        <v>106</v>
      </c>
      <c r="F20" s="58">
        <v>193193</v>
      </c>
      <c r="G20" s="59" t="s">
        <v>107</v>
      </c>
      <c r="H20" s="23"/>
      <c r="I20" s="23"/>
      <c r="J20" s="23"/>
      <c r="K20" s="23">
        <v>1882.06</v>
      </c>
      <c r="L20" s="24">
        <v>0.01</v>
      </c>
      <c r="M20" s="25">
        <f t="shared" si="0"/>
        <v>1680.410714285714</v>
      </c>
      <c r="N20" s="25">
        <f t="shared" si="1"/>
        <v>201.64928571428567</v>
      </c>
      <c r="O20" s="25">
        <f t="shared" si="2"/>
        <v>-16.804107142857141</v>
      </c>
      <c r="P20" s="25">
        <v>1680.41</v>
      </c>
      <c r="Q20" s="25"/>
      <c r="R20" s="25"/>
      <c r="S20" s="25"/>
      <c r="T20" s="26"/>
      <c r="U20" s="26"/>
      <c r="V20" s="26"/>
      <c r="W20" s="26"/>
      <c r="X20" s="26"/>
      <c r="Y20" s="31"/>
      <c r="Z20" s="25"/>
      <c r="AA20" s="25"/>
      <c r="AB20" s="25"/>
      <c r="AC20" s="25"/>
      <c r="AD20" s="25"/>
      <c r="AE20" s="25"/>
      <c r="AF20" s="25"/>
      <c r="AG20" s="25">
        <f t="shared" si="3"/>
        <v>-1865.2551785714286</v>
      </c>
      <c r="AH20" s="29">
        <f t="shared" si="4"/>
        <v>7.1428571421705556E-4</v>
      </c>
    </row>
    <row r="21" spans="1:34" s="30" customFormat="1" ht="19.5" customHeight="1" x14ac:dyDescent="0.2">
      <c r="A21" s="56">
        <v>43162</v>
      </c>
      <c r="B21" s="57"/>
      <c r="C21" s="20" t="s">
        <v>63</v>
      </c>
      <c r="D21" s="20" t="s">
        <v>64</v>
      </c>
      <c r="E21" s="20" t="s">
        <v>65</v>
      </c>
      <c r="F21" s="58">
        <v>94084</v>
      </c>
      <c r="G21" s="59" t="s">
        <v>344</v>
      </c>
      <c r="H21" s="23"/>
      <c r="I21" s="23"/>
      <c r="J21" s="23"/>
      <c r="K21" s="23">
        <v>3993.65</v>
      </c>
      <c r="L21" s="24"/>
      <c r="M21" s="25">
        <f t="shared" si="0"/>
        <v>3565.7589285714284</v>
      </c>
      <c r="N21" s="25">
        <f t="shared" si="1"/>
        <v>427.89107142857142</v>
      </c>
      <c r="O21" s="25">
        <f t="shared" si="2"/>
        <v>0</v>
      </c>
      <c r="P21" s="25">
        <v>3565.76</v>
      </c>
      <c r="Q21" s="25"/>
      <c r="R21" s="25"/>
      <c r="S21" s="25"/>
      <c r="T21" s="26"/>
      <c r="U21" s="26"/>
      <c r="V21" s="26"/>
      <c r="W21" s="26"/>
      <c r="X21" s="26"/>
      <c r="Y21" s="31"/>
      <c r="Z21" s="25"/>
      <c r="AA21" s="25"/>
      <c r="AB21" s="25"/>
      <c r="AC21" s="25"/>
      <c r="AD21" s="25"/>
      <c r="AE21" s="25"/>
      <c r="AF21" s="25"/>
      <c r="AG21" s="25">
        <f t="shared" si="3"/>
        <v>-3993.6510714285714</v>
      </c>
      <c r="AH21" s="29">
        <f t="shared" si="4"/>
        <v>-1.0714285713220306E-3</v>
      </c>
    </row>
    <row r="22" spans="1:34" s="30" customFormat="1" ht="19.5" customHeight="1" x14ac:dyDescent="0.2">
      <c r="A22" s="56">
        <v>43164</v>
      </c>
      <c r="B22" s="57"/>
      <c r="C22" s="20" t="s">
        <v>294</v>
      </c>
      <c r="D22" s="20" t="s">
        <v>345</v>
      </c>
      <c r="E22" s="20" t="s">
        <v>43</v>
      </c>
      <c r="F22" s="58">
        <v>12797</v>
      </c>
      <c r="G22" s="59" t="s">
        <v>336</v>
      </c>
      <c r="H22" s="23"/>
      <c r="I22" s="23"/>
      <c r="J22" s="23">
        <v>660</v>
      </c>
      <c r="K22" s="23"/>
      <c r="L22" s="24"/>
      <c r="M22" s="25">
        <f t="shared" si="0"/>
        <v>660</v>
      </c>
      <c r="N22" s="25">
        <f t="shared" si="1"/>
        <v>0</v>
      </c>
      <c r="O22" s="25">
        <f t="shared" si="2"/>
        <v>0</v>
      </c>
      <c r="P22" s="25">
        <v>660</v>
      </c>
      <c r="Q22" s="25"/>
      <c r="R22" s="25"/>
      <c r="S22" s="25"/>
      <c r="T22" s="26"/>
      <c r="U22" s="26"/>
      <c r="V22" s="26"/>
      <c r="W22" s="26"/>
      <c r="X22" s="26"/>
      <c r="Y22" s="31"/>
      <c r="Z22" s="25"/>
      <c r="AA22" s="25"/>
      <c r="AB22" s="25"/>
      <c r="AC22" s="25"/>
      <c r="AD22" s="25"/>
      <c r="AE22" s="25"/>
      <c r="AF22" s="25"/>
      <c r="AG22" s="25">
        <f t="shared" si="3"/>
        <v>-660</v>
      </c>
      <c r="AH22" s="29">
        <f t="shared" si="4"/>
        <v>0</v>
      </c>
    </row>
    <row r="23" spans="1:34" s="30" customFormat="1" ht="21.75" customHeight="1" x14ac:dyDescent="0.2">
      <c r="A23" s="56">
        <v>43164</v>
      </c>
      <c r="B23" s="57"/>
      <c r="C23" s="20" t="s">
        <v>45</v>
      </c>
      <c r="D23" s="20"/>
      <c r="E23" s="20"/>
      <c r="F23" s="58"/>
      <c r="G23" s="59" t="s">
        <v>196</v>
      </c>
      <c r="H23" s="23">
        <v>100</v>
      </c>
      <c r="I23" s="23"/>
      <c r="J23" s="23"/>
      <c r="K23" s="23"/>
      <c r="L23" s="24"/>
      <c r="M23" s="25">
        <f t="shared" si="0"/>
        <v>100</v>
      </c>
      <c r="N23" s="25">
        <f t="shared" si="1"/>
        <v>0</v>
      </c>
      <c r="O23" s="25">
        <f t="shared" si="2"/>
        <v>0</v>
      </c>
      <c r="P23" s="25"/>
      <c r="Q23" s="25"/>
      <c r="R23" s="25"/>
      <c r="S23" s="25"/>
      <c r="T23" s="26"/>
      <c r="U23" s="26"/>
      <c r="V23" s="26"/>
      <c r="W23" s="26"/>
      <c r="X23" s="26"/>
      <c r="Y23" s="31"/>
      <c r="Z23" s="25"/>
      <c r="AA23" s="25">
        <v>100</v>
      </c>
      <c r="AB23" s="25"/>
      <c r="AC23" s="25"/>
      <c r="AD23" s="25"/>
      <c r="AE23" s="25"/>
      <c r="AF23" s="25"/>
      <c r="AG23" s="25">
        <f t="shared" si="3"/>
        <v>-100</v>
      </c>
      <c r="AH23" s="29">
        <f t="shared" si="4"/>
        <v>0</v>
      </c>
    </row>
    <row r="24" spans="1:34" s="30" customFormat="1" ht="19.5" customHeight="1" x14ac:dyDescent="0.2">
      <c r="A24" s="56">
        <v>43165</v>
      </c>
      <c r="B24" s="57"/>
      <c r="C24" s="20" t="s">
        <v>284</v>
      </c>
      <c r="D24" s="20" t="s">
        <v>184</v>
      </c>
      <c r="E24" s="20" t="s">
        <v>65</v>
      </c>
      <c r="F24" s="58">
        <v>158207</v>
      </c>
      <c r="G24" s="59" t="s">
        <v>346</v>
      </c>
      <c r="H24" s="23"/>
      <c r="I24" s="23"/>
      <c r="J24" s="23"/>
      <c r="K24" s="23">
        <v>180</v>
      </c>
      <c r="L24" s="24"/>
      <c r="M24" s="25">
        <f t="shared" si="0"/>
        <v>160.71428571428569</v>
      </c>
      <c r="N24" s="25">
        <f t="shared" si="1"/>
        <v>19.285714285714281</v>
      </c>
      <c r="O24" s="25">
        <f t="shared" si="2"/>
        <v>0</v>
      </c>
      <c r="P24" s="25"/>
      <c r="Q24" s="25"/>
      <c r="R24" s="25"/>
      <c r="S24" s="25"/>
      <c r="T24" s="26"/>
      <c r="U24" s="26"/>
      <c r="V24" s="26"/>
      <c r="W24" s="26"/>
      <c r="X24" s="26"/>
      <c r="Y24" s="31"/>
      <c r="Z24" s="25">
        <v>160.71</v>
      </c>
      <c r="AA24" s="25"/>
      <c r="AB24" s="25"/>
      <c r="AC24" s="25"/>
      <c r="AD24" s="25"/>
      <c r="AE24" s="25"/>
      <c r="AF24" s="25"/>
      <c r="AG24" s="25">
        <f t="shared" si="3"/>
        <v>-179.99571428571429</v>
      </c>
      <c r="AH24" s="29">
        <f t="shared" si="4"/>
        <v>4.2857142857144481E-3</v>
      </c>
    </row>
    <row r="25" spans="1:34" s="30" customFormat="1" ht="22.5" customHeight="1" x14ac:dyDescent="0.2">
      <c r="A25" s="56">
        <v>43165</v>
      </c>
      <c r="B25" s="57"/>
      <c r="C25" s="20" t="s">
        <v>63</v>
      </c>
      <c r="D25" s="20" t="s">
        <v>64</v>
      </c>
      <c r="E25" s="20" t="s">
        <v>65</v>
      </c>
      <c r="F25" s="58">
        <v>99500</v>
      </c>
      <c r="G25" s="59" t="s">
        <v>347</v>
      </c>
      <c r="H25" s="23"/>
      <c r="I25" s="23"/>
      <c r="J25" s="23"/>
      <c r="K25" s="23">
        <v>858</v>
      </c>
      <c r="L25" s="24"/>
      <c r="M25" s="25">
        <f t="shared" si="0"/>
        <v>766.07142857142856</v>
      </c>
      <c r="N25" s="25">
        <f t="shared" si="1"/>
        <v>91.928571428571416</v>
      </c>
      <c r="O25" s="25">
        <f t="shared" si="2"/>
        <v>0</v>
      </c>
      <c r="P25" s="25">
        <v>766.07</v>
      </c>
      <c r="Q25" s="25"/>
      <c r="R25" s="25"/>
      <c r="S25" s="25"/>
      <c r="T25" s="26"/>
      <c r="U25" s="26"/>
      <c r="V25" s="26"/>
      <c r="W25" s="26"/>
      <c r="X25" s="26"/>
      <c r="Y25" s="31"/>
      <c r="Z25" s="25"/>
      <c r="AA25" s="25"/>
      <c r="AB25" s="25"/>
      <c r="AC25" s="25"/>
      <c r="AD25" s="25"/>
      <c r="AE25" s="25"/>
      <c r="AF25" s="25"/>
      <c r="AG25" s="25">
        <f t="shared" si="3"/>
        <v>-857.99857142857149</v>
      </c>
      <c r="AH25" s="29">
        <f t="shared" si="4"/>
        <v>1.4285714285051654E-3</v>
      </c>
    </row>
    <row r="26" spans="1:34" s="30" customFormat="1" ht="22.5" customHeight="1" x14ac:dyDescent="0.2">
      <c r="A26" s="56">
        <v>43165</v>
      </c>
      <c r="B26" s="57"/>
      <c r="C26" s="20" t="s">
        <v>63</v>
      </c>
      <c r="D26" s="20" t="s">
        <v>64</v>
      </c>
      <c r="E26" s="20" t="s">
        <v>65</v>
      </c>
      <c r="F26" s="58">
        <v>65402</v>
      </c>
      <c r="G26" s="59" t="s">
        <v>348</v>
      </c>
      <c r="H26" s="23"/>
      <c r="I26" s="23"/>
      <c r="J26" s="23"/>
      <c r="K26" s="23">
        <v>309.5</v>
      </c>
      <c r="L26" s="24"/>
      <c r="M26" s="25">
        <f t="shared" si="0"/>
        <v>276.33928571428567</v>
      </c>
      <c r="N26" s="25">
        <f t="shared" si="1"/>
        <v>33.160714285714278</v>
      </c>
      <c r="O26" s="25">
        <f t="shared" si="2"/>
        <v>0</v>
      </c>
      <c r="P26" s="25"/>
      <c r="Q26" s="25"/>
      <c r="R26" s="25"/>
      <c r="S26" s="25"/>
      <c r="T26" s="26"/>
      <c r="U26" s="26"/>
      <c r="V26" s="26"/>
      <c r="W26" s="26"/>
      <c r="X26" s="26"/>
      <c r="Y26" s="31">
        <v>276.33999999999997</v>
      </c>
      <c r="Z26" s="25"/>
      <c r="AA26" s="25"/>
      <c r="AB26" s="25"/>
      <c r="AC26" s="25"/>
      <c r="AD26" s="25"/>
      <c r="AE26" s="25"/>
      <c r="AF26" s="25"/>
      <c r="AG26" s="25">
        <f t="shared" si="3"/>
        <v>-309.50071428571425</v>
      </c>
      <c r="AH26" s="29">
        <f t="shared" si="4"/>
        <v>-7.1428571425258269E-4</v>
      </c>
    </row>
    <row r="27" spans="1:34" s="30" customFormat="1" ht="22.5" customHeight="1" x14ac:dyDescent="0.2">
      <c r="A27" s="56">
        <v>43166</v>
      </c>
      <c r="B27" s="57"/>
      <c r="C27" s="20" t="s">
        <v>349</v>
      </c>
      <c r="D27" s="20"/>
      <c r="E27" s="20" t="s">
        <v>56</v>
      </c>
      <c r="F27" s="58">
        <v>3437</v>
      </c>
      <c r="G27" s="59" t="s">
        <v>350</v>
      </c>
      <c r="H27" s="23"/>
      <c r="I27" s="23"/>
      <c r="J27" s="23"/>
      <c r="K27" s="23">
        <v>300</v>
      </c>
      <c r="L27" s="24"/>
      <c r="M27" s="25">
        <f t="shared" si="0"/>
        <v>267.85714285714283</v>
      </c>
      <c r="N27" s="25">
        <f t="shared" si="1"/>
        <v>32.142857142857139</v>
      </c>
      <c r="O27" s="25">
        <f t="shared" si="2"/>
        <v>0</v>
      </c>
      <c r="P27" s="25"/>
      <c r="Q27" s="25"/>
      <c r="R27" s="25"/>
      <c r="S27" s="25"/>
      <c r="T27" s="26"/>
      <c r="U27" s="26"/>
      <c r="V27" s="26"/>
      <c r="W27" s="26"/>
      <c r="X27" s="26"/>
      <c r="Y27" s="31"/>
      <c r="Z27" s="25">
        <v>267.86</v>
      </c>
      <c r="AA27" s="25"/>
      <c r="AB27" s="25"/>
      <c r="AC27" s="25"/>
      <c r="AD27" s="25"/>
      <c r="AE27" s="25"/>
      <c r="AF27" s="25"/>
      <c r="AG27" s="25">
        <f t="shared" si="3"/>
        <v>-300.00285714285712</v>
      </c>
      <c r="AH27" s="29">
        <f t="shared" si="4"/>
        <v>-2.8571428571240176E-3</v>
      </c>
    </row>
    <row r="28" spans="1:34" s="30" customFormat="1" ht="22.5" customHeight="1" x14ac:dyDescent="0.2">
      <c r="A28" s="56">
        <v>43166</v>
      </c>
      <c r="B28" s="57"/>
      <c r="C28" s="20" t="s">
        <v>351</v>
      </c>
      <c r="D28" s="20"/>
      <c r="E28" s="20"/>
      <c r="F28" s="58"/>
      <c r="G28" s="59" t="s">
        <v>352</v>
      </c>
      <c r="H28" s="23">
        <v>25</v>
      </c>
      <c r="I28" s="23"/>
      <c r="J28" s="23"/>
      <c r="K28" s="23"/>
      <c r="L28" s="24"/>
      <c r="M28" s="25">
        <f t="shared" si="0"/>
        <v>25</v>
      </c>
      <c r="N28" s="25">
        <f t="shared" si="1"/>
        <v>0</v>
      </c>
      <c r="O28" s="25">
        <f t="shared" si="2"/>
        <v>0</v>
      </c>
      <c r="P28" s="25"/>
      <c r="Q28" s="25"/>
      <c r="R28" s="25"/>
      <c r="S28" s="25"/>
      <c r="T28" s="26"/>
      <c r="U28" s="26"/>
      <c r="V28" s="26"/>
      <c r="W28" s="26"/>
      <c r="X28" s="26"/>
      <c r="Y28" s="31"/>
      <c r="Z28" s="25"/>
      <c r="AA28" s="25">
        <v>25</v>
      </c>
      <c r="AB28" s="25"/>
      <c r="AC28" s="25"/>
      <c r="AD28" s="25"/>
      <c r="AE28" s="25"/>
      <c r="AF28" s="25"/>
      <c r="AG28" s="25">
        <f t="shared" si="3"/>
        <v>-25</v>
      </c>
      <c r="AH28" s="29">
        <f t="shared" si="4"/>
        <v>0</v>
      </c>
    </row>
    <row r="29" spans="1:34" s="30" customFormat="1" ht="22.5" customHeight="1" x14ac:dyDescent="0.2">
      <c r="A29" s="56">
        <v>43167</v>
      </c>
      <c r="B29" s="57"/>
      <c r="C29" s="20" t="s">
        <v>353</v>
      </c>
      <c r="D29" s="20" t="s">
        <v>354</v>
      </c>
      <c r="E29" s="20" t="s">
        <v>65</v>
      </c>
      <c r="F29" s="58">
        <v>1052921</v>
      </c>
      <c r="G29" s="59" t="s">
        <v>355</v>
      </c>
      <c r="H29" s="23"/>
      <c r="I29" s="23"/>
      <c r="J29" s="23"/>
      <c r="K29" s="23">
        <v>269.25</v>
      </c>
      <c r="L29" s="24"/>
      <c r="M29" s="25">
        <f t="shared" si="0"/>
        <v>240.40178571428569</v>
      </c>
      <c r="N29" s="25">
        <f t="shared" si="1"/>
        <v>28.848214285714281</v>
      </c>
      <c r="O29" s="25">
        <f t="shared" si="2"/>
        <v>0</v>
      </c>
      <c r="P29" s="25"/>
      <c r="Q29" s="25"/>
      <c r="R29" s="25">
        <v>240.4</v>
      </c>
      <c r="S29" s="25"/>
      <c r="T29" s="26"/>
      <c r="U29" s="26"/>
      <c r="V29" s="26"/>
      <c r="W29" s="26"/>
      <c r="X29" s="26"/>
      <c r="Y29" s="31"/>
      <c r="Z29" s="25"/>
      <c r="AA29" s="25"/>
      <c r="AB29" s="25"/>
      <c r="AC29" s="25"/>
      <c r="AD29" s="25"/>
      <c r="AE29" s="25"/>
      <c r="AF29" s="25"/>
      <c r="AG29" s="25">
        <f t="shared" si="3"/>
        <v>-269.24821428571431</v>
      </c>
      <c r="AH29" s="29">
        <f t="shared" si="4"/>
        <v>1.7857142856883002E-3</v>
      </c>
    </row>
    <row r="30" spans="1:34" s="30" customFormat="1" ht="22.5" customHeight="1" x14ac:dyDescent="0.2">
      <c r="A30" s="56">
        <v>43167</v>
      </c>
      <c r="B30" s="57"/>
      <c r="C30" s="20" t="s">
        <v>353</v>
      </c>
      <c r="D30" s="20" t="s">
        <v>354</v>
      </c>
      <c r="E30" s="20" t="s">
        <v>65</v>
      </c>
      <c r="F30" s="58">
        <v>1052921</v>
      </c>
      <c r="G30" s="59" t="s">
        <v>356</v>
      </c>
      <c r="H30" s="23"/>
      <c r="I30" s="23"/>
      <c r="J30" s="23"/>
      <c r="K30" s="23">
        <v>182.25</v>
      </c>
      <c r="L30" s="24"/>
      <c r="M30" s="25">
        <f t="shared" si="0"/>
        <v>162.72321428571428</v>
      </c>
      <c r="N30" s="25">
        <f t="shared" si="1"/>
        <v>19.526785714285712</v>
      </c>
      <c r="O30" s="25">
        <f t="shared" si="2"/>
        <v>0</v>
      </c>
      <c r="P30" s="25"/>
      <c r="Q30" s="25"/>
      <c r="R30" s="25"/>
      <c r="S30" s="25"/>
      <c r="T30" s="26"/>
      <c r="U30" s="26"/>
      <c r="V30" s="26"/>
      <c r="W30" s="26"/>
      <c r="X30" s="26"/>
      <c r="Y30" s="31">
        <v>162.72</v>
      </c>
      <c r="Z30" s="25"/>
      <c r="AA30" s="25"/>
      <c r="AB30" s="25"/>
      <c r="AC30" s="25"/>
      <c r="AD30" s="25"/>
      <c r="AE30" s="25"/>
      <c r="AF30" s="25"/>
      <c r="AG30" s="25">
        <f t="shared" si="3"/>
        <v>-182.24678571428572</v>
      </c>
      <c r="AH30" s="29">
        <f t="shared" si="4"/>
        <v>3.2142857142787307E-3</v>
      </c>
    </row>
    <row r="31" spans="1:34" s="30" customFormat="1" ht="22.5" customHeight="1" x14ac:dyDescent="0.2">
      <c r="A31" s="56">
        <v>43167</v>
      </c>
      <c r="B31" s="57"/>
      <c r="C31" s="20" t="s">
        <v>68</v>
      </c>
      <c r="D31" s="20"/>
      <c r="E31" s="20"/>
      <c r="F31" s="58"/>
      <c r="G31" s="59" t="s">
        <v>357</v>
      </c>
      <c r="H31" s="23">
        <v>40</v>
      </c>
      <c r="I31" s="23"/>
      <c r="J31" s="23"/>
      <c r="K31" s="23"/>
      <c r="L31" s="24"/>
      <c r="M31" s="25">
        <f t="shared" si="0"/>
        <v>40</v>
      </c>
      <c r="N31" s="25">
        <f t="shared" si="1"/>
        <v>0</v>
      </c>
      <c r="O31" s="25">
        <f t="shared" si="2"/>
        <v>0</v>
      </c>
      <c r="P31" s="25"/>
      <c r="Q31" s="25"/>
      <c r="R31" s="25"/>
      <c r="S31" s="25"/>
      <c r="T31" s="26"/>
      <c r="U31" s="26"/>
      <c r="V31" s="26"/>
      <c r="W31" s="26"/>
      <c r="X31" s="26"/>
      <c r="Y31" s="31"/>
      <c r="Z31" s="25"/>
      <c r="AA31" s="25">
        <v>40</v>
      </c>
      <c r="AB31" s="25"/>
      <c r="AC31" s="25"/>
      <c r="AD31" s="25"/>
      <c r="AE31" s="25"/>
      <c r="AF31" s="25"/>
      <c r="AG31" s="25">
        <f t="shared" si="3"/>
        <v>-40</v>
      </c>
      <c r="AH31" s="29">
        <f t="shared" si="4"/>
        <v>0</v>
      </c>
    </row>
    <row r="32" spans="1:34" s="30" customFormat="1" ht="22.5" customHeight="1" x14ac:dyDescent="0.2">
      <c r="A32" s="60">
        <v>43167</v>
      </c>
      <c r="B32" s="61"/>
      <c r="C32" s="36" t="s">
        <v>358</v>
      </c>
      <c r="D32" s="36" t="s">
        <v>359</v>
      </c>
      <c r="E32" s="36" t="s">
        <v>360</v>
      </c>
      <c r="F32" s="62">
        <v>361466</v>
      </c>
      <c r="G32" s="63" t="s">
        <v>361</v>
      </c>
      <c r="H32" s="39"/>
      <c r="I32" s="39"/>
      <c r="J32" s="39"/>
      <c r="K32" s="39">
        <v>384.01</v>
      </c>
      <c r="L32" s="40"/>
      <c r="M32" s="41">
        <f t="shared" si="0"/>
        <v>342.86607142857139</v>
      </c>
      <c r="N32" s="41">
        <f t="shared" si="1"/>
        <v>41.143928571428567</v>
      </c>
      <c r="O32" s="41">
        <f t="shared" si="2"/>
        <v>0</v>
      </c>
      <c r="P32" s="41"/>
      <c r="Q32" s="41"/>
      <c r="R32" s="41"/>
      <c r="S32" s="41"/>
      <c r="T32" s="42"/>
      <c r="U32" s="42"/>
      <c r="V32" s="42"/>
      <c r="W32" s="42"/>
      <c r="X32" s="42"/>
      <c r="Y32" s="41">
        <v>342.87</v>
      </c>
      <c r="Z32" s="41"/>
      <c r="AA32" s="41"/>
      <c r="AB32" s="41"/>
      <c r="AC32" s="41"/>
      <c r="AD32" s="41"/>
      <c r="AE32" s="41"/>
      <c r="AF32" s="41"/>
      <c r="AG32" s="41">
        <f t="shared" si="3"/>
        <v>-384.01392857142855</v>
      </c>
      <c r="AH32" s="45">
        <f t="shared" si="4"/>
        <v>-3.9285714285597351E-3</v>
      </c>
    </row>
    <row r="33" spans="1:34" s="30" customFormat="1" ht="19.5" customHeight="1" x14ac:dyDescent="0.2">
      <c r="A33" s="56">
        <v>43170</v>
      </c>
      <c r="B33" s="57"/>
      <c r="C33" s="20" t="s">
        <v>96</v>
      </c>
      <c r="D33" s="20"/>
      <c r="E33" s="20"/>
      <c r="F33" s="58"/>
      <c r="G33" s="59" t="s">
        <v>362</v>
      </c>
      <c r="H33" s="23">
        <v>100</v>
      </c>
      <c r="I33" s="23"/>
      <c r="J33" s="23"/>
      <c r="K33" s="23"/>
      <c r="L33" s="24"/>
      <c r="M33" s="25">
        <f t="shared" si="0"/>
        <v>100</v>
      </c>
      <c r="N33" s="25">
        <f t="shared" si="1"/>
        <v>0</v>
      </c>
      <c r="O33" s="25">
        <f t="shared" si="2"/>
        <v>0</v>
      </c>
      <c r="P33" s="25"/>
      <c r="Q33" s="25"/>
      <c r="R33" s="25"/>
      <c r="S33" s="25"/>
      <c r="T33" s="26"/>
      <c r="U33" s="26"/>
      <c r="V33" s="26"/>
      <c r="W33" s="26"/>
      <c r="X33" s="26"/>
      <c r="Y33" s="31"/>
      <c r="Z33" s="25"/>
      <c r="AA33" s="25">
        <v>100</v>
      </c>
      <c r="AB33" s="25"/>
      <c r="AC33" s="25"/>
      <c r="AD33" s="25"/>
      <c r="AE33" s="25"/>
      <c r="AF33" s="25"/>
      <c r="AG33" s="25">
        <f t="shared" si="3"/>
        <v>-100</v>
      </c>
      <c r="AH33" s="29">
        <f t="shared" si="4"/>
        <v>0</v>
      </c>
    </row>
    <row r="34" spans="1:34" s="30" customFormat="1" ht="19.5" customHeight="1" x14ac:dyDescent="0.2">
      <c r="A34" s="56">
        <v>43171</v>
      </c>
      <c r="B34" s="57"/>
      <c r="C34" s="20" t="s">
        <v>104</v>
      </c>
      <c r="D34" s="20" t="s">
        <v>105</v>
      </c>
      <c r="E34" s="20" t="s">
        <v>106</v>
      </c>
      <c r="F34" s="58">
        <v>87415</v>
      </c>
      <c r="G34" s="59" t="s">
        <v>363</v>
      </c>
      <c r="H34" s="23"/>
      <c r="I34" s="23"/>
      <c r="J34" s="23"/>
      <c r="K34" s="23">
        <v>1257.3699999999999</v>
      </c>
      <c r="L34" s="24">
        <v>0.01</v>
      </c>
      <c r="M34" s="25">
        <f t="shared" si="0"/>
        <v>1122.6517857142856</v>
      </c>
      <c r="N34" s="25">
        <f t="shared" si="1"/>
        <v>134.71821428571425</v>
      </c>
      <c r="O34" s="25">
        <f t="shared" si="2"/>
        <v>-11.226517857142856</v>
      </c>
      <c r="P34" s="25">
        <v>1122.6500000000001</v>
      </c>
      <c r="Q34" s="25"/>
      <c r="R34" s="25"/>
      <c r="S34" s="25"/>
      <c r="T34" s="26"/>
      <c r="U34" s="26"/>
      <c r="V34" s="26"/>
      <c r="W34" s="26"/>
      <c r="X34" s="26"/>
      <c r="Y34" s="31"/>
      <c r="Z34" s="25"/>
      <c r="AA34" s="25"/>
      <c r="AB34" s="25"/>
      <c r="AC34" s="25"/>
      <c r="AD34" s="25"/>
      <c r="AE34" s="25"/>
      <c r="AF34" s="25"/>
      <c r="AG34" s="25">
        <f t="shared" si="3"/>
        <v>-1246.1416964285715</v>
      </c>
      <c r="AH34" s="29">
        <f t="shared" si="4"/>
        <v>1.7857142854857955E-3</v>
      </c>
    </row>
    <row r="35" spans="1:34" s="30" customFormat="1" ht="19.5" customHeight="1" x14ac:dyDescent="0.2">
      <c r="A35" s="56">
        <v>43171</v>
      </c>
      <c r="B35" s="57"/>
      <c r="C35" s="20" t="s">
        <v>68</v>
      </c>
      <c r="D35" s="20"/>
      <c r="E35" s="20"/>
      <c r="F35" s="58"/>
      <c r="G35" s="59" t="s">
        <v>364</v>
      </c>
      <c r="H35" s="23">
        <v>40</v>
      </c>
      <c r="I35" s="23"/>
      <c r="J35" s="23"/>
      <c r="K35" s="23"/>
      <c r="L35" s="24"/>
      <c r="M35" s="25">
        <f t="shared" si="0"/>
        <v>40</v>
      </c>
      <c r="N35" s="25">
        <f t="shared" si="1"/>
        <v>0</v>
      </c>
      <c r="O35" s="25">
        <f t="shared" si="2"/>
        <v>0</v>
      </c>
      <c r="P35" s="25"/>
      <c r="Q35" s="25"/>
      <c r="R35" s="25"/>
      <c r="S35" s="25"/>
      <c r="T35" s="26"/>
      <c r="U35" s="26"/>
      <c r="V35" s="26"/>
      <c r="W35" s="26"/>
      <c r="X35" s="26"/>
      <c r="Y35" s="31"/>
      <c r="Z35" s="25"/>
      <c r="AA35" s="25">
        <v>40</v>
      </c>
      <c r="AB35" s="25"/>
      <c r="AC35" s="25"/>
      <c r="AD35" s="25"/>
      <c r="AE35" s="25"/>
      <c r="AF35" s="25"/>
      <c r="AG35" s="25">
        <f t="shared" si="3"/>
        <v>-40</v>
      </c>
      <c r="AH35" s="29">
        <f t="shared" si="4"/>
        <v>0</v>
      </c>
    </row>
    <row r="36" spans="1:34" s="30" customFormat="1" ht="21.75" customHeight="1" x14ac:dyDescent="0.2">
      <c r="A36" s="56">
        <v>43171</v>
      </c>
      <c r="B36" s="57"/>
      <c r="C36" s="20" t="s">
        <v>63</v>
      </c>
      <c r="D36" s="20" t="s">
        <v>64</v>
      </c>
      <c r="E36" s="20" t="s">
        <v>65</v>
      </c>
      <c r="F36" s="58">
        <v>40548</v>
      </c>
      <c r="G36" s="59" t="s">
        <v>365</v>
      </c>
      <c r="H36" s="23"/>
      <c r="I36" s="23"/>
      <c r="J36" s="23"/>
      <c r="K36" s="23">
        <v>696.5</v>
      </c>
      <c r="L36" s="24"/>
      <c r="M36" s="25">
        <f t="shared" si="0"/>
        <v>621.87499999999989</v>
      </c>
      <c r="N36" s="25">
        <f t="shared" si="1"/>
        <v>74.624999999999986</v>
      </c>
      <c r="O36" s="25">
        <f t="shared" si="2"/>
        <v>0</v>
      </c>
      <c r="P36" s="25"/>
      <c r="Q36" s="25"/>
      <c r="R36" s="25"/>
      <c r="S36" s="25"/>
      <c r="T36" s="26"/>
      <c r="U36" s="26"/>
      <c r="V36" s="26"/>
      <c r="W36" s="26"/>
      <c r="X36" s="26">
        <v>621.88</v>
      </c>
      <c r="Y36" s="31"/>
      <c r="Z36" s="25"/>
      <c r="AA36" s="25"/>
      <c r="AB36" s="25"/>
      <c r="AC36" s="25"/>
      <c r="AD36" s="25"/>
      <c r="AE36" s="25"/>
      <c r="AF36" s="25"/>
      <c r="AG36" s="25">
        <f t="shared" si="3"/>
        <v>-696.505</v>
      </c>
      <c r="AH36" s="29">
        <f t="shared" si="4"/>
        <v>-4.9999999999954525E-3</v>
      </c>
    </row>
    <row r="37" spans="1:34" s="30" customFormat="1" ht="19.5" customHeight="1" x14ac:dyDescent="0.2">
      <c r="A37" s="56">
        <v>43171</v>
      </c>
      <c r="B37" s="57"/>
      <c r="C37" s="20" t="s">
        <v>366</v>
      </c>
      <c r="D37" s="20" t="s">
        <v>367</v>
      </c>
      <c r="E37" s="20" t="s">
        <v>368</v>
      </c>
      <c r="F37" s="58">
        <v>231299</v>
      </c>
      <c r="G37" s="59" t="s">
        <v>369</v>
      </c>
      <c r="H37" s="23"/>
      <c r="I37" s="23"/>
      <c r="J37" s="23"/>
      <c r="K37" s="23">
        <v>850</v>
      </c>
      <c r="L37" s="24"/>
      <c r="M37" s="25">
        <f t="shared" ref="M37:M58" si="5">SUM(H37:J37,K37/1.12)</f>
        <v>758.92857142857133</v>
      </c>
      <c r="N37" s="25">
        <f t="shared" ref="N37:N58" si="6">K37/1.12*0.12</f>
        <v>91.071428571428555</v>
      </c>
      <c r="O37" s="25">
        <f t="shared" ref="O37:O58" si="7">-SUM(I37:J37,K37/1.12)*L37</f>
        <v>0</v>
      </c>
      <c r="P37" s="25"/>
      <c r="Q37" s="25"/>
      <c r="R37" s="25"/>
      <c r="S37" s="25"/>
      <c r="T37" s="26"/>
      <c r="U37" s="26"/>
      <c r="V37" s="26"/>
      <c r="W37" s="26"/>
      <c r="X37" s="26">
        <v>758.93</v>
      </c>
      <c r="Y37" s="31"/>
      <c r="Z37" s="25"/>
      <c r="AA37" s="25"/>
      <c r="AB37" s="25"/>
      <c r="AC37" s="25"/>
      <c r="AD37" s="25"/>
      <c r="AE37" s="25"/>
      <c r="AF37" s="25"/>
      <c r="AG37" s="25">
        <f t="shared" ref="AG37:AG58" si="8">-SUM(N37:AF37)</f>
        <v>-850.00142857142851</v>
      </c>
      <c r="AH37" s="29">
        <f t="shared" ref="AH37:AH58" si="9">SUM(H37:K37)+AG37+O37</f>
        <v>-1.4285714285051654E-3</v>
      </c>
    </row>
    <row r="38" spans="1:34" s="30" customFormat="1" ht="22.5" customHeight="1" x14ac:dyDescent="0.2">
      <c r="A38" s="56">
        <v>43172</v>
      </c>
      <c r="B38" s="57"/>
      <c r="C38" s="20" t="s">
        <v>276</v>
      </c>
      <c r="D38" s="20" t="s">
        <v>52</v>
      </c>
      <c r="E38" s="20" t="s">
        <v>277</v>
      </c>
      <c r="F38" s="58">
        <v>28633</v>
      </c>
      <c r="G38" s="59" t="s">
        <v>370</v>
      </c>
      <c r="H38" s="23"/>
      <c r="I38" s="23"/>
      <c r="J38" s="23"/>
      <c r="K38" s="23">
        <v>119</v>
      </c>
      <c r="L38" s="24"/>
      <c r="M38" s="25">
        <f t="shared" si="5"/>
        <v>106.24999999999999</v>
      </c>
      <c r="N38" s="25">
        <f t="shared" si="6"/>
        <v>12.749999999999998</v>
      </c>
      <c r="O38" s="25">
        <f t="shared" si="7"/>
        <v>0</v>
      </c>
      <c r="P38" s="25"/>
      <c r="Q38" s="25"/>
      <c r="R38" s="25">
        <v>106.25</v>
      </c>
      <c r="S38" s="25"/>
      <c r="T38" s="26"/>
      <c r="U38" s="26"/>
      <c r="V38" s="26"/>
      <c r="W38" s="26"/>
      <c r="X38" s="26"/>
      <c r="Y38" s="31"/>
      <c r="Z38" s="25"/>
      <c r="AA38" s="25"/>
      <c r="AB38" s="25"/>
      <c r="AC38" s="25"/>
      <c r="AD38" s="25"/>
      <c r="AE38" s="25"/>
      <c r="AF38" s="25"/>
      <c r="AG38" s="25">
        <f t="shared" si="8"/>
        <v>-119</v>
      </c>
      <c r="AH38" s="29">
        <f t="shared" si="9"/>
        <v>0</v>
      </c>
    </row>
    <row r="39" spans="1:34" s="30" customFormat="1" ht="22.5" customHeight="1" x14ac:dyDescent="0.2">
      <c r="A39" s="56">
        <v>43172</v>
      </c>
      <c r="B39" s="57"/>
      <c r="C39" s="20" t="s">
        <v>63</v>
      </c>
      <c r="D39" s="20" t="s">
        <v>64</v>
      </c>
      <c r="E39" s="20" t="s">
        <v>65</v>
      </c>
      <c r="F39" s="58">
        <v>66396</v>
      </c>
      <c r="G39" s="59" t="s">
        <v>371</v>
      </c>
      <c r="H39" s="23"/>
      <c r="I39" s="23"/>
      <c r="J39" s="23"/>
      <c r="K39" s="23">
        <v>179.75</v>
      </c>
      <c r="L39" s="24"/>
      <c r="M39" s="25">
        <f t="shared" si="5"/>
        <v>160.49107142857142</v>
      </c>
      <c r="N39" s="25">
        <f t="shared" si="6"/>
        <v>19.258928571428569</v>
      </c>
      <c r="O39" s="25">
        <f t="shared" si="7"/>
        <v>0</v>
      </c>
      <c r="P39" s="25">
        <v>160.49</v>
      </c>
      <c r="Q39" s="25"/>
      <c r="R39" s="25"/>
      <c r="S39" s="25"/>
      <c r="T39" s="26"/>
      <c r="U39" s="26"/>
      <c r="V39" s="26"/>
      <c r="W39" s="26"/>
      <c r="X39" s="26"/>
      <c r="Y39" s="31"/>
      <c r="Z39" s="25"/>
      <c r="AA39" s="25"/>
      <c r="AB39" s="25"/>
      <c r="AC39" s="25"/>
      <c r="AD39" s="25"/>
      <c r="AE39" s="25"/>
      <c r="AF39" s="25"/>
      <c r="AG39" s="25">
        <f t="shared" si="8"/>
        <v>-179.74892857142856</v>
      </c>
      <c r="AH39" s="29">
        <f t="shared" si="9"/>
        <v>1.0714285714357175E-3</v>
      </c>
    </row>
    <row r="40" spans="1:34" s="30" customFormat="1" ht="22.5" customHeight="1" x14ac:dyDescent="0.2">
      <c r="A40" s="56">
        <v>43172</v>
      </c>
      <c r="B40" s="57"/>
      <c r="C40" s="20" t="s">
        <v>63</v>
      </c>
      <c r="D40" s="20" t="s">
        <v>64</v>
      </c>
      <c r="E40" s="20" t="s">
        <v>65</v>
      </c>
      <c r="F40" s="58">
        <v>74494</v>
      </c>
      <c r="G40" s="59" t="s">
        <v>372</v>
      </c>
      <c r="H40" s="23"/>
      <c r="I40" s="23"/>
      <c r="J40" s="23"/>
      <c r="K40" s="23">
        <v>159.6</v>
      </c>
      <c r="L40" s="24">
        <v>0.01</v>
      </c>
      <c r="M40" s="25">
        <f t="shared" si="5"/>
        <v>142.49999999999997</v>
      </c>
      <c r="N40" s="25">
        <f t="shared" si="6"/>
        <v>17.099999999999994</v>
      </c>
      <c r="O40" s="25">
        <f t="shared" si="7"/>
        <v>-1.4249999999999998</v>
      </c>
      <c r="P40" s="25"/>
      <c r="Q40" s="25"/>
      <c r="R40" s="25"/>
      <c r="S40" s="25">
        <v>142.5</v>
      </c>
      <c r="T40" s="26"/>
      <c r="U40" s="26"/>
      <c r="V40" s="26"/>
      <c r="W40" s="26"/>
      <c r="X40" s="26"/>
      <c r="Y40" s="31"/>
      <c r="Z40" s="25"/>
      <c r="AA40" s="25"/>
      <c r="AB40" s="25"/>
      <c r="AC40" s="25"/>
      <c r="AD40" s="25"/>
      <c r="AE40" s="25"/>
      <c r="AF40" s="25"/>
      <c r="AG40" s="25">
        <f t="shared" si="8"/>
        <v>-158.17499999999998</v>
      </c>
      <c r="AH40" s="29">
        <f t="shared" si="9"/>
        <v>1.1546319456101628E-14</v>
      </c>
    </row>
    <row r="41" spans="1:34" s="30" customFormat="1" ht="22.5" customHeight="1" x14ac:dyDescent="0.2">
      <c r="A41" s="56">
        <v>43172</v>
      </c>
      <c r="B41" s="57"/>
      <c r="C41" s="20" t="s">
        <v>63</v>
      </c>
      <c r="D41" s="20" t="s">
        <v>64</v>
      </c>
      <c r="E41" s="20" t="s">
        <v>65</v>
      </c>
      <c r="F41" s="58">
        <v>74494</v>
      </c>
      <c r="G41" s="59" t="s">
        <v>370</v>
      </c>
      <c r="H41" s="23"/>
      <c r="I41" s="23"/>
      <c r="J41" s="23"/>
      <c r="K41" s="23">
        <v>95</v>
      </c>
      <c r="L41" s="24">
        <v>0.01</v>
      </c>
      <c r="M41" s="25">
        <f t="shared" si="5"/>
        <v>84.821428571428569</v>
      </c>
      <c r="N41" s="25">
        <f t="shared" si="6"/>
        <v>10.178571428571429</v>
      </c>
      <c r="O41" s="25">
        <f t="shared" si="7"/>
        <v>-0.8482142857142857</v>
      </c>
      <c r="P41" s="25"/>
      <c r="Q41" s="25"/>
      <c r="R41" s="25">
        <v>84.82</v>
      </c>
      <c r="S41" s="25"/>
      <c r="T41" s="26"/>
      <c r="U41" s="26"/>
      <c r="V41" s="26"/>
      <c r="W41" s="26"/>
      <c r="X41" s="26"/>
      <c r="Y41" s="31"/>
      <c r="Z41" s="25"/>
      <c r="AA41" s="25"/>
      <c r="AB41" s="25"/>
      <c r="AC41" s="25"/>
      <c r="AD41" s="25"/>
      <c r="AE41" s="25"/>
      <c r="AF41" s="25"/>
      <c r="AG41" s="25">
        <f t="shared" si="8"/>
        <v>-94.150357142857132</v>
      </c>
      <c r="AH41" s="29">
        <f t="shared" si="9"/>
        <v>1.4285714285823259E-3</v>
      </c>
    </row>
    <row r="42" spans="1:34" s="30" customFormat="1" ht="22.5" customHeight="1" x14ac:dyDescent="0.2">
      <c r="A42" s="56">
        <v>43172</v>
      </c>
      <c r="B42" s="57"/>
      <c r="C42" s="20" t="s">
        <v>63</v>
      </c>
      <c r="D42" s="20" t="s">
        <v>64</v>
      </c>
      <c r="E42" s="20" t="s">
        <v>65</v>
      </c>
      <c r="F42" s="58">
        <v>74494</v>
      </c>
      <c r="G42" s="59" t="s">
        <v>373</v>
      </c>
      <c r="H42" s="23"/>
      <c r="I42" s="23"/>
      <c r="J42" s="23"/>
      <c r="K42" s="23">
        <v>1803.05</v>
      </c>
      <c r="L42" s="24">
        <v>0.01</v>
      </c>
      <c r="M42" s="25">
        <f t="shared" si="5"/>
        <v>1609.8660714285713</v>
      </c>
      <c r="N42" s="25">
        <f t="shared" si="6"/>
        <v>193.18392857142857</v>
      </c>
      <c r="O42" s="25">
        <f t="shared" si="7"/>
        <v>-16.098660714285714</v>
      </c>
      <c r="P42" s="25">
        <v>1609.87</v>
      </c>
      <c r="Q42" s="25"/>
      <c r="R42" s="25"/>
      <c r="S42" s="25"/>
      <c r="T42" s="26"/>
      <c r="U42" s="26"/>
      <c r="V42" s="26"/>
      <c r="W42" s="26"/>
      <c r="X42" s="26"/>
      <c r="Y42" s="31"/>
      <c r="Z42" s="25"/>
      <c r="AA42" s="25"/>
      <c r="AB42" s="25"/>
      <c r="AC42" s="25"/>
      <c r="AD42" s="25"/>
      <c r="AE42" s="25"/>
      <c r="AF42" s="25"/>
      <c r="AG42" s="25">
        <f t="shared" si="8"/>
        <v>-1786.9552678571426</v>
      </c>
      <c r="AH42" s="29">
        <f t="shared" si="9"/>
        <v>-3.9285714284034157E-3</v>
      </c>
    </row>
    <row r="43" spans="1:34" s="30" customFormat="1" ht="22.5" customHeight="1" x14ac:dyDescent="0.2">
      <c r="A43" s="56">
        <v>43172</v>
      </c>
      <c r="B43" s="57"/>
      <c r="C43" s="20" t="s">
        <v>63</v>
      </c>
      <c r="D43" s="20" t="s">
        <v>64</v>
      </c>
      <c r="E43" s="20" t="s">
        <v>65</v>
      </c>
      <c r="F43" s="58">
        <v>74494</v>
      </c>
      <c r="G43" s="59" t="s">
        <v>374</v>
      </c>
      <c r="H43" s="23"/>
      <c r="I43" s="23"/>
      <c r="J43" s="23">
        <v>944.45</v>
      </c>
      <c r="K43" s="23"/>
      <c r="L43" s="24">
        <v>0.01</v>
      </c>
      <c r="M43" s="25">
        <f t="shared" si="5"/>
        <v>944.45</v>
      </c>
      <c r="N43" s="25">
        <f t="shared" si="6"/>
        <v>0</v>
      </c>
      <c r="O43" s="25">
        <f t="shared" si="7"/>
        <v>-9.4445000000000014</v>
      </c>
      <c r="P43" s="25">
        <v>944.45</v>
      </c>
      <c r="Q43" s="25"/>
      <c r="R43" s="25"/>
      <c r="S43" s="25"/>
      <c r="T43" s="26"/>
      <c r="U43" s="26"/>
      <c r="V43" s="26"/>
      <c r="W43" s="26"/>
      <c r="X43" s="26"/>
      <c r="Y43" s="31"/>
      <c r="Z43" s="25"/>
      <c r="AA43" s="25"/>
      <c r="AB43" s="25"/>
      <c r="AC43" s="25"/>
      <c r="AD43" s="25"/>
      <c r="AE43" s="25"/>
      <c r="AF43" s="25"/>
      <c r="AG43" s="25">
        <f t="shared" si="8"/>
        <v>-935.0055000000001</v>
      </c>
      <c r="AH43" s="29">
        <f t="shared" si="9"/>
        <v>-5.3290705182007514E-14</v>
      </c>
    </row>
    <row r="44" spans="1:34" s="30" customFormat="1" ht="22.5" customHeight="1" x14ac:dyDescent="0.2">
      <c r="A44" s="56">
        <v>43174</v>
      </c>
      <c r="B44" s="57"/>
      <c r="C44" s="20" t="s">
        <v>41</v>
      </c>
      <c r="D44" s="20" t="s">
        <v>88</v>
      </c>
      <c r="E44" s="20" t="s">
        <v>43</v>
      </c>
      <c r="F44" s="58">
        <v>2336</v>
      </c>
      <c r="G44" s="59" t="s">
        <v>172</v>
      </c>
      <c r="H44" s="23"/>
      <c r="I44" s="23"/>
      <c r="J44" s="23">
        <v>1050</v>
      </c>
      <c r="K44" s="23"/>
      <c r="L44" s="24"/>
      <c r="M44" s="25">
        <f t="shared" si="5"/>
        <v>1050</v>
      </c>
      <c r="N44" s="25">
        <f t="shared" si="6"/>
        <v>0</v>
      </c>
      <c r="O44" s="25">
        <f t="shared" si="7"/>
        <v>0</v>
      </c>
      <c r="P44" s="25">
        <v>1050</v>
      </c>
      <c r="Q44" s="25"/>
      <c r="R44" s="25"/>
      <c r="S44" s="25"/>
      <c r="T44" s="26"/>
      <c r="U44" s="26"/>
      <c r="V44" s="26"/>
      <c r="W44" s="26"/>
      <c r="X44" s="26"/>
      <c r="Y44" s="31"/>
      <c r="Z44" s="25"/>
      <c r="AA44" s="25"/>
      <c r="AB44" s="25"/>
      <c r="AC44" s="25"/>
      <c r="AD44" s="25"/>
      <c r="AE44" s="25"/>
      <c r="AF44" s="25"/>
      <c r="AG44" s="25">
        <f t="shared" si="8"/>
        <v>-1050</v>
      </c>
      <c r="AH44" s="29">
        <f t="shared" si="9"/>
        <v>0</v>
      </c>
    </row>
    <row r="45" spans="1:34" s="30" customFormat="1" ht="22.5" customHeight="1" x14ac:dyDescent="0.2">
      <c r="A45" s="56">
        <v>43174</v>
      </c>
      <c r="B45" s="57"/>
      <c r="C45" s="20" t="s">
        <v>294</v>
      </c>
      <c r="D45" s="20" t="s">
        <v>295</v>
      </c>
      <c r="E45" s="20" t="s">
        <v>43</v>
      </c>
      <c r="F45" s="58">
        <v>12695</v>
      </c>
      <c r="G45" s="59" t="s">
        <v>336</v>
      </c>
      <c r="H45" s="23"/>
      <c r="I45" s="23"/>
      <c r="J45" s="23">
        <v>440</v>
      </c>
      <c r="K45" s="23"/>
      <c r="L45" s="24"/>
      <c r="M45" s="25">
        <f t="shared" si="5"/>
        <v>440</v>
      </c>
      <c r="N45" s="25">
        <f t="shared" si="6"/>
        <v>0</v>
      </c>
      <c r="O45" s="25">
        <f t="shared" si="7"/>
        <v>0</v>
      </c>
      <c r="P45" s="25">
        <v>440</v>
      </c>
      <c r="Q45" s="25"/>
      <c r="R45" s="25"/>
      <c r="S45" s="25"/>
      <c r="T45" s="26"/>
      <c r="U45" s="26"/>
      <c r="V45" s="26"/>
      <c r="W45" s="26"/>
      <c r="X45" s="26"/>
      <c r="Y45" s="31"/>
      <c r="Z45" s="25"/>
      <c r="AA45" s="25"/>
      <c r="AB45" s="25"/>
      <c r="AC45" s="25"/>
      <c r="AD45" s="25"/>
      <c r="AE45" s="25"/>
      <c r="AF45" s="25"/>
      <c r="AG45" s="25">
        <f t="shared" si="8"/>
        <v>-440</v>
      </c>
      <c r="AH45" s="29">
        <f t="shared" si="9"/>
        <v>0</v>
      </c>
    </row>
    <row r="46" spans="1:34" s="46" customFormat="1" ht="21.75" customHeight="1" x14ac:dyDescent="0.2">
      <c r="A46" s="60">
        <v>43174</v>
      </c>
      <c r="B46" s="61"/>
      <c r="C46" s="36" t="s">
        <v>45</v>
      </c>
      <c r="D46" s="36"/>
      <c r="E46" s="36"/>
      <c r="F46" s="62"/>
      <c r="G46" s="63" t="s">
        <v>364</v>
      </c>
      <c r="H46" s="39">
        <v>100</v>
      </c>
      <c r="I46" s="39"/>
      <c r="J46" s="39"/>
      <c r="K46" s="39"/>
      <c r="L46" s="40"/>
      <c r="M46" s="41">
        <f t="shared" si="5"/>
        <v>100</v>
      </c>
      <c r="N46" s="41">
        <f t="shared" si="6"/>
        <v>0</v>
      </c>
      <c r="O46" s="41">
        <f t="shared" si="7"/>
        <v>0</v>
      </c>
      <c r="P46" s="41"/>
      <c r="Q46" s="41"/>
      <c r="R46" s="41"/>
      <c r="S46" s="41"/>
      <c r="T46" s="42"/>
      <c r="U46" s="42"/>
      <c r="V46" s="42"/>
      <c r="W46" s="42"/>
      <c r="X46" s="42"/>
      <c r="Y46" s="41"/>
      <c r="Z46" s="41"/>
      <c r="AA46" s="41">
        <v>100</v>
      </c>
      <c r="AB46" s="41"/>
      <c r="AC46" s="41"/>
      <c r="AD46" s="41"/>
      <c r="AE46" s="41"/>
      <c r="AF46" s="41"/>
      <c r="AG46" s="41">
        <f t="shared" si="8"/>
        <v>-100</v>
      </c>
      <c r="AH46" s="45">
        <f t="shared" si="9"/>
        <v>0</v>
      </c>
    </row>
    <row r="47" spans="1:34" s="30" customFormat="1" ht="21.75" customHeight="1" x14ac:dyDescent="0.2">
      <c r="A47" s="56">
        <v>43179</v>
      </c>
      <c r="B47" s="57"/>
      <c r="C47" s="20" t="s">
        <v>63</v>
      </c>
      <c r="D47" s="20" t="s">
        <v>64</v>
      </c>
      <c r="E47" s="20" t="s">
        <v>65</v>
      </c>
      <c r="F47" s="58">
        <v>101217</v>
      </c>
      <c r="G47" s="59" t="s">
        <v>375</v>
      </c>
      <c r="H47" s="23"/>
      <c r="I47" s="23"/>
      <c r="J47" s="23">
        <v>371.95</v>
      </c>
      <c r="K47" s="23"/>
      <c r="L47" s="24"/>
      <c r="M47" s="25">
        <f t="shared" si="5"/>
        <v>371.95</v>
      </c>
      <c r="N47" s="25">
        <f t="shared" si="6"/>
        <v>0</v>
      </c>
      <c r="O47" s="25">
        <f t="shared" si="7"/>
        <v>0</v>
      </c>
      <c r="P47" s="25">
        <v>371.95</v>
      </c>
      <c r="Q47" s="25"/>
      <c r="R47" s="25"/>
      <c r="S47" s="25"/>
      <c r="T47" s="26"/>
      <c r="U47" s="26"/>
      <c r="V47" s="26"/>
      <c r="W47" s="26"/>
      <c r="X47" s="26"/>
      <c r="Y47" s="31"/>
      <c r="Z47" s="25"/>
      <c r="AA47" s="25"/>
      <c r="AB47" s="25"/>
      <c r="AC47" s="25"/>
      <c r="AD47" s="25"/>
      <c r="AE47" s="25"/>
      <c r="AF47" s="25"/>
      <c r="AG47" s="25">
        <f t="shared" si="8"/>
        <v>-371.95</v>
      </c>
      <c r="AH47" s="29">
        <f t="shared" si="9"/>
        <v>0</v>
      </c>
    </row>
    <row r="48" spans="1:34" s="30" customFormat="1" ht="23.25" customHeight="1" x14ac:dyDescent="0.2">
      <c r="A48" s="56">
        <v>43179</v>
      </c>
      <c r="B48" s="57"/>
      <c r="C48" s="20" t="s">
        <v>63</v>
      </c>
      <c r="D48" s="20" t="s">
        <v>64</v>
      </c>
      <c r="E48" s="20" t="s">
        <v>65</v>
      </c>
      <c r="F48" s="58">
        <v>101217</v>
      </c>
      <c r="G48" s="59" t="s">
        <v>376</v>
      </c>
      <c r="H48" s="23"/>
      <c r="I48" s="23"/>
      <c r="J48" s="23"/>
      <c r="K48" s="23">
        <f>1705.49+204.66</f>
        <v>1910.15</v>
      </c>
      <c r="L48" s="24"/>
      <c r="M48" s="25">
        <f t="shared" si="5"/>
        <v>1705.4910714285713</v>
      </c>
      <c r="N48" s="25">
        <f t="shared" si="6"/>
        <v>204.65892857142856</v>
      </c>
      <c r="O48" s="25">
        <f t="shared" si="7"/>
        <v>0</v>
      </c>
      <c r="P48" s="25">
        <v>1705.49</v>
      </c>
      <c r="Q48" s="25"/>
      <c r="R48" s="25"/>
      <c r="S48" s="25"/>
      <c r="T48" s="26"/>
      <c r="U48" s="26"/>
      <c r="V48" s="26"/>
      <c r="W48" s="26"/>
      <c r="X48" s="26"/>
      <c r="Y48" s="31"/>
      <c r="Z48" s="25"/>
      <c r="AA48" s="25"/>
      <c r="AB48" s="25"/>
      <c r="AC48" s="25"/>
      <c r="AD48" s="25"/>
      <c r="AE48" s="25"/>
      <c r="AF48" s="25"/>
      <c r="AG48" s="25">
        <f t="shared" si="8"/>
        <v>-1910.1489285714285</v>
      </c>
      <c r="AH48" s="29">
        <f t="shared" si="9"/>
        <v>1.0714285715494043E-3</v>
      </c>
    </row>
    <row r="49" spans="1:34" s="30" customFormat="1" ht="22.5" customHeight="1" x14ac:dyDescent="0.2">
      <c r="A49" s="60">
        <v>43181</v>
      </c>
      <c r="B49" s="61"/>
      <c r="C49" s="36" t="s">
        <v>276</v>
      </c>
      <c r="D49" s="36" t="s">
        <v>52</v>
      </c>
      <c r="E49" s="36" t="s">
        <v>277</v>
      </c>
      <c r="F49" s="62">
        <v>28853</v>
      </c>
      <c r="G49" s="63" t="s">
        <v>377</v>
      </c>
      <c r="H49" s="39"/>
      <c r="I49" s="39"/>
      <c r="J49" s="39"/>
      <c r="K49" s="39">
        <v>500</v>
      </c>
      <c r="L49" s="40"/>
      <c r="M49" s="41">
        <f t="shared" si="5"/>
        <v>446.42857142857139</v>
      </c>
      <c r="N49" s="41">
        <f t="shared" si="6"/>
        <v>53.571428571428562</v>
      </c>
      <c r="O49" s="41">
        <f t="shared" si="7"/>
        <v>0</v>
      </c>
      <c r="P49" s="41">
        <v>446.43</v>
      </c>
      <c r="Q49" s="41"/>
      <c r="R49" s="41"/>
      <c r="S49" s="41"/>
      <c r="T49" s="42"/>
      <c r="U49" s="42"/>
      <c r="V49" s="42"/>
      <c r="W49" s="42"/>
      <c r="X49" s="42"/>
      <c r="Y49" s="41"/>
      <c r="Z49" s="41"/>
      <c r="AA49" s="41"/>
      <c r="AB49" s="41"/>
      <c r="AC49" s="41"/>
      <c r="AD49" s="41"/>
      <c r="AE49" s="41"/>
      <c r="AF49" s="41"/>
      <c r="AG49" s="41">
        <f t="shared" si="8"/>
        <v>-500.00142857142856</v>
      </c>
      <c r="AH49" s="45">
        <f t="shared" si="9"/>
        <v>-1.4285714285620088E-3</v>
      </c>
    </row>
    <row r="50" spans="1:34" s="30" customFormat="1" ht="21.75" customHeight="1" x14ac:dyDescent="0.2">
      <c r="A50" s="18">
        <v>43182</v>
      </c>
      <c r="B50" s="19"/>
      <c r="C50" s="20" t="s">
        <v>321</v>
      </c>
      <c r="D50" s="20" t="s">
        <v>378</v>
      </c>
      <c r="E50" s="20" t="s">
        <v>277</v>
      </c>
      <c r="F50" s="21">
        <v>29543</v>
      </c>
      <c r="G50" s="21" t="s">
        <v>379</v>
      </c>
      <c r="H50" s="23"/>
      <c r="I50" s="23"/>
      <c r="J50" s="23"/>
      <c r="K50" s="23">
        <v>62.75</v>
      </c>
      <c r="L50" s="24"/>
      <c r="M50" s="25">
        <f t="shared" si="5"/>
        <v>56.026785714285708</v>
      </c>
      <c r="N50" s="25">
        <f t="shared" si="6"/>
        <v>6.7232142857142847</v>
      </c>
      <c r="O50" s="25">
        <f t="shared" si="7"/>
        <v>0</v>
      </c>
      <c r="P50" s="25"/>
      <c r="Q50" s="25"/>
      <c r="R50" s="25"/>
      <c r="S50" s="25"/>
      <c r="T50" s="26"/>
      <c r="U50" s="26"/>
      <c r="V50" s="26"/>
      <c r="W50" s="26"/>
      <c r="X50" s="26"/>
      <c r="Y50" s="31"/>
      <c r="Z50" s="25"/>
      <c r="AA50" s="25"/>
      <c r="AB50" s="25"/>
      <c r="AC50" s="25"/>
      <c r="AD50" s="25">
        <v>56.03</v>
      </c>
      <c r="AE50" s="25"/>
      <c r="AF50" s="25"/>
      <c r="AG50" s="25">
        <f t="shared" si="8"/>
        <v>-62.753214285714286</v>
      </c>
      <c r="AH50" s="29">
        <f t="shared" si="9"/>
        <v>-3.2142857142858361E-3</v>
      </c>
    </row>
    <row r="51" spans="1:34" s="30" customFormat="1" ht="24.75" customHeight="1" x14ac:dyDescent="0.2">
      <c r="A51" s="18">
        <v>43182</v>
      </c>
      <c r="B51" s="19"/>
      <c r="C51" s="20" t="s">
        <v>276</v>
      </c>
      <c r="D51" s="20" t="s">
        <v>52</v>
      </c>
      <c r="E51" s="20" t="s">
        <v>277</v>
      </c>
      <c r="F51" s="21">
        <v>28916</v>
      </c>
      <c r="G51" s="22" t="s">
        <v>380</v>
      </c>
      <c r="H51" s="23"/>
      <c r="I51" s="23"/>
      <c r="J51" s="23"/>
      <c r="K51" s="23">
        <v>180</v>
      </c>
      <c r="L51" s="24"/>
      <c r="M51" s="25">
        <f t="shared" si="5"/>
        <v>160.71428571428569</v>
      </c>
      <c r="N51" s="25">
        <f t="shared" si="6"/>
        <v>19.285714285714281</v>
      </c>
      <c r="O51" s="25">
        <f t="shared" si="7"/>
        <v>0</v>
      </c>
      <c r="P51" s="25">
        <v>160.71</v>
      </c>
      <c r="Q51" s="25"/>
      <c r="R51" s="25"/>
      <c r="S51" s="25"/>
      <c r="T51" s="26"/>
      <c r="U51" s="26"/>
      <c r="V51" s="26"/>
      <c r="W51" s="26"/>
      <c r="X51" s="26"/>
      <c r="Y51" s="31"/>
      <c r="Z51" s="25"/>
      <c r="AA51" s="25"/>
      <c r="AB51" s="25"/>
      <c r="AC51" s="25"/>
      <c r="AD51" s="25"/>
      <c r="AE51" s="25"/>
      <c r="AF51" s="25"/>
      <c r="AG51" s="25">
        <f t="shared" si="8"/>
        <v>-179.99571428571429</v>
      </c>
      <c r="AH51" s="29">
        <f t="shared" si="9"/>
        <v>4.2857142857144481E-3</v>
      </c>
    </row>
    <row r="52" spans="1:34" s="30" customFormat="1" ht="19.5" customHeight="1" x14ac:dyDescent="0.2">
      <c r="A52" s="18">
        <v>43182</v>
      </c>
      <c r="B52" s="19"/>
      <c r="C52" s="20" t="s">
        <v>381</v>
      </c>
      <c r="D52" s="20" t="s">
        <v>273</v>
      </c>
      <c r="E52" s="20" t="s">
        <v>382</v>
      </c>
      <c r="F52" s="21">
        <v>146600</v>
      </c>
      <c r="G52" s="22" t="s">
        <v>383</v>
      </c>
      <c r="H52" s="23"/>
      <c r="I52" s="23"/>
      <c r="J52" s="23"/>
      <c r="K52" s="23">
        <v>560</v>
      </c>
      <c r="L52" s="24"/>
      <c r="M52" s="25">
        <f t="shared" si="5"/>
        <v>499.99999999999994</v>
      </c>
      <c r="N52" s="25">
        <f t="shared" si="6"/>
        <v>59.999999999999993</v>
      </c>
      <c r="O52" s="25">
        <f t="shared" si="7"/>
        <v>0</v>
      </c>
      <c r="P52" s="25"/>
      <c r="Q52" s="25"/>
      <c r="R52" s="25"/>
      <c r="S52" s="25">
        <v>500</v>
      </c>
      <c r="T52" s="26"/>
      <c r="U52" s="26"/>
      <c r="V52" s="26"/>
      <c r="W52" s="26"/>
      <c r="X52" s="26"/>
      <c r="Y52" s="31"/>
      <c r="Z52" s="25"/>
      <c r="AA52" s="25"/>
      <c r="AB52" s="25"/>
      <c r="AC52" s="25"/>
      <c r="AD52" s="25"/>
      <c r="AE52" s="25"/>
      <c r="AF52" s="25"/>
      <c r="AG52" s="25">
        <f t="shared" si="8"/>
        <v>-560</v>
      </c>
      <c r="AH52" s="29">
        <f t="shared" si="9"/>
        <v>0</v>
      </c>
    </row>
    <row r="53" spans="1:34" s="30" customFormat="1" ht="21.75" customHeight="1" x14ac:dyDescent="0.2">
      <c r="A53" s="18">
        <v>43182</v>
      </c>
      <c r="B53" s="19"/>
      <c r="C53" s="20" t="s">
        <v>68</v>
      </c>
      <c r="D53" s="20"/>
      <c r="E53" s="20"/>
      <c r="F53" s="21"/>
      <c r="G53" s="22" t="s">
        <v>384</v>
      </c>
      <c r="H53" s="23">
        <v>40</v>
      </c>
      <c r="I53" s="23"/>
      <c r="J53" s="23"/>
      <c r="K53" s="23"/>
      <c r="L53" s="24"/>
      <c r="M53" s="25">
        <f t="shared" si="5"/>
        <v>40</v>
      </c>
      <c r="N53" s="25">
        <f t="shared" si="6"/>
        <v>0</v>
      </c>
      <c r="O53" s="25">
        <f t="shared" si="7"/>
        <v>0</v>
      </c>
      <c r="P53" s="25"/>
      <c r="Q53" s="25"/>
      <c r="R53" s="25"/>
      <c r="S53" s="25"/>
      <c r="T53" s="26"/>
      <c r="U53" s="26"/>
      <c r="V53" s="26"/>
      <c r="W53" s="26"/>
      <c r="X53" s="26"/>
      <c r="Y53" s="31"/>
      <c r="Z53" s="25"/>
      <c r="AA53" s="25">
        <v>40</v>
      </c>
      <c r="AB53" s="25"/>
      <c r="AC53" s="25"/>
      <c r="AD53" s="25"/>
      <c r="AE53" s="25"/>
      <c r="AF53" s="25"/>
      <c r="AG53" s="25">
        <f t="shared" si="8"/>
        <v>-40</v>
      </c>
      <c r="AH53" s="29">
        <f t="shared" si="9"/>
        <v>0</v>
      </c>
    </row>
    <row r="54" spans="1:34" s="30" customFormat="1" ht="19.5" customHeight="1" x14ac:dyDescent="0.2">
      <c r="A54" s="18">
        <v>43185</v>
      </c>
      <c r="B54" s="19"/>
      <c r="C54" s="20" t="s">
        <v>180</v>
      </c>
      <c r="D54" s="20" t="s">
        <v>71</v>
      </c>
      <c r="E54" s="20" t="s">
        <v>72</v>
      </c>
      <c r="F54" s="21">
        <v>6081</v>
      </c>
      <c r="G54" s="22" t="s">
        <v>385</v>
      </c>
      <c r="H54" s="23"/>
      <c r="I54" s="23"/>
      <c r="J54" s="23"/>
      <c r="K54" s="23">
        <v>3124</v>
      </c>
      <c r="L54" s="24">
        <v>0.01</v>
      </c>
      <c r="M54" s="25">
        <f t="shared" si="5"/>
        <v>2789.2857142857142</v>
      </c>
      <c r="N54" s="25">
        <f t="shared" si="6"/>
        <v>334.71428571428572</v>
      </c>
      <c r="O54" s="25">
        <f t="shared" si="7"/>
        <v>-27.892857142857142</v>
      </c>
      <c r="P54" s="25">
        <v>2789.29</v>
      </c>
      <c r="Q54" s="25"/>
      <c r="R54" s="25"/>
      <c r="S54" s="25"/>
      <c r="T54" s="26"/>
      <c r="U54" s="26"/>
      <c r="V54" s="26"/>
      <c r="W54" s="26"/>
      <c r="X54" s="26"/>
      <c r="Y54" s="31"/>
      <c r="Z54" s="25"/>
      <c r="AA54" s="25"/>
      <c r="AB54" s="25"/>
      <c r="AC54" s="25"/>
      <c r="AD54" s="25"/>
      <c r="AE54" s="25"/>
      <c r="AF54" s="25"/>
      <c r="AG54" s="25">
        <f t="shared" si="8"/>
        <v>-3096.1114285714284</v>
      </c>
      <c r="AH54" s="29">
        <f t="shared" si="9"/>
        <v>-4.2857142855474706E-3</v>
      </c>
    </row>
    <row r="55" spans="1:34" s="30" customFormat="1" ht="22.5" customHeight="1" x14ac:dyDescent="0.2">
      <c r="A55" s="18">
        <v>43185</v>
      </c>
      <c r="B55" s="19"/>
      <c r="C55" s="20" t="s">
        <v>68</v>
      </c>
      <c r="D55" s="20"/>
      <c r="E55" s="20"/>
      <c r="F55" s="21"/>
      <c r="G55" s="22" t="s">
        <v>386</v>
      </c>
      <c r="H55" s="23">
        <v>120</v>
      </c>
      <c r="I55" s="23"/>
      <c r="J55" s="23"/>
      <c r="K55" s="23"/>
      <c r="L55" s="24"/>
      <c r="M55" s="25">
        <f t="shared" si="5"/>
        <v>120</v>
      </c>
      <c r="N55" s="25">
        <f t="shared" si="6"/>
        <v>0</v>
      </c>
      <c r="O55" s="25">
        <f t="shared" si="7"/>
        <v>0</v>
      </c>
      <c r="P55" s="25"/>
      <c r="Q55" s="25"/>
      <c r="R55" s="25"/>
      <c r="S55" s="25"/>
      <c r="T55" s="26"/>
      <c r="U55" s="26"/>
      <c r="V55" s="26"/>
      <c r="W55" s="26"/>
      <c r="X55" s="26"/>
      <c r="Y55" s="31"/>
      <c r="Z55" s="25"/>
      <c r="AA55" s="25">
        <v>120</v>
      </c>
      <c r="AB55" s="25"/>
      <c r="AC55" s="25"/>
      <c r="AD55" s="25"/>
      <c r="AE55" s="25"/>
      <c r="AF55" s="25"/>
      <c r="AG55" s="25">
        <f t="shared" si="8"/>
        <v>-120</v>
      </c>
      <c r="AH55" s="29">
        <f t="shared" si="9"/>
        <v>0</v>
      </c>
    </row>
    <row r="56" spans="1:34" s="30" customFormat="1" ht="19.5" customHeight="1" x14ac:dyDescent="0.2">
      <c r="A56" s="18">
        <v>43186</v>
      </c>
      <c r="B56" s="19"/>
      <c r="C56" s="20" t="s">
        <v>276</v>
      </c>
      <c r="D56" s="20" t="s">
        <v>52</v>
      </c>
      <c r="E56" s="20" t="s">
        <v>277</v>
      </c>
      <c r="F56" s="21">
        <v>28879</v>
      </c>
      <c r="G56" s="22" t="s">
        <v>159</v>
      </c>
      <c r="H56" s="23"/>
      <c r="I56" s="23"/>
      <c r="J56" s="23"/>
      <c r="K56" s="23">
        <v>620</v>
      </c>
      <c r="L56" s="24"/>
      <c r="M56" s="25">
        <f t="shared" si="5"/>
        <v>553.57142857142856</v>
      </c>
      <c r="N56" s="25">
        <f t="shared" si="6"/>
        <v>66.428571428571431</v>
      </c>
      <c r="O56" s="25">
        <f t="shared" si="7"/>
        <v>0</v>
      </c>
      <c r="P56" s="25">
        <v>553.57000000000005</v>
      </c>
      <c r="Q56" s="25"/>
      <c r="R56" s="25"/>
      <c r="S56" s="25"/>
      <c r="T56" s="26"/>
      <c r="U56" s="26"/>
      <c r="V56" s="26"/>
      <c r="W56" s="26"/>
      <c r="X56" s="26"/>
      <c r="Y56" s="31"/>
      <c r="Z56" s="25"/>
      <c r="AA56" s="25"/>
      <c r="AB56" s="25"/>
      <c r="AC56" s="25"/>
      <c r="AD56" s="25"/>
      <c r="AE56" s="25"/>
      <c r="AF56" s="25"/>
      <c r="AG56" s="25">
        <f t="shared" si="8"/>
        <v>-619.99857142857149</v>
      </c>
      <c r="AH56" s="29">
        <f t="shared" si="9"/>
        <v>1.4285714285051654E-3</v>
      </c>
    </row>
    <row r="57" spans="1:34" s="30" customFormat="1" ht="18.75" customHeight="1" x14ac:dyDescent="0.2">
      <c r="A57" s="18">
        <v>43187</v>
      </c>
      <c r="B57" s="19"/>
      <c r="C57" s="20" t="s">
        <v>276</v>
      </c>
      <c r="D57" s="20" t="s">
        <v>52</v>
      </c>
      <c r="E57" s="20" t="s">
        <v>277</v>
      </c>
      <c r="F57" s="21">
        <v>28883</v>
      </c>
      <c r="G57" s="22" t="s">
        <v>387</v>
      </c>
      <c r="H57" s="23"/>
      <c r="I57" s="23"/>
      <c r="J57" s="23"/>
      <c r="K57" s="23">
        <v>120</v>
      </c>
      <c r="L57" s="24"/>
      <c r="M57" s="25">
        <f t="shared" si="5"/>
        <v>107.14285714285714</v>
      </c>
      <c r="N57" s="25">
        <f t="shared" si="6"/>
        <v>12.857142857142856</v>
      </c>
      <c r="O57" s="25">
        <f t="shared" si="7"/>
        <v>0</v>
      </c>
      <c r="P57" s="25">
        <v>107.14</v>
      </c>
      <c r="Q57" s="25"/>
      <c r="R57" s="25"/>
      <c r="S57" s="25"/>
      <c r="T57" s="26"/>
      <c r="U57" s="26"/>
      <c r="V57" s="26"/>
      <c r="W57" s="26"/>
      <c r="X57" s="26"/>
      <c r="Y57" s="31"/>
      <c r="Z57" s="25"/>
      <c r="AA57" s="25"/>
      <c r="AB57" s="25"/>
      <c r="AC57" s="25"/>
      <c r="AD57" s="25"/>
      <c r="AE57" s="25"/>
      <c r="AF57" s="25"/>
      <c r="AG57" s="25">
        <f t="shared" si="8"/>
        <v>-119.99714285714286</v>
      </c>
      <c r="AH57" s="29">
        <f t="shared" si="9"/>
        <v>2.8571428571382285E-3</v>
      </c>
    </row>
    <row r="58" spans="1:34" s="30" customFormat="1" ht="19.5" customHeight="1" x14ac:dyDescent="0.2">
      <c r="A58" s="18"/>
      <c r="B58" s="19"/>
      <c r="C58" s="47"/>
      <c r="D58" s="47"/>
      <c r="E58" s="47"/>
      <c r="F58" s="21"/>
      <c r="G58" s="22"/>
      <c r="H58" s="23"/>
      <c r="I58" s="23"/>
      <c r="J58" s="23"/>
      <c r="K58" s="23"/>
      <c r="L58" s="24"/>
      <c r="M58" s="25">
        <f t="shared" si="5"/>
        <v>0</v>
      </c>
      <c r="N58" s="25">
        <f t="shared" si="6"/>
        <v>0</v>
      </c>
      <c r="O58" s="25">
        <f t="shared" si="7"/>
        <v>0</v>
      </c>
      <c r="P58" s="25"/>
      <c r="Q58" s="25"/>
      <c r="R58" s="25"/>
      <c r="S58" s="25"/>
      <c r="T58" s="26"/>
      <c r="U58" s="26"/>
      <c r="V58" s="26"/>
      <c r="W58" s="26"/>
      <c r="X58" s="26"/>
      <c r="Y58" s="31"/>
      <c r="Z58" s="25"/>
      <c r="AA58" s="25"/>
      <c r="AB58" s="25"/>
      <c r="AC58" s="26"/>
      <c r="AD58" s="26"/>
      <c r="AE58" s="27"/>
      <c r="AF58" s="27"/>
      <c r="AG58" s="28">
        <f t="shared" si="8"/>
        <v>0</v>
      </c>
      <c r="AH58" s="29">
        <f t="shared" si="9"/>
        <v>0</v>
      </c>
    </row>
    <row r="59" spans="1:34" s="55" customFormat="1" ht="12" customHeight="1" x14ac:dyDescent="0.2">
      <c r="A59" s="48"/>
      <c r="B59" s="49"/>
      <c r="C59" s="50"/>
      <c r="D59" s="51"/>
      <c r="E59" s="51"/>
      <c r="F59" s="52"/>
      <c r="G59" s="50"/>
      <c r="H59" s="53">
        <f t="shared" ref="H59:AH59" si="10">SUM(H5:H58)</f>
        <v>665</v>
      </c>
      <c r="I59" s="53">
        <f t="shared" si="10"/>
        <v>0</v>
      </c>
      <c r="J59" s="53">
        <f t="shared" si="10"/>
        <v>7513.4</v>
      </c>
      <c r="K59" s="53">
        <f t="shared" si="10"/>
        <v>28865.639999999996</v>
      </c>
      <c r="L59" s="53">
        <f t="shared" si="10"/>
        <v>0.11999999999999998</v>
      </c>
      <c r="M59" s="53">
        <f t="shared" si="10"/>
        <v>33951.292857142864</v>
      </c>
      <c r="N59" s="53">
        <f t="shared" si="10"/>
        <v>3092.7471428571421</v>
      </c>
      <c r="O59" s="53">
        <f t="shared" si="10"/>
        <v>-130.99</v>
      </c>
      <c r="P59" s="53">
        <f t="shared" si="10"/>
        <v>25564.100000000002</v>
      </c>
      <c r="Q59" s="53">
        <f t="shared" si="10"/>
        <v>1800</v>
      </c>
      <c r="R59" s="53">
        <f t="shared" si="10"/>
        <v>431.46999999999997</v>
      </c>
      <c r="S59" s="53">
        <f t="shared" si="10"/>
        <v>642.5</v>
      </c>
      <c r="T59" s="53">
        <f t="shared" si="10"/>
        <v>0</v>
      </c>
      <c r="U59" s="53">
        <f t="shared" si="10"/>
        <v>0</v>
      </c>
      <c r="V59" s="53">
        <f t="shared" si="10"/>
        <v>0</v>
      </c>
      <c r="W59" s="53">
        <f t="shared" si="10"/>
        <v>0</v>
      </c>
      <c r="X59" s="53">
        <f t="shared" si="10"/>
        <v>1380.81</v>
      </c>
      <c r="Y59" s="53">
        <f t="shared" si="10"/>
        <v>2982.8199999999997</v>
      </c>
      <c r="Z59" s="53">
        <f t="shared" si="10"/>
        <v>428.57000000000005</v>
      </c>
      <c r="AA59" s="53">
        <f t="shared" si="10"/>
        <v>665</v>
      </c>
      <c r="AB59" s="53">
        <f t="shared" si="10"/>
        <v>0</v>
      </c>
      <c r="AC59" s="53">
        <f t="shared" si="10"/>
        <v>0</v>
      </c>
      <c r="AD59" s="53">
        <f t="shared" si="10"/>
        <v>56.03</v>
      </c>
      <c r="AE59" s="53">
        <f t="shared" si="10"/>
        <v>0</v>
      </c>
      <c r="AF59" s="54">
        <f t="shared" si="10"/>
        <v>0</v>
      </c>
      <c r="AG59" s="53">
        <f t="shared" si="10"/>
        <v>-36913.057142857142</v>
      </c>
      <c r="AH59" s="53">
        <f t="shared" si="10"/>
        <v>-7.1428571424637655E-3</v>
      </c>
    </row>
    <row r="60" spans="1:34" s="3" customFormat="1" ht="12" customHeight="1" x14ac:dyDescent="0.2">
      <c r="K60" s="5"/>
      <c r="L60" s="6"/>
      <c r="M60" s="5"/>
      <c r="Y60" s="5"/>
    </row>
    <row r="61" spans="1:34" ht="12" customHeight="1" x14ac:dyDescent="0.25"/>
    <row r="62" spans="1:34" ht="12" customHeight="1" x14ac:dyDescent="0.25"/>
    <row r="63" spans="1:34" ht="12" customHeight="1" x14ac:dyDescent="0.25"/>
    <row r="64" spans="1:34" ht="12" customHeight="1" x14ac:dyDescent="0.25"/>
    <row r="65" spans="17:17" ht="12" customHeight="1" x14ac:dyDescent="0.25"/>
    <row r="66" spans="17:17" ht="12" customHeight="1" x14ac:dyDescent="0.25"/>
    <row r="67" spans="17:17" ht="12" customHeight="1" x14ac:dyDescent="0.25">
      <c r="Q67" s="5">
        <v>0</v>
      </c>
    </row>
    <row r="68" spans="17:17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7"/>
  <sheetViews>
    <sheetView topLeftCell="A64" zoomScale="90" zoomScaleNormal="90" workbookViewId="0">
      <selection activeCell="E80" sqref="A80:XFD86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28.44140625" style="3" customWidth="1"/>
    <col min="4" max="4" width="17.6640625" style="4" customWidth="1"/>
    <col min="5" max="5" width="28.6640625" style="4" customWidth="1"/>
    <col min="6" max="6" width="9.88671875" style="2" customWidth="1"/>
    <col min="7" max="7" width="39.77734375" style="3" customWidth="1"/>
    <col min="8" max="8" width="10.10937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9.6640625" style="5" customWidth="1"/>
    <col min="19" max="19" width="10.21875" style="5" customWidth="1"/>
    <col min="20" max="21" width="11.5546875" style="5"/>
    <col min="22" max="24" width="8.6640625" style="5" customWidth="1"/>
    <col min="25" max="25" width="11.6640625" style="5" customWidth="1"/>
    <col min="26" max="26" width="10.44140625" style="5" customWidth="1"/>
    <col min="27" max="27" width="8.44140625" style="5" customWidth="1"/>
    <col min="28" max="28" width="12.109375" style="5" customWidth="1"/>
    <col min="29" max="30" width="10.109375" style="5" customWidth="1"/>
    <col min="31" max="31" width="12.77734375" style="5" customWidth="1"/>
    <col min="32" max="32" width="0.21875" style="5" customWidth="1"/>
    <col min="33" max="33" width="13.44140625" style="5" customWidth="1"/>
    <col min="34" max="34" width="9.554687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388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30" customFormat="1" ht="18.75" customHeight="1" x14ac:dyDescent="0.2">
      <c r="A5" s="18">
        <v>43192</v>
      </c>
      <c r="B5" s="19"/>
      <c r="C5" s="20" t="s">
        <v>389</v>
      </c>
      <c r="D5" s="20" t="s">
        <v>210</v>
      </c>
      <c r="E5" s="20" t="s">
        <v>277</v>
      </c>
      <c r="F5" s="21">
        <v>41377</v>
      </c>
      <c r="G5" s="22" t="s">
        <v>390</v>
      </c>
      <c r="H5" s="23"/>
      <c r="I5" s="23"/>
      <c r="J5" s="23"/>
      <c r="K5" s="23">
        <v>1500</v>
      </c>
      <c r="L5" s="24">
        <v>0.02</v>
      </c>
      <c r="M5" s="25">
        <f t="shared" ref="M5:M36" si="0">SUM(H5:J5,K5/1.12)</f>
        <v>1339.2857142857142</v>
      </c>
      <c r="N5" s="25">
        <f t="shared" ref="N5:N36" si="1">K5/1.12*0.12</f>
        <v>160.71428571428569</v>
      </c>
      <c r="O5" s="25">
        <f t="shared" ref="O5:O36" si="2">-SUM(I5:J5,K5/1.12)*L5</f>
        <v>-26.785714285714285</v>
      </c>
      <c r="P5" s="25"/>
      <c r="Q5" s="25"/>
      <c r="R5" s="25"/>
      <c r="S5" s="25"/>
      <c r="T5" s="26"/>
      <c r="U5" s="26"/>
      <c r="V5" s="26"/>
      <c r="W5" s="26"/>
      <c r="X5" s="26"/>
      <c r="Y5" s="31">
        <v>1339.29</v>
      </c>
      <c r="Z5" s="25"/>
      <c r="AA5" s="25"/>
      <c r="AB5" s="25"/>
      <c r="AC5" s="26"/>
      <c r="AD5" s="26"/>
      <c r="AE5" s="27"/>
      <c r="AF5" s="27"/>
      <c r="AG5" s="28">
        <f t="shared" ref="AG5:AG36" si="3">-SUM(N5:AF5)</f>
        <v>-1473.2185714285713</v>
      </c>
      <c r="AH5" s="29">
        <f t="shared" ref="AH5:AH36" si="4">SUM(H5:K5)+AG5+O5</f>
        <v>-4.285714285579445E-3</v>
      </c>
    </row>
    <row r="6" spans="1:34" s="30" customFormat="1" ht="18.75" customHeight="1" x14ac:dyDescent="0.2">
      <c r="A6" s="18">
        <v>43192</v>
      </c>
      <c r="B6" s="19"/>
      <c r="C6" s="20" t="s">
        <v>276</v>
      </c>
      <c r="D6" s="20" t="s">
        <v>52</v>
      </c>
      <c r="E6" s="20" t="s">
        <v>277</v>
      </c>
      <c r="F6" s="21">
        <v>28968</v>
      </c>
      <c r="G6" s="22" t="s">
        <v>391</v>
      </c>
      <c r="H6" s="23"/>
      <c r="I6" s="23"/>
      <c r="J6" s="23"/>
      <c r="K6" s="23">
        <v>55</v>
      </c>
      <c r="L6" s="24"/>
      <c r="M6" s="25">
        <f t="shared" si="0"/>
        <v>49.107142857142854</v>
      </c>
      <c r="N6" s="25">
        <f t="shared" si="1"/>
        <v>5.8928571428571423</v>
      </c>
      <c r="O6" s="25">
        <f t="shared" si="2"/>
        <v>0</v>
      </c>
      <c r="P6" s="25"/>
      <c r="Q6" s="25"/>
      <c r="R6" s="25">
        <v>49.11</v>
      </c>
      <c r="S6" s="25"/>
      <c r="T6" s="26"/>
      <c r="U6" s="26"/>
      <c r="V6" s="26"/>
      <c r="W6" s="26"/>
      <c r="X6" s="26"/>
      <c r="Y6" s="31"/>
      <c r="Z6" s="25"/>
      <c r="AA6" s="25"/>
      <c r="AB6" s="25"/>
      <c r="AC6" s="26"/>
      <c r="AD6" s="26"/>
      <c r="AE6" s="27"/>
      <c r="AF6" s="27"/>
      <c r="AG6" s="28">
        <f t="shared" si="3"/>
        <v>-55.002857142857138</v>
      </c>
      <c r="AH6" s="29">
        <f t="shared" si="4"/>
        <v>-2.8571428571382285E-3</v>
      </c>
    </row>
    <row r="7" spans="1:34" s="30" customFormat="1" ht="18.75" customHeight="1" x14ac:dyDescent="0.2">
      <c r="A7" s="18">
        <v>43192</v>
      </c>
      <c r="B7" s="19"/>
      <c r="C7" s="20" t="s">
        <v>41</v>
      </c>
      <c r="D7" s="20" t="s">
        <v>88</v>
      </c>
      <c r="E7" s="20" t="s">
        <v>43</v>
      </c>
      <c r="F7" s="21">
        <v>2356</v>
      </c>
      <c r="G7" s="22" t="s">
        <v>392</v>
      </c>
      <c r="H7" s="23"/>
      <c r="I7" s="23"/>
      <c r="J7" s="23">
        <v>1880</v>
      </c>
      <c r="K7" s="23"/>
      <c r="L7" s="24"/>
      <c r="M7" s="25">
        <f t="shared" si="0"/>
        <v>1880</v>
      </c>
      <c r="N7" s="25">
        <f t="shared" si="1"/>
        <v>0</v>
      </c>
      <c r="O7" s="25">
        <f t="shared" si="2"/>
        <v>0</v>
      </c>
      <c r="P7" s="25">
        <v>1880</v>
      </c>
      <c r="Q7" s="25"/>
      <c r="R7" s="25"/>
      <c r="S7" s="25"/>
      <c r="T7" s="26"/>
      <c r="U7" s="26"/>
      <c r="V7" s="26"/>
      <c r="W7" s="26"/>
      <c r="X7" s="26"/>
      <c r="Y7" s="31"/>
      <c r="Z7" s="25"/>
      <c r="AA7" s="25"/>
      <c r="AB7" s="25"/>
      <c r="AC7" s="26"/>
      <c r="AD7" s="26"/>
      <c r="AE7" s="27"/>
      <c r="AF7" s="27"/>
      <c r="AG7" s="28">
        <f t="shared" si="3"/>
        <v>-1880</v>
      </c>
      <c r="AH7" s="29">
        <f t="shared" si="4"/>
        <v>0</v>
      </c>
    </row>
    <row r="8" spans="1:34" s="30" customFormat="1" ht="18.75" customHeight="1" x14ac:dyDescent="0.2">
      <c r="A8" s="18">
        <v>43192</v>
      </c>
      <c r="B8" s="19"/>
      <c r="C8" s="20" t="s">
        <v>45</v>
      </c>
      <c r="D8" s="20"/>
      <c r="E8" s="20"/>
      <c r="F8" s="21"/>
      <c r="G8" s="22" t="s">
        <v>386</v>
      </c>
      <c r="H8" s="23">
        <v>100</v>
      </c>
      <c r="I8" s="23"/>
      <c r="J8" s="23"/>
      <c r="K8" s="23"/>
      <c r="L8" s="24"/>
      <c r="M8" s="25">
        <f t="shared" si="0"/>
        <v>100</v>
      </c>
      <c r="N8" s="25">
        <f t="shared" si="1"/>
        <v>0</v>
      </c>
      <c r="O8" s="25">
        <f t="shared" si="2"/>
        <v>0</v>
      </c>
      <c r="P8" s="25"/>
      <c r="Q8" s="25"/>
      <c r="R8" s="25"/>
      <c r="S8" s="25"/>
      <c r="T8" s="26"/>
      <c r="U8" s="26"/>
      <c r="V8" s="26"/>
      <c r="W8" s="26"/>
      <c r="X8" s="26"/>
      <c r="Y8" s="31"/>
      <c r="Z8" s="25"/>
      <c r="AA8" s="25">
        <v>100</v>
      </c>
      <c r="AB8" s="25"/>
      <c r="AC8" s="26"/>
      <c r="AD8" s="26"/>
      <c r="AE8" s="27"/>
      <c r="AF8" s="27"/>
      <c r="AG8" s="28">
        <f t="shared" si="3"/>
        <v>-100</v>
      </c>
      <c r="AH8" s="29">
        <f t="shared" si="4"/>
        <v>0</v>
      </c>
    </row>
    <row r="9" spans="1:34" s="30" customFormat="1" ht="18.75" customHeight="1" x14ac:dyDescent="0.2">
      <c r="A9" s="18">
        <v>43192</v>
      </c>
      <c r="B9" s="19"/>
      <c r="C9" s="20" t="s">
        <v>63</v>
      </c>
      <c r="D9" s="20" t="s">
        <v>64</v>
      </c>
      <c r="E9" s="20" t="s">
        <v>65</v>
      </c>
      <c r="F9" s="21">
        <v>132274</v>
      </c>
      <c r="G9" s="22" t="s">
        <v>393</v>
      </c>
      <c r="H9" s="23"/>
      <c r="I9" s="23"/>
      <c r="J9" s="23"/>
      <c r="K9" s="23">
        <v>155.25</v>
      </c>
      <c r="L9" s="24"/>
      <c r="M9" s="25">
        <f t="shared" si="0"/>
        <v>138.61607142857142</v>
      </c>
      <c r="N9" s="25">
        <f t="shared" si="1"/>
        <v>16.633928571428569</v>
      </c>
      <c r="O9" s="25">
        <f t="shared" si="2"/>
        <v>0</v>
      </c>
      <c r="P9" s="25"/>
      <c r="Q9" s="25">
        <v>138.62</v>
      </c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6"/>
      <c r="AD9" s="26"/>
      <c r="AE9" s="27"/>
      <c r="AF9" s="27"/>
      <c r="AG9" s="28">
        <f t="shared" si="3"/>
        <v>-155.25392857142856</v>
      </c>
      <c r="AH9" s="29">
        <f t="shared" si="4"/>
        <v>-3.9285714285597351E-3</v>
      </c>
    </row>
    <row r="10" spans="1:34" s="30" customFormat="1" ht="18.75" customHeight="1" x14ac:dyDescent="0.2">
      <c r="A10" s="18">
        <v>43192</v>
      </c>
      <c r="B10" s="19"/>
      <c r="C10" s="20" t="s">
        <v>63</v>
      </c>
      <c r="D10" s="20" t="s">
        <v>64</v>
      </c>
      <c r="E10" s="20" t="s">
        <v>65</v>
      </c>
      <c r="F10" s="21">
        <v>105198</v>
      </c>
      <c r="G10" s="22" t="s">
        <v>394</v>
      </c>
      <c r="H10" s="23"/>
      <c r="I10" s="23"/>
      <c r="J10" s="23">
        <v>1070.7</v>
      </c>
      <c r="K10" s="23"/>
      <c r="L10" s="24"/>
      <c r="M10" s="25">
        <f t="shared" si="0"/>
        <v>1070.7</v>
      </c>
      <c r="N10" s="25">
        <f t="shared" si="1"/>
        <v>0</v>
      </c>
      <c r="O10" s="25">
        <f t="shared" si="2"/>
        <v>0</v>
      </c>
      <c r="P10" s="25">
        <v>1070.7</v>
      </c>
      <c r="Q10" s="25"/>
      <c r="R10" s="25"/>
      <c r="S10" s="25"/>
      <c r="T10" s="26"/>
      <c r="U10" s="26"/>
      <c r="V10" s="26"/>
      <c r="W10" s="26"/>
      <c r="X10" s="26"/>
      <c r="Y10" s="31"/>
      <c r="Z10" s="25"/>
      <c r="AA10" s="25"/>
      <c r="AB10" s="25"/>
      <c r="AC10" s="26"/>
      <c r="AD10" s="26"/>
      <c r="AE10" s="27"/>
      <c r="AF10" s="27"/>
      <c r="AG10" s="28">
        <f t="shared" si="3"/>
        <v>-1070.7</v>
      </c>
      <c r="AH10" s="29">
        <f t="shared" si="4"/>
        <v>0</v>
      </c>
    </row>
    <row r="11" spans="1:34" s="30" customFormat="1" ht="21" customHeight="1" x14ac:dyDescent="0.2">
      <c r="A11" s="18">
        <v>43192</v>
      </c>
      <c r="B11" s="19"/>
      <c r="C11" s="20" t="s">
        <v>63</v>
      </c>
      <c r="D11" s="20" t="s">
        <v>64</v>
      </c>
      <c r="E11" s="20" t="s">
        <v>65</v>
      </c>
      <c r="F11" s="21">
        <v>105198</v>
      </c>
      <c r="G11" s="22" t="s">
        <v>395</v>
      </c>
      <c r="H11" s="23"/>
      <c r="I11" s="23"/>
      <c r="J11" s="23"/>
      <c r="K11" s="23">
        <f>2460.49+295.26</f>
        <v>2755.75</v>
      </c>
      <c r="L11" s="24"/>
      <c r="M11" s="25">
        <f t="shared" si="0"/>
        <v>2460.4910714285711</v>
      </c>
      <c r="N11" s="25">
        <f t="shared" si="1"/>
        <v>295.2589285714285</v>
      </c>
      <c r="O11" s="25">
        <f t="shared" si="2"/>
        <v>0</v>
      </c>
      <c r="P11" s="25">
        <v>2460.4899999999998</v>
      </c>
      <c r="Q11" s="25"/>
      <c r="R11" s="25"/>
      <c r="S11" s="25"/>
      <c r="T11" s="26"/>
      <c r="U11" s="26"/>
      <c r="V11" s="26"/>
      <c r="W11" s="26"/>
      <c r="X11" s="26"/>
      <c r="Y11" s="31"/>
      <c r="Z11" s="25"/>
      <c r="AA11" s="25"/>
      <c r="AB11" s="25"/>
      <c r="AC11" s="26"/>
      <c r="AD11" s="26"/>
      <c r="AE11" s="27"/>
      <c r="AF11" s="27"/>
      <c r="AG11" s="28">
        <f t="shared" si="3"/>
        <v>-2755.7489285714282</v>
      </c>
      <c r="AH11" s="29">
        <f t="shared" si="4"/>
        <v>1.071428571776778E-3</v>
      </c>
    </row>
    <row r="12" spans="1:34" s="30" customFormat="1" ht="18.75" customHeight="1" x14ac:dyDescent="0.2">
      <c r="A12" s="18">
        <v>43192</v>
      </c>
      <c r="B12" s="19"/>
      <c r="C12" s="20" t="s">
        <v>396</v>
      </c>
      <c r="D12" s="20" t="s">
        <v>60</v>
      </c>
      <c r="E12" s="20" t="s">
        <v>397</v>
      </c>
      <c r="F12" s="21">
        <v>636377</v>
      </c>
      <c r="G12" s="22" t="s">
        <v>243</v>
      </c>
      <c r="H12" s="23"/>
      <c r="I12" s="23"/>
      <c r="J12" s="23"/>
      <c r="K12" s="23">
        <v>860</v>
      </c>
      <c r="L12" s="24"/>
      <c r="M12" s="25">
        <f t="shared" si="0"/>
        <v>767.85714285714278</v>
      </c>
      <c r="N12" s="25">
        <f t="shared" si="1"/>
        <v>92.142857142857125</v>
      </c>
      <c r="O12" s="25">
        <f t="shared" si="2"/>
        <v>0</v>
      </c>
      <c r="P12" s="25"/>
      <c r="Q12" s="25"/>
      <c r="R12" s="25"/>
      <c r="S12" s="25"/>
      <c r="T12" s="26">
        <v>767.86</v>
      </c>
      <c r="U12" s="26"/>
      <c r="V12" s="26"/>
      <c r="W12" s="26"/>
      <c r="X12" s="26"/>
      <c r="Y12" s="31"/>
      <c r="Z12" s="25"/>
      <c r="AA12" s="25"/>
      <c r="AB12" s="25"/>
      <c r="AC12" s="26"/>
      <c r="AD12" s="26"/>
      <c r="AE12" s="27"/>
      <c r="AF12" s="27"/>
      <c r="AG12" s="28">
        <f t="shared" si="3"/>
        <v>-860.00285714285712</v>
      </c>
      <c r="AH12" s="29">
        <f t="shared" si="4"/>
        <v>-2.8571428571240176E-3</v>
      </c>
    </row>
    <row r="13" spans="1:34" s="30" customFormat="1" ht="18.75" customHeight="1" x14ac:dyDescent="0.2">
      <c r="A13" s="18">
        <v>43193</v>
      </c>
      <c r="B13" s="19"/>
      <c r="C13" s="20" t="s">
        <v>276</v>
      </c>
      <c r="D13" s="20" t="s">
        <v>52</v>
      </c>
      <c r="E13" s="20" t="s">
        <v>277</v>
      </c>
      <c r="F13" s="21">
        <v>28994</v>
      </c>
      <c r="G13" s="22" t="s">
        <v>355</v>
      </c>
      <c r="H13" s="23"/>
      <c r="I13" s="23"/>
      <c r="J13" s="23"/>
      <c r="K13" s="23">
        <v>416.75</v>
      </c>
      <c r="L13" s="24"/>
      <c r="M13" s="25">
        <f t="shared" si="0"/>
        <v>372.09821428571428</v>
      </c>
      <c r="N13" s="25">
        <f t="shared" si="1"/>
        <v>44.651785714285708</v>
      </c>
      <c r="O13" s="25">
        <f t="shared" si="2"/>
        <v>0</v>
      </c>
      <c r="P13" s="25">
        <v>372.1</v>
      </c>
      <c r="Q13" s="25"/>
      <c r="R13" s="25"/>
      <c r="S13" s="25"/>
      <c r="T13" s="26"/>
      <c r="U13" s="26"/>
      <c r="V13" s="26"/>
      <c r="W13" s="26"/>
      <c r="X13" s="26"/>
      <c r="Y13" s="31"/>
      <c r="Z13" s="25"/>
      <c r="AA13" s="25"/>
      <c r="AB13" s="25"/>
      <c r="AC13" s="26"/>
      <c r="AD13" s="26"/>
      <c r="AE13" s="27"/>
      <c r="AF13" s="27"/>
      <c r="AG13" s="28">
        <f t="shared" si="3"/>
        <v>-416.75178571428575</v>
      </c>
      <c r="AH13" s="29">
        <f t="shared" si="4"/>
        <v>-1.7857142857451436E-3</v>
      </c>
    </row>
    <row r="14" spans="1:34" s="30" customFormat="1" ht="18.75" customHeight="1" x14ac:dyDescent="0.2">
      <c r="A14" s="18">
        <v>43193</v>
      </c>
      <c r="B14" s="19"/>
      <c r="C14" s="20" t="s">
        <v>398</v>
      </c>
      <c r="D14" s="20" t="s">
        <v>399</v>
      </c>
      <c r="E14" s="20" t="s">
        <v>400</v>
      </c>
      <c r="F14" s="21">
        <v>1208</v>
      </c>
      <c r="G14" s="22" t="s">
        <v>401</v>
      </c>
      <c r="H14" s="23"/>
      <c r="I14" s="23"/>
      <c r="J14" s="23"/>
      <c r="K14" s="23">
        <v>1565.2</v>
      </c>
      <c r="L14" s="24"/>
      <c r="M14" s="25">
        <f t="shared" si="0"/>
        <v>1397.5</v>
      </c>
      <c r="N14" s="25">
        <f t="shared" si="1"/>
        <v>167.7</v>
      </c>
      <c r="O14" s="25">
        <f t="shared" si="2"/>
        <v>0</v>
      </c>
      <c r="P14" s="25"/>
      <c r="Q14" s="25"/>
      <c r="R14" s="25"/>
      <c r="S14" s="25"/>
      <c r="T14" s="26"/>
      <c r="U14" s="26"/>
      <c r="V14" s="26"/>
      <c r="W14" s="26"/>
      <c r="X14" s="26"/>
      <c r="Y14" s="31">
        <v>1397.5</v>
      </c>
      <c r="Z14" s="25"/>
      <c r="AA14" s="25"/>
      <c r="AB14" s="25"/>
      <c r="AC14" s="26"/>
      <c r="AD14" s="26"/>
      <c r="AE14" s="27"/>
      <c r="AF14" s="27"/>
      <c r="AG14" s="28">
        <f t="shared" si="3"/>
        <v>-1565.2</v>
      </c>
      <c r="AH14" s="29">
        <f t="shared" si="4"/>
        <v>0</v>
      </c>
    </row>
    <row r="15" spans="1:34" s="30" customFormat="1" ht="18.75" customHeight="1" x14ac:dyDescent="0.2">
      <c r="A15" s="18">
        <v>43193</v>
      </c>
      <c r="B15" s="19"/>
      <c r="C15" s="20" t="s">
        <v>96</v>
      </c>
      <c r="D15" s="20"/>
      <c r="E15" s="20"/>
      <c r="F15" s="21"/>
      <c r="G15" s="22" t="s">
        <v>402</v>
      </c>
      <c r="H15" s="23">
        <v>140</v>
      </c>
      <c r="I15" s="23"/>
      <c r="J15" s="23"/>
      <c r="K15" s="23"/>
      <c r="L15" s="24"/>
      <c r="M15" s="25">
        <f t="shared" si="0"/>
        <v>140</v>
      </c>
      <c r="N15" s="25">
        <f t="shared" si="1"/>
        <v>0</v>
      </c>
      <c r="O15" s="25">
        <f t="shared" si="2"/>
        <v>0</v>
      </c>
      <c r="P15" s="25"/>
      <c r="Q15" s="25"/>
      <c r="R15" s="25"/>
      <c r="S15" s="25"/>
      <c r="T15" s="26"/>
      <c r="U15" s="26"/>
      <c r="V15" s="26"/>
      <c r="W15" s="26"/>
      <c r="X15" s="26"/>
      <c r="Y15" s="31"/>
      <c r="Z15" s="25"/>
      <c r="AA15" s="25">
        <v>140</v>
      </c>
      <c r="AB15" s="25"/>
      <c r="AC15" s="26"/>
      <c r="AD15" s="26"/>
      <c r="AE15" s="27"/>
      <c r="AF15" s="27"/>
      <c r="AG15" s="28">
        <f t="shared" si="3"/>
        <v>-140</v>
      </c>
      <c r="AH15" s="29">
        <f t="shared" si="4"/>
        <v>0</v>
      </c>
    </row>
    <row r="16" spans="1:34" s="30" customFormat="1" ht="18.75" customHeight="1" x14ac:dyDescent="0.2">
      <c r="A16" s="18">
        <v>43194</v>
      </c>
      <c r="B16" s="19"/>
      <c r="C16" s="20" t="s">
        <v>276</v>
      </c>
      <c r="D16" s="20" t="s">
        <v>52</v>
      </c>
      <c r="E16" s="20" t="s">
        <v>277</v>
      </c>
      <c r="F16" s="21">
        <v>31257</v>
      </c>
      <c r="G16" s="22" t="s">
        <v>159</v>
      </c>
      <c r="H16" s="23"/>
      <c r="I16" s="23"/>
      <c r="J16" s="23"/>
      <c r="K16" s="23">
        <v>465</v>
      </c>
      <c r="L16" s="24"/>
      <c r="M16" s="25">
        <f t="shared" si="0"/>
        <v>415.17857142857139</v>
      </c>
      <c r="N16" s="25">
        <f t="shared" si="1"/>
        <v>49.821428571428562</v>
      </c>
      <c r="O16" s="25">
        <f t="shared" si="2"/>
        <v>0</v>
      </c>
      <c r="P16" s="25">
        <v>415.18</v>
      </c>
      <c r="Q16" s="25"/>
      <c r="R16" s="25"/>
      <c r="S16" s="25"/>
      <c r="T16" s="26"/>
      <c r="U16" s="26"/>
      <c r="V16" s="26"/>
      <c r="W16" s="26"/>
      <c r="X16" s="26"/>
      <c r="Y16" s="31"/>
      <c r="Z16" s="25"/>
      <c r="AA16" s="25"/>
      <c r="AB16" s="25"/>
      <c r="AC16" s="26"/>
      <c r="AD16" s="26"/>
      <c r="AE16" s="27"/>
      <c r="AF16" s="27"/>
      <c r="AG16" s="28">
        <f t="shared" si="3"/>
        <v>-465.00142857142856</v>
      </c>
      <c r="AH16" s="29">
        <f t="shared" si="4"/>
        <v>-1.4285714285620088E-3</v>
      </c>
    </row>
    <row r="17" spans="1:34" s="30" customFormat="1" ht="18.75" customHeight="1" x14ac:dyDescent="0.2">
      <c r="A17" s="18">
        <v>43194</v>
      </c>
      <c r="B17" s="19"/>
      <c r="C17" s="20" t="s">
        <v>396</v>
      </c>
      <c r="D17" s="20" t="s">
        <v>60</v>
      </c>
      <c r="E17" s="20" t="s">
        <v>397</v>
      </c>
      <c r="F17" s="21">
        <v>6673330</v>
      </c>
      <c r="G17" s="22" t="s">
        <v>403</v>
      </c>
      <c r="H17" s="23"/>
      <c r="I17" s="23"/>
      <c r="J17" s="23"/>
      <c r="K17" s="23">
        <v>49.75</v>
      </c>
      <c r="L17" s="24"/>
      <c r="M17" s="25">
        <f t="shared" si="0"/>
        <v>44.419642857142854</v>
      </c>
      <c r="N17" s="25">
        <f t="shared" si="1"/>
        <v>5.3303571428571423</v>
      </c>
      <c r="O17" s="25">
        <f t="shared" si="2"/>
        <v>0</v>
      </c>
      <c r="P17" s="25"/>
      <c r="Q17" s="25"/>
      <c r="R17" s="25"/>
      <c r="S17" s="25"/>
      <c r="T17" s="26">
        <v>44.42</v>
      </c>
      <c r="U17" s="26"/>
      <c r="V17" s="26"/>
      <c r="W17" s="26"/>
      <c r="X17" s="26"/>
      <c r="Y17" s="31"/>
      <c r="Z17" s="25"/>
      <c r="AA17" s="25"/>
      <c r="AB17" s="25"/>
      <c r="AC17" s="26"/>
      <c r="AD17" s="26"/>
      <c r="AE17" s="27"/>
      <c r="AF17" s="27"/>
      <c r="AG17" s="28">
        <f t="shared" si="3"/>
        <v>-49.750357142857141</v>
      </c>
      <c r="AH17" s="29">
        <f t="shared" si="4"/>
        <v>-3.571428571405022E-4</v>
      </c>
    </row>
    <row r="18" spans="1:34" s="30" customFormat="1" ht="18.75" customHeight="1" x14ac:dyDescent="0.2">
      <c r="A18" s="18">
        <v>43196</v>
      </c>
      <c r="B18" s="19"/>
      <c r="C18" s="20" t="s">
        <v>276</v>
      </c>
      <c r="D18" s="20" t="s">
        <v>52</v>
      </c>
      <c r="E18" s="20" t="s">
        <v>277</v>
      </c>
      <c r="F18" s="21">
        <v>29725</v>
      </c>
      <c r="G18" s="22" t="s">
        <v>404</v>
      </c>
      <c r="H18" s="23"/>
      <c r="I18" s="23"/>
      <c r="J18" s="23"/>
      <c r="K18" s="23">
        <v>78.39</v>
      </c>
      <c r="L18" s="24"/>
      <c r="M18" s="25">
        <f t="shared" si="0"/>
        <v>69.991071428571416</v>
      </c>
      <c r="N18" s="25">
        <f t="shared" si="1"/>
        <v>8.39892857142857</v>
      </c>
      <c r="O18" s="25">
        <f t="shared" si="2"/>
        <v>0</v>
      </c>
      <c r="P18" s="25">
        <v>69.989999999999995</v>
      </c>
      <c r="Q18" s="25"/>
      <c r="R18" s="25"/>
      <c r="S18" s="25"/>
      <c r="T18" s="26"/>
      <c r="U18" s="26"/>
      <c r="V18" s="26"/>
      <c r="W18" s="26"/>
      <c r="X18" s="26"/>
      <c r="Y18" s="31"/>
      <c r="Z18" s="25"/>
      <c r="AA18" s="25"/>
      <c r="AB18" s="25"/>
      <c r="AC18" s="26"/>
      <c r="AD18" s="26"/>
      <c r="AE18" s="27"/>
      <c r="AF18" s="27"/>
      <c r="AG18" s="28">
        <f t="shared" si="3"/>
        <v>-78.388928571428565</v>
      </c>
      <c r="AH18" s="29">
        <f t="shared" si="4"/>
        <v>1.0714285714357175E-3</v>
      </c>
    </row>
    <row r="19" spans="1:34" s="46" customFormat="1" ht="19.5" customHeight="1" x14ac:dyDescent="0.2">
      <c r="A19" s="33">
        <v>43196</v>
      </c>
      <c r="B19" s="34"/>
      <c r="C19" s="64" t="s">
        <v>68</v>
      </c>
      <c r="D19" s="64"/>
      <c r="E19" s="64"/>
      <c r="F19" s="37"/>
      <c r="G19" s="38"/>
      <c r="H19" s="39">
        <v>50</v>
      </c>
      <c r="I19" s="39"/>
      <c r="J19" s="39"/>
      <c r="K19" s="39"/>
      <c r="L19" s="40"/>
      <c r="M19" s="41">
        <f t="shared" si="0"/>
        <v>50</v>
      </c>
      <c r="N19" s="41">
        <f t="shared" si="1"/>
        <v>0</v>
      </c>
      <c r="O19" s="41">
        <f t="shared" si="2"/>
        <v>0</v>
      </c>
      <c r="P19" s="41"/>
      <c r="Q19" s="41"/>
      <c r="R19" s="41"/>
      <c r="S19" s="41"/>
      <c r="T19" s="42"/>
      <c r="U19" s="42"/>
      <c r="V19" s="42"/>
      <c r="W19" s="42"/>
      <c r="X19" s="42"/>
      <c r="Y19" s="41"/>
      <c r="Z19" s="41"/>
      <c r="AA19" s="41">
        <v>50</v>
      </c>
      <c r="AB19" s="41"/>
      <c r="AC19" s="42"/>
      <c r="AD19" s="42"/>
      <c r="AE19" s="43"/>
      <c r="AF19" s="43"/>
      <c r="AG19" s="44">
        <f t="shared" si="3"/>
        <v>-50</v>
      </c>
      <c r="AH19" s="45">
        <f t="shared" si="4"/>
        <v>0</v>
      </c>
    </row>
    <row r="20" spans="1:34" s="30" customFormat="1" ht="21.75" customHeight="1" x14ac:dyDescent="0.2">
      <c r="A20" s="18">
        <v>43197</v>
      </c>
      <c r="B20" s="19"/>
      <c r="C20" s="20" t="s">
        <v>63</v>
      </c>
      <c r="D20" s="20" t="s">
        <v>64</v>
      </c>
      <c r="E20" s="20" t="s">
        <v>65</v>
      </c>
      <c r="F20" s="21">
        <v>112540</v>
      </c>
      <c r="G20" s="21" t="s">
        <v>405</v>
      </c>
      <c r="H20" s="23"/>
      <c r="I20" s="23"/>
      <c r="J20" s="23"/>
      <c r="K20" s="23">
        <v>1074.9000000000001</v>
      </c>
      <c r="L20" s="24"/>
      <c r="M20" s="25">
        <f t="shared" si="0"/>
        <v>959.73214285714289</v>
      </c>
      <c r="N20" s="25">
        <f t="shared" si="1"/>
        <v>115.16785714285714</v>
      </c>
      <c r="O20" s="25">
        <f t="shared" si="2"/>
        <v>0</v>
      </c>
      <c r="P20" s="25">
        <v>959.73</v>
      </c>
      <c r="Q20" s="25"/>
      <c r="R20" s="25"/>
      <c r="S20" s="25"/>
      <c r="T20" s="26"/>
      <c r="U20" s="26"/>
      <c r="V20" s="26"/>
      <c r="W20" s="26"/>
      <c r="X20" s="26"/>
      <c r="Y20" s="31"/>
      <c r="Z20" s="25"/>
      <c r="AA20" s="25"/>
      <c r="AB20" s="25"/>
      <c r="AC20" s="25"/>
      <c r="AD20" s="25"/>
      <c r="AE20" s="25"/>
      <c r="AF20" s="25"/>
      <c r="AG20" s="25">
        <f t="shared" si="3"/>
        <v>-1074.8978571428572</v>
      </c>
      <c r="AH20" s="29">
        <f t="shared" si="4"/>
        <v>2.1428571428714349E-3</v>
      </c>
    </row>
    <row r="21" spans="1:34" s="30" customFormat="1" ht="18.75" customHeight="1" x14ac:dyDescent="0.2">
      <c r="A21" s="18">
        <v>43200</v>
      </c>
      <c r="B21" s="19"/>
      <c r="C21" s="20" t="s">
        <v>396</v>
      </c>
      <c r="D21" s="20" t="s">
        <v>60</v>
      </c>
      <c r="E21" s="20" t="s">
        <v>397</v>
      </c>
      <c r="F21" s="21">
        <v>668277</v>
      </c>
      <c r="G21" s="22" t="s">
        <v>406</v>
      </c>
      <c r="H21" s="23"/>
      <c r="I21" s="23"/>
      <c r="J21" s="23"/>
      <c r="K21" s="23">
        <v>417.25</v>
      </c>
      <c r="L21" s="24"/>
      <c r="M21" s="25">
        <f t="shared" si="0"/>
        <v>372.54464285714283</v>
      </c>
      <c r="N21" s="25">
        <f t="shared" si="1"/>
        <v>44.705357142857139</v>
      </c>
      <c r="O21" s="25">
        <f t="shared" si="2"/>
        <v>0</v>
      </c>
      <c r="P21" s="25"/>
      <c r="Q21" s="25"/>
      <c r="R21" s="25"/>
      <c r="S21" s="25"/>
      <c r="T21" s="26">
        <v>372.54</v>
      </c>
      <c r="U21" s="26"/>
      <c r="V21" s="26"/>
      <c r="W21" s="26"/>
      <c r="X21" s="26"/>
      <c r="Y21" s="31"/>
      <c r="Z21" s="25"/>
      <c r="AA21" s="25"/>
      <c r="AB21" s="25"/>
      <c r="AC21" s="25"/>
      <c r="AD21" s="25"/>
      <c r="AE21" s="25"/>
      <c r="AF21" s="25"/>
      <c r="AG21" s="25">
        <f t="shared" si="3"/>
        <v>-417.24535714285719</v>
      </c>
      <c r="AH21" s="29">
        <f t="shared" si="4"/>
        <v>4.6428571428123178E-3</v>
      </c>
    </row>
    <row r="22" spans="1:34" s="30" customFormat="1" ht="19.5" customHeight="1" x14ac:dyDescent="0.2">
      <c r="A22" s="18">
        <v>43201</v>
      </c>
      <c r="B22" s="19"/>
      <c r="C22" s="20" t="s">
        <v>276</v>
      </c>
      <c r="D22" s="20" t="s">
        <v>52</v>
      </c>
      <c r="E22" s="20" t="s">
        <v>277</v>
      </c>
      <c r="F22" s="21">
        <v>31238</v>
      </c>
      <c r="G22" s="22" t="s">
        <v>407</v>
      </c>
      <c r="H22" s="23"/>
      <c r="I22" s="23"/>
      <c r="J22" s="23"/>
      <c r="K22" s="23">
        <v>28.5</v>
      </c>
      <c r="L22" s="24"/>
      <c r="M22" s="25">
        <f t="shared" si="0"/>
        <v>25.446428571428569</v>
      </c>
      <c r="N22" s="25">
        <f t="shared" si="1"/>
        <v>3.0535714285714284</v>
      </c>
      <c r="O22" s="25">
        <f t="shared" si="2"/>
        <v>0</v>
      </c>
      <c r="P22" s="25"/>
      <c r="Q22" s="25"/>
      <c r="R22" s="25">
        <v>25.45</v>
      </c>
      <c r="S22" s="25"/>
      <c r="T22" s="26"/>
      <c r="U22" s="26"/>
      <c r="V22" s="26"/>
      <c r="W22" s="26"/>
      <c r="X22" s="26"/>
      <c r="Y22" s="31"/>
      <c r="Z22" s="25"/>
      <c r="AA22" s="25"/>
      <c r="AB22" s="25"/>
      <c r="AC22" s="25"/>
      <c r="AD22" s="25"/>
      <c r="AE22" s="25"/>
      <c r="AF22" s="25"/>
      <c r="AG22" s="25">
        <f t="shared" si="3"/>
        <v>-28.503571428571426</v>
      </c>
      <c r="AH22" s="29">
        <f t="shared" si="4"/>
        <v>-3.5714285714263383E-3</v>
      </c>
    </row>
    <row r="23" spans="1:34" s="30" customFormat="1" ht="21.75" customHeight="1" x14ac:dyDescent="0.2">
      <c r="A23" s="18">
        <v>43201</v>
      </c>
      <c r="B23" s="19"/>
      <c r="C23" s="20" t="s">
        <v>408</v>
      </c>
      <c r="D23" s="20" t="s">
        <v>409</v>
      </c>
      <c r="E23" s="20" t="s">
        <v>120</v>
      </c>
      <c r="F23" s="21">
        <v>264352</v>
      </c>
      <c r="G23" s="22" t="s">
        <v>410</v>
      </c>
      <c r="H23" s="23"/>
      <c r="I23" s="23"/>
      <c r="J23" s="23"/>
      <c r="K23" s="23">
        <v>49.5</v>
      </c>
      <c r="L23" s="24"/>
      <c r="M23" s="25">
        <f t="shared" si="0"/>
        <v>44.196428571428569</v>
      </c>
      <c r="N23" s="25">
        <f t="shared" si="1"/>
        <v>5.3035714285714279</v>
      </c>
      <c r="O23" s="25">
        <f t="shared" si="2"/>
        <v>0</v>
      </c>
      <c r="P23" s="25"/>
      <c r="Q23" s="25"/>
      <c r="R23" s="25"/>
      <c r="S23" s="25"/>
      <c r="T23" s="26"/>
      <c r="U23" s="26"/>
      <c r="V23" s="26"/>
      <c r="W23" s="26"/>
      <c r="X23" s="26"/>
      <c r="Y23" s="31">
        <v>44.2</v>
      </c>
      <c r="Z23" s="25"/>
      <c r="AA23" s="25"/>
      <c r="AB23" s="25"/>
      <c r="AC23" s="25"/>
      <c r="AD23" s="25"/>
      <c r="AE23" s="25"/>
      <c r="AF23" s="25"/>
      <c r="AG23" s="25">
        <f t="shared" si="3"/>
        <v>-49.503571428571433</v>
      </c>
      <c r="AH23" s="29">
        <f t="shared" si="4"/>
        <v>-3.5714285714334437E-3</v>
      </c>
    </row>
    <row r="24" spans="1:34" s="30" customFormat="1" ht="19.5" customHeight="1" x14ac:dyDescent="0.2">
      <c r="A24" s="18">
        <v>43202</v>
      </c>
      <c r="B24" s="19"/>
      <c r="C24" s="20" t="s">
        <v>63</v>
      </c>
      <c r="D24" s="20" t="s">
        <v>64</v>
      </c>
      <c r="E24" s="20" t="s">
        <v>65</v>
      </c>
      <c r="F24" s="21">
        <v>50123</v>
      </c>
      <c r="G24" s="22" t="s">
        <v>411</v>
      </c>
      <c r="H24" s="23"/>
      <c r="I24" s="23"/>
      <c r="J24" s="23"/>
      <c r="K24" s="23">
        <v>1070</v>
      </c>
      <c r="L24" s="24"/>
      <c r="M24" s="25">
        <f t="shared" si="0"/>
        <v>955.35714285714278</v>
      </c>
      <c r="N24" s="25">
        <f t="shared" si="1"/>
        <v>114.64285714285712</v>
      </c>
      <c r="O24" s="25">
        <f t="shared" si="2"/>
        <v>0</v>
      </c>
      <c r="P24" s="25"/>
      <c r="Q24" s="25"/>
      <c r="R24" s="25"/>
      <c r="S24" s="25"/>
      <c r="T24" s="26"/>
      <c r="U24" s="26"/>
      <c r="V24" s="26"/>
      <c r="W24" s="26"/>
      <c r="X24" s="26"/>
      <c r="Y24" s="31">
        <v>955.36</v>
      </c>
      <c r="Z24" s="25"/>
      <c r="AA24" s="25"/>
      <c r="AB24" s="25"/>
      <c r="AC24" s="25"/>
      <c r="AD24" s="25"/>
      <c r="AE24" s="25"/>
      <c r="AF24" s="25"/>
      <c r="AG24" s="25">
        <f t="shared" si="3"/>
        <v>-1070.0028571428572</v>
      </c>
      <c r="AH24" s="29">
        <f t="shared" si="4"/>
        <v>-2.8571428572377044E-3</v>
      </c>
    </row>
    <row r="25" spans="1:34" s="30" customFormat="1" ht="22.5" customHeight="1" x14ac:dyDescent="0.2">
      <c r="A25" s="18">
        <v>43202</v>
      </c>
      <c r="B25" s="19"/>
      <c r="C25" s="20" t="s">
        <v>63</v>
      </c>
      <c r="D25" s="20" t="s">
        <v>64</v>
      </c>
      <c r="E25" s="20" t="s">
        <v>65</v>
      </c>
      <c r="F25" s="21">
        <v>81127</v>
      </c>
      <c r="G25" s="22" t="s">
        <v>412</v>
      </c>
      <c r="H25" s="23"/>
      <c r="I25" s="23"/>
      <c r="J25" s="23">
        <v>542.79999999999995</v>
      </c>
      <c r="K25" s="23"/>
      <c r="L25" s="24"/>
      <c r="M25" s="25">
        <f t="shared" si="0"/>
        <v>542.79999999999995</v>
      </c>
      <c r="N25" s="25">
        <f t="shared" si="1"/>
        <v>0</v>
      </c>
      <c r="O25" s="25">
        <f t="shared" si="2"/>
        <v>0</v>
      </c>
      <c r="P25" s="25">
        <v>542.79999999999995</v>
      </c>
      <c r="Q25" s="25"/>
      <c r="R25" s="25"/>
      <c r="S25" s="25"/>
      <c r="T25" s="26"/>
      <c r="U25" s="26"/>
      <c r="V25" s="26"/>
      <c r="W25" s="26"/>
      <c r="X25" s="26"/>
      <c r="Y25" s="31"/>
      <c r="Z25" s="25"/>
      <c r="AA25" s="25"/>
      <c r="AB25" s="25"/>
      <c r="AC25" s="25"/>
      <c r="AD25" s="25"/>
      <c r="AE25" s="25"/>
      <c r="AF25" s="25"/>
      <c r="AG25" s="25">
        <f t="shared" si="3"/>
        <v>-542.79999999999995</v>
      </c>
      <c r="AH25" s="29">
        <f t="shared" si="4"/>
        <v>0</v>
      </c>
    </row>
    <row r="26" spans="1:34" s="30" customFormat="1" ht="19.5" customHeight="1" x14ac:dyDescent="0.2">
      <c r="A26" s="18">
        <v>43202</v>
      </c>
      <c r="B26" s="19"/>
      <c r="C26" s="20" t="s">
        <v>63</v>
      </c>
      <c r="D26" s="20" t="s">
        <v>64</v>
      </c>
      <c r="E26" s="20" t="s">
        <v>65</v>
      </c>
      <c r="F26" s="21">
        <v>81127</v>
      </c>
      <c r="G26" s="22" t="s">
        <v>413</v>
      </c>
      <c r="H26" s="23"/>
      <c r="I26" s="23"/>
      <c r="J26" s="23"/>
      <c r="K26" s="23">
        <f>179.38+21.53</f>
        <v>200.91</v>
      </c>
      <c r="L26" s="24"/>
      <c r="M26" s="25">
        <f t="shared" si="0"/>
        <v>179.38392857142856</v>
      </c>
      <c r="N26" s="25">
        <f t="shared" si="1"/>
        <v>21.526071428571427</v>
      </c>
      <c r="O26" s="25">
        <f t="shared" si="2"/>
        <v>0</v>
      </c>
      <c r="P26" s="25">
        <v>179.38</v>
      </c>
      <c r="Q26" s="25"/>
      <c r="R26" s="25"/>
      <c r="S26" s="25"/>
      <c r="T26" s="26"/>
      <c r="U26" s="26"/>
      <c r="V26" s="26"/>
      <c r="W26" s="26"/>
      <c r="X26" s="26"/>
      <c r="Y26" s="31"/>
      <c r="Z26" s="25"/>
      <c r="AA26" s="25"/>
      <c r="AB26" s="25"/>
      <c r="AC26" s="25"/>
      <c r="AD26" s="25"/>
      <c r="AE26" s="25"/>
      <c r="AF26" s="25"/>
      <c r="AG26" s="25">
        <f t="shared" si="3"/>
        <v>-200.90607142857141</v>
      </c>
      <c r="AH26" s="29">
        <f t="shared" si="4"/>
        <v>3.9285714285881568E-3</v>
      </c>
    </row>
    <row r="27" spans="1:34" s="30" customFormat="1" ht="18.75" customHeight="1" x14ac:dyDescent="0.2">
      <c r="A27" s="18">
        <v>43202</v>
      </c>
      <c r="B27" s="19"/>
      <c r="C27" s="20" t="s">
        <v>396</v>
      </c>
      <c r="D27" s="20" t="s">
        <v>60</v>
      </c>
      <c r="E27" s="20" t="s">
        <v>397</v>
      </c>
      <c r="F27" s="21">
        <v>668756</v>
      </c>
      <c r="G27" s="22" t="s">
        <v>414</v>
      </c>
      <c r="H27" s="23"/>
      <c r="I27" s="23"/>
      <c r="J27" s="23"/>
      <c r="K27" s="23">
        <v>7.5</v>
      </c>
      <c r="L27" s="24"/>
      <c r="M27" s="25">
        <f t="shared" si="0"/>
        <v>6.6964285714285712</v>
      </c>
      <c r="N27" s="25">
        <f t="shared" si="1"/>
        <v>0.80357142857142849</v>
      </c>
      <c r="O27" s="25">
        <f t="shared" si="2"/>
        <v>0</v>
      </c>
      <c r="P27" s="25"/>
      <c r="Q27" s="25"/>
      <c r="R27" s="25"/>
      <c r="S27" s="25"/>
      <c r="T27" s="26">
        <v>6.7</v>
      </c>
      <c r="U27" s="26"/>
      <c r="V27" s="26"/>
      <c r="W27" s="26"/>
      <c r="X27" s="26"/>
      <c r="Y27" s="31"/>
      <c r="Z27" s="25"/>
      <c r="AA27" s="25"/>
      <c r="AB27" s="25"/>
      <c r="AC27" s="25"/>
      <c r="AD27" s="25"/>
      <c r="AE27" s="25"/>
      <c r="AF27" s="25"/>
      <c r="AG27" s="25">
        <f t="shared" si="3"/>
        <v>-7.503571428571429</v>
      </c>
      <c r="AH27" s="29">
        <f t="shared" si="4"/>
        <v>-3.5714285714290028E-3</v>
      </c>
    </row>
    <row r="28" spans="1:34" s="30" customFormat="1" ht="26.25" customHeight="1" x14ac:dyDescent="0.2">
      <c r="A28" s="18">
        <v>43203</v>
      </c>
      <c r="B28" s="19"/>
      <c r="C28" s="20" t="s">
        <v>415</v>
      </c>
      <c r="D28" s="20"/>
      <c r="E28" s="20"/>
      <c r="F28" s="21"/>
      <c r="G28" s="22" t="s">
        <v>416</v>
      </c>
      <c r="H28" s="23">
        <v>50</v>
      </c>
      <c r="I28" s="23"/>
      <c r="J28" s="23"/>
      <c r="K28" s="23"/>
      <c r="L28" s="24"/>
      <c r="M28" s="25">
        <f t="shared" si="0"/>
        <v>50</v>
      </c>
      <c r="N28" s="25">
        <f t="shared" si="1"/>
        <v>0</v>
      </c>
      <c r="O28" s="25">
        <f t="shared" si="2"/>
        <v>0</v>
      </c>
      <c r="P28" s="25"/>
      <c r="Q28" s="25"/>
      <c r="R28" s="25"/>
      <c r="S28" s="25"/>
      <c r="T28" s="26"/>
      <c r="U28" s="26"/>
      <c r="V28" s="26"/>
      <c r="W28" s="26"/>
      <c r="X28" s="26"/>
      <c r="Y28" s="31"/>
      <c r="Z28" s="25"/>
      <c r="AA28" s="25">
        <v>50</v>
      </c>
      <c r="AB28" s="25"/>
      <c r="AC28" s="26"/>
      <c r="AD28" s="26"/>
      <c r="AE28" s="27"/>
      <c r="AF28" s="27"/>
      <c r="AG28" s="28">
        <f t="shared" si="3"/>
        <v>-50</v>
      </c>
      <c r="AH28" s="29">
        <f t="shared" si="4"/>
        <v>0</v>
      </c>
    </row>
    <row r="29" spans="1:34" s="46" customFormat="1" ht="27" customHeight="1" x14ac:dyDescent="0.2">
      <c r="A29" s="33">
        <v>43203</v>
      </c>
      <c r="B29" s="34"/>
      <c r="C29" s="36" t="s">
        <v>68</v>
      </c>
      <c r="D29" s="36"/>
      <c r="E29" s="36"/>
      <c r="F29" s="37"/>
      <c r="G29" s="38" t="s">
        <v>417</v>
      </c>
      <c r="H29" s="39">
        <v>50</v>
      </c>
      <c r="I29" s="39"/>
      <c r="J29" s="39"/>
      <c r="K29" s="39"/>
      <c r="L29" s="40"/>
      <c r="M29" s="41">
        <f t="shared" si="0"/>
        <v>50</v>
      </c>
      <c r="N29" s="41">
        <f t="shared" si="1"/>
        <v>0</v>
      </c>
      <c r="O29" s="41">
        <f t="shared" si="2"/>
        <v>0</v>
      </c>
      <c r="P29" s="41"/>
      <c r="Q29" s="41"/>
      <c r="R29" s="41"/>
      <c r="S29" s="41"/>
      <c r="T29" s="42"/>
      <c r="U29" s="42"/>
      <c r="V29" s="42"/>
      <c r="W29" s="42"/>
      <c r="X29" s="42"/>
      <c r="Y29" s="41"/>
      <c r="Z29" s="41"/>
      <c r="AA29" s="41">
        <v>50</v>
      </c>
      <c r="AB29" s="41"/>
      <c r="AC29" s="42"/>
      <c r="AD29" s="42"/>
      <c r="AE29" s="43"/>
      <c r="AF29" s="43"/>
      <c r="AG29" s="44">
        <f t="shared" si="3"/>
        <v>-50</v>
      </c>
      <c r="AH29" s="45">
        <f t="shared" si="4"/>
        <v>0</v>
      </c>
    </row>
    <row r="30" spans="1:34" s="30" customFormat="1" ht="21.75" customHeight="1" x14ac:dyDescent="0.2">
      <c r="A30" s="18">
        <v>43204</v>
      </c>
      <c r="B30" s="19"/>
      <c r="C30" s="20" t="s">
        <v>396</v>
      </c>
      <c r="D30" s="20" t="s">
        <v>60</v>
      </c>
      <c r="E30" s="20" t="s">
        <v>397</v>
      </c>
      <c r="F30" s="21">
        <v>669083</v>
      </c>
      <c r="G30" s="21" t="s">
        <v>418</v>
      </c>
      <c r="H30" s="23"/>
      <c r="I30" s="23"/>
      <c r="J30" s="23"/>
      <c r="K30" s="23">
        <v>177.5</v>
      </c>
      <c r="L30" s="24"/>
      <c r="M30" s="25">
        <f t="shared" si="0"/>
        <v>158.48214285714283</v>
      </c>
      <c r="N30" s="25">
        <f t="shared" si="1"/>
        <v>19.017857142857139</v>
      </c>
      <c r="O30" s="25">
        <f t="shared" si="2"/>
        <v>0</v>
      </c>
      <c r="P30" s="25"/>
      <c r="Q30" s="25"/>
      <c r="R30" s="25"/>
      <c r="S30" s="25"/>
      <c r="T30" s="26">
        <v>158.47999999999999</v>
      </c>
      <c r="U30" s="26"/>
      <c r="V30" s="26"/>
      <c r="W30" s="26"/>
      <c r="X30" s="26"/>
      <c r="Y30" s="31"/>
      <c r="Z30" s="25"/>
      <c r="AA30" s="25"/>
      <c r="AB30" s="25"/>
      <c r="AC30" s="25"/>
      <c r="AD30" s="25"/>
      <c r="AE30" s="25"/>
      <c r="AF30" s="25"/>
      <c r="AG30" s="25">
        <f t="shared" si="3"/>
        <v>-177.49785714285713</v>
      </c>
      <c r="AH30" s="29">
        <f t="shared" si="4"/>
        <v>2.1428571428714349E-3</v>
      </c>
    </row>
    <row r="31" spans="1:34" s="30" customFormat="1" ht="21.75" customHeight="1" x14ac:dyDescent="0.2">
      <c r="A31" s="18">
        <v>43204</v>
      </c>
      <c r="B31" s="19"/>
      <c r="C31" s="20" t="s">
        <v>41</v>
      </c>
      <c r="D31" s="20" t="s">
        <v>88</v>
      </c>
      <c r="E31" s="20" t="s">
        <v>43</v>
      </c>
      <c r="F31" s="21">
        <v>2381</v>
      </c>
      <c r="G31" s="22" t="s">
        <v>392</v>
      </c>
      <c r="H31" s="23"/>
      <c r="I31" s="23"/>
      <c r="J31" s="23">
        <v>1925</v>
      </c>
      <c r="K31" s="23"/>
      <c r="L31" s="24"/>
      <c r="M31" s="25">
        <f t="shared" si="0"/>
        <v>1925</v>
      </c>
      <c r="N31" s="25">
        <f t="shared" si="1"/>
        <v>0</v>
      </c>
      <c r="O31" s="25">
        <f t="shared" si="2"/>
        <v>0</v>
      </c>
      <c r="P31" s="25">
        <v>1925</v>
      </c>
      <c r="Q31" s="25"/>
      <c r="R31" s="25"/>
      <c r="S31" s="25"/>
      <c r="T31" s="26"/>
      <c r="U31" s="26"/>
      <c r="V31" s="26"/>
      <c r="W31" s="26"/>
      <c r="X31" s="26"/>
      <c r="Y31" s="31"/>
      <c r="Z31" s="25"/>
      <c r="AA31" s="25"/>
      <c r="AB31" s="25"/>
      <c r="AC31" s="25"/>
      <c r="AD31" s="25"/>
      <c r="AE31" s="25"/>
      <c r="AF31" s="25"/>
      <c r="AG31" s="25">
        <f t="shared" si="3"/>
        <v>-1925</v>
      </c>
      <c r="AH31" s="29">
        <f t="shared" si="4"/>
        <v>0</v>
      </c>
    </row>
    <row r="32" spans="1:34" s="30" customFormat="1" ht="21.75" customHeight="1" x14ac:dyDescent="0.2">
      <c r="A32" s="18">
        <v>43204</v>
      </c>
      <c r="B32" s="19"/>
      <c r="C32" s="20" t="s">
        <v>45</v>
      </c>
      <c r="D32" s="20"/>
      <c r="E32" s="20"/>
      <c r="F32" s="21"/>
      <c r="G32" s="22" t="s">
        <v>419</v>
      </c>
      <c r="H32" s="23">
        <v>100</v>
      </c>
      <c r="I32" s="23"/>
      <c r="J32" s="23"/>
      <c r="K32" s="23"/>
      <c r="L32" s="24"/>
      <c r="M32" s="25">
        <f t="shared" si="0"/>
        <v>100</v>
      </c>
      <c r="N32" s="25">
        <f t="shared" si="1"/>
        <v>0</v>
      </c>
      <c r="O32" s="25">
        <f t="shared" si="2"/>
        <v>0</v>
      </c>
      <c r="P32" s="25"/>
      <c r="Q32" s="25"/>
      <c r="R32" s="25"/>
      <c r="S32" s="25"/>
      <c r="T32" s="26"/>
      <c r="U32" s="26"/>
      <c r="V32" s="26"/>
      <c r="W32" s="26"/>
      <c r="X32" s="26"/>
      <c r="Y32" s="31"/>
      <c r="Z32" s="25"/>
      <c r="AA32" s="25">
        <v>100</v>
      </c>
      <c r="AB32" s="25"/>
      <c r="AC32" s="25"/>
      <c r="AD32" s="25"/>
      <c r="AE32" s="25"/>
      <c r="AF32" s="25"/>
      <c r="AG32" s="25">
        <f t="shared" si="3"/>
        <v>-100</v>
      </c>
      <c r="AH32" s="29">
        <f t="shared" si="4"/>
        <v>0</v>
      </c>
    </row>
    <row r="33" spans="1:34" s="30" customFormat="1" ht="21.75" customHeight="1" x14ac:dyDescent="0.2">
      <c r="A33" s="18">
        <v>43204</v>
      </c>
      <c r="B33" s="19"/>
      <c r="C33" s="20" t="s">
        <v>276</v>
      </c>
      <c r="D33" s="20" t="s">
        <v>52</v>
      </c>
      <c r="E33" s="20" t="s">
        <v>277</v>
      </c>
      <c r="F33" s="21">
        <v>27539</v>
      </c>
      <c r="G33" s="22" t="s">
        <v>420</v>
      </c>
      <c r="H33" s="23"/>
      <c r="I33" s="23"/>
      <c r="J33" s="23"/>
      <c r="K33" s="23">
        <v>196</v>
      </c>
      <c r="L33" s="24"/>
      <c r="M33" s="25">
        <f t="shared" si="0"/>
        <v>174.99999999999997</v>
      </c>
      <c r="N33" s="25">
        <f t="shared" si="1"/>
        <v>20.999999999999996</v>
      </c>
      <c r="O33" s="25">
        <f t="shared" si="2"/>
        <v>0</v>
      </c>
      <c r="P33" s="25"/>
      <c r="Q33" s="25"/>
      <c r="R33" s="25"/>
      <c r="S33" s="25">
        <v>175</v>
      </c>
      <c r="T33" s="26"/>
      <c r="U33" s="26"/>
      <c r="V33" s="26"/>
      <c r="W33" s="26"/>
      <c r="X33" s="26"/>
      <c r="Y33" s="31"/>
      <c r="Z33" s="25"/>
      <c r="AA33" s="25"/>
      <c r="AB33" s="25"/>
      <c r="AC33" s="25"/>
      <c r="AD33" s="25"/>
      <c r="AE33" s="25"/>
      <c r="AF33" s="25"/>
      <c r="AG33" s="25">
        <f t="shared" si="3"/>
        <v>-196</v>
      </c>
      <c r="AH33" s="29">
        <f t="shared" si="4"/>
        <v>0</v>
      </c>
    </row>
    <row r="34" spans="1:34" s="30" customFormat="1" ht="21.75" customHeight="1" x14ac:dyDescent="0.2">
      <c r="A34" s="18">
        <v>43206</v>
      </c>
      <c r="B34" s="19"/>
      <c r="C34" s="20" t="s">
        <v>63</v>
      </c>
      <c r="D34" s="20" t="s">
        <v>64</v>
      </c>
      <c r="E34" s="20" t="s">
        <v>65</v>
      </c>
      <c r="F34" s="21">
        <v>81563</v>
      </c>
      <c r="G34" s="22" t="s">
        <v>421</v>
      </c>
      <c r="H34" s="23"/>
      <c r="I34" s="23"/>
      <c r="J34" s="23">
        <v>773.45</v>
      </c>
      <c r="K34" s="23"/>
      <c r="L34" s="24"/>
      <c r="M34" s="25">
        <f t="shared" si="0"/>
        <v>773.45</v>
      </c>
      <c r="N34" s="25">
        <f t="shared" si="1"/>
        <v>0</v>
      </c>
      <c r="O34" s="25">
        <f t="shared" si="2"/>
        <v>0</v>
      </c>
      <c r="P34" s="25">
        <v>773.45</v>
      </c>
      <c r="Q34" s="25"/>
      <c r="R34" s="25"/>
      <c r="S34" s="25"/>
      <c r="T34" s="26"/>
      <c r="U34" s="26"/>
      <c r="V34" s="26"/>
      <c r="W34" s="26"/>
      <c r="X34" s="26"/>
      <c r="Y34" s="31"/>
      <c r="Z34" s="25"/>
      <c r="AA34" s="25"/>
      <c r="AB34" s="25"/>
      <c r="AC34" s="25"/>
      <c r="AD34" s="25"/>
      <c r="AE34" s="25"/>
      <c r="AF34" s="25"/>
      <c r="AG34" s="25">
        <f t="shared" si="3"/>
        <v>-773.45</v>
      </c>
      <c r="AH34" s="29">
        <f t="shared" si="4"/>
        <v>0</v>
      </c>
    </row>
    <row r="35" spans="1:34" s="30" customFormat="1" ht="21.75" customHeight="1" x14ac:dyDescent="0.2">
      <c r="A35" s="18">
        <v>43206</v>
      </c>
      <c r="B35" s="19"/>
      <c r="C35" s="20" t="s">
        <v>63</v>
      </c>
      <c r="D35" s="20" t="s">
        <v>64</v>
      </c>
      <c r="E35" s="20" t="s">
        <v>65</v>
      </c>
      <c r="F35" s="21">
        <v>81563</v>
      </c>
      <c r="G35" s="22" t="s">
        <v>422</v>
      </c>
      <c r="H35" s="23"/>
      <c r="I35" s="23"/>
      <c r="J35" s="23"/>
      <c r="K35" s="23">
        <f>1601.03+192.12</f>
        <v>1793.15</v>
      </c>
      <c r="L35" s="24"/>
      <c r="M35" s="25">
        <f t="shared" si="0"/>
        <v>1601.0267857142856</v>
      </c>
      <c r="N35" s="25">
        <f t="shared" si="1"/>
        <v>192.12321428571425</v>
      </c>
      <c r="O35" s="25">
        <f t="shared" si="2"/>
        <v>0</v>
      </c>
      <c r="P35" s="25">
        <v>1601.03</v>
      </c>
      <c r="Q35" s="25"/>
      <c r="R35" s="25"/>
      <c r="S35" s="25"/>
      <c r="T35" s="26"/>
      <c r="U35" s="26"/>
      <c r="V35" s="26"/>
      <c r="W35" s="26"/>
      <c r="X35" s="26"/>
      <c r="Y35" s="31"/>
      <c r="Z35" s="25"/>
      <c r="AA35" s="25"/>
      <c r="AB35" s="25"/>
      <c r="AC35" s="25"/>
      <c r="AD35" s="25"/>
      <c r="AE35" s="25"/>
      <c r="AF35" s="25"/>
      <c r="AG35" s="25">
        <f t="shared" si="3"/>
        <v>-1793.1532142857143</v>
      </c>
      <c r="AH35" s="29">
        <f t="shared" si="4"/>
        <v>-3.2142857141934655E-3</v>
      </c>
    </row>
    <row r="36" spans="1:34" s="30" customFormat="1" ht="21.75" customHeight="1" x14ac:dyDescent="0.2">
      <c r="A36" s="18">
        <v>43207</v>
      </c>
      <c r="B36" s="19"/>
      <c r="C36" s="20" t="s">
        <v>321</v>
      </c>
      <c r="D36" s="20" t="s">
        <v>423</v>
      </c>
      <c r="E36" s="20" t="s">
        <v>277</v>
      </c>
      <c r="F36" s="21">
        <v>29775</v>
      </c>
      <c r="G36" s="22" t="s">
        <v>245</v>
      </c>
      <c r="H36" s="23"/>
      <c r="I36" s="23"/>
      <c r="J36" s="23"/>
      <c r="K36" s="23">
        <v>106.5</v>
      </c>
      <c r="L36" s="24"/>
      <c r="M36" s="25">
        <f t="shared" si="0"/>
        <v>95.089285714285708</v>
      </c>
      <c r="N36" s="25">
        <f t="shared" si="1"/>
        <v>11.410714285714285</v>
      </c>
      <c r="O36" s="25">
        <f t="shared" si="2"/>
        <v>0</v>
      </c>
      <c r="P36" s="25"/>
      <c r="Q36" s="25">
        <v>95.09</v>
      </c>
      <c r="R36" s="25"/>
      <c r="S36" s="25"/>
      <c r="T36" s="26"/>
      <c r="U36" s="26"/>
      <c r="V36" s="26"/>
      <c r="W36" s="26"/>
      <c r="X36" s="26"/>
      <c r="Y36" s="31"/>
      <c r="Z36" s="25"/>
      <c r="AA36" s="25"/>
      <c r="AB36" s="25"/>
      <c r="AC36" s="25"/>
      <c r="AD36" s="25"/>
      <c r="AE36" s="25"/>
      <c r="AF36" s="25"/>
      <c r="AG36" s="25">
        <f t="shared" si="3"/>
        <v>-106.50071428571428</v>
      </c>
      <c r="AH36" s="29">
        <f t="shared" si="4"/>
        <v>-7.142857142810044E-4</v>
      </c>
    </row>
    <row r="37" spans="1:34" s="30" customFormat="1" ht="21.75" customHeight="1" x14ac:dyDescent="0.2">
      <c r="A37" s="18">
        <v>43207</v>
      </c>
      <c r="B37" s="19"/>
      <c r="C37" s="20" t="s">
        <v>45</v>
      </c>
      <c r="D37" s="20"/>
      <c r="E37" s="20"/>
      <c r="F37" s="21"/>
      <c r="G37" s="22" t="s">
        <v>424</v>
      </c>
      <c r="H37" s="23">
        <v>250</v>
      </c>
      <c r="I37" s="23"/>
      <c r="J37" s="23"/>
      <c r="K37" s="23"/>
      <c r="L37" s="24"/>
      <c r="M37" s="25">
        <f t="shared" ref="M37:M68" si="5">SUM(H37:J37,K37/1.12)</f>
        <v>250</v>
      </c>
      <c r="N37" s="25">
        <f t="shared" ref="N37:N68" si="6">K37/1.12*0.12</f>
        <v>0</v>
      </c>
      <c r="O37" s="25">
        <f t="shared" ref="O37:O68" si="7">-SUM(I37:J37,K37/1.12)*L37</f>
        <v>0</v>
      </c>
      <c r="P37" s="25"/>
      <c r="Q37" s="25"/>
      <c r="R37" s="25"/>
      <c r="S37" s="25"/>
      <c r="T37" s="26"/>
      <c r="U37" s="26"/>
      <c r="V37" s="26"/>
      <c r="W37" s="26"/>
      <c r="X37" s="26"/>
      <c r="Y37" s="31"/>
      <c r="Z37" s="25"/>
      <c r="AA37" s="25"/>
      <c r="AB37" s="25"/>
      <c r="AC37" s="25"/>
      <c r="AD37" s="25">
        <v>250</v>
      </c>
      <c r="AE37" s="25"/>
      <c r="AF37" s="25"/>
      <c r="AG37" s="25">
        <f t="shared" ref="AG37:AG68" si="8">-SUM(N37:AF37)</f>
        <v>-250</v>
      </c>
      <c r="AH37" s="29">
        <f t="shared" ref="AH37:AH68" si="9">SUM(H37:K37)+AG37+O37</f>
        <v>0</v>
      </c>
    </row>
    <row r="38" spans="1:34" s="30" customFormat="1" ht="19.5" customHeight="1" x14ac:dyDescent="0.2">
      <c r="A38" s="18">
        <v>43207</v>
      </c>
      <c r="B38" s="19"/>
      <c r="C38" s="20" t="s">
        <v>96</v>
      </c>
      <c r="D38" s="20"/>
      <c r="E38" s="20"/>
      <c r="F38" s="21"/>
      <c r="G38" s="22" t="s">
        <v>425</v>
      </c>
      <c r="H38" s="23">
        <v>250</v>
      </c>
      <c r="I38" s="23"/>
      <c r="J38" s="23"/>
      <c r="K38" s="23"/>
      <c r="L38" s="24"/>
      <c r="M38" s="25">
        <f t="shared" si="5"/>
        <v>250</v>
      </c>
      <c r="N38" s="25">
        <f t="shared" si="6"/>
        <v>0</v>
      </c>
      <c r="O38" s="25">
        <f t="shared" si="7"/>
        <v>0</v>
      </c>
      <c r="P38" s="25"/>
      <c r="Q38" s="25"/>
      <c r="R38" s="25"/>
      <c r="S38" s="25"/>
      <c r="T38" s="26"/>
      <c r="U38" s="26"/>
      <c r="V38" s="26"/>
      <c r="W38" s="26"/>
      <c r="X38" s="26"/>
      <c r="Y38" s="31"/>
      <c r="Z38" s="25"/>
      <c r="AA38" s="25"/>
      <c r="AB38" s="25"/>
      <c r="AC38" s="25"/>
      <c r="AD38" s="25">
        <v>250</v>
      </c>
      <c r="AE38" s="25"/>
      <c r="AF38" s="25"/>
      <c r="AG38" s="25">
        <f t="shared" si="8"/>
        <v>-250</v>
      </c>
      <c r="AH38" s="29">
        <f t="shared" si="9"/>
        <v>0</v>
      </c>
    </row>
    <row r="39" spans="1:34" s="30" customFormat="1" ht="19.5" customHeight="1" x14ac:dyDescent="0.2">
      <c r="A39" s="18">
        <v>43208</v>
      </c>
      <c r="B39" s="19"/>
      <c r="C39" s="20" t="s">
        <v>426</v>
      </c>
      <c r="D39" s="20" t="s">
        <v>427</v>
      </c>
      <c r="E39" s="20" t="s">
        <v>156</v>
      </c>
      <c r="F39" s="21">
        <v>15975</v>
      </c>
      <c r="G39" s="22" t="s">
        <v>428</v>
      </c>
      <c r="H39" s="23"/>
      <c r="I39" s="23"/>
      <c r="J39" s="23"/>
      <c r="K39" s="23">
        <v>750</v>
      </c>
      <c r="L39" s="24"/>
      <c r="M39" s="25">
        <f t="shared" si="5"/>
        <v>669.64285714285711</v>
      </c>
      <c r="N39" s="25">
        <f t="shared" si="6"/>
        <v>80.357142857142847</v>
      </c>
      <c r="O39" s="25">
        <f t="shared" si="7"/>
        <v>0</v>
      </c>
      <c r="P39" s="25"/>
      <c r="Q39" s="25"/>
      <c r="R39" s="25"/>
      <c r="S39" s="25">
        <v>669.64</v>
      </c>
      <c r="T39" s="26"/>
      <c r="U39" s="26"/>
      <c r="V39" s="26"/>
      <c r="W39" s="26"/>
      <c r="X39" s="26"/>
      <c r="Y39" s="31"/>
      <c r="Z39" s="25"/>
      <c r="AA39" s="25"/>
      <c r="AB39" s="25"/>
      <c r="AC39" s="25"/>
      <c r="AD39" s="25"/>
      <c r="AE39" s="25"/>
      <c r="AF39" s="25"/>
      <c r="AG39" s="25">
        <f t="shared" si="8"/>
        <v>-749.99714285714288</v>
      </c>
      <c r="AH39" s="29">
        <f t="shared" si="9"/>
        <v>2.8571428571240176E-3</v>
      </c>
    </row>
    <row r="40" spans="1:34" s="30" customFormat="1" ht="22.5" customHeight="1" x14ac:dyDescent="0.2">
      <c r="A40" s="18">
        <v>43208</v>
      </c>
      <c r="B40" s="19"/>
      <c r="C40" s="20" t="s">
        <v>68</v>
      </c>
      <c r="D40" s="20"/>
      <c r="E40" s="20"/>
      <c r="F40" s="21"/>
      <c r="G40" s="22" t="s">
        <v>429</v>
      </c>
      <c r="H40" s="23">
        <v>100</v>
      </c>
      <c r="I40" s="23"/>
      <c r="J40" s="23"/>
      <c r="K40" s="23"/>
      <c r="L40" s="24"/>
      <c r="M40" s="25">
        <f t="shared" si="5"/>
        <v>100</v>
      </c>
      <c r="N40" s="25">
        <f t="shared" si="6"/>
        <v>0</v>
      </c>
      <c r="O40" s="25">
        <f t="shared" si="7"/>
        <v>0</v>
      </c>
      <c r="P40" s="25"/>
      <c r="Q40" s="25"/>
      <c r="R40" s="25"/>
      <c r="S40" s="25"/>
      <c r="T40" s="26"/>
      <c r="U40" s="26"/>
      <c r="V40" s="26"/>
      <c r="W40" s="26"/>
      <c r="X40" s="26"/>
      <c r="Y40" s="31"/>
      <c r="Z40" s="25"/>
      <c r="AA40" s="25">
        <v>100</v>
      </c>
      <c r="AB40" s="25"/>
      <c r="AC40" s="25"/>
      <c r="AD40" s="25"/>
      <c r="AE40" s="25"/>
      <c r="AF40" s="25"/>
      <c r="AG40" s="25">
        <f t="shared" si="8"/>
        <v>-100</v>
      </c>
      <c r="AH40" s="29">
        <f t="shared" si="9"/>
        <v>0</v>
      </c>
    </row>
    <row r="41" spans="1:34" s="30" customFormat="1" ht="19.5" customHeight="1" x14ac:dyDescent="0.2">
      <c r="A41" s="18">
        <v>418</v>
      </c>
      <c r="B41" s="19"/>
      <c r="C41" s="20" t="s">
        <v>276</v>
      </c>
      <c r="D41" s="20" t="s">
        <v>52</v>
      </c>
      <c r="E41" s="20" t="s">
        <v>277</v>
      </c>
      <c r="F41" s="21">
        <v>27557</v>
      </c>
      <c r="G41" s="22" t="s">
        <v>430</v>
      </c>
      <c r="H41" s="23"/>
      <c r="I41" s="23"/>
      <c r="J41" s="23"/>
      <c r="K41" s="23">
        <v>141</v>
      </c>
      <c r="L41" s="24"/>
      <c r="M41" s="25">
        <f t="shared" si="5"/>
        <v>125.89285714285712</v>
      </c>
      <c r="N41" s="25">
        <f t="shared" si="6"/>
        <v>15.107142857142854</v>
      </c>
      <c r="O41" s="25">
        <f t="shared" si="7"/>
        <v>0</v>
      </c>
      <c r="P41" s="25">
        <v>125.89</v>
      </c>
      <c r="Q41" s="25"/>
      <c r="R41" s="25"/>
      <c r="S41" s="25"/>
      <c r="T41" s="26"/>
      <c r="U41" s="26"/>
      <c r="V41" s="26"/>
      <c r="W41" s="26"/>
      <c r="X41" s="26"/>
      <c r="Y41" s="31"/>
      <c r="Z41" s="25"/>
      <c r="AA41" s="25"/>
      <c r="AB41" s="25"/>
      <c r="AC41" s="25"/>
      <c r="AD41" s="25"/>
      <c r="AE41" s="25"/>
      <c r="AF41" s="25"/>
      <c r="AG41" s="25">
        <f t="shared" si="8"/>
        <v>-140.99714285714285</v>
      </c>
      <c r="AH41" s="29">
        <f t="shared" si="9"/>
        <v>2.8571428571524393E-3</v>
      </c>
    </row>
    <row r="42" spans="1:34" s="30" customFormat="1" ht="19.5" customHeight="1" x14ac:dyDescent="0.2">
      <c r="A42" s="18">
        <v>43208</v>
      </c>
      <c r="B42" s="19"/>
      <c r="C42" s="20" t="s">
        <v>276</v>
      </c>
      <c r="D42" s="20" t="s">
        <v>52</v>
      </c>
      <c r="E42" s="20" t="s">
        <v>277</v>
      </c>
      <c r="F42" s="21">
        <v>27562</v>
      </c>
      <c r="G42" s="22" t="s">
        <v>420</v>
      </c>
      <c r="H42" s="23"/>
      <c r="I42" s="23"/>
      <c r="J42" s="23"/>
      <c r="K42" s="23">
        <v>393</v>
      </c>
      <c r="L42" s="24"/>
      <c r="M42" s="25">
        <f t="shared" si="5"/>
        <v>350.89285714285711</v>
      </c>
      <c r="N42" s="25">
        <f t="shared" si="6"/>
        <v>42.107142857142854</v>
      </c>
      <c r="O42" s="25">
        <f t="shared" si="7"/>
        <v>0</v>
      </c>
      <c r="P42" s="25"/>
      <c r="Q42" s="25"/>
      <c r="R42" s="25"/>
      <c r="S42" s="25">
        <v>350.89</v>
      </c>
      <c r="T42" s="26"/>
      <c r="U42" s="26"/>
      <c r="V42" s="26"/>
      <c r="W42" s="26"/>
      <c r="X42" s="26"/>
      <c r="Y42" s="31"/>
      <c r="Z42" s="25"/>
      <c r="AA42" s="25"/>
      <c r="AB42" s="25"/>
      <c r="AC42" s="25"/>
      <c r="AD42" s="25"/>
      <c r="AE42" s="25"/>
      <c r="AF42" s="25"/>
      <c r="AG42" s="25">
        <f t="shared" si="8"/>
        <v>-392.99714285714282</v>
      </c>
      <c r="AH42" s="29">
        <f t="shared" si="9"/>
        <v>2.857142857180861E-3</v>
      </c>
    </row>
    <row r="43" spans="1:34" s="30" customFormat="1" ht="19.5" customHeight="1" x14ac:dyDescent="0.2">
      <c r="A43" s="18">
        <v>43209</v>
      </c>
      <c r="B43" s="19"/>
      <c r="C43" s="20" t="s">
        <v>353</v>
      </c>
      <c r="D43" s="20" t="s">
        <v>354</v>
      </c>
      <c r="E43" s="20" t="s">
        <v>65</v>
      </c>
      <c r="F43" s="21">
        <v>1203071</v>
      </c>
      <c r="G43" s="22" t="s">
        <v>431</v>
      </c>
      <c r="H43" s="23"/>
      <c r="I43" s="23"/>
      <c r="J43" s="23"/>
      <c r="K43" s="23">
        <v>99</v>
      </c>
      <c r="L43" s="24"/>
      <c r="M43" s="25">
        <f t="shared" si="5"/>
        <v>88.392857142857139</v>
      </c>
      <c r="N43" s="25">
        <f t="shared" si="6"/>
        <v>10.607142857142856</v>
      </c>
      <c r="O43" s="25">
        <f t="shared" si="7"/>
        <v>0</v>
      </c>
      <c r="P43" s="25"/>
      <c r="Q43" s="25"/>
      <c r="R43" s="25">
        <v>88.39</v>
      </c>
      <c r="S43" s="25"/>
      <c r="T43" s="26"/>
      <c r="U43" s="26"/>
      <c r="V43" s="26"/>
      <c r="W43" s="26"/>
      <c r="X43" s="26"/>
      <c r="Y43" s="31"/>
      <c r="Z43" s="25"/>
      <c r="AA43" s="25"/>
      <c r="AB43" s="25"/>
      <c r="AC43" s="25"/>
      <c r="AD43" s="25"/>
      <c r="AE43" s="25"/>
      <c r="AF43" s="25"/>
      <c r="AG43" s="25">
        <f t="shared" si="8"/>
        <v>-98.997142857142862</v>
      </c>
      <c r="AH43" s="29">
        <f t="shared" si="9"/>
        <v>2.8571428571382285E-3</v>
      </c>
    </row>
    <row r="44" spans="1:34" s="30" customFormat="1" ht="19.5" customHeight="1" x14ac:dyDescent="0.2">
      <c r="A44" s="18">
        <v>43209</v>
      </c>
      <c r="B44" s="19"/>
      <c r="C44" s="20" t="s">
        <v>96</v>
      </c>
      <c r="D44" s="20"/>
      <c r="E44" s="20"/>
      <c r="F44" s="21"/>
      <c r="G44" s="22" t="s">
        <v>432</v>
      </c>
      <c r="H44" s="23">
        <v>74</v>
      </c>
      <c r="I44" s="23"/>
      <c r="J44" s="23"/>
      <c r="K44" s="23"/>
      <c r="L44" s="24"/>
      <c r="M44" s="25">
        <f t="shared" si="5"/>
        <v>74</v>
      </c>
      <c r="N44" s="25">
        <f t="shared" si="6"/>
        <v>0</v>
      </c>
      <c r="O44" s="25">
        <f t="shared" si="7"/>
        <v>0</v>
      </c>
      <c r="P44" s="25"/>
      <c r="Q44" s="25"/>
      <c r="R44" s="25"/>
      <c r="S44" s="25"/>
      <c r="T44" s="26"/>
      <c r="U44" s="26"/>
      <c r="V44" s="26"/>
      <c r="W44" s="26"/>
      <c r="X44" s="26"/>
      <c r="Y44" s="31"/>
      <c r="Z44" s="25"/>
      <c r="AA44" s="25">
        <v>74</v>
      </c>
      <c r="AB44" s="25"/>
      <c r="AC44" s="25"/>
      <c r="AD44" s="25"/>
      <c r="AE44" s="25"/>
      <c r="AF44" s="25"/>
      <c r="AG44" s="25">
        <f t="shared" si="8"/>
        <v>-74</v>
      </c>
      <c r="AH44" s="29">
        <f t="shared" si="9"/>
        <v>0</v>
      </c>
    </row>
    <row r="45" spans="1:34" s="30" customFormat="1" ht="19.5" customHeight="1" x14ac:dyDescent="0.2">
      <c r="A45" s="18">
        <v>43210</v>
      </c>
      <c r="B45" s="19"/>
      <c r="C45" s="20" t="s">
        <v>276</v>
      </c>
      <c r="D45" s="20" t="s">
        <v>52</v>
      </c>
      <c r="E45" s="20" t="s">
        <v>277</v>
      </c>
      <c r="F45" s="21">
        <v>27590</v>
      </c>
      <c r="G45" s="22" t="s">
        <v>433</v>
      </c>
      <c r="H45" s="23"/>
      <c r="I45" s="23"/>
      <c r="J45" s="23"/>
      <c r="K45" s="23">
        <v>78</v>
      </c>
      <c r="L45" s="24"/>
      <c r="M45" s="25">
        <f t="shared" si="5"/>
        <v>69.642857142857139</v>
      </c>
      <c r="N45" s="25">
        <f t="shared" si="6"/>
        <v>8.3571428571428559</v>
      </c>
      <c r="O45" s="25">
        <f t="shared" si="7"/>
        <v>0</v>
      </c>
      <c r="P45" s="25">
        <v>69.64</v>
      </c>
      <c r="Q45" s="25"/>
      <c r="R45" s="25"/>
      <c r="S45" s="25"/>
      <c r="T45" s="26"/>
      <c r="U45" s="26"/>
      <c r="V45" s="26"/>
      <c r="W45" s="26"/>
      <c r="X45" s="26"/>
      <c r="Y45" s="31"/>
      <c r="Z45" s="25"/>
      <c r="AA45" s="25"/>
      <c r="AB45" s="25"/>
      <c r="AC45" s="25"/>
      <c r="AD45" s="25"/>
      <c r="AE45" s="25"/>
      <c r="AF45" s="25"/>
      <c r="AG45" s="25">
        <f t="shared" si="8"/>
        <v>-77.997142857142862</v>
      </c>
      <c r="AH45" s="29">
        <f t="shared" si="9"/>
        <v>2.8571428571382285E-3</v>
      </c>
    </row>
    <row r="46" spans="1:34" s="30" customFormat="1" ht="19.5" customHeight="1" x14ac:dyDescent="0.2">
      <c r="A46" s="18">
        <v>43210</v>
      </c>
      <c r="B46" s="19"/>
      <c r="C46" s="20" t="s">
        <v>63</v>
      </c>
      <c r="D46" s="20" t="s">
        <v>64</v>
      </c>
      <c r="E46" s="20" t="s">
        <v>65</v>
      </c>
      <c r="F46" s="21">
        <v>112136</v>
      </c>
      <c r="G46" s="22" t="s">
        <v>434</v>
      </c>
      <c r="H46" s="23"/>
      <c r="I46" s="23"/>
      <c r="J46" s="23">
        <v>75</v>
      </c>
      <c r="K46" s="23"/>
      <c r="L46" s="24"/>
      <c r="M46" s="25">
        <f t="shared" si="5"/>
        <v>75</v>
      </c>
      <c r="N46" s="25">
        <f t="shared" si="6"/>
        <v>0</v>
      </c>
      <c r="O46" s="25">
        <f t="shared" si="7"/>
        <v>0</v>
      </c>
      <c r="P46" s="25">
        <v>75</v>
      </c>
      <c r="Q46" s="25"/>
      <c r="R46" s="25"/>
      <c r="S46" s="25"/>
      <c r="T46" s="26"/>
      <c r="U46" s="26"/>
      <c r="V46" s="26"/>
      <c r="W46" s="26"/>
      <c r="X46" s="26"/>
      <c r="Y46" s="31"/>
      <c r="Z46" s="25"/>
      <c r="AA46" s="25"/>
      <c r="AB46" s="25"/>
      <c r="AC46" s="26"/>
      <c r="AD46" s="26"/>
      <c r="AE46" s="25"/>
      <c r="AF46" s="25"/>
      <c r="AG46" s="25">
        <f t="shared" si="8"/>
        <v>-75</v>
      </c>
      <c r="AH46" s="29">
        <f t="shared" si="9"/>
        <v>0</v>
      </c>
    </row>
    <row r="47" spans="1:34" s="30" customFormat="1" ht="19.5" customHeight="1" x14ac:dyDescent="0.2">
      <c r="A47" s="18">
        <v>43210</v>
      </c>
      <c r="B47" s="19"/>
      <c r="C47" s="20" t="s">
        <v>63</v>
      </c>
      <c r="D47" s="20" t="s">
        <v>64</v>
      </c>
      <c r="E47" s="20" t="s">
        <v>65</v>
      </c>
      <c r="F47" s="21">
        <v>112136</v>
      </c>
      <c r="G47" s="22" t="s">
        <v>435</v>
      </c>
      <c r="H47" s="23"/>
      <c r="I47" s="23"/>
      <c r="J47" s="23"/>
      <c r="K47" s="23">
        <f>2448.66+293.84</f>
        <v>2742.5</v>
      </c>
      <c r="L47" s="24"/>
      <c r="M47" s="25">
        <f t="shared" si="5"/>
        <v>2448.6607142857142</v>
      </c>
      <c r="N47" s="25">
        <f t="shared" si="6"/>
        <v>293.83928571428572</v>
      </c>
      <c r="O47" s="25">
        <f t="shared" si="7"/>
        <v>0</v>
      </c>
      <c r="P47" s="25">
        <v>2448.66</v>
      </c>
      <c r="Q47" s="25"/>
      <c r="R47" s="25"/>
      <c r="S47" s="25"/>
      <c r="T47" s="26"/>
      <c r="U47" s="26"/>
      <c r="V47" s="26"/>
      <c r="W47" s="26"/>
      <c r="X47" s="26"/>
      <c r="Y47" s="31"/>
      <c r="Z47" s="25"/>
      <c r="AA47" s="25"/>
      <c r="AB47" s="25"/>
      <c r="AC47" s="26"/>
      <c r="AD47" s="26"/>
      <c r="AE47" s="25"/>
      <c r="AF47" s="25"/>
      <c r="AG47" s="25">
        <f t="shared" si="8"/>
        <v>-2742.4992857142856</v>
      </c>
      <c r="AH47" s="29">
        <f t="shared" si="9"/>
        <v>7.1428571436626953E-4</v>
      </c>
    </row>
    <row r="48" spans="1:34" s="46" customFormat="1" ht="19.5" customHeight="1" x14ac:dyDescent="0.2">
      <c r="A48" s="33">
        <v>43210</v>
      </c>
      <c r="B48" s="34"/>
      <c r="C48" s="36" t="s">
        <v>276</v>
      </c>
      <c r="D48" s="36" t="s">
        <v>52</v>
      </c>
      <c r="E48" s="36" t="s">
        <v>277</v>
      </c>
      <c r="F48" s="37">
        <v>27608</v>
      </c>
      <c r="G48" s="38" t="s">
        <v>436</v>
      </c>
      <c r="H48" s="39"/>
      <c r="I48" s="39"/>
      <c r="J48" s="39"/>
      <c r="K48" s="39">
        <v>175</v>
      </c>
      <c r="L48" s="40"/>
      <c r="M48" s="41">
        <f t="shared" si="5"/>
        <v>156.24999999999997</v>
      </c>
      <c r="N48" s="41">
        <f t="shared" si="6"/>
        <v>18.749999999999996</v>
      </c>
      <c r="O48" s="41">
        <f t="shared" si="7"/>
        <v>0</v>
      </c>
      <c r="P48" s="41">
        <v>156.25</v>
      </c>
      <c r="Q48" s="41"/>
      <c r="R48" s="41"/>
      <c r="S48" s="41"/>
      <c r="T48" s="42"/>
      <c r="U48" s="42"/>
      <c r="V48" s="42"/>
      <c r="W48" s="42"/>
      <c r="X48" s="42"/>
      <c r="Y48" s="41"/>
      <c r="Z48" s="41"/>
      <c r="AA48" s="41"/>
      <c r="AB48" s="41"/>
      <c r="AC48" s="42"/>
      <c r="AD48" s="42"/>
      <c r="AE48" s="43"/>
      <c r="AF48" s="43"/>
      <c r="AG48" s="44">
        <f t="shared" si="8"/>
        <v>-175</v>
      </c>
      <c r="AH48" s="45">
        <f t="shared" si="9"/>
        <v>0</v>
      </c>
    </row>
    <row r="49" spans="1:34" s="30" customFormat="1" ht="21.75" customHeight="1" x14ac:dyDescent="0.2">
      <c r="A49" s="18">
        <v>43211</v>
      </c>
      <c r="B49" s="19"/>
      <c r="C49" s="20" t="s">
        <v>437</v>
      </c>
      <c r="D49" s="20" t="s">
        <v>438</v>
      </c>
      <c r="E49" s="20" t="s">
        <v>56</v>
      </c>
      <c r="F49" s="21">
        <v>2670</v>
      </c>
      <c r="G49" s="21" t="s">
        <v>439</v>
      </c>
      <c r="H49" s="23"/>
      <c r="I49" s="23"/>
      <c r="J49" s="23"/>
      <c r="K49" s="23">
        <v>450</v>
      </c>
      <c r="L49" s="24"/>
      <c r="M49" s="25">
        <f t="shared" si="5"/>
        <v>401.78571428571422</v>
      </c>
      <c r="N49" s="25">
        <f t="shared" si="6"/>
        <v>48.214285714285708</v>
      </c>
      <c r="O49" s="25">
        <f t="shared" si="7"/>
        <v>0</v>
      </c>
      <c r="P49" s="25"/>
      <c r="Q49" s="25"/>
      <c r="R49" s="25"/>
      <c r="S49" s="25"/>
      <c r="T49" s="26"/>
      <c r="U49" s="26"/>
      <c r="V49" s="26"/>
      <c r="W49" s="26"/>
      <c r="X49" s="26"/>
      <c r="Y49" s="31">
        <v>401.79</v>
      </c>
      <c r="Z49" s="25"/>
      <c r="AA49" s="25"/>
      <c r="AB49" s="25"/>
      <c r="AC49" s="25"/>
      <c r="AD49" s="25"/>
      <c r="AE49" s="25"/>
      <c r="AF49" s="25"/>
      <c r="AG49" s="25">
        <f t="shared" si="8"/>
        <v>-450.00428571428574</v>
      </c>
      <c r="AH49" s="29">
        <f t="shared" si="9"/>
        <v>-4.2857142857428698E-3</v>
      </c>
    </row>
    <row r="50" spans="1:34" s="30" customFormat="1" ht="21.75" customHeight="1" x14ac:dyDescent="0.2">
      <c r="A50" s="18">
        <v>43211</v>
      </c>
      <c r="B50" s="19"/>
      <c r="C50" s="20" t="s">
        <v>437</v>
      </c>
      <c r="D50" s="20" t="s">
        <v>438</v>
      </c>
      <c r="E50" s="20" t="s">
        <v>56</v>
      </c>
      <c r="F50" s="21">
        <v>2669</v>
      </c>
      <c r="G50" s="22" t="s">
        <v>440</v>
      </c>
      <c r="H50" s="23"/>
      <c r="I50" s="23"/>
      <c r="J50" s="23"/>
      <c r="K50" s="23">
        <v>120</v>
      </c>
      <c r="L50" s="24"/>
      <c r="M50" s="25">
        <f t="shared" si="5"/>
        <v>107.14285714285714</v>
      </c>
      <c r="N50" s="25">
        <f t="shared" si="6"/>
        <v>12.857142857142856</v>
      </c>
      <c r="O50" s="25">
        <f t="shared" si="7"/>
        <v>0</v>
      </c>
      <c r="P50" s="25"/>
      <c r="Q50" s="25"/>
      <c r="R50" s="25"/>
      <c r="S50" s="25"/>
      <c r="T50" s="26"/>
      <c r="U50" s="26"/>
      <c r="V50" s="26"/>
      <c r="W50" s="26"/>
      <c r="X50" s="26"/>
      <c r="Y50" s="31">
        <v>107.14</v>
      </c>
      <c r="Z50" s="25"/>
      <c r="AA50" s="25"/>
      <c r="AB50" s="25"/>
      <c r="AC50" s="25"/>
      <c r="AD50" s="25"/>
      <c r="AE50" s="25"/>
      <c r="AF50" s="25"/>
      <c r="AG50" s="25">
        <f t="shared" si="8"/>
        <v>-119.99714285714286</v>
      </c>
      <c r="AH50" s="29">
        <f t="shared" si="9"/>
        <v>2.8571428571382285E-3</v>
      </c>
    </row>
    <row r="51" spans="1:34" s="30" customFormat="1" ht="21.75" customHeight="1" x14ac:dyDescent="0.2">
      <c r="A51" s="18">
        <v>43211</v>
      </c>
      <c r="B51" s="19"/>
      <c r="C51" s="20" t="s">
        <v>441</v>
      </c>
      <c r="D51" s="20" t="s">
        <v>442</v>
      </c>
      <c r="E51" s="20" t="s">
        <v>443</v>
      </c>
      <c r="F51" s="21">
        <v>2352</v>
      </c>
      <c r="G51" s="22" t="s">
        <v>444</v>
      </c>
      <c r="H51" s="23"/>
      <c r="I51" s="23"/>
      <c r="J51" s="23"/>
      <c r="K51" s="23">
        <v>170</v>
      </c>
      <c r="L51" s="24"/>
      <c r="M51" s="25">
        <f t="shared" si="5"/>
        <v>151.78571428571428</v>
      </c>
      <c r="N51" s="25">
        <f t="shared" si="6"/>
        <v>18.214285714285712</v>
      </c>
      <c r="O51" s="25">
        <f t="shared" si="7"/>
        <v>0</v>
      </c>
      <c r="P51" s="25"/>
      <c r="Q51" s="25"/>
      <c r="R51" s="25"/>
      <c r="S51" s="25"/>
      <c r="T51" s="26"/>
      <c r="U51" s="26"/>
      <c r="V51" s="26"/>
      <c r="W51" s="26"/>
      <c r="X51" s="26"/>
      <c r="Y51" s="31">
        <v>151.79</v>
      </c>
      <c r="Z51" s="25"/>
      <c r="AA51" s="25"/>
      <c r="AB51" s="25"/>
      <c r="AC51" s="25"/>
      <c r="AD51" s="25"/>
      <c r="AE51" s="25"/>
      <c r="AF51" s="25"/>
      <c r="AG51" s="25">
        <f t="shared" si="8"/>
        <v>-170.00428571428571</v>
      </c>
      <c r="AH51" s="29">
        <f t="shared" si="9"/>
        <v>-4.2857142857144481E-3</v>
      </c>
    </row>
    <row r="52" spans="1:34" s="30" customFormat="1" ht="21.75" customHeight="1" x14ac:dyDescent="0.2">
      <c r="A52" s="18">
        <v>43211</v>
      </c>
      <c r="B52" s="19"/>
      <c r="C52" s="20" t="s">
        <v>445</v>
      </c>
      <c r="D52" s="20" t="s">
        <v>446</v>
      </c>
      <c r="E52" s="20" t="s">
        <v>447</v>
      </c>
      <c r="F52" s="21">
        <v>198545</v>
      </c>
      <c r="G52" s="22" t="s">
        <v>448</v>
      </c>
      <c r="H52" s="23"/>
      <c r="I52" s="23"/>
      <c r="J52" s="23"/>
      <c r="K52" s="23">
        <v>760</v>
      </c>
      <c r="L52" s="24"/>
      <c r="M52" s="25">
        <f t="shared" si="5"/>
        <v>678.57142857142856</v>
      </c>
      <c r="N52" s="25">
        <f t="shared" si="6"/>
        <v>81.428571428571431</v>
      </c>
      <c r="O52" s="25">
        <f t="shared" si="7"/>
        <v>0</v>
      </c>
      <c r="P52" s="25"/>
      <c r="Q52" s="25"/>
      <c r="R52" s="25"/>
      <c r="S52" s="25"/>
      <c r="T52" s="26"/>
      <c r="U52" s="26"/>
      <c r="V52" s="26"/>
      <c r="W52" s="26"/>
      <c r="X52" s="26"/>
      <c r="Y52" s="31">
        <v>678.57</v>
      </c>
      <c r="Z52" s="25"/>
      <c r="AA52" s="25"/>
      <c r="AB52" s="25"/>
      <c r="AC52" s="25"/>
      <c r="AD52" s="25"/>
      <c r="AE52" s="25"/>
      <c r="AF52" s="25"/>
      <c r="AG52" s="25">
        <f t="shared" si="8"/>
        <v>-759.99857142857149</v>
      </c>
      <c r="AH52" s="29">
        <f t="shared" si="9"/>
        <v>1.4285714285051654E-3</v>
      </c>
    </row>
    <row r="53" spans="1:34" s="30" customFormat="1" ht="18.75" customHeight="1" x14ac:dyDescent="0.2">
      <c r="A53" s="18">
        <v>43211</v>
      </c>
      <c r="B53" s="19"/>
      <c r="C53" s="20" t="s">
        <v>96</v>
      </c>
      <c r="D53" s="20"/>
      <c r="E53" s="20"/>
      <c r="F53" s="21"/>
      <c r="G53" s="22" t="s">
        <v>449</v>
      </c>
      <c r="H53" s="23">
        <v>53</v>
      </c>
      <c r="I53" s="23"/>
      <c r="J53" s="23"/>
      <c r="K53" s="23"/>
      <c r="L53" s="24"/>
      <c r="M53" s="25">
        <f t="shared" si="5"/>
        <v>53</v>
      </c>
      <c r="N53" s="25">
        <f t="shared" si="6"/>
        <v>0</v>
      </c>
      <c r="O53" s="25">
        <f t="shared" si="7"/>
        <v>0</v>
      </c>
      <c r="P53" s="25"/>
      <c r="Q53" s="25"/>
      <c r="R53" s="25"/>
      <c r="S53" s="25"/>
      <c r="T53" s="26"/>
      <c r="U53" s="26"/>
      <c r="V53" s="26"/>
      <c r="W53" s="26"/>
      <c r="X53" s="26"/>
      <c r="Y53" s="31"/>
      <c r="Z53" s="25"/>
      <c r="AA53" s="25">
        <v>53</v>
      </c>
      <c r="AB53" s="25"/>
      <c r="AC53" s="25"/>
      <c r="AD53" s="25"/>
      <c r="AE53" s="25"/>
      <c r="AF53" s="25"/>
      <c r="AG53" s="25">
        <f t="shared" si="8"/>
        <v>-53</v>
      </c>
      <c r="AH53" s="29">
        <f t="shared" si="9"/>
        <v>0</v>
      </c>
    </row>
    <row r="54" spans="1:34" s="30" customFormat="1" ht="21.75" customHeight="1" x14ac:dyDescent="0.2">
      <c r="A54" s="18">
        <v>43211</v>
      </c>
      <c r="B54" s="19"/>
      <c r="C54" s="20" t="s">
        <v>276</v>
      </c>
      <c r="D54" s="20" t="s">
        <v>52</v>
      </c>
      <c r="E54" s="20" t="s">
        <v>277</v>
      </c>
      <c r="F54" s="21">
        <v>27615</v>
      </c>
      <c r="G54" s="22" t="s">
        <v>450</v>
      </c>
      <c r="H54" s="23"/>
      <c r="I54" s="23"/>
      <c r="J54" s="23"/>
      <c r="K54" s="23">
        <v>71.5</v>
      </c>
      <c r="L54" s="24"/>
      <c r="M54" s="25">
        <f t="shared" si="5"/>
        <v>63.839285714285708</v>
      </c>
      <c r="N54" s="25">
        <f t="shared" si="6"/>
        <v>7.6607142857142847</v>
      </c>
      <c r="O54" s="25">
        <f t="shared" si="7"/>
        <v>0</v>
      </c>
      <c r="P54" s="25"/>
      <c r="Q54" s="25"/>
      <c r="R54" s="25">
        <v>63.84</v>
      </c>
      <c r="S54" s="25"/>
      <c r="T54" s="26"/>
      <c r="U54" s="26"/>
      <c r="V54" s="26"/>
      <c r="W54" s="26"/>
      <c r="X54" s="26"/>
      <c r="Y54" s="31"/>
      <c r="Z54" s="25"/>
      <c r="AA54" s="25"/>
      <c r="AB54" s="25"/>
      <c r="AC54" s="25"/>
      <c r="AD54" s="25"/>
      <c r="AE54" s="25"/>
      <c r="AF54" s="25"/>
      <c r="AG54" s="25">
        <f t="shared" si="8"/>
        <v>-71.500714285714281</v>
      </c>
      <c r="AH54" s="29">
        <f t="shared" si="9"/>
        <v>-7.142857142810044E-4</v>
      </c>
    </row>
    <row r="55" spans="1:34" s="30" customFormat="1" ht="21.75" customHeight="1" x14ac:dyDescent="0.2">
      <c r="A55" s="18">
        <v>43213</v>
      </c>
      <c r="B55" s="19"/>
      <c r="C55" s="20" t="s">
        <v>202</v>
      </c>
      <c r="D55" s="20" t="s">
        <v>76</v>
      </c>
      <c r="E55" s="20" t="s">
        <v>120</v>
      </c>
      <c r="F55" s="21">
        <v>662</v>
      </c>
      <c r="G55" s="22" t="s">
        <v>451</v>
      </c>
      <c r="H55" s="23"/>
      <c r="I55" s="23"/>
      <c r="J55" s="23"/>
      <c r="K55" s="23">
        <v>456.76</v>
      </c>
      <c r="L55" s="24"/>
      <c r="M55" s="25">
        <f t="shared" si="5"/>
        <v>407.8214285714285</v>
      </c>
      <c r="N55" s="25">
        <f t="shared" si="6"/>
        <v>48.938571428571422</v>
      </c>
      <c r="O55" s="25">
        <f t="shared" si="7"/>
        <v>0</v>
      </c>
      <c r="P55" s="25">
        <v>407.82</v>
      </c>
      <c r="Q55" s="25"/>
      <c r="R55" s="25"/>
      <c r="S55" s="25"/>
      <c r="T55" s="26"/>
      <c r="U55" s="26"/>
      <c r="V55" s="26"/>
      <c r="W55" s="26"/>
      <c r="X55" s="26"/>
      <c r="Y55" s="31"/>
      <c r="Z55" s="25"/>
      <c r="AA55" s="25"/>
      <c r="AB55" s="25"/>
      <c r="AC55" s="25"/>
      <c r="AD55" s="25"/>
      <c r="AE55" s="25"/>
      <c r="AF55" s="25"/>
      <c r="AG55" s="25">
        <f t="shared" si="8"/>
        <v>-456.75857142857143</v>
      </c>
      <c r="AH55" s="29">
        <f t="shared" si="9"/>
        <v>1.4285714285620088E-3</v>
      </c>
    </row>
    <row r="56" spans="1:34" s="30" customFormat="1" ht="21.75" customHeight="1" x14ac:dyDescent="0.2">
      <c r="A56" s="18">
        <v>43213</v>
      </c>
      <c r="B56" s="19"/>
      <c r="C56" s="20" t="s">
        <v>276</v>
      </c>
      <c r="D56" s="20" t="s">
        <v>52</v>
      </c>
      <c r="E56" s="20" t="s">
        <v>277</v>
      </c>
      <c r="F56" s="21">
        <v>27634</v>
      </c>
      <c r="G56" s="22" t="s">
        <v>452</v>
      </c>
      <c r="H56" s="23"/>
      <c r="I56" s="23"/>
      <c r="J56" s="23"/>
      <c r="K56" s="23">
        <v>227</v>
      </c>
      <c r="L56" s="24"/>
      <c r="M56" s="25">
        <f t="shared" si="5"/>
        <v>202.67857142857142</v>
      </c>
      <c r="N56" s="25">
        <f t="shared" si="6"/>
        <v>24.321428571428569</v>
      </c>
      <c r="O56" s="25">
        <f t="shared" si="7"/>
        <v>0</v>
      </c>
      <c r="P56" s="25">
        <v>202.68</v>
      </c>
      <c r="Q56" s="25"/>
      <c r="R56" s="25"/>
      <c r="S56" s="25"/>
      <c r="T56" s="26"/>
      <c r="U56" s="26"/>
      <c r="V56" s="26"/>
      <c r="W56" s="26"/>
      <c r="X56" s="26"/>
      <c r="Y56" s="31"/>
      <c r="Z56" s="25"/>
      <c r="AA56" s="25"/>
      <c r="AB56" s="25"/>
      <c r="AC56" s="25"/>
      <c r="AD56" s="25"/>
      <c r="AE56" s="25"/>
      <c r="AF56" s="25"/>
      <c r="AG56" s="25">
        <f t="shared" si="8"/>
        <v>-227.00142857142856</v>
      </c>
      <c r="AH56" s="29">
        <f t="shared" si="9"/>
        <v>-1.4285714285620088E-3</v>
      </c>
    </row>
    <row r="57" spans="1:34" s="30" customFormat="1" ht="21.75" customHeight="1" x14ac:dyDescent="0.2">
      <c r="A57" s="18">
        <v>43194</v>
      </c>
      <c r="B57" s="19"/>
      <c r="C57" s="20" t="s">
        <v>396</v>
      </c>
      <c r="D57" s="20" t="s">
        <v>60</v>
      </c>
      <c r="E57" s="20" t="s">
        <v>397</v>
      </c>
      <c r="F57" s="21">
        <v>640116</v>
      </c>
      <c r="G57" s="22" t="s">
        <v>453</v>
      </c>
      <c r="H57" s="23"/>
      <c r="I57" s="23"/>
      <c r="J57" s="23"/>
      <c r="K57" s="23">
        <v>159.25</v>
      </c>
      <c r="L57" s="24"/>
      <c r="M57" s="25">
        <f t="shared" si="5"/>
        <v>142.1875</v>
      </c>
      <c r="N57" s="25">
        <f t="shared" si="6"/>
        <v>17.0625</v>
      </c>
      <c r="O57" s="25">
        <f t="shared" si="7"/>
        <v>0</v>
      </c>
      <c r="P57" s="25"/>
      <c r="Q57" s="25"/>
      <c r="R57" s="25"/>
      <c r="S57" s="25"/>
      <c r="T57" s="26"/>
      <c r="U57" s="26"/>
      <c r="V57" s="26"/>
      <c r="W57" s="26"/>
      <c r="X57" s="26"/>
      <c r="Y57" s="31"/>
      <c r="Z57" s="25">
        <v>142.19</v>
      </c>
      <c r="AA57" s="25"/>
      <c r="AB57" s="25"/>
      <c r="AC57" s="25"/>
      <c r="AD57" s="25"/>
      <c r="AE57" s="25"/>
      <c r="AF57" s="25"/>
      <c r="AG57" s="25">
        <f t="shared" si="8"/>
        <v>-159.2525</v>
      </c>
      <c r="AH57" s="29">
        <f t="shared" si="9"/>
        <v>-2.4999999999977263E-3</v>
      </c>
    </row>
    <row r="58" spans="1:34" s="30" customFormat="1" ht="21.75" customHeight="1" x14ac:dyDescent="0.2">
      <c r="A58" s="18">
        <v>43214</v>
      </c>
      <c r="B58" s="19"/>
      <c r="C58" s="20" t="s">
        <v>396</v>
      </c>
      <c r="D58" s="20" t="s">
        <v>60</v>
      </c>
      <c r="E58" s="20" t="s">
        <v>397</v>
      </c>
      <c r="F58" s="21">
        <v>670959</v>
      </c>
      <c r="G58" s="22" t="s">
        <v>454</v>
      </c>
      <c r="H58" s="23"/>
      <c r="I58" s="23"/>
      <c r="J58" s="23"/>
      <c r="K58" s="23">
        <v>282.75</v>
      </c>
      <c r="L58" s="24"/>
      <c r="M58" s="25">
        <f t="shared" si="5"/>
        <v>252.45535714285711</v>
      </c>
      <c r="N58" s="25">
        <f t="shared" si="6"/>
        <v>30.294642857142851</v>
      </c>
      <c r="O58" s="25">
        <f t="shared" si="7"/>
        <v>0</v>
      </c>
      <c r="P58" s="25"/>
      <c r="Q58" s="25"/>
      <c r="R58" s="25"/>
      <c r="S58" s="25"/>
      <c r="T58" s="26">
        <v>252.46</v>
      </c>
      <c r="U58" s="26"/>
      <c r="V58" s="26"/>
      <c r="W58" s="26"/>
      <c r="X58" s="26"/>
      <c r="Y58" s="31"/>
      <c r="Z58" s="25"/>
      <c r="AA58" s="25"/>
      <c r="AB58" s="25"/>
      <c r="AC58" s="25"/>
      <c r="AD58" s="25"/>
      <c r="AE58" s="25"/>
      <c r="AF58" s="25"/>
      <c r="AG58" s="25">
        <f t="shared" si="8"/>
        <v>-282.75464285714287</v>
      </c>
      <c r="AH58" s="29">
        <f t="shared" si="9"/>
        <v>-4.6428571428691612E-3</v>
      </c>
    </row>
    <row r="59" spans="1:34" s="30" customFormat="1" ht="21.75" customHeight="1" x14ac:dyDescent="0.2">
      <c r="A59" s="18">
        <v>43214</v>
      </c>
      <c r="B59" s="19"/>
      <c r="C59" s="20" t="s">
        <v>63</v>
      </c>
      <c r="D59" s="20" t="s">
        <v>64</v>
      </c>
      <c r="E59" s="20" t="s">
        <v>65</v>
      </c>
      <c r="F59" s="21">
        <v>120581</v>
      </c>
      <c r="G59" s="22" t="s">
        <v>455</v>
      </c>
      <c r="H59" s="23"/>
      <c r="I59" s="23"/>
      <c r="J59" s="23">
        <v>256.85000000000002</v>
      </c>
      <c r="K59" s="23"/>
      <c r="L59" s="24"/>
      <c r="M59" s="25">
        <f t="shared" si="5"/>
        <v>256.85000000000002</v>
      </c>
      <c r="N59" s="25">
        <f t="shared" si="6"/>
        <v>0</v>
      </c>
      <c r="O59" s="25">
        <f t="shared" si="7"/>
        <v>0</v>
      </c>
      <c r="P59" s="25">
        <v>256.85000000000002</v>
      </c>
      <c r="Q59" s="25"/>
      <c r="R59" s="25"/>
      <c r="S59" s="25"/>
      <c r="T59" s="26"/>
      <c r="U59" s="26"/>
      <c r="V59" s="26"/>
      <c r="W59" s="26"/>
      <c r="X59" s="26"/>
      <c r="Y59" s="31"/>
      <c r="Z59" s="25"/>
      <c r="AA59" s="25"/>
      <c r="AB59" s="25"/>
      <c r="AC59" s="25"/>
      <c r="AD59" s="25"/>
      <c r="AE59" s="25"/>
      <c r="AF59" s="25"/>
      <c r="AG59" s="25">
        <f t="shared" si="8"/>
        <v>-256.85000000000002</v>
      </c>
      <c r="AH59" s="29">
        <f t="shared" si="9"/>
        <v>0</v>
      </c>
    </row>
    <row r="60" spans="1:34" s="30" customFormat="1" ht="21.75" customHeight="1" x14ac:dyDescent="0.2">
      <c r="A60" s="18">
        <v>43215</v>
      </c>
      <c r="B60" s="19"/>
      <c r="C60" s="20" t="s">
        <v>63</v>
      </c>
      <c r="D60" s="20" t="s">
        <v>64</v>
      </c>
      <c r="E60" s="20" t="s">
        <v>65</v>
      </c>
      <c r="F60" s="21">
        <v>120581</v>
      </c>
      <c r="G60" s="22" t="s">
        <v>456</v>
      </c>
      <c r="H60" s="23"/>
      <c r="I60" s="23"/>
      <c r="J60" s="23"/>
      <c r="K60" s="23">
        <v>190</v>
      </c>
      <c r="L60" s="24"/>
      <c r="M60" s="25">
        <f t="shared" si="5"/>
        <v>169.64285714285714</v>
      </c>
      <c r="N60" s="25">
        <f t="shared" si="6"/>
        <v>20.357142857142858</v>
      </c>
      <c r="O60" s="25">
        <f t="shared" si="7"/>
        <v>0</v>
      </c>
      <c r="P60" s="25">
        <v>169.64</v>
      </c>
      <c r="Q60" s="25"/>
      <c r="R60" s="25"/>
      <c r="S60" s="25"/>
      <c r="T60" s="26"/>
      <c r="U60" s="26"/>
      <c r="V60" s="26"/>
      <c r="W60" s="26"/>
      <c r="X60" s="26"/>
      <c r="Y60" s="31"/>
      <c r="Z60" s="25"/>
      <c r="AA60" s="25"/>
      <c r="AB60" s="25"/>
      <c r="AC60" s="25"/>
      <c r="AD60" s="25"/>
      <c r="AE60" s="25"/>
      <c r="AF60" s="25"/>
      <c r="AG60" s="25">
        <f t="shared" si="8"/>
        <v>-189.99714285714285</v>
      </c>
      <c r="AH60" s="29">
        <f t="shared" si="9"/>
        <v>2.8571428571524393E-3</v>
      </c>
    </row>
    <row r="61" spans="1:34" s="30" customFormat="1" ht="21.75" customHeight="1" x14ac:dyDescent="0.2">
      <c r="A61" s="18">
        <v>43215</v>
      </c>
      <c r="B61" s="19"/>
      <c r="C61" s="20" t="s">
        <v>457</v>
      </c>
      <c r="D61" s="20" t="s">
        <v>458</v>
      </c>
      <c r="E61" s="20" t="s">
        <v>65</v>
      </c>
      <c r="F61" s="21">
        <v>537145</v>
      </c>
      <c r="G61" s="22" t="s">
        <v>459</v>
      </c>
      <c r="H61" s="23"/>
      <c r="I61" s="23"/>
      <c r="J61" s="23"/>
      <c r="K61" s="23">
        <v>130.75</v>
      </c>
      <c r="L61" s="24"/>
      <c r="M61" s="25">
        <f t="shared" si="5"/>
        <v>116.74107142857142</v>
      </c>
      <c r="N61" s="25">
        <f t="shared" si="6"/>
        <v>14.008928571428569</v>
      </c>
      <c r="O61" s="25">
        <f t="shared" si="7"/>
        <v>0</v>
      </c>
      <c r="P61" s="25"/>
      <c r="Q61" s="25"/>
      <c r="R61" s="25"/>
      <c r="S61" s="25"/>
      <c r="T61" s="26">
        <v>116.74</v>
      </c>
      <c r="U61" s="26"/>
      <c r="V61" s="26"/>
      <c r="W61" s="26"/>
      <c r="X61" s="26"/>
      <c r="Y61" s="31"/>
      <c r="Z61" s="25"/>
      <c r="AA61" s="25"/>
      <c r="AB61" s="25"/>
      <c r="AC61" s="25"/>
      <c r="AD61" s="25"/>
      <c r="AE61" s="25"/>
      <c r="AF61" s="25"/>
      <c r="AG61" s="25">
        <f t="shared" si="8"/>
        <v>-130.74892857142856</v>
      </c>
      <c r="AH61" s="29">
        <f t="shared" si="9"/>
        <v>1.0714285714357175E-3</v>
      </c>
    </row>
    <row r="62" spans="1:34" s="30" customFormat="1" ht="21.75" customHeight="1" x14ac:dyDescent="0.2">
      <c r="A62" s="18">
        <v>43215</v>
      </c>
      <c r="B62" s="19"/>
      <c r="C62" s="20" t="s">
        <v>396</v>
      </c>
      <c r="D62" s="20" t="s">
        <v>60</v>
      </c>
      <c r="E62" s="20" t="s">
        <v>397</v>
      </c>
      <c r="F62" s="21">
        <v>671240</v>
      </c>
      <c r="G62" s="22" t="s">
        <v>243</v>
      </c>
      <c r="H62" s="23"/>
      <c r="I62" s="23"/>
      <c r="J62" s="23"/>
      <c r="K62" s="23">
        <v>430</v>
      </c>
      <c r="L62" s="24"/>
      <c r="M62" s="25">
        <f t="shared" si="5"/>
        <v>383.92857142857139</v>
      </c>
      <c r="N62" s="25">
        <f t="shared" si="6"/>
        <v>46.071428571428562</v>
      </c>
      <c r="O62" s="25">
        <f t="shared" si="7"/>
        <v>0</v>
      </c>
      <c r="P62" s="25"/>
      <c r="Q62" s="25"/>
      <c r="R62" s="25"/>
      <c r="S62" s="25"/>
      <c r="T62" s="26">
        <v>383.93</v>
      </c>
      <c r="U62" s="26"/>
      <c r="V62" s="26"/>
      <c r="W62" s="26"/>
      <c r="X62" s="26"/>
      <c r="Y62" s="31"/>
      <c r="Z62" s="25"/>
      <c r="AA62" s="25"/>
      <c r="AB62" s="25"/>
      <c r="AC62" s="25"/>
      <c r="AD62" s="25"/>
      <c r="AE62" s="25"/>
      <c r="AF62" s="25"/>
      <c r="AG62" s="25">
        <f t="shared" si="8"/>
        <v>-430.00142857142856</v>
      </c>
      <c r="AH62" s="29">
        <f t="shared" si="9"/>
        <v>-1.4285714285620088E-3</v>
      </c>
    </row>
    <row r="63" spans="1:34" s="30" customFormat="1" ht="21.75" customHeight="1" x14ac:dyDescent="0.2">
      <c r="A63" s="18">
        <v>43217</v>
      </c>
      <c r="B63" s="19"/>
      <c r="C63" s="20" t="s">
        <v>396</v>
      </c>
      <c r="D63" s="20" t="s">
        <v>60</v>
      </c>
      <c r="E63" s="20" t="s">
        <v>397</v>
      </c>
      <c r="F63" s="21">
        <v>671672</v>
      </c>
      <c r="G63" s="22" t="s">
        <v>453</v>
      </c>
      <c r="H63" s="23"/>
      <c r="I63" s="23"/>
      <c r="J63" s="23"/>
      <c r="K63" s="23">
        <v>157.25</v>
      </c>
      <c r="L63" s="24"/>
      <c r="M63" s="25">
        <f t="shared" si="5"/>
        <v>140.40178571428569</v>
      </c>
      <c r="N63" s="25">
        <f t="shared" si="6"/>
        <v>16.848214285714281</v>
      </c>
      <c r="O63" s="25">
        <f t="shared" si="7"/>
        <v>0</v>
      </c>
      <c r="P63" s="25"/>
      <c r="Q63" s="25"/>
      <c r="R63" s="25"/>
      <c r="S63" s="25"/>
      <c r="T63" s="26"/>
      <c r="U63" s="26"/>
      <c r="V63" s="26"/>
      <c r="W63" s="26"/>
      <c r="X63" s="26"/>
      <c r="Y63" s="31"/>
      <c r="Z63" s="25">
        <v>140.4</v>
      </c>
      <c r="AA63" s="25"/>
      <c r="AB63" s="25"/>
      <c r="AC63" s="25"/>
      <c r="AD63" s="25"/>
      <c r="AE63" s="25"/>
      <c r="AF63" s="25"/>
      <c r="AG63" s="25">
        <f t="shared" si="8"/>
        <v>-157.24821428571428</v>
      </c>
      <c r="AH63" s="29">
        <f t="shared" si="9"/>
        <v>1.7857142857167219E-3</v>
      </c>
    </row>
    <row r="64" spans="1:34" s="30" customFormat="1" ht="21.75" customHeight="1" x14ac:dyDescent="0.2">
      <c r="A64" s="18">
        <v>43217</v>
      </c>
      <c r="B64" s="19"/>
      <c r="C64" s="20" t="s">
        <v>396</v>
      </c>
      <c r="D64" s="20" t="s">
        <v>60</v>
      </c>
      <c r="E64" s="20" t="s">
        <v>397</v>
      </c>
      <c r="F64" s="21">
        <v>671672</v>
      </c>
      <c r="G64" s="22" t="s">
        <v>460</v>
      </c>
      <c r="H64" s="23"/>
      <c r="I64" s="23"/>
      <c r="J64" s="23"/>
      <c r="K64" s="23">
        <v>245.75</v>
      </c>
      <c r="L64" s="24"/>
      <c r="M64" s="25">
        <f t="shared" si="5"/>
        <v>219.41964285714283</v>
      </c>
      <c r="N64" s="25">
        <f t="shared" si="6"/>
        <v>26.330357142857139</v>
      </c>
      <c r="O64" s="25">
        <f t="shared" si="7"/>
        <v>0</v>
      </c>
      <c r="P64" s="25"/>
      <c r="Q64" s="25"/>
      <c r="R64" s="25"/>
      <c r="S64" s="25"/>
      <c r="T64" s="26">
        <v>219.42</v>
      </c>
      <c r="U64" s="26"/>
      <c r="V64" s="26"/>
      <c r="W64" s="26"/>
      <c r="X64" s="26"/>
      <c r="Y64" s="31"/>
      <c r="Z64" s="25"/>
      <c r="AA64" s="25"/>
      <c r="AB64" s="25"/>
      <c r="AC64" s="25"/>
      <c r="AD64" s="25"/>
      <c r="AE64" s="25"/>
      <c r="AF64" s="25"/>
      <c r="AG64" s="25">
        <f t="shared" si="8"/>
        <v>-245.75035714285713</v>
      </c>
      <c r="AH64" s="29">
        <f t="shared" si="9"/>
        <v>-3.5714285712629135E-4</v>
      </c>
    </row>
    <row r="65" spans="1:34" s="30" customFormat="1" ht="21.75" customHeight="1" x14ac:dyDescent="0.2">
      <c r="A65" s="18">
        <v>43217</v>
      </c>
      <c r="B65" s="19"/>
      <c r="C65" s="20" t="s">
        <v>396</v>
      </c>
      <c r="D65" s="20" t="s">
        <v>60</v>
      </c>
      <c r="E65" s="20" t="s">
        <v>397</v>
      </c>
      <c r="F65" s="21">
        <v>640770</v>
      </c>
      <c r="G65" s="22" t="s">
        <v>461</v>
      </c>
      <c r="H65" s="23"/>
      <c r="I65" s="23"/>
      <c r="J65" s="23"/>
      <c r="K65" s="23">
        <v>61.5</v>
      </c>
      <c r="L65" s="24"/>
      <c r="M65" s="25">
        <f t="shared" si="5"/>
        <v>54.910714285714278</v>
      </c>
      <c r="N65" s="25">
        <f t="shared" si="6"/>
        <v>6.5892857142857126</v>
      </c>
      <c r="O65" s="25">
        <f t="shared" si="7"/>
        <v>0</v>
      </c>
      <c r="P65" s="25"/>
      <c r="Q65" s="25"/>
      <c r="R65" s="25"/>
      <c r="S65" s="25"/>
      <c r="T65" s="26"/>
      <c r="U65" s="26"/>
      <c r="V65" s="26"/>
      <c r="W65" s="26"/>
      <c r="X65" s="26"/>
      <c r="Y65" s="31"/>
      <c r="Z65" s="25">
        <v>54.91</v>
      </c>
      <c r="AA65" s="25"/>
      <c r="AB65" s="25"/>
      <c r="AC65" s="25"/>
      <c r="AD65" s="25"/>
      <c r="AE65" s="25"/>
      <c r="AF65" s="25"/>
      <c r="AG65" s="25">
        <f t="shared" si="8"/>
        <v>-61.499285714285712</v>
      </c>
      <c r="AH65" s="29">
        <f t="shared" si="9"/>
        <v>7.1428571428810983E-4</v>
      </c>
    </row>
    <row r="66" spans="1:34" s="30" customFormat="1" ht="21.75" customHeight="1" x14ac:dyDescent="0.2">
      <c r="A66" s="18">
        <v>43217</v>
      </c>
      <c r="B66" s="19"/>
      <c r="C66" s="20" t="s">
        <v>396</v>
      </c>
      <c r="D66" s="20" t="s">
        <v>60</v>
      </c>
      <c r="E66" s="20" t="s">
        <v>397</v>
      </c>
      <c r="F66" s="21">
        <v>671697</v>
      </c>
      <c r="G66" s="22" t="s">
        <v>462</v>
      </c>
      <c r="H66" s="23"/>
      <c r="I66" s="23"/>
      <c r="J66" s="23"/>
      <c r="K66" s="23">
        <v>50</v>
      </c>
      <c r="L66" s="24"/>
      <c r="M66" s="25">
        <f t="shared" si="5"/>
        <v>44.642857142857139</v>
      </c>
      <c r="N66" s="25">
        <f t="shared" si="6"/>
        <v>5.3571428571428568</v>
      </c>
      <c r="O66" s="25">
        <f t="shared" si="7"/>
        <v>0</v>
      </c>
      <c r="P66" s="25"/>
      <c r="Q66" s="25"/>
      <c r="R66" s="25"/>
      <c r="S66" s="25"/>
      <c r="T66" s="26">
        <v>44.64</v>
      </c>
      <c r="U66" s="26"/>
      <c r="V66" s="26"/>
      <c r="W66" s="26"/>
      <c r="X66" s="26"/>
      <c r="Y66" s="31"/>
      <c r="Z66" s="25"/>
      <c r="AA66" s="25"/>
      <c r="AB66" s="25"/>
      <c r="AC66" s="25"/>
      <c r="AD66" s="25"/>
      <c r="AE66" s="25"/>
      <c r="AF66" s="25"/>
      <c r="AG66" s="25">
        <f t="shared" si="8"/>
        <v>-49.997142857142855</v>
      </c>
      <c r="AH66" s="29">
        <f t="shared" si="9"/>
        <v>2.8571428571453339E-3</v>
      </c>
    </row>
    <row r="67" spans="1:34" s="30" customFormat="1" ht="21.75" customHeight="1" x14ac:dyDescent="0.2">
      <c r="A67" s="18">
        <v>43217</v>
      </c>
      <c r="B67" s="19"/>
      <c r="C67" s="20" t="s">
        <v>276</v>
      </c>
      <c r="D67" s="20" t="s">
        <v>52</v>
      </c>
      <c r="E67" s="20" t="s">
        <v>277</v>
      </c>
      <c r="F67" s="21">
        <v>31445</v>
      </c>
      <c r="G67" s="22" t="s">
        <v>456</v>
      </c>
      <c r="H67" s="23"/>
      <c r="I67" s="23"/>
      <c r="J67" s="23"/>
      <c r="K67" s="23">
        <v>156</v>
      </c>
      <c r="L67" s="24"/>
      <c r="M67" s="25">
        <f t="shared" si="5"/>
        <v>139.28571428571428</v>
      </c>
      <c r="N67" s="25">
        <f t="shared" si="6"/>
        <v>16.714285714285712</v>
      </c>
      <c r="O67" s="25">
        <f t="shared" si="7"/>
        <v>0</v>
      </c>
      <c r="P67" s="25">
        <v>139.29</v>
      </c>
      <c r="Q67" s="25"/>
      <c r="R67" s="25"/>
      <c r="S67" s="25"/>
      <c r="T67" s="26"/>
      <c r="U67" s="26"/>
      <c r="V67" s="26"/>
      <c r="W67" s="26"/>
      <c r="X67" s="26"/>
      <c r="Y67" s="31"/>
      <c r="Z67" s="25"/>
      <c r="AA67" s="25"/>
      <c r="AB67" s="25"/>
      <c r="AC67" s="25"/>
      <c r="AD67" s="25"/>
      <c r="AE67" s="25"/>
      <c r="AF67" s="25"/>
      <c r="AG67" s="25">
        <f t="shared" si="8"/>
        <v>-156.00428571428571</v>
      </c>
      <c r="AH67" s="29">
        <f t="shared" si="9"/>
        <v>-4.2857142857144481E-3</v>
      </c>
    </row>
    <row r="68" spans="1:34" s="30" customFormat="1" ht="21.75" customHeight="1" x14ac:dyDescent="0.2">
      <c r="A68" s="18">
        <v>43217</v>
      </c>
      <c r="B68" s="19"/>
      <c r="C68" s="20" t="s">
        <v>463</v>
      </c>
      <c r="D68" s="20"/>
      <c r="E68" s="20"/>
      <c r="F68" s="21"/>
      <c r="G68" s="22" t="s">
        <v>464</v>
      </c>
      <c r="H68" s="23">
        <v>500</v>
      </c>
      <c r="I68" s="23"/>
      <c r="J68" s="23"/>
      <c r="K68" s="23"/>
      <c r="L68" s="24"/>
      <c r="M68" s="25">
        <f t="shared" si="5"/>
        <v>500</v>
      </c>
      <c r="N68" s="25">
        <f t="shared" si="6"/>
        <v>0</v>
      </c>
      <c r="O68" s="25">
        <f t="shared" si="7"/>
        <v>0</v>
      </c>
      <c r="P68" s="25"/>
      <c r="Q68" s="25"/>
      <c r="R68" s="25"/>
      <c r="S68" s="25"/>
      <c r="T68" s="26"/>
      <c r="U68" s="26"/>
      <c r="V68" s="26"/>
      <c r="W68" s="26"/>
      <c r="X68" s="26"/>
      <c r="Y68" s="31"/>
      <c r="Z68" s="25"/>
      <c r="AA68" s="25"/>
      <c r="AB68" s="25"/>
      <c r="AC68" s="25"/>
      <c r="AD68" s="25">
        <v>500</v>
      </c>
      <c r="AE68" s="25"/>
      <c r="AF68" s="25"/>
      <c r="AG68" s="25">
        <f t="shared" si="8"/>
        <v>-500</v>
      </c>
      <c r="AH68" s="29">
        <f t="shared" si="9"/>
        <v>0</v>
      </c>
    </row>
    <row r="69" spans="1:34" s="46" customFormat="1" ht="19.5" customHeight="1" x14ac:dyDescent="0.2">
      <c r="A69" s="33">
        <v>43218</v>
      </c>
      <c r="B69" s="34"/>
      <c r="C69" s="36" t="s">
        <v>321</v>
      </c>
      <c r="D69" s="36" t="s">
        <v>378</v>
      </c>
      <c r="E69" s="36" t="s">
        <v>277</v>
      </c>
      <c r="F69" s="37">
        <v>29992</v>
      </c>
      <c r="G69" s="38" t="s">
        <v>465</v>
      </c>
      <c r="H69" s="39"/>
      <c r="I69" s="39"/>
      <c r="J69" s="39"/>
      <c r="K69" s="39">
        <v>216.75</v>
      </c>
      <c r="L69" s="40"/>
      <c r="M69" s="41">
        <f t="shared" ref="M69:M78" si="10">SUM(H69:J69,K69/1.12)</f>
        <v>193.52678571428569</v>
      </c>
      <c r="N69" s="41">
        <f t="shared" ref="N69:N78" si="11">K69/1.12*0.12</f>
        <v>23.223214285714281</v>
      </c>
      <c r="O69" s="41">
        <f t="shared" ref="O69:O78" si="12">-SUM(I69:J69,K69/1.12)*L69</f>
        <v>0</v>
      </c>
      <c r="P69" s="41"/>
      <c r="Q69" s="41"/>
      <c r="R69" s="41"/>
      <c r="S69" s="41"/>
      <c r="T69" s="42"/>
      <c r="U69" s="42"/>
      <c r="V69" s="42"/>
      <c r="W69" s="42">
        <v>193.53</v>
      </c>
      <c r="X69" s="42"/>
      <c r="Y69" s="41"/>
      <c r="Z69" s="41"/>
      <c r="AA69" s="41"/>
      <c r="AB69" s="41"/>
      <c r="AC69" s="41"/>
      <c r="AD69" s="41"/>
      <c r="AE69" s="41"/>
      <c r="AF69" s="41"/>
      <c r="AG69" s="41">
        <f t="shared" ref="AG69:AG78" si="13">-SUM(N69:AF69)</f>
        <v>-216.75321428571428</v>
      </c>
      <c r="AH69" s="45">
        <f t="shared" ref="AH69:AH78" si="14">SUM(H69:K69)+AG69+O69</f>
        <v>-3.2142857142787307E-3</v>
      </c>
    </row>
    <row r="70" spans="1:34" s="30" customFormat="1" ht="19.5" customHeight="1" x14ac:dyDescent="0.2">
      <c r="A70" s="18">
        <v>43218</v>
      </c>
      <c r="B70" s="19"/>
      <c r="C70" s="20" t="s">
        <v>466</v>
      </c>
      <c r="D70" s="20" t="s">
        <v>467</v>
      </c>
      <c r="E70" s="20" t="s">
        <v>277</v>
      </c>
      <c r="F70" s="21">
        <v>21229</v>
      </c>
      <c r="G70" s="22" t="s">
        <v>40</v>
      </c>
      <c r="H70" s="23"/>
      <c r="I70" s="23"/>
      <c r="J70" s="23"/>
      <c r="K70" s="23">
        <v>38</v>
      </c>
      <c r="L70" s="24"/>
      <c r="M70" s="25">
        <f t="shared" si="10"/>
        <v>33.928571428571423</v>
      </c>
      <c r="N70" s="25">
        <f t="shared" si="11"/>
        <v>4.0714285714285703</v>
      </c>
      <c r="O70" s="25">
        <f t="shared" si="12"/>
        <v>0</v>
      </c>
      <c r="P70" s="25"/>
      <c r="Q70" s="25">
        <v>33.93</v>
      </c>
      <c r="R70" s="25"/>
      <c r="S70" s="25"/>
      <c r="T70" s="26"/>
      <c r="U70" s="26"/>
      <c r="V70" s="26"/>
      <c r="W70" s="26"/>
      <c r="X70" s="26"/>
      <c r="Y70" s="25"/>
      <c r="Z70" s="25"/>
      <c r="AA70" s="25"/>
      <c r="AB70" s="25"/>
      <c r="AC70" s="26"/>
      <c r="AD70" s="26"/>
      <c r="AE70" s="27"/>
      <c r="AF70" s="27"/>
      <c r="AG70" s="25">
        <f t="shared" si="13"/>
        <v>-38.001428571428569</v>
      </c>
      <c r="AH70" s="29">
        <f t="shared" si="14"/>
        <v>-1.4285714285691142E-3</v>
      </c>
    </row>
    <row r="71" spans="1:34" s="30" customFormat="1" ht="19.5" customHeight="1" x14ac:dyDescent="0.2">
      <c r="A71" s="18">
        <v>43220</v>
      </c>
      <c r="B71" s="19"/>
      <c r="C71" s="20" t="s">
        <v>63</v>
      </c>
      <c r="D71" s="20" t="s">
        <v>64</v>
      </c>
      <c r="E71" s="20" t="s">
        <v>65</v>
      </c>
      <c r="F71" s="21">
        <v>136029</v>
      </c>
      <c r="G71" s="22" t="s">
        <v>468</v>
      </c>
      <c r="H71" s="23"/>
      <c r="I71" s="23"/>
      <c r="J71" s="23">
        <v>247</v>
      </c>
      <c r="K71" s="23"/>
      <c r="L71" s="24"/>
      <c r="M71" s="25">
        <f t="shared" si="10"/>
        <v>247</v>
      </c>
      <c r="N71" s="25">
        <f t="shared" si="11"/>
        <v>0</v>
      </c>
      <c r="O71" s="25">
        <f t="shared" si="12"/>
        <v>0</v>
      </c>
      <c r="P71" s="25">
        <v>247</v>
      </c>
      <c r="Q71" s="25"/>
      <c r="R71" s="25"/>
      <c r="S71" s="25"/>
      <c r="T71" s="26"/>
      <c r="U71" s="26"/>
      <c r="V71" s="26"/>
      <c r="W71" s="26"/>
      <c r="X71" s="26"/>
      <c r="Y71" s="25"/>
      <c r="Z71" s="25"/>
      <c r="AA71" s="25"/>
      <c r="AB71" s="25"/>
      <c r="AC71" s="26"/>
      <c r="AD71" s="26"/>
      <c r="AE71" s="27"/>
      <c r="AF71" s="27"/>
      <c r="AG71" s="25">
        <f t="shared" si="13"/>
        <v>-247</v>
      </c>
      <c r="AH71" s="29">
        <f t="shared" si="14"/>
        <v>0</v>
      </c>
    </row>
    <row r="72" spans="1:34" s="30" customFormat="1" ht="19.5" customHeight="1" x14ac:dyDescent="0.2">
      <c r="A72" s="18">
        <v>43220</v>
      </c>
      <c r="B72" s="19"/>
      <c r="C72" s="20" t="s">
        <v>276</v>
      </c>
      <c r="D72" s="20" t="s">
        <v>52</v>
      </c>
      <c r="E72" s="20" t="s">
        <v>277</v>
      </c>
      <c r="F72" s="21">
        <v>27926</v>
      </c>
      <c r="G72" s="22" t="s">
        <v>469</v>
      </c>
      <c r="H72" s="23"/>
      <c r="I72" s="23"/>
      <c r="J72" s="23"/>
      <c r="K72" s="23">
        <v>226</v>
      </c>
      <c r="L72" s="24"/>
      <c r="M72" s="25">
        <f t="shared" si="10"/>
        <v>201.78571428571428</v>
      </c>
      <c r="N72" s="25">
        <f t="shared" si="11"/>
        <v>24.214285714285712</v>
      </c>
      <c r="O72" s="25">
        <f t="shared" si="12"/>
        <v>0</v>
      </c>
      <c r="P72" s="25">
        <v>201.79</v>
      </c>
      <c r="Q72" s="25"/>
      <c r="R72" s="25"/>
      <c r="S72" s="25"/>
      <c r="T72" s="26"/>
      <c r="U72" s="26"/>
      <c r="V72" s="26"/>
      <c r="W72" s="26"/>
      <c r="X72" s="26"/>
      <c r="Y72" s="25"/>
      <c r="Z72" s="25"/>
      <c r="AA72" s="25"/>
      <c r="AB72" s="25"/>
      <c r="AC72" s="26"/>
      <c r="AD72" s="26"/>
      <c r="AE72" s="27"/>
      <c r="AF72" s="27"/>
      <c r="AG72" s="25">
        <f t="shared" si="13"/>
        <v>-226.00428571428571</v>
      </c>
      <c r="AH72" s="29">
        <f t="shared" si="14"/>
        <v>-4.2857142857144481E-3</v>
      </c>
    </row>
    <row r="73" spans="1:34" s="30" customFormat="1" ht="19.5" customHeight="1" x14ac:dyDescent="0.2">
      <c r="A73" s="18">
        <v>43220</v>
      </c>
      <c r="B73" s="19"/>
      <c r="C73" s="20" t="s">
        <v>470</v>
      </c>
      <c r="D73" s="20" t="s">
        <v>471</v>
      </c>
      <c r="E73" s="20" t="s">
        <v>472</v>
      </c>
      <c r="F73" s="21">
        <v>10219</v>
      </c>
      <c r="G73" s="22" t="s">
        <v>473</v>
      </c>
      <c r="H73" s="23"/>
      <c r="I73" s="23"/>
      <c r="J73" s="23"/>
      <c r="K73" s="23">
        <v>300</v>
      </c>
      <c r="L73" s="24"/>
      <c r="M73" s="25">
        <f t="shared" si="10"/>
        <v>267.85714285714283</v>
      </c>
      <c r="N73" s="25">
        <f t="shared" si="11"/>
        <v>32.142857142857139</v>
      </c>
      <c r="O73" s="25">
        <f t="shared" si="12"/>
        <v>0</v>
      </c>
      <c r="P73" s="25"/>
      <c r="Q73" s="25"/>
      <c r="R73" s="25"/>
      <c r="S73" s="25"/>
      <c r="T73" s="26"/>
      <c r="U73" s="26"/>
      <c r="V73" s="26"/>
      <c r="W73" s="26"/>
      <c r="X73" s="26"/>
      <c r="Y73" s="25"/>
      <c r="Z73" s="25">
        <v>267.86</v>
      </c>
      <c r="AA73" s="25"/>
      <c r="AB73" s="25"/>
      <c r="AC73" s="26"/>
      <c r="AD73" s="26"/>
      <c r="AE73" s="27"/>
      <c r="AF73" s="27"/>
      <c r="AG73" s="25">
        <f t="shared" si="13"/>
        <v>-300.00285714285712</v>
      </c>
      <c r="AH73" s="29">
        <f t="shared" si="14"/>
        <v>-2.8571428571240176E-3</v>
      </c>
    </row>
    <row r="74" spans="1:34" s="30" customFormat="1" ht="22.5" customHeight="1" x14ac:dyDescent="0.2">
      <c r="A74" s="56">
        <v>43220</v>
      </c>
      <c r="B74" s="57"/>
      <c r="C74" s="20" t="s">
        <v>474</v>
      </c>
      <c r="D74" s="20"/>
      <c r="E74" s="20"/>
      <c r="F74" s="58"/>
      <c r="G74" s="59" t="s">
        <v>475</v>
      </c>
      <c r="H74" s="23">
        <v>34</v>
      </c>
      <c r="I74" s="23"/>
      <c r="J74" s="23"/>
      <c r="K74" s="23"/>
      <c r="L74" s="24"/>
      <c r="M74" s="25">
        <f t="shared" si="10"/>
        <v>34</v>
      </c>
      <c r="N74" s="25">
        <f t="shared" si="11"/>
        <v>0</v>
      </c>
      <c r="O74" s="25">
        <f t="shared" si="12"/>
        <v>0</v>
      </c>
      <c r="P74" s="25"/>
      <c r="Q74" s="25"/>
      <c r="R74" s="25"/>
      <c r="S74" s="25"/>
      <c r="T74" s="26"/>
      <c r="U74" s="26"/>
      <c r="V74" s="26"/>
      <c r="W74" s="26"/>
      <c r="X74" s="26"/>
      <c r="Y74" s="25"/>
      <c r="Z74" s="25"/>
      <c r="AA74" s="25">
        <v>34</v>
      </c>
      <c r="AB74" s="25"/>
      <c r="AC74" s="25"/>
      <c r="AD74" s="25"/>
      <c r="AE74" s="25"/>
      <c r="AF74" s="25"/>
      <c r="AG74" s="25">
        <f t="shared" si="13"/>
        <v>-34</v>
      </c>
      <c r="AH74" s="29">
        <f t="shared" si="14"/>
        <v>0</v>
      </c>
    </row>
    <row r="75" spans="1:34" s="30" customFormat="1" ht="21.75" customHeight="1" x14ac:dyDescent="0.2">
      <c r="A75" s="18"/>
      <c r="B75" s="19"/>
      <c r="C75" s="20"/>
      <c r="D75" s="20"/>
      <c r="E75" s="20"/>
      <c r="F75" s="21"/>
      <c r="G75" s="21"/>
      <c r="H75" s="23"/>
      <c r="I75" s="23"/>
      <c r="J75" s="23"/>
      <c r="K75" s="23"/>
      <c r="L75" s="24"/>
      <c r="M75" s="25">
        <f t="shared" si="10"/>
        <v>0</v>
      </c>
      <c r="N75" s="25">
        <f t="shared" si="11"/>
        <v>0</v>
      </c>
      <c r="O75" s="25">
        <f t="shared" si="12"/>
        <v>0</v>
      </c>
      <c r="P75" s="25"/>
      <c r="Q75" s="25"/>
      <c r="R75" s="25"/>
      <c r="S75" s="25"/>
      <c r="T75" s="26"/>
      <c r="U75" s="26"/>
      <c r="V75" s="26"/>
      <c r="W75" s="26"/>
      <c r="X75" s="26"/>
      <c r="Y75" s="25"/>
      <c r="Z75" s="25"/>
      <c r="AA75" s="25"/>
      <c r="AB75" s="25"/>
      <c r="AC75" s="25"/>
      <c r="AD75" s="25"/>
      <c r="AE75" s="25"/>
      <c r="AF75" s="25"/>
      <c r="AG75" s="25">
        <f t="shared" si="13"/>
        <v>0</v>
      </c>
      <c r="AH75" s="29">
        <f t="shared" si="14"/>
        <v>0</v>
      </c>
    </row>
    <row r="76" spans="1:34" s="30" customFormat="1" ht="19.5" customHeight="1" x14ac:dyDescent="0.2">
      <c r="A76" s="18"/>
      <c r="B76" s="19"/>
      <c r="C76" s="20"/>
      <c r="D76" s="20"/>
      <c r="E76" s="20"/>
      <c r="F76" s="21"/>
      <c r="G76" s="22"/>
      <c r="H76" s="23"/>
      <c r="I76" s="23"/>
      <c r="J76" s="23"/>
      <c r="K76" s="23"/>
      <c r="L76" s="24"/>
      <c r="M76" s="25">
        <f t="shared" si="10"/>
        <v>0</v>
      </c>
      <c r="N76" s="25">
        <f t="shared" si="11"/>
        <v>0</v>
      </c>
      <c r="O76" s="25">
        <f t="shared" si="12"/>
        <v>0</v>
      </c>
      <c r="P76" s="25"/>
      <c r="Q76" s="25"/>
      <c r="R76" s="25"/>
      <c r="S76" s="25"/>
      <c r="T76" s="26"/>
      <c r="U76" s="26"/>
      <c r="V76" s="26"/>
      <c r="W76" s="26"/>
      <c r="X76" s="26"/>
      <c r="Y76" s="25"/>
      <c r="Z76" s="25"/>
      <c r="AA76" s="25"/>
      <c r="AB76" s="25"/>
      <c r="AC76" s="25"/>
      <c r="AD76" s="25"/>
      <c r="AE76" s="25"/>
      <c r="AF76" s="25"/>
      <c r="AG76" s="25">
        <f t="shared" si="13"/>
        <v>0</v>
      </c>
      <c r="AH76" s="29">
        <f t="shared" si="14"/>
        <v>0</v>
      </c>
    </row>
    <row r="77" spans="1:34" s="30" customFormat="1" ht="18.75" customHeight="1" x14ac:dyDescent="0.2">
      <c r="A77" s="18"/>
      <c r="B77" s="19"/>
      <c r="C77" s="20"/>
      <c r="D77" s="20"/>
      <c r="E77" s="20"/>
      <c r="F77" s="21"/>
      <c r="G77" s="22"/>
      <c r="H77" s="23"/>
      <c r="I77" s="23"/>
      <c r="J77" s="23"/>
      <c r="K77" s="23"/>
      <c r="L77" s="24"/>
      <c r="M77" s="25">
        <f t="shared" si="10"/>
        <v>0</v>
      </c>
      <c r="N77" s="25">
        <f t="shared" si="11"/>
        <v>0</v>
      </c>
      <c r="O77" s="25">
        <f t="shared" si="12"/>
        <v>0</v>
      </c>
      <c r="P77" s="25"/>
      <c r="Q77" s="25"/>
      <c r="R77" s="25"/>
      <c r="S77" s="25"/>
      <c r="T77" s="26"/>
      <c r="U77" s="26"/>
      <c r="V77" s="26"/>
      <c r="W77" s="26"/>
      <c r="X77" s="26"/>
      <c r="Y77" s="25"/>
      <c r="Z77" s="25"/>
      <c r="AA77" s="25"/>
      <c r="AB77" s="25"/>
      <c r="AC77" s="25"/>
      <c r="AD77" s="25"/>
      <c r="AE77" s="25"/>
      <c r="AF77" s="25"/>
      <c r="AG77" s="25">
        <f t="shared" si="13"/>
        <v>0</v>
      </c>
      <c r="AH77" s="29">
        <f t="shared" si="14"/>
        <v>0</v>
      </c>
    </row>
    <row r="78" spans="1:34" s="30" customFormat="1" ht="19.5" customHeight="1" x14ac:dyDescent="0.2">
      <c r="A78" s="18"/>
      <c r="B78" s="19"/>
      <c r="C78" s="47"/>
      <c r="D78" s="47"/>
      <c r="E78" s="47"/>
      <c r="F78" s="21"/>
      <c r="G78" s="22"/>
      <c r="H78" s="23"/>
      <c r="I78" s="23"/>
      <c r="J78" s="23"/>
      <c r="K78" s="23"/>
      <c r="L78" s="24"/>
      <c r="M78" s="25">
        <f t="shared" si="10"/>
        <v>0</v>
      </c>
      <c r="N78" s="25">
        <f t="shared" si="11"/>
        <v>0</v>
      </c>
      <c r="O78" s="25">
        <f t="shared" si="12"/>
        <v>0</v>
      </c>
      <c r="P78" s="25"/>
      <c r="Q78" s="25"/>
      <c r="R78" s="25"/>
      <c r="S78" s="25"/>
      <c r="T78" s="26"/>
      <c r="U78" s="26"/>
      <c r="V78" s="26"/>
      <c r="W78" s="26"/>
      <c r="X78" s="26"/>
      <c r="Y78" s="31"/>
      <c r="Z78" s="25"/>
      <c r="AA78" s="25"/>
      <c r="AB78" s="25"/>
      <c r="AC78" s="26"/>
      <c r="AD78" s="26"/>
      <c r="AE78" s="27"/>
      <c r="AF78" s="27"/>
      <c r="AG78" s="28">
        <f t="shared" si="13"/>
        <v>0</v>
      </c>
      <c r="AH78" s="29">
        <f t="shared" si="14"/>
        <v>0</v>
      </c>
    </row>
    <row r="79" spans="1:34" s="55" customFormat="1" ht="12" customHeight="1" x14ac:dyDescent="0.2">
      <c r="A79" s="48"/>
      <c r="B79" s="49"/>
      <c r="C79" s="50"/>
      <c r="D79" s="51"/>
      <c r="E79" s="51"/>
      <c r="F79" s="52"/>
      <c r="G79" s="50"/>
      <c r="H79" s="53">
        <f t="shared" ref="H79:AH79" si="15">SUM(H5:H78)</f>
        <v>1751</v>
      </c>
      <c r="I79" s="53">
        <f t="shared" si="15"/>
        <v>0</v>
      </c>
      <c r="J79" s="53">
        <f t="shared" si="15"/>
        <v>6770.8</v>
      </c>
      <c r="K79" s="53">
        <f t="shared" si="15"/>
        <v>22300.559999999998</v>
      </c>
      <c r="L79" s="53">
        <f t="shared" si="15"/>
        <v>0.02</v>
      </c>
      <c r="M79" s="53">
        <f t="shared" si="15"/>
        <v>28433.014285714296</v>
      </c>
      <c r="N79" s="53">
        <f t="shared" si="15"/>
        <v>2389.3457142857133</v>
      </c>
      <c r="O79" s="53">
        <f t="shared" si="15"/>
        <v>-26.785714285714285</v>
      </c>
      <c r="P79" s="53">
        <f t="shared" si="15"/>
        <v>16750.36</v>
      </c>
      <c r="Q79" s="53">
        <f t="shared" si="15"/>
        <v>267.64</v>
      </c>
      <c r="R79" s="53">
        <f t="shared" si="15"/>
        <v>226.79</v>
      </c>
      <c r="S79" s="53">
        <f t="shared" si="15"/>
        <v>1195.53</v>
      </c>
      <c r="T79" s="53">
        <f t="shared" si="15"/>
        <v>2367.19</v>
      </c>
      <c r="U79" s="53">
        <f t="shared" si="15"/>
        <v>0</v>
      </c>
      <c r="V79" s="53">
        <f t="shared" si="15"/>
        <v>0</v>
      </c>
      <c r="W79" s="53">
        <f t="shared" si="15"/>
        <v>193.53</v>
      </c>
      <c r="X79" s="53">
        <f t="shared" si="15"/>
        <v>0</v>
      </c>
      <c r="Y79" s="53">
        <f t="shared" si="15"/>
        <v>5075.6400000000003</v>
      </c>
      <c r="Z79" s="53">
        <f t="shared" si="15"/>
        <v>605.36</v>
      </c>
      <c r="AA79" s="53">
        <f t="shared" si="15"/>
        <v>751</v>
      </c>
      <c r="AB79" s="53">
        <f t="shared" si="15"/>
        <v>0</v>
      </c>
      <c r="AC79" s="53">
        <f t="shared" si="15"/>
        <v>0</v>
      </c>
      <c r="AD79" s="53">
        <f t="shared" si="15"/>
        <v>1000</v>
      </c>
      <c r="AE79" s="53">
        <f t="shared" si="15"/>
        <v>0</v>
      </c>
      <c r="AF79" s="54">
        <f t="shared" si="15"/>
        <v>0</v>
      </c>
      <c r="AG79" s="53">
        <f t="shared" si="15"/>
        <v>-30795.600000000013</v>
      </c>
      <c r="AH79" s="53">
        <f t="shared" si="15"/>
        <v>-2.5714285713706708E-2</v>
      </c>
    </row>
    <row r="80" spans="1:34" ht="12" customHeight="1" x14ac:dyDescent="0.25"/>
    <row r="81" spans="17:17" ht="12" customHeight="1" x14ac:dyDescent="0.25"/>
    <row r="82" spans="17:17" ht="12" customHeight="1" x14ac:dyDescent="0.25"/>
    <row r="83" spans="17:17" ht="12" customHeight="1" x14ac:dyDescent="0.25"/>
    <row r="84" spans="17:17" ht="12" customHeight="1" x14ac:dyDescent="0.25"/>
    <row r="85" spans="17:17" ht="12" customHeight="1" x14ac:dyDescent="0.25"/>
    <row r="86" spans="17:17" ht="12" customHeight="1" x14ac:dyDescent="0.25">
      <c r="Q86" s="5">
        <v>0</v>
      </c>
    </row>
    <row r="87" spans="17:17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76"/>
  <sheetViews>
    <sheetView topLeftCell="A64" zoomScale="90" zoomScaleNormal="90" workbookViewId="0">
      <selection activeCell="G70" sqref="A70:XFD77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28.44140625" style="3" customWidth="1"/>
    <col min="4" max="4" width="17.6640625" style="4" customWidth="1"/>
    <col min="5" max="5" width="28.6640625" style="4" hidden="1" customWidth="1"/>
    <col min="6" max="6" width="9.88671875" style="2" customWidth="1"/>
    <col min="7" max="7" width="39.77734375" style="3" customWidth="1"/>
    <col min="8" max="8" width="10.109375" style="5" customWidth="1"/>
    <col min="9" max="9" width="10.6640625" style="5" customWidth="1"/>
    <col min="10" max="10" width="12.2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1.33203125" style="5" customWidth="1"/>
    <col min="16" max="16" width="12.44140625" style="5" customWidth="1"/>
    <col min="17" max="17" width="9.88671875" style="5" customWidth="1"/>
    <col min="18" max="18" width="9.6640625" style="5" customWidth="1"/>
    <col min="19" max="19" width="10.21875" style="5" customWidth="1"/>
    <col min="20" max="21" width="11.5546875" style="5"/>
    <col min="22" max="24" width="8.6640625" style="5" customWidth="1"/>
    <col min="25" max="25" width="11.6640625" style="5" customWidth="1"/>
    <col min="26" max="26" width="10.44140625" style="5" customWidth="1"/>
    <col min="27" max="27" width="8.44140625" style="5" customWidth="1"/>
    <col min="28" max="28" width="12.109375" style="5" customWidth="1"/>
    <col min="29" max="30" width="10.109375" style="5" customWidth="1"/>
    <col min="31" max="31" width="12.77734375" style="5" customWidth="1"/>
    <col min="32" max="32" width="0.21875" style="5" customWidth="1"/>
    <col min="33" max="33" width="13.44140625" style="5" customWidth="1"/>
    <col min="34" max="34" width="9.554687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476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30" customFormat="1" ht="21.75" customHeight="1" x14ac:dyDescent="0.2">
      <c r="A5" s="18">
        <v>43222</v>
      </c>
      <c r="B5" s="19"/>
      <c r="C5" s="20" t="s">
        <v>96</v>
      </c>
      <c r="D5" s="20"/>
      <c r="E5" s="20"/>
      <c r="F5" s="21"/>
      <c r="G5" s="21" t="s">
        <v>477</v>
      </c>
      <c r="H5" s="23"/>
      <c r="I5" s="23"/>
      <c r="J5" s="23">
        <v>14</v>
      </c>
      <c r="K5" s="23"/>
      <c r="L5" s="24"/>
      <c r="M5" s="25">
        <f t="shared" ref="M5:M36" si="0">SUM(H5:J5,K5/1.12)</f>
        <v>14</v>
      </c>
      <c r="N5" s="25">
        <f t="shared" ref="N5:N36" si="1">K5/1.12*0.12</f>
        <v>0</v>
      </c>
      <c r="O5" s="25">
        <f t="shared" ref="O5:O36" si="2">-SUM(I5:J5,K5/1.12)*L5</f>
        <v>0</v>
      </c>
      <c r="P5" s="25"/>
      <c r="Q5" s="25"/>
      <c r="R5" s="25"/>
      <c r="S5" s="25"/>
      <c r="T5" s="26"/>
      <c r="U5" s="26"/>
      <c r="V5" s="26"/>
      <c r="W5" s="26"/>
      <c r="X5" s="26"/>
      <c r="Y5" s="25"/>
      <c r="Z5" s="25">
        <v>14</v>
      </c>
      <c r="AA5" s="25"/>
      <c r="AB5" s="25"/>
      <c r="AC5" s="25"/>
      <c r="AD5" s="25"/>
      <c r="AE5" s="25"/>
      <c r="AF5" s="25"/>
      <c r="AG5" s="25">
        <f t="shared" ref="AG5:AG36" si="3">-SUM(N5:AF5)</f>
        <v>-14</v>
      </c>
      <c r="AH5" s="29">
        <f t="shared" ref="AH5:AH36" si="4">SUM(H5:K5)+AG5+O5</f>
        <v>0</v>
      </c>
    </row>
    <row r="6" spans="1:34" s="30" customFormat="1" ht="21.75" customHeight="1" x14ac:dyDescent="0.2">
      <c r="A6" s="18">
        <v>43222</v>
      </c>
      <c r="B6" s="19"/>
      <c r="C6" s="20" t="s">
        <v>96</v>
      </c>
      <c r="D6" s="20"/>
      <c r="E6" s="20"/>
      <c r="F6" s="21"/>
      <c r="G6" s="22" t="s">
        <v>432</v>
      </c>
      <c r="H6" s="23">
        <v>50</v>
      </c>
      <c r="I6" s="23"/>
      <c r="J6" s="23"/>
      <c r="K6" s="23"/>
      <c r="L6" s="24"/>
      <c r="M6" s="25">
        <f t="shared" si="0"/>
        <v>50</v>
      </c>
      <c r="N6" s="25">
        <f t="shared" si="1"/>
        <v>0</v>
      </c>
      <c r="O6" s="25">
        <f t="shared" si="2"/>
        <v>0</v>
      </c>
      <c r="P6" s="25"/>
      <c r="Q6" s="25"/>
      <c r="R6" s="25"/>
      <c r="S6" s="25"/>
      <c r="T6" s="26"/>
      <c r="U6" s="26"/>
      <c r="V6" s="26"/>
      <c r="W6" s="26"/>
      <c r="X6" s="26"/>
      <c r="Y6" s="25"/>
      <c r="Z6" s="25"/>
      <c r="AA6" s="25">
        <v>50</v>
      </c>
      <c r="AB6" s="25"/>
      <c r="AC6" s="25"/>
      <c r="AD6" s="25"/>
      <c r="AE6" s="25"/>
      <c r="AF6" s="25"/>
      <c r="AG6" s="25">
        <f t="shared" si="3"/>
        <v>-50</v>
      </c>
      <c r="AH6" s="29">
        <f t="shared" si="4"/>
        <v>0</v>
      </c>
    </row>
    <row r="7" spans="1:34" s="30" customFormat="1" ht="21.75" customHeight="1" x14ac:dyDescent="0.2">
      <c r="A7" s="18">
        <v>43223</v>
      </c>
      <c r="B7" s="19"/>
      <c r="C7" s="20" t="s">
        <v>396</v>
      </c>
      <c r="D7" s="20" t="s">
        <v>60</v>
      </c>
      <c r="E7" s="20" t="s">
        <v>397</v>
      </c>
      <c r="F7" s="21">
        <v>641423</v>
      </c>
      <c r="G7" s="22" t="s">
        <v>478</v>
      </c>
      <c r="H7" s="23"/>
      <c r="I7" s="23"/>
      <c r="J7" s="23"/>
      <c r="K7" s="23">
        <v>29.75</v>
      </c>
      <c r="L7" s="24"/>
      <c r="M7" s="25">
        <f t="shared" si="0"/>
        <v>26.562499999999996</v>
      </c>
      <c r="N7" s="25">
        <f t="shared" si="1"/>
        <v>3.1874999999999996</v>
      </c>
      <c r="O7" s="25">
        <f t="shared" si="2"/>
        <v>0</v>
      </c>
      <c r="P7" s="25"/>
      <c r="Q7" s="25"/>
      <c r="R7" s="25"/>
      <c r="S7" s="25"/>
      <c r="T7" s="26"/>
      <c r="U7" s="26"/>
      <c r="V7" s="26"/>
      <c r="W7" s="26"/>
      <c r="X7" s="26"/>
      <c r="Y7" s="25"/>
      <c r="Z7" s="25">
        <v>26.56</v>
      </c>
      <c r="AA7" s="25"/>
      <c r="AB7" s="25"/>
      <c r="AC7" s="25"/>
      <c r="AD7" s="25"/>
      <c r="AE7" s="25"/>
      <c r="AF7" s="25"/>
      <c r="AG7" s="25">
        <f t="shared" si="3"/>
        <v>-29.747499999999999</v>
      </c>
      <c r="AH7" s="29">
        <f t="shared" si="4"/>
        <v>2.500000000001279E-3</v>
      </c>
    </row>
    <row r="8" spans="1:34" s="30" customFormat="1" ht="21.75" customHeight="1" x14ac:dyDescent="0.2">
      <c r="A8" s="18">
        <v>43223</v>
      </c>
      <c r="B8" s="19"/>
      <c r="C8" s="20" t="s">
        <v>63</v>
      </c>
      <c r="D8" s="20" t="s">
        <v>64</v>
      </c>
      <c r="E8" s="20" t="s">
        <v>65</v>
      </c>
      <c r="F8" s="21">
        <v>139552</v>
      </c>
      <c r="G8" s="22" t="s">
        <v>393</v>
      </c>
      <c r="H8" s="23"/>
      <c r="I8" s="23"/>
      <c r="J8" s="23"/>
      <c r="K8" s="23">
        <v>300</v>
      </c>
      <c r="L8" s="24"/>
      <c r="M8" s="25">
        <f t="shared" si="0"/>
        <v>267.85714285714283</v>
      </c>
      <c r="N8" s="25">
        <f t="shared" si="1"/>
        <v>32.142857142857139</v>
      </c>
      <c r="O8" s="25">
        <f t="shared" si="2"/>
        <v>0</v>
      </c>
      <c r="P8" s="25"/>
      <c r="Q8" s="25">
        <v>267.86</v>
      </c>
      <c r="R8" s="25"/>
      <c r="S8" s="25"/>
      <c r="T8" s="26"/>
      <c r="U8" s="26"/>
      <c r="V8" s="26"/>
      <c r="W8" s="26"/>
      <c r="X8" s="26"/>
      <c r="Y8" s="25"/>
      <c r="Z8" s="25"/>
      <c r="AA8" s="25"/>
      <c r="AB8" s="25"/>
      <c r="AC8" s="25"/>
      <c r="AD8" s="25"/>
      <c r="AE8" s="25"/>
      <c r="AF8" s="25"/>
      <c r="AG8" s="25">
        <f t="shared" si="3"/>
        <v>-300.00285714285712</v>
      </c>
      <c r="AH8" s="29">
        <f t="shared" si="4"/>
        <v>-2.8571428571240176E-3</v>
      </c>
    </row>
    <row r="9" spans="1:34" s="30" customFormat="1" ht="21.75" customHeight="1" x14ac:dyDescent="0.2">
      <c r="A9" s="18">
        <v>43223</v>
      </c>
      <c r="B9" s="19"/>
      <c r="C9" s="20" t="s">
        <v>63</v>
      </c>
      <c r="D9" s="20" t="s">
        <v>64</v>
      </c>
      <c r="E9" s="20" t="s">
        <v>65</v>
      </c>
      <c r="F9" s="21">
        <v>84003</v>
      </c>
      <c r="G9" s="22" t="s">
        <v>479</v>
      </c>
      <c r="H9" s="23"/>
      <c r="I9" s="23"/>
      <c r="J9" s="23"/>
      <c r="K9" s="23">
        <f>3375.98+405.12</f>
        <v>3781.1</v>
      </c>
      <c r="L9" s="24">
        <v>0.01</v>
      </c>
      <c r="M9" s="25">
        <f t="shared" si="0"/>
        <v>3375.9821428571427</v>
      </c>
      <c r="N9" s="25">
        <f t="shared" si="1"/>
        <v>405.11785714285708</v>
      </c>
      <c r="O9" s="25">
        <f t="shared" si="2"/>
        <v>-33.759821428571428</v>
      </c>
      <c r="P9" s="25">
        <v>3375.98</v>
      </c>
      <c r="Q9" s="25"/>
      <c r="R9" s="25"/>
      <c r="S9" s="25"/>
      <c r="T9" s="26"/>
      <c r="U9" s="26"/>
      <c r="V9" s="26"/>
      <c r="W9" s="26"/>
      <c r="X9" s="26"/>
      <c r="Y9" s="25"/>
      <c r="Z9" s="25"/>
      <c r="AA9" s="25"/>
      <c r="AB9" s="25"/>
      <c r="AC9" s="25"/>
      <c r="AD9" s="25"/>
      <c r="AE9" s="25"/>
      <c r="AF9" s="25"/>
      <c r="AG9" s="25">
        <f t="shared" si="3"/>
        <v>-3747.3380357142855</v>
      </c>
      <c r="AH9" s="29">
        <f t="shared" si="4"/>
        <v>2.1428571429567E-3</v>
      </c>
    </row>
    <row r="10" spans="1:34" s="30" customFormat="1" ht="21.75" customHeight="1" x14ac:dyDescent="0.2">
      <c r="A10" s="18">
        <v>43223</v>
      </c>
      <c r="B10" s="19"/>
      <c r="C10" s="20" t="s">
        <v>63</v>
      </c>
      <c r="D10" s="20" t="s">
        <v>64</v>
      </c>
      <c r="E10" s="20" t="s">
        <v>65</v>
      </c>
      <c r="F10" s="21">
        <v>84003</v>
      </c>
      <c r="G10" s="22" t="s">
        <v>480</v>
      </c>
      <c r="H10" s="23"/>
      <c r="I10" s="23"/>
      <c r="J10" s="23">
        <v>911.15</v>
      </c>
      <c r="K10" s="23"/>
      <c r="L10" s="24">
        <v>0.01</v>
      </c>
      <c r="M10" s="25">
        <f t="shared" si="0"/>
        <v>911.15</v>
      </c>
      <c r="N10" s="25">
        <f t="shared" si="1"/>
        <v>0</v>
      </c>
      <c r="O10" s="25">
        <f t="shared" si="2"/>
        <v>-9.1114999999999995</v>
      </c>
      <c r="P10" s="25">
        <v>911.15</v>
      </c>
      <c r="Q10" s="25"/>
      <c r="R10" s="25"/>
      <c r="S10" s="25"/>
      <c r="T10" s="26"/>
      <c r="U10" s="26"/>
      <c r="V10" s="26"/>
      <c r="W10" s="26"/>
      <c r="X10" s="26"/>
      <c r="Y10" s="25"/>
      <c r="Z10" s="25"/>
      <c r="AA10" s="25"/>
      <c r="AB10" s="25"/>
      <c r="AC10" s="25"/>
      <c r="AD10" s="25"/>
      <c r="AE10" s="25"/>
      <c r="AF10" s="25"/>
      <c r="AG10" s="25">
        <f t="shared" si="3"/>
        <v>-902.0385</v>
      </c>
      <c r="AH10" s="29">
        <f t="shared" si="4"/>
        <v>-2.1316282072803006E-14</v>
      </c>
    </row>
    <row r="11" spans="1:34" s="30" customFormat="1" ht="21.75" customHeight="1" x14ac:dyDescent="0.2">
      <c r="A11" s="18">
        <v>43195</v>
      </c>
      <c r="B11" s="19"/>
      <c r="C11" s="20" t="s">
        <v>41</v>
      </c>
      <c r="D11" s="20" t="s">
        <v>88</v>
      </c>
      <c r="E11" s="20" t="s">
        <v>43</v>
      </c>
      <c r="F11" s="21">
        <v>2412</v>
      </c>
      <c r="G11" s="22" t="s">
        <v>481</v>
      </c>
      <c r="H11" s="23"/>
      <c r="I11" s="23"/>
      <c r="J11" s="23">
        <v>2420</v>
      </c>
      <c r="K11" s="23"/>
      <c r="L11" s="24"/>
      <c r="M11" s="25">
        <f t="shared" si="0"/>
        <v>2420</v>
      </c>
      <c r="N11" s="25">
        <f t="shared" si="1"/>
        <v>0</v>
      </c>
      <c r="O11" s="25">
        <f t="shared" si="2"/>
        <v>0</v>
      </c>
      <c r="P11" s="25">
        <v>2420</v>
      </c>
      <c r="Q11" s="25"/>
      <c r="R11" s="25"/>
      <c r="S11" s="25"/>
      <c r="T11" s="26"/>
      <c r="U11" s="26"/>
      <c r="V11" s="26"/>
      <c r="W11" s="26"/>
      <c r="X11" s="26"/>
      <c r="Y11" s="25"/>
      <c r="Z11" s="25"/>
      <c r="AA11" s="25"/>
      <c r="AB11" s="25"/>
      <c r="AC11" s="25"/>
      <c r="AD11" s="25"/>
      <c r="AE11" s="25"/>
      <c r="AF11" s="25"/>
      <c r="AG11" s="25">
        <f t="shared" si="3"/>
        <v>-2420</v>
      </c>
      <c r="AH11" s="29">
        <f t="shared" si="4"/>
        <v>0</v>
      </c>
    </row>
    <row r="12" spans="1:34" s="30" customFormat="1" ht="21.75" customHeight="1" x14ac:dyDescent="0.2">
      <c r="A12" s="18">
        <v>43193</v>
      </c>
      <c r="B12" s="19"/>
      <c r="C12" s="20" t="s">
        <v>45</v>
      </c>
      <c r="D12" s="20"/>
      <c r="E12" s="20"/>
      <c r="F12" s="21"/>
      <c r="G12" s="22" t="s">
        <v>482</v>
      </c>
      <c r="H12" s="23">
        <v>100</v>
      </c>
      <c r="I12" s="23"/>
      <c r="J12" s="23"/>
      <c r="K12" s="23"/>
      <c r="L12" s="24"/>
      <c r="M12" s="25">
        <f t="shared" si="0"/>
        <v>100</v>
      </c>
      <c r="N12" s="25">
        <f t="shared" si="1"/>
        <v>0</v>
      </c>
      <c r="O12" s="25">
        <f t="shared" si="2"/>
        <v>0</v>
      </c>
      <c r="P12" s="25"/>
      <c r="Q12" s="25"/>
      <c r="R12" s="25"/>
      <c r="S12" s="25"/>
      <c r="T12" s="26"/>
      <c r="U12" s="26"/>
      <c r="V12" s="26"/>
      <c r="W12" s="26"/>
      <c r="X12" s="26"/>
      <c r="Y12" s="25"/>
      <c r="Z12" s="25"/>
      <c r="AA12" s="25">
        <v>100</v>
      </c>
      <c r="AB12" s="25"/>
      <c r="AC12" s="25"/>
      <c r="AD12" s="25"/>
      <c r="AE12" s="25"/>
      <c r="AF12" s="25"/>
      <c r="AG12" s="25">
        <f t="shared" si="3"/>
        <v>-100</v>
      </c>
      <c r="AH12" s="29">
        <f t="shared" si="4"/>
        <v>0</v>
      </c>
    </row>
    <row r="13" spans="1:34" s="30" customFormat="1" ht="21.75" customHeight="1" x14ac:dyDescent="0.2">
      <c r="A13" s="18">
        <v>43223</v>
      </c>
      <c r="B13" s="19"/>
      <c r="C13" s="20" t="s">
        <v>215</v>
      </c>
      <c r="D13" s="20" t="s">
        <v>216</v>
      </c>
      <c r="E13" s="20" t="s">
        <v>175</v>
      </c>
      <c r="F13" s="21">
        <v>1664</v>
      </c>
      <c r="G13" s="22" t="s">
        <v>217</v>
      </c>
      <c r="H13" s="23"/>
      <c r="I13" s="23"/>
      <c r="J13" s="23"/>
      <c r="K13" s="23">
        <v>1320</v>
      </c>
      <c r="L13" s="24">
        <v>0.01</v>
      </c>
      <c r="M13" s="25">
        <f t="shared" si="0"/>
        <v>1178.5714285714284</v>
      </c>
      <c r="N13" s="25">
        <f t="shared" si="1"/>
        <v>141.42857142857142</v>
      </c>
      <c r="O13" s="25">
        <f t="shared" si="2"/>
        <v>-11.785714285714285</v>
      </c>
      <c r="P13" s="25"/>
      <c r="Q13" s="25">
        <v>1178.57</v>
      </c>
      <c r="R13" s="25"/>
      <c r="S13" s="25"/>
      <c r="T13" s="26"/>
      <c r="U13" s="26"/>
      <c r="V13" s="26"/>
      <c r="W13" s="26"/>
      <c r="X13" s="26"/>
      <c r="Y13" s="25"/>
      <c r="Z13" s="25"/>
      <c r="AA13" s="25"/>
      <c r="AB13" s="25"/>
      <c r="AC13" s="25"/>
      <c r="AD13" s="25"/>
      <c r="AE13" s="25"/>
      <c r="AF13" s="25"/>
      <c r="AG13" s="25">
        <f t="shared" si="3"/>
        <v>-1308.212857142857</v>
      </c>
      <c r="AH13" s="29">
        <f t="shared" si="4"/>
        <v>1.4285714286685902E-3</v>
      </c>
    </row>
    <row r="14" spans="1:34" s="46" customFormat="1" ht="21.75" customHeight="1" x14ac:dyDescent="0.2">
      <c r="A14" s="33">
        <v>43224</v>
      </c>
      <c r="B14" s="34"/>
      <c r="C14" s="36" t="s">
        <v>276</v>
      </c>
      <c r="D14" s="36" t="s">
        <v>52</v>
      </c>
      <c r="E14" s="36" t="s">
        <v>277</v>
      </c>
      <c r="F14" s="37">
        <v>29954</v>
      </c>
      <c r="G14" s="38" t="s">
        <v>232</v>
      </c>
      <c r="H14" s="39"/>
      <c r="I14" s="39"/>
      <c r="J14" s="39"/>
      <c r="K14" s="39">
        <v>267</v>
      </c>
      <c r="L14" s="40"/>
      <c r="M14" s="41">
        <f t="shared" si="0"/>
        <v>238.39285714285711</v>
      </c>
      <c r="N14" s="41">
        <f t="shared" si="1"/>
        <v>28.607142857142851</v>
      </c>
      <c r="O14" s="41">
        <f t="shared" si="2"/>
        <v>0</v>
      </c>
      <c r="P14" s="41">
        <v>238.39</v>
      </c>
      <c r="Q14" s="41"/>
      <c r="R14" s="41"/>
      <c r="S14" s="41"/>
      <c r="T14" s="42"/>
      <c r="U14" s="42"/>
      <c r="V14" s="42"/>
      <c r="W14" s="42"/>
      <c r="X14" s="42"/>
      <c r="Y14" s="41"/>
      <c r="Z14" s="41"/>
      <c r="AA14" s="41"/>
      <c r="AB14" s="41"/>
      <c r="AC14" s="41"/>
      <c r="AD14" s="41"/>
      <c r="AE14" s="41"/>
      <c r="AF14" s="41"/>
      <c r="AG14" s="41">
        <f t="shared" si="3"/>
        <v>-266.99714285714282</v>
      </c>
      <c r="AH14" s="45">
        <f t="shared" si="4"/>
        <v>2.857142857180861E-3</v>
      </c>
    </row>
    <row r="15" spans="1:34" s="30" customFormat="1" ht="19.5" customHeight="1" x14ac:dyDescent="0.2">
      <c r="A15" s="18">
        <v>43224</v>
      </c>
      <c r="B15" s="19"/>
      <c r="C15" s="20" t="s">
        <v>202</v>
      </c>
      <c r="D15" s="20" t="s">
        <v>483</v>
      </c>
      <c r="E15" s="20" t="s">
        <v>484</v>
      </c>
      <c r="F15" s="21">
        <v>29057</v>
      </c>
      <c r="G15" s="21" t="s">
        <v>451</v>
      </c>
      <c r="H15" s="23"/>
      <c r="I15" s="23"/>
      <c r="J15" s="23"/>
      <c r="K15" s="23">
        <v>897.84</v>
      </c>
      <c r="L15" s="24"/>
      <c r="M15" s="25">
        <f t="shared" si="0"/>
        <v>801.64285714285711</v>
      </c>
      <c r="N15" s="25">
        <f t="shared" si="1"/>
        <v>96.19714285714285</v>
      </c>
      <c r="O15" s="25">
        <f t="shared" si="2"/>
        <v>0</v>
      </c>
      <c r="P15" s="25">
        <v>801.64</v>
      </c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/>
      <c r="AC15" s="26"/>
      <c r="AD15" s="26"/>
      <c r="AE15" s="27"/>
      <c r="AF15" s="27"/>
      <c r="AG15" s="25">
        <f t="shared" si="3"/>
        <v>-897.83714285714279</v>
      </c>
      <c r="AH15" s="29">
        <f t="shared" si="4"/>
        <v>2.8571428572377044E-3</v>
      </c>
    </row>
    <row r="16" spans="1:34" s="30" customFormat="1" ht="19.5" customHeight="1" x14ac:dyDescent="0.2">
      <c r="A16" s="18">
        <v>43224</v>
      </c>
      <c r="B16" s="19"/>
      <c r="C16" s="20" t="s">
        <v>276</v>
      </c>
      <c r="D16" s="20" t="s">
        <v>52</v>
      </c>
      <c r="E16" s="20" t="s">
        <v>277</v>
      </c>
      <c r="F16" s="21">
        <v>29969</v>
      </c>
      <c r="G16" s="22" t="s">
        <v>485</v>
      </c>
      <c r="H16" s="23"/>
      <c r="I16" s="23"/>
      <c r="J16" s="23"/>
      <c r="K16" s="23">
        <v>480</v>
      </c>
      <c r="L16" s="24"/>
      <c r="M16" s="25">
        <f t="shared" si="0"/>
        <v>428.57142857142856</v>
      </c>
      <c r="N16" s="25">
        <f t="shared" si="1"/>
        <v>51.428571428571423</v>
      </c>
      <c r="O16" s="25">
        <f t="shared" si="2"/>
        <v>0</v>
      </c>
      <c r="P16" s="25">
        <v>428.57</v>
      </c>
      <c r="Q16" s="25"/>
      <c r="R16" s="25"/>
      <c r="S16" s="25"/>
      <c r="T16" s="26"/>
      <c r="U16" s="26"/>
      <c r="V16" s="26"/>
      <c r="W16" s="26"/>
      <c r="X16" s="26"/>
      <c r="Y16" s="25"/>
      <c r="Z16" s="25"/>
      <c r="AA16" s="25"/>
      <c r="AB16" s="25"/>
      <c r="AC16" s="26"/>
      <c r="AD16" s="26"/>
      <c r="AE16" s="27"/>
      <c r="AF16" s="27"/>
      <c r="AG16" s="25">
        <f t="shared" si="3"/>
        <v>-479.99857142857144</v>
      </c>
      <c r="AH16" s="29">
        <f t="shared" si="4"/>
        <v>1.4285714285620088E-3</v>
      </c>
    </row>
    <row r="17" spans="1:34" s="30" customFormat="1" ht="19.5" customHeight="1" x14ac:dyDescent="0.2">
      <c r="A17" s="18">
        <v>43225</v>
      </c>
      <c r="B17" s="19"/>
      <c r="C17" s="20" t="s">
        <v>486</v>
      </c>
      <c r="D17" s="20" t="s">
        <v>142</v>
      </c>
      <c r="E17" s="20" t="s">
        <v>143</v>
      </c>
      <c r="F17" s="21">
        <v>45350</v>
      </c>
      <c r="G17" s="22" t="s">
        <v>487</v>
      </c>
      <c r="H17" s="23"/>
      <c r="I17" s="23"/>
      <c r="J17" s="23"/>
      <c r="K17" s="23">
        <v>522</v>
      </c>
      <c r="L17" s="24"/>
      <c r="M17" s="25">
        <f t="shared" si="0"/>
        <v>466.07142857142856</v>
      </c>
      <c r="N17" s="25">
        <f t="shared" si="1"/>
        <v>55.928571428571423</v>
      </c>
      <c r="O17" s="25">
        <f t="shared" si="2"/>
        <v>0</v>
      </c>
      <c r="P17" s="25"/>
      <c r="Q17" s="25"/>
      <c r="R17" s="25"/>
      <c r="S17" s="25"/>
      <c r="T17" s="26">
        <v>466.07</v>
      </c>
      <c r="U17" s="26"/>
      <c r="V17" s="26"/>
      <c r="W17" s="26"/>
      <c r="X17" s="26"/>
      <c r="Y17" s="25"/>
      <c r="Z17" s="25"/>
      <c r="AA17" s="25"/>
      <c r="AB17" s="25"/>
      <c r="AC17" s="26"/>
      <c r="AD17" s="26"/>
      <c r="AE17" s="27"/>
      <c r="AF17" s="27"/>
      <c r="AG17" s="25">
        <f t="shared" si="3"/>
        <v>-521.99857142857138</v>
      </c>
      <c r="AH17" s="29">
        <f t="shared" si="4"/>
        <v>1.4285714286188522E-3</v>
      </c>
    </row>
    <row r="18" spans="1:34" s="30" customFormat="1" ht="19.5" customHeight="1" x14ac:dyDescent="0.2">
      <c r="A18" s="18">
        <v>43225</v>
      </c>
      <c r="B18" s="19"/>
      <c r="C18" s="20" t="s">
        <v>488</v>
      </c>
      <c r="D18" s="20" t="s">
        <v>489</v>
      </c>
      <c r="E18" s="20" t="s">
        <v>156</v>
      </c>
      <c r="F18" s="21">
        <v>5226</v>
      </c>
      <c r="G18" s="22" t="s">
        <v>490</v>
      </c>
      <c r="H18" s="23"/>
      <c r="I18" s="23"/>
      <c r="J18" s="23"/>
      <c r="K18" s="23">
        <v>550</v>
      </c>
      <c r="L18" s="24"/>
      <c r="M18" s="25">
        <f t="shared" si="0"/>
        <v>491.0714285714285</v>
      </c>
      <c r="N18" s="25">
        <f t="shared" si="1"/>
        <v>58.928571428571416</v>
      </c>
      <c r="O18" s="25">
        <f t="shared" si="2"/>
        <v>0</v>
      </c>
      <c r="P18" s="25"/>
      <c r="Q18" s="25"/>
      <c r="R18" s="25"/>
      <c r="S18" s="25">
        <v>491.07</v>
      </c>
      <c r="T18" s="26"/>
      <c r="U18" s="26"/>
      <c r="V18" s="26"/>
      <c r="W18" s="26"/>
      <c r="X18" s="26"/>
      <c r="Y18" s="25"/>
      <c r="Z18" s="25"/>
      <c r="AA18" s="25"/>
      <c r="AB18" s="25"/>
      <c r="AC18" s="26"/>
      <c r="AD18" s="26"/>
      <c r="AE18" s="27"/>
      <c r="AF18" s="27"/>
      <c r="AG18" s="25">
        <f t="shared" si="3"/>
        <v>-549.99857142857138</v>
      </c>
      <c r="AH18" s="29">
        <f t="shared" si="4"/>
        <v>1.4285714286188522E-3</v>
      </c>
    </row>
    <row r="19" spans="1:34" s="30" customFormat="1" ht="22.5" customHeight="1" x14ac:dyDescent="0.2">
      <c r="A19" s="56">
        <v>43225</v>
      </c>
      <c r="B19" s="57"/>
      <c r="C19" s="20" t="s">
        <v>96</v>
      </c>
      <c r="D19" s="20"/>
      <c r="E19" s="20"/>
      <c r="F19" s="58"/>
      <c r="G19" s="59" t="s">
        <v>161</v>
      </c>
      <c r="H19" s="23">
        <v>92</v>
      </c>
      <c r="I19" s="23"/>
      <c r="J19" s="23"/>
      <c r="K19" s="23"/>
      <c r="L19" s="24"/>
      <c r="M19" s="25">
        <f t="shared" si="0"/>
        <v>92</v>
      </c>
      <c r="N19" s="25">
        <f t="shared" si="1"/>
        <v>0</v>
      </c>
      <c r="O19" s="25">
        <f t="shared" si="2"/>
        <v>0</v>
      </c>
      <c r="P19" s="25"/>
      <c r="Q19" s="25"/>
      <c r="R19" s="25"/>
      <c r="S19" s="25"/>
      <c r="T19" s="26"/>
      <c r="U19" s="26"/>
      <c r="V19" s="26"/>
      <c r="W19" s="26"/>
      <c r="X19" s="26"/>
      <c r="Y19" s="25"/>
      <c r="Z19" s="25"/>
      <c r="AA19" s="25">
        <v>92</v>
      </c>
      <c r="AB19" s="25"/>
      <c r="AC19" s="25"/>
      <c r="AD19" s="25"/>
      <c r="AE19" s="25"/>
      <c r="AF19" s="25"/>
      <c r="AG19" s="25">
        <f t="shared" si="3"/>
        <v>-92</v>
      </c>
      <c r="AH19" s="29">
        <f t="shared" si="4"/>
        <v>0</v>
      </c>
    </row>
    <row r="20" spans="1:34" s="30" customFormat="1" ht="21.75" customHeight="1" x14ac:dyDescent="0.2">
      <c r="A20" s="56">
        <v>43225</v>
      </c>
      <c r="B20" s="57"/>
      <c r="C20" s="20" t="s">
        <v>276</v>
      </c>
      <c r="D20" s="20" t="s">
        <v>52</v>
      </c>
      <c r="E20" s="20" t="s">
        <v>277</v>
      </c>
      <c r="F20" s="58">
        <v>29994</v>
      </c>
      <c r="G20" s="21" t="s">
        <v>491</v>
      </c>
      <c r="H20" s="23"/>
      <c r="I20" s="23"/>
      <c r="J20" s="23"/>
      <c r="K20" s="23">
        <v>221.45</v>
      </c>
      <c r="L20" s="24"/>
      <c r="M20" s="25">
        <f t="shared" si="0"/>
        <v>197.72321428571425</v>
      </c>
      <c r="N20" s="25">
        <f t="shared" si="1"/>
        <v>23.726785714285707</v>
      </c>
      <c r="O20" s="25">
        <f t="shared" si="2"/>
        <v>0</v>
      </c>
      <c r="P20" s="25">
        <v>197.72</v>
      </c>
      <c r="Q20" s="25"/>
      <c r="R20" s="25"/>
      <c r="S20" s="25"/>
      <c r="T20" s="26"/>
      <c r="U20" s="26"/>
      <c r="V20" s="26"/>
      <c r="W20" s="26"/>
      <c r="X20" s="26"/>
      <c r="Y20" s="25"/>
      <c r="Z20" s="25"/>
      <c r="AA20" s="25"/>
      <c r="AB20" s="25"/>
      <c r="AC20" s="25"/>
      <c r="AD20" s="25"/>
      <c r="AE20" s="25"/>
      <c r="AF20" s="25"/>
      <c r="AG20" s="25">
        <f t="shared" si="3"/>
        <v>-221.44678571428571</v>
      </c>
      <c r="AH20" s="29">
        <f t="shared" si="4"/>
        <v>3.2142857142787307E-3</v>
      </c>
    </row>
    <row r="21" spans="1:34" s="30" customFormat="1" ht="21.75" customHeight="1" x14ac:dyDescent="0.2">
      <c r="A21" s="18">
        <v>43227</v>
      </c>
      <c r="B21" s="19"/>
      <c r="C21" s="20" t="s">
        <v>492</v>
      </c>
      <c r="D21" s="20" t="s">
        <v>493</v>
      </c>
      <c r="E21" s="20" t="s">
        <v>277</v>
      </c>
      <c r="F21" s="21">
        <v>29246</v>
      </c>
      <c r="G21" s="22" t="s">
        <v>494</v>
      </c>
      <c r="H21" s="23"/>
      <c r="I21" s="23"/>
      <c r="J21" s="23"/>
      <c r="K21" s="23">
        <v>300</v>
      </c>
      <c r="L21" s="24"/>
      <c r="M21" s="25">
        <f t="shared" si="0"/>
        <v>267.85714285714283</v>
      </c>
      <c r="N21" s="25">
        <f t="shared" si="1"/>
        <v>32.142857142857139</v>
      </c>
      <c r="O21" s="25">
        <f t="shared" si="2"/>
        <v>0</v>
      </c>
      <c r="P21" s="25"/>
      <c r="Q21" s="25"/>
      <c r="R21" s="25"/>
      <c r="S21" s="25">
        <v>267.86</v>
      </c>
      <c r="T21" s="26"/>
      <c r="U21" s="26"/>
      <c r="V21" s="26"/>
      <c r="W21" s="26"/>
      <c r="X21" s="26"/>
      <c r="Y21" s="25"/>
      <c r="Z21" s="25"/>
      <c r="AA21" s="25"/>
      <c r="AB21" s="25"/>
      <c r="AC21" s="25"/>
      <c r="AD21" s="25"/>
      <c r="AE21" s="25"/>
      <c r="AF21" s="25"/>
      <c r="AG21" s="25">
        <f t="shared" si="3"/>
        <v>-300.00285714285712</v>
      </c>
      <c r="AH21" s="29">
        <f t="shared" si="4"/>
        <v>-2.8571428571240176E-3</v>
      </c>
    </row>
    <row r="22" spans="1:34" s="30" customFormat="1" ht="21.75" customHeight="1" x14ac:dyDescent="0.2">
      <c r="A22" s="18">
        <v>43227</v>
      </c>
      <c r="B22" s="19"/>
      <c r="C22" s="20" t="s">
        <v>396</v>
      </c>
      <c r="D22" s="20" t="s">
        <v>60</v>
      </c>
      <c r="E22" s="20" t="s">
        <v>397</v>
      </c>
      <c r="F22" s="21">
        <v>67362</v>
      </c>
      <c r="G22" s="22" t="s">
        <v>495</v>
      </c>
      <c r="H22" s="23"/>
      <c r="I22" s="23"/>
      <c r="J22" s="23"/>
      <c r="K22" s="23">
        <v>22.5</v>
      </c>
      <c r="L22" s="24"/>
      <c r="M22" s="25">
        <f t="shared" si="0"/>
        <v>20.089285714285712</v>
      </c>
      <c r="N22" s="25">
        <f t="shared" si="1"/>
        <v>2.4107142857142851</v>
      </c>
      <c r="O22" s="25">
        <f t="shared" si="2"/>
        <v>0</v>
      </c>
      <c r="P22" s="25"/>
      <c r="Q22" s="25"/>
      <c r="R22" s="25"/>
      <c r="S22" s="25"/>
      <c r="T22" s="26">
        <v>20.09</v>
      </c>
      <c r="U22" s="26"/>
      <c r="V22" s="26"/>
      <c r="W22" s="26"/>
      <c r="X22" s="26"/>
      <c r="Y22" s="25"/>
      <c r="Z22" s="25"/>
      <c r="AA22" s="25"/>
      <c r="AB22" s="25"/>
      <c r="AC22" s="25"/>
      <c r="AD22" s="25"/>
      <c r="AE22" s="25"/>
      <c r="AF22" s="25"/>
      <c r="AG22" s="25">
        <f t="shared" si="3"/>
        <v>-22.500714285714285</v>
      </c>
      <c r="AH22" s="29">
        <f t="shared" si="4"/>
        <v>-7.1428571428455712E-4</v>
      </c>
    </row>
    <row r="23" spans="1:34" s="30" customFormat="1" ht="21.75" customHeight="1" x14ac:dyDescent="0.2">
      <c r="A23" s="18">
        <v>43227</v>
      </c>
      <c r="B23" s="19"/>
      <c r="C23" s="20" t="s">
        <v>276</v>
      </c>
      <c r="D23" s="20" t="s">
        <v>52</v>
      </c>
      <c r="E23" s="20" t="s">
        <v>277</v>
      </c>
      <c r="F23" s="21">
        <v>29999</v>
      </c>
      <c r="G23" s="22" t="s">
        <v>433</v>
      </c>
      <c r="H23" s="23"/>
      <c r="I23" s="23"/>
      <c r="J23" s="23"/>
      <c r="K23" s="23">
        <v>312</v>
      </c>
      <c r="L23" s="24"/>
      <c r="M23" s="25">
        <f t="shared" si="0"/>
        <v>278.57142857142856</v>
      </c>
      <c r="N23" s="25">
        <f t="shared" si="1"/>
        <v>33.428571428571423</v>
      </c>
      <c r="O23" s="25">
        <f t="shared" si="2"/>
        <v>0</v>
      </c>
      <c r="P23" s="25">
        <v>278.57</v>
      </c>
      <c r="Q23" s="25"/>
      <c r="R23" s="25"/>
      <c r="S23" s="25"/>
      <c r="T23" s="26"/>
      <c r="U23" s="26"/>
      <c r="V23" s="26"/>
      <c r="W23" s="26"/>
      <c r="X23" s="26"/>
      <c r="Y23" s="25"/>
      <c r="Z23" s="25"/>
      <c r="AA23" s="25"/>
      <c r="AB23" s="25"/>
      <c r="AC23" s="25"/>
      <c r="AD23" s="25"/>
      <c r="AE23" s="25"/>
      <c r="AF23" s="25"/>
      <c r="AG23" s="25">
        <f t="shared" si="3"/>
        <v>-311.99857142857144</v>
      </c>
      <c r="AH23" s="29">
        <f t="shared" si="4"/>
        <v>1.4285714285620088E-3</v>
      </c>
    </row>
    <row r="24" spans="1:34" s="30" customFormat="1" ht="21.75" customHeight="1" x14ac:dyDescent="0.2">
      <c r="A24" s="18">
        <v>43228</v>
      </c>
      <c r="B24" s="19"/>
      <c r="C24" s="20" t="s">
        <v>496</v>
      </c>
      <c r="D24" s="20" t="s">
        <v>497</v>
      </c>
      <c r="E24" s="20" t="s">
        <v>56</v>
      </c>
      <c r="F24" s="21">
        <v>46929</v>
      </c>
      <c r="G24" s="22" t="s">
        <v>498</v>
      </c>
      <c r="H24" s="23"/>
      <c r="I24" s="23"/>
      <c r="J24" s="23"/>
      <c r="K24" s="23">
        <v>770</v>
      </c>
      <c r="L24" s="24"/>
      <c r="M24" s="25">
        <f t="shared" si="0"/>
        <v>687.49999999999989</v>
      </c>
      <c r="N24" s="25">
        <f t="shared" si="1"/>
        <v>82.499999999999986</v>
      </c>
      <c r="O24" s="25">
        <f t="shared" si="2"/>
        <v>0</v>
      </c>
      <c r="P24" s="25">
        <v>687.5</v>
      </c>
      <c r="Q24" s="25"/>
      <c r="R24" s="25"/>
      <c r="S24" s="25"/>
      <c r="T24" s="26"/>
      <c r="U24" s="26"/>
      <c r="V24" s="26"/>
      <c r="W24" s="26"/>
      <c r="X24" s="26"/>
      <c r="Y24" s="25"/>
      <c r="Z24" s="25"/>
      <c r="AA24" s="25"/>
      <c r="AB24" s="25"/>
      <c r="AC24" s="25"/>
      <c r="AD24" s="25"/>
      <c r="AE24" s="25"/>
      <c r="AF24" s="25"/>
      <c r="AG24" s="25">
        <f t="shared" si="3"/>
        <v>-770</v>
      </c>
      <c r="AH24" s="29">
        <f t="shared" si="4"/>
        <v>0</v>
      </c>
    </row>
    <row r="25" spans="1:34" s="30" customFormat="1" ht="21.75" customHeight="1" x14ac:dyDescent="0.2">
      <c r="A25" s="18">
        <v>43228</v>
      </c>
      <c r="B25" s="19"/>
      <c r="C25" s="20" t="s">
        <v>96</v>
      </c>
      <c r="D25" s="20"/>
      <c r="E25" s="20"/>
      <c r="F25" s="21"/>
      <c r="G25" s="22" t="s">
        <v>499</v>
      </c>
      <c r="H25" s="23">
        <v>50</v>
      </c>
      <c r="I25" s="23"/>
      <c r="J25" s="23"/>
      <c r="K25" s="23"/>
      <c r="L25" s="24"/>
      <c r="M25" s="25">
        <f t="shared" si="0"/>
        <v>50</v>
      </c>
      <c r="N25" s="25">
        <f t="shared" si="1"/>
        <v>0</v>
      </c>
      <c r="O25" s="25">
        <f t="shared" si="2"/>
        <v>0</v>
      </c>
      <c r="P25" s="25"/>
      <c r="Q25" s="25"/>
      <c r="R25" s="25"/>
      <c r="S25" s="25"/>
      <c r="T25" s="26"/>
      <c r="U25" s="26"/>
      <c r="V25" s="26"/>
      <c r="W25" s="26"/>
      <c r="X25" s="26"/>
      <c r="Y25" s="25"/>
      <c r="Z25" s="25"/>
      <c r="AA25" s="25">
        <v>50</v>
      </c>
      <c r="AB25" s="25"/>
      <c r="AC25" s="25"/>
      <c r="AD25" s="25"/>
      <c r="AE25" s="25"/>
      <c r="AF25" s="25"/>
      <c r="AG25" s="25">
        <f t="shared" si="3"/>
        <v>-50</v>
      </c>
      <c r="AH25" s="29">
        <f t="shared" si="4"/>
        <v>0</v>
      </c>
    </row>
    <row r="26" spans="1:34" s="30" customFormat="1" ht="21.75" customHeight="1" x14ac:dyDescent="0.2">
      <c r="A26" s="18">
        <v>43228</v>
      </c>
      <c r="B26" s="19"/>
      <c r="C26" s="20" t="s">
        <v>276</v>
      </c>
      <c r="D26" s="20" t="s">
        <v>52</v>
      </c>
      <c r="E26" s="20" t="s">
        <v>277</v>
      </c>
      <c r="F26" s="21">
        <v>29814</v>
      </c>
      <c r="G26" s="22" t="s">
        <v>500</v>
      </c>
      <c r="H26" s="23"/>
      <c r="I26" s="23"/>
      <c r="J26" s="23"/>
      <c r="K26" s="23">
        <v>185.1</v>
      </c>
      <c r="L26" s="24"/>
      <c r="M26" s="25">
        <f t="shared" si="0"/>
        <v>165.26785714285711</v>
      </c>
      <c r="N26" s="25">
        <f t="shared" si="1"/>
        <v>19.832142857142852</v>
      </c>
      <c r="O26" s="25">
        <f t="shared" si="2"/>
        <v>0</v>
      </c>
      <c r="P26" s="25"/>
      <c r="Q26" s="25"/>
      <c r="R26" s="25"/>
      <c r="S26" s="25">
        <v>165.27</v>
      </c>
      <c r="T26" s="26"/>
      <c r="U26" s="26"/>
      <c r="V26" s="26"/>
      <c r="W26" s="26"/>
      <c r="X26" s="26"/>
      <c r="Y26" s="25"/>
      <c r="Z26" s="25"/>
      <c r="AA26" s="25"/>
      <c r="AB26" s="25"/>
      <c r="AC26" s="25"/>
      <c r="AD26" s="25"/>
      <c r="AE26" s="25"/>
      <c r="AF26" s="25"/>
      <c r="AG26" s="25">
        <f t="shared" si="3"/>
        <v>-185.10214285714287</v>
      </c>
      <c r="AH26" s="29">
        <f t="shared" si="4"/>
        <v>-2.1428571428714349E-3</v>
      </c>
    </row>
    <row r="27" spans="1:34" s="30" customFormat="1" ht="21.75" customHeight="1" x14ac:dyDescent="0.2">
      <c r="A27" s="18">
        <v>43228</v>
      </c>
      <c r="B27" s="19"/>
      <c r="C27" s="20" t="s">
        <v>63</v>
      </c>
      <c r="D27" s="20" t="s">
        <v>64</v>
      </c>
      <c r="E27" s="20" t="s">
        <v>65</v>
      </c>
      <c r="F27" s="21">
        <v>104821</v>
      </c>
      <c r="G27" s="22" t="s">
        <v>501</v>
      </c>
      <c r="H27" s="23"/>
      <c r="I27" s="23"/>
      <c r="J27" s="23"/>
      <c r="K27" s="23">
        <v>1299.25</v>
      </c>
      <c r="L27" s="24">
        <v>0.01</v>
      </c>
      <c r="M27" s="25">
        <f t="shared" si="0"/>
        <v>1160.0446428571427</v>
      </c>
      <c r="N27" s="25">
        <f t="shared" si="1"/>
        <v>139.20535714285711</v>
      </c>
      <c r="O27" s="25">
        <f t="shared" si="2"/>
        <v>-11.600446428571427</v>
      </c>
      <c r="P27" s="25">
        <v>1160.04</v>
      </c>
      <c r="Q27" s="25"/>
      <c r="R27" s="25"/>
      <c r="S27" s="25"/>
      <c r="T27" s="26"/>
      <c r="U27" s="26"/>
      <c r="V27" s="26"/>
      <c r="W27" s="26"/>
      <c r="X27" s="26"/>
      <c r="Y27" s="25"/>
      <c r="Z27" s="25"/>
      <c r="AA27" s="25"/>
      <c r="AB27" s="25"/>
      <c r="AC27" s="25"/>
      <c r="AD27" s="25"/>
      <c r="AE27" s="25"/>
      <c r="AF27" s="25"/>
      <c r="AG27" s="25">
        <f t="shared" si="3"/>
        <v>-1287.6449107142857</v>
      </c>
      <c r="AH27" s="29">
        <f t="shared" si="4"/>
        <v>4.6428571428300813E-3</v>
      </c>
    </row>
    <row r="28" spans="1:34" s="30" customFormat="1" ht="21.75" customHeight="1" x14ac:dyDescent="0.2">
      <c r="A28" s="18">
        <v>43229</v>
      </c>
      <c r="B28" s="19"/>
      <c r="C28" s="20" t="s">
        <v>502</v>
      </c>
      <c r="D28" s="20" t="s">
        <v>503</v>
      </c>
      <c r="E28" s="20" t="s">
        <v>120</v>
      </c>
      <c r="F28" s="21">
        <v>1306893</v>
      </c>
      <c r="G28" s="22" t="s">
        <v>504</v>
      </c>
      <c r="H28" s="23"/>
      <c r="I28" s="23"/>
      <c r="J28" s="23"/>
      <c r="K28" s="23">
        <v>20</v>
      </c>
      <c r="L28" s="24"/>
      <c r="M28" s="25">
        <f t="shared" si="0"/>
        <v>17.857142857142854</v>
      </c>
      <c r="N28" s="25">
        <f t="shared" si="1"/>
        <v>2.1428571428571423</v>
      </c>
      <c r="O28" s="25">
        <f t="shared" si="2"/>
        <v>0</v>
      </c>
      <c r="P28" s="25"/>
      <c r="Q28" s="25"/>
      <c r="R28" s="25"/>
      <c r="S28" s="25"/>
      <c r="T28" s="26"/>
      <c r="U28" s="26">
        <v>17.86</v>
      </c>
      <c r="V28" s="26"/>
      <c r="W28" s="26"/>
      <c r="X28" s="26"/>
      <c r="Y28" s="25"/>
      <c r="Z28" s="25"/>
      <c r="AA28" s="25"/>
      <c r="AB28" s="25"/>
      <c r="AC28" s="25"/>
      <c r="AD28" s="25"/>
      <c r="AE28" s="25"/>
      <c r="AF28" s="25"/>
      <c r="AG28" s="25">
        <f t="shared" si="3"/>
        <v>-20.002857142857142</v>
      </c>
      <c r="AH28" s="29">
        <f t="shared" si="4"/>
        <v>-2.8571428571417812E-3</v>
      </c>
    </row>
    <row r="29" spans="1:34" s="30" customFormat="1" ht="21.75" customHeight="1" x14ac:dyDescent="0.2">
      <c r="A29" s="18">
        <v>43229</v>
      </c>
      <c r="B29" s="19"/>
      <c r="C29" s="20" t="s">
        <v>276</v>
      </c>
      <c r="D29" s="20" t="s">
        <v>52</v>
      </c>
      <c r="E29" s="20" t="s">
        <v>277</v>
      </c>
      <c r="F29" s="21">
        <v>29776</v>
      </c>
      <c r="G29" s="22" t="s">
        <v>505</v>
      </c>
      <c r="H29" s="23"/>
      <c r="I29" s="23"/>
      <c r="J29" s="23"/>
      <c r="K29" s="23">
        <v>78.75</v>
      </c>
      <c r="L29" s="24"/>
      <c r="M29" s="25">
        <f t="shared" si="0"/>
        <v>70.3125</v>
      </c>
      <c r="N29" s="25">
        <f t="shared" si="1"/>
        <v>8.4375</v>
      </c>
      <c r="O29" s="25">
        <f t="shared" si="2"/>
        <v>0</v>
      </c>
      <c r="P29" s="25">
        <v>70.31</v>
      </c>
      <c r="Q29" s="25"/>
      <c r="R29" s="25"/>
      <c r="S29" s="25"/>
      <c r="T29" s="26"/>
      <c r="U29" s="26"/>
      <c r="V29" s="26"/>
      <c r="W29" s="26"/>
      <c r="X29" s="26"/>
      <c r="Y29" s="25"/>
      <c r="Z29" s="25"/>
      <c r="AA29" s="25"/>
      <c r="AB29" s="25"/>
      <c r="AC29" s="25"/>
      <c r="AD29" s="25"/>
      <c r="AE29" s="25"/>
      <c r="AF29" s="25"/>
      <c r="AG29" s="25">
        <f t="shared" si="3"/>
        <v>-78.747500000000002</v>
      </c>
      <c r="AH29" s="29">
        <f t="shared" si="4"/>
        <v>2.4999999999977263E-3</v>
      </c>
    </row>
    <row r="30" spans="1:34" s="30" customFormat="1" ht="21.75" customHeight="1" x14ac:dyDescent="0.2">
      <c r="A30" s="18">
        <v>43229</v>
      </c>
      <c r="B30" s="19"/>
      <c r="C30" s="20" t="s">
        <v>321</v>
      </c>
      <c r="D30" s="20" t="s">
        <v>378</v>
      </c>
      <c r="E30" s="20" t="s">
        <v>277</v>
      </c>
      <c r="F30" s="21">
        <v>300079</v>
      </c>
      <c r="G30" s="22" t="s">
        <v>506</v>
      </c>
      <c r="H30" s="23"/>
      <c r="I30" s="23"/>
      <c r="J30" s="23"/>
      <c r="K30" s="23">
        <v>256.5</v>
      </c>
      <c r="L30" s="24"/>
      <c r="M30" s="25">
        <f t="shared" si="0"/>
        <v>229.01785714285711</v>
      </c>
      <c r="N30" s="25">
        <f t="shared" si="1"/>
        <v>27.482142857142851</v>
      </c>
      <c r="O30" s="25">
        <f t="shared" si="2"/>
        <v>0</v>
      </c>
      <c r="P30" s="25"/>
      <c r="Q30" s="25"/>
      <c r="R30" s="25"/>
      <c r="S30" s="25"/>
      <c r="T30" s="26"/>
      <c r="U30" s="26"/>
      <c r="V30" s="26"/>
      <c r="W30" s="26">
        <v>229.02</v>
      </c>
      <c r="X30" s="26"/>
      <c r="Y30" s="25"/>
      <c r="Z30" s="25"/>
      <c r="AA30" s="25"/>
      <c r="AB30" s="25"/>
      <c r="AC30" s="25"/>
      <c r="AD30" s="25"/>
      <c r="AE30" s="25"/>
      <c r="AF30" s="25"/>
      <c r="AG30" s="25">
        <f t="shared" si="3"/>
        <v>-256.50214285714287</v>
      </c>
      <c r="AH30" s="29">
        <f t="shared" si="4"/>
        <v>-2.1428571428714349E-3</v>
      </c>
    </row>
    <row r="31" spans="1:34" s="30" customFormat="1" ht="21.75" customHeight="1" x14ac:dyDescent="0.2">
      <c r="A31" s="18">
        <v>43229</v>
      </c>
      <c r="B31" s="19"/>
      <c r="C31" s="20" t="s">
        <v>507</v>
      </c>
      <c r="D31" s="20" t="s">
        <v>508</v>
      </c>
      <c r="E31" s="20" t="s">
        <v>65</v>
      </c>
      <c r="F31" s="21">
        <v>9357031</v>
      </c>
      <c r="G31" s="22" t="s">
        <v>509</v>
      </c>
      <c r="H31" s="23"/>
      <c r="I31" s="23"/>
      <c r="J31" s="23"/>
      <c r="K31" s="23">
        <v>55.75</v>
      </c>
      <c r="L31" s="24"/>
      <c r="M31" s="25">
        <f t="shared" si="0"/>
        <v>49.776785714285708</v>
      </c>
      <c r="N31" s="25">
        <f t="shared" si="1"/>
        <v>5.9732142857142847</v>
      </c>
      <c r="O31" s="25">
        <f t="shared" si="2"/>
        <v>0</v>
      </c>
      <c r="P31" s="25"/>
      <c r="Q31" s="25"/>
      <c r="R31" s="25"/>
      <c r="S31" s="25"/>
      <c r="T31" s="26">
        <v>49.78</v>
      </c>
      <c r="U31" s="26"/>
      <c r="V31" s="26"/>
      <c r="W31" s="26"/>
      <c r="X31" s="26"/>
      <c r="Y31" s="25"/>
      <c r="Z31" s="25"/>
      <c r="AA31" s="25"/>
      <c r="AB31" s="25"/>
      <c r="AC31" s="25"/>
      <c r="AD31" s="25"/>
      <c r="AE31" s="25"/>
      <c r="AF31" s="25"/>
      <c r="AG31" s="25">
        <f t="shared" si="3"/>
        <v>-55.753214285714286</v>
      </c>
      <c r="AH31" s="29">
        <f t="shared" si="4"/>
        <v>-3.2142857142858361E-3</v>
      </c>
    </row>
    <row r="32" spans="1:34" s="30" customFormat="1" ht="21.75" customHeight="1" x14ac:dyDescent="0.2">
      <c r="A32" s="18">
        <v>43229</v>
      </c>
      <c r="B32" s="19"/>
      <c r="C32" s="20" t="s">
        <v>223</v>
      </c>
      <c r="D32" s="20" t="s">
        <v>260</v>
      </c>
      <c r="E32" s="20" t="s">
        <v>65</v>
      </c>
      <c r="F32" s="21">
        <v>80355</v>
      </c>
      <c r="G32" s="22" t="s">
        <v>510</v>
      </c>
      <c r="H32" s="23"/>
      <c r="I32" s="23"/>
      <c r="J32" s="23"/>
      <c r="K32" s="23">
        <v>299.75</v>
      </c>
      <c r="L32" s="24"/>
      <c r="M32" s="25">
        <f t="shared" si="0"/>
        <v>267.63392857142856</v>
      </c>
      <c r="N32" s="25">
        <f t="shared" si="1"/>
        <v>32.116071428571423</v>
      </c>
      <c r="O32" s="25">
        <f t="shared" si="2"/>
        <v>0</v>
      </c>
      <c r="P32" s="25"/>
      <c r="Q32" s="25"/>
      <c r="R32" s="25"/>
      <c r="S32" s="25"/>
      <c r="T32" s="26"/>
      <c r="U32" s="26"/>
      <c r="V32" s="26"/>
      <c r="W32" s="26"/>
      <c r="X32" s="26">
        <v>267.63</v>
      </c>
      <c r="Y32" s="25"/>
      <c r="Z32" s="25"/>
      <c r="AA32" s="25"/>
      <c r="AB32" s="25"/>
      <c r="AC32" s="25"/>
      <c r="AD32" s="25"/>
      <c r="AE32" s="25"/>
      <c r="AF32" s="25"/>
      <c r="AG32" s="25">
        <f t="shared" si="3"/>
        <v>-299.74607142857144</v>
      </c>
      <c r="AH32" s="29">
        <f t="shared" si="4"/>
        <v>3.9285714285597351E-3</v>
      </c>
    </row>
    <row r="33" spans="1:34" s="30" customFormat="1" ht="21.75" customHeight="1" x14ac:dyDescent="0.2">
      <c r="A33" s="18">
        <v>43229</v>
      </c>
      <c r="B33" s="19"/>
      <c r="C33" s="20" t="s">
        <v>511</v>
      </c>
      <c r="D33" s="20" t="s">
        <v>354</v>
      </c>
      <c r="E33" s="20" t="s">
        <v>65</v>
      </c>
      <c r="F33" s="21">
        <v>40963</v>
      </c>
      <c r="G33" s="22" t="s">
        <v>512</v>
      </c>
      <c r="H33" s="23"/>
      <c r="I33" s="23"/>
      <c r="J33" s="23"/>
      <c r="K33" s="23">
        <v>689.55</v>
      </c>
      <c r="L33" s="24"/>
      <c r="M33" s="25">
        <f t="shared" si="0"/>
        <v>615.66964285714278</v>
      </c>
      <c r="N33" s="25">
        <f t="shared" si="1"/>
        <v>73.880357142857136</v>
      </c>
      <c r="O33" s="25">
        <f t="shared" si="2"/>
        <v>0</v>
      </c>
      <c r="P33" s="25"/>
      <c r="Q33" s="25"/>
      <c r="R33" s="25"/>
      <c r="S33" s="25"/>
      <c r="T33" s="26"/>
      <c r="U33" s="26"/>
      <c r="V33" s="26"/>
      <c r="W33" s="26"/>
      <c r="X33" s="26"/>
      <c r="Y33" s="25">
        <v>615.66999999999996</v>
      </c>
      <c r="Z33" s="25"/>
      <c r="AA33" s="25"/>
      <c r="AB33" s="25"/>
      <c r="AC33" s="25"/>
      <c r="AD33" s="25"/>
      <c r="AE33" s="25"/>
      <c r="AF33" s="25"/>
      <c r="AG33" s="25">
        <f t="shared" si="3"/>
        <v>-689.55035714285714</v>
      </c>
      <c r="AH33" s="29">
        <f t="shared" si="4"/>
        <v>-3.5714285718313477E-4</v>
      </c>
    </row>
    <row r="34" spans="1:34" s="30" customFormat="1" ht="21.75" customHeight="1" x14ac:dyDescent="0.2">
      <c r="A34" s="18">
        <v>43229</v>
      </c>
      <c r="B34" s="19"/>
      <c r="C34" s="20" t="s">
        <v>63</v>
      </c>
      <c r="D34" s="20" t="s">
        <v>64</v>
      </c>
      <c r="E34" s="20" t="s">
        <v>65</v>
      </c>
      <c r="F34" s="21">
        <v>96646</v>
      </c>
      <c r="G34" s="22" t="s">
        <v>513</v>
      </c>
      <c r="H34" s="23"/>
      <c r="I34" s="23"/>
      <c r="J34" s="23"/>
      <c r="K34" s="23">
        <f>819.06+98.29</f>
        <v>917.34999999999991</v>
      </c>
      <c r="L34" s="24">
        <v>0.01</v>
      </c>
      <c r="M34" s="25">
        <f t="shared" si="0"/>
        <v>819.06249999999989</v>
      </c>
      <c r="N34" s="25">
        <f t="shared" si="1"/>
        <v>98.28749999999998</v>
      </c>
      <c r="O34" s="25">
        <f t="shared" si="2"/>
        <v>-8.1906249999999989</v>
      </c>
      <c r="P34" s="25">
        <v>819.06</v>
      </c>
      <c r="Q34" s="25"/>
      <c r="R34" s="25"/>
      <c r="S34" s="25"/>
      <c r="T34" s="26"/>
      <c r="U34" s="26"/>
      <c r="V34" s="26"/>
      <c r="W34" s="26"/>
      <c r="X34" s="26"/>
      <c r="Y34" s="25"/>
      <c r="Z34" s="25"/>
      <c r="AA34" s="25"/>
      <c r="AB34" s="25"/>
      <c r="AC34" s="25"/>
      <c r="AD34" s="25"/>
      <c r="AE34" s="25"/>
      <c r="AF34" s="25"/>
      <c r="AG34" s="25">
        <f t="shared" si="3"/>
        <v>-909.1568749999999</v>
      </c>
      <c r="AH34" s="29">
        <f t="shared" si="4"/>
        <v>2.5000000000101608E-3</v>
      </c>
    </row>
    <row r="35" spans="1:34" s="30" customFormat="1" ht="21.75" customHeight="1" x14ac:dyDescent="0.2">
      <c r="A35" s="18">
        <v>43229</v>
      </c>
      <c r="B35" s="19"/>
      <c r="C35" s="20" t="s">
        <v>63</v>
      </c>
      <c r="D35" s="20" t="s">
        <v>64</v>
      </c>
      <c r="E35" s="20" t="s">
        <v>65</v>
      </c>
      <c r="F35" s="21">
        <v>96646</v>
      </c>
      <c r="G35" s="22" t="s">
        <v>514</v>
      </c>
      <c r="H35" s="23"/>
      <c r="I35" s="23"/>
      <c r="J35" s="23">
        <v>170.5</v>
      </c>
      <c r="K35" s="23"/>
      <c r="L35" s="24">
        <v>0.01</v>
      </c>
      <c r="M35" s="25">
        <f t="shared" si="0"/>
        <v>170.5</v>
      </c>
      <c r="N35" s="25">
        <f t="shared" si="1"/>
        <v>0</v>
      </c>
      <c r="O35" s="25">
        <f t="shared" si="2"/>
        <v>-1.7050000000000001</v>
      </c>
      <c r="P35" s="25">
        <v>170.5</v>
      </c>
      <c r="Q35" s="25"/>
      <c r="R35" s="25"/>
      <c r="S35" s="25"/>
      <c r="T35" s="26"/>
      <c r="U35" s="26"/>
      <c r="V35" s="26"/>
      <c r="W35" s="26"/>
      <c r="X35" s="26"/>
      <c r="Y35" s="25"/>
      <c r="Z35" s="25"/>
      <c r="AA35" s="25"/>
      <c r="AB35" s="25"/>
      <c r="AC35" s="25"/>
      <c r="AD35" s="25"/>
      <c r="AE35" s="25"/>
      <c r="AF35" s="25"/>
      <c r="AG35" s="25">
        <f t="shared" si="3"/>
        <v>-168.79499999999999</v>
      </c>
      <c r="AH35" s="29">
        <f t="shared" si="4"/>
        <v>1.2434497875801753E-14</v>
      </c>
    </row>
    <row r="36" spans="1:34" s="30" customFormat="1" ht="21.75" customHeight="1" x14ac:dyDescent="0.2">
      <c r="A36" s="18">
        <v>511</v>
      </c>
      <c r="B36" s="19"/>
      <c r="C36" s="20" t="s">
        <v>276</v>
      </c>
      <c r="D36" s="20" t="s">
        <v>52</v>
      </c>
      <c r="E36" s="20" t="s">
        <v>277</v>
      </c>
      <c r="F36" s="21">
        <v>30015</v>
      </c>
      <c r="G36" s="22" t="s">
        <v>515</v>
      </c>
      <c r="H36" s="23"/>
      <c r="I36" s="23"/>
      <c r="J36" s="23"/>
      <c r="K36" s="23">
        <v>150</v>
      </c>
      <c r="L36" s="24"/>
      <c r="M36" s="25">
        <f t="shared" si="0"/>
        <v>133.92857142857142</v>
      </c>
      <c r="N36" s="25">
        <f t="shared" si="1"/>
        <v>16.071428571428569</v>
      </c>
      <c r="O36" s="25">
        <f t="shared" si="2"/>
        <v>0</v>
      </c>
      <c r="P36" s="25">
        <v>133.93</v>
      </c>
      <c r="Q36" s="25"/>
      <c r="R36" s="25"/>
      <c r="S36" s="25"/>
      <c r="T36" s="26"/>
      <c r="U36" s="26"/>
      <c r="V36" s="26"/>
      <c r="W36" s="26"/>
      <c r="X36" s="26"/>
      <c r="Y36" s="25"/>
      <c r="Z36" s="25"/>
      <c r="AA36" s="25"/>
      <c r="AB36" s="25"/>
      <c r="AC36" s="25"/>
      <c r="AD36" s="25"/>
      <c r="AE36" s="25"/>
      <c r="AF36" s="25"/>
      <c r="AG36" s="25">
        <f t="shared" si="3"/>
        <v>-150.00142857142856</v>
      </c>
      <c r="AH36" s="29">
        <f t="shared" si="4"/>
        <v>-1.4285714285620088E-3</v>
      </c>
    </row>
    <row r="37" spans="1:34" s="30" customFormat="1" ht="21.75" customHeight="1" x14ac:dyDescent="0.2">
      <c r="A37" s="18">
        <v>43232</v>
      </c>
      <c r="B37" s="19"/>
      <c r="C37" s="20" t="s">
        <v>41</v>
      </c>
      <c r="D37" s="20" t="s">
        <v>88</v>
      </c>
      <c r="E37" s="20" t="s">
        <v>43</v>
      </c>
      <c r="F37" s="21">
        <v>2426</v>
      </c>
      <c r="G37" s="22" t="s">
        <v>516</v>
      </c>
      <c r="H37" s="23"/>
      <c r="I37" s="23"/>
      <c r="J37" s="23">
        <v>1490</v>
      </c>
      <c r="K37" s="23"/>
      <c r="L37" s="24"/>
      <c r="M37" s="25">
        <f t="shared" ref="M37:M65" si="5">SUM(H37:J37,K37/1.12)</f>
        <v>1490</v>
      </c>
      <c r="N37" s="25">
        <f t="shared" ref="N37:N65" si="6">K37/1.12*0.12</f>
        <v>0</v>
      </c>
      <c r="O37" s="25">
        <f t="shared" ref="O37:O65" si="7">-SUM(I37:J37,K37/1.12)*L37</f>
        <v>0</v>
      </c>
      <c r="P37" s="25">
        <v>1490</v>
      </c>
      <c r="Q37" s="25"/>
      <c r="R37" s="25"/>
      <c r="S37" s="25"/>
      <c r="T37" s="26"/>
      <c r="U37" s="26"/>
      <c r="V37" s="26"/>
      <c r="W37" s="26"/>
      <c r="X37" s="26"/>
      <c r="Y37" s="25"/>
      <c r="Z37" s="25"/>
      <c r="AA37" s="25"/>
      <c r="AB37" s="25"/>
      <c r="AC37" s="25"/>
      <c r="AD37" s="25"/>
      <c r="AE37" s="25"/>
      <c r="AF37" s="25"/>
      <c r="AG37" s="25">
        <f t="shared" ref="AG37:AG68" si="8">-SUM(N37:AF37)</f>
        <v>-1490</v>
      </c>
      <c r="AH37" s="29">
        <f t="shared" ref="AH37:AH68" si="9">SUM(H37:K37)+AG37+O37</f>
        <v>0</v>
      </c>
    </row>
    <row r="38" spans="1:34" s="30" customFormat="1" ht="21.75" customHeight="1" x14ac:dyDescent="0.2">
      <c r="A38" s="18">
        <v>43232</v>
      </c>
      <c r="B38" s="19"/>
      <c r="C38" s="20" t="s">
        <v>45</v>
      </c>
      <c r="D38" s="20"/>
      <c r="E38" s="20"/>
      <c r="F38" s="21"/>
      <c r="G38" s="22" t="s">
        <v>517</v>
      </c>
      <c r="H38" s="23">
        <v>100</v>
      </c>
      <c r="I38" s="23"/>
      <c r="J38" s="23"/>
      <c r="K38" s="23"/>
      <c r="L38" s="24"/>
      <c r="M38" s="25">
        <f t="shared" si="5"/>
        <v>100</v>
      </c>
      <c r="N38" s="25">
        <f t="shared" si="6"/>
        <v>0</v>
      </c>
      <c r="O38" s="25">
        <f t="shared" si="7"/>
        <v>0</v>
      </c>
      <c r="P38" s="25"/>
      <c r="Q38" s="25"/>
      <c r="R38" s="25"/>
      <c r="S38" s="25"/>
      <c r="T38" s="26"/>
      <c r="U38" s="26"/>
      <c r="V38" s="26"/>
      <c r="W38" s="26"/>
      <c r="X38" s="26"/>
      <c r="Y38" s="25"/>
      <c r="Z38" s="25"/>
      <c r="AA38" s="25">
        <v>100</v>
      </c>
      <c r="AB38" s="25"/>
      <c r="AC38" s="25"/>
      <c r="AD38" s="25"/>
      <c r="AE38" s="25"/>
      <c r="AF38" s="25"/>
      <c r="AG38" s="25">
        <f t="shared" si="8"/>
        <v>-100</v>
      </c>
      <c r="AH38" s="29">
        <f t="shared" si="9"/>
        <v>0</v>
      </c>
    </row>
    <row r="39" spans="1:34" s="46" customFormat="1" ht="21.75" customHeight="1" x14ac:dyDescent="0.2">
      <c r="A39" s="33">
        <v>43232</v>
      </c>
      <c r="B39" s="34"/>
      <c r="C39" s="36" t="s">
        <v>518</v>
      </c>
      <c r="D39" s="36" t="s">
        <v>519</v>
      </c>
      <c r="E39" s="36" t="s">
        <v>175</v>
      </c>
      <c r="F39" s="37">
        <v>1201</v>
      </c>
      <c r="G39" s="38" t="s">
        <v>520</v>
      </c>
      <c r="H39" s="39"/>
      <c r="I39" s="39"/>
      <c r="J39" s="39"/>
      <c r="K39" s="39">
        <v>195.24</v>
      </c>
      <c r="L39" s="40"/>
      <c r="M39" s="41">
        <f t="shared" si="5"/>
        <v>174.32142857142856</v>
      </c>
      <c r="N39" s="41">
        <f t="shared" si="6"/>
        <v>20.918571428571425</v>
      </c>
      <c r="O39" s="41">
        <f t="shared" si="7"/>
        <v>0</v>
      </c>
      <c r="P39" s="41">
        <v>174.32</v>
      </c>
      <c r="Q39" s="41"/>
      <c r="R39" s="41"/>
      <c r="S39" s="41"/>
      <c r="T39" s="42"/>
      <c r="U39" s="42"/>
      <c r="V39" s="42"/>
      <c r="W39" s="42"/>
      <c r="X39" s="42"/>
      <c r="Y39" s="41"/>
      <c r="Z39" s="41"/>
      <c r="AA39" s="41"/>
      <c r="AB39" s="41"/>
      <c r="AC39" s="41"/>
      <c r="AD39" s="41"/>
      <c r="AE39" s="41"/>
      <c r="AF39" s="41"/>
      <c r="AG39" s="41">
        <f t="shared" si="8"/>
        <v>-195.23857142857142</v>
      </c>
      <c r="AH39" s="45">
        <f t="shared" si="9"/>
        <v>1.4285714285904305E-3</v>
      </c>
    </row>
    <row r="40" spans="1:34" s="30" customFormat="1" ht="19.5" customHeight="1" x14ac:dyDescent="0.2">
      <c r="A40" s="18">
        <v>43235</v>
      </c>
      <c r="B40" s="19"/>
      <c r="C40" s="20" t="s">
        <v>521</v>
      </c>
      <c r="D40" s="20"/>
      <c r="E40" s="20"/>
      <c r="F40" s="21"/>
      <c r="G40" s="21" t="s">
        <v>522</v>
      </c>
      <c r="H40" s="23">
        <v>917</v>
      </c>
      <c r="I40" s="23"/>
      <c r="J40" s="23"/>
      <c r="K40" s="23"/>
      <c r="L40" s="24"/>
      <c r="M40" s="25">
        <f t="shared" si="5"/>
        <v>917</v>
      </c>
      <c r="N40" s="25">
        <f t="shared" si="6"/>
        <v>0</v>
      </c>
      <c r="O40" s="25">
        <f t="shared" si="7"/>
        <v>0</v>
      </c>
      <c r="P40" s="25"/>
      <c r="Q40" s="25"/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6"/>
      <c r="AD40" s="26">
        <v>917</v>
      </c>
      <c r="AE40" s="27"/>
      <c r="AF40" s="27"/>
      <c r="AG40" s="25">
        <f t="shared" si="8"/>
        <v>-917</v>
      </c>
      <c r="AH40" s="29">
        <f t="shared" si="9"/>
        <v>0</v>
      </c>
    </row>
    <row r="41" spans="1:34" s="30" customFormat="1" ht="19.5" customHeight="1" x14ac:dyDescent="0.2">
      <c r="A41" s="18">
        <v>43235</v>
      </c>
      <c r="B41" s="19"/>
      <c r="C41" s="20" t="s">
        <v>276</v>
      </c>
      <c r="D41" s="20" t="s">
        <v>52</v>
      </c>
      <c r="E41" s="20" t="s">
        <v>277</v>
      </c>
      <c r="F41" s="21">
        <v>29836</v>
      </c>
      <c r="G41" s="22" t="s">
        <v>523</v>
      </c>
      <c r="H41" s="23"/>
      <c r="I41" s="23"/>
      <c r="J41" s="23"/>
      <c r="K41" s="23">
        <v>291</v>
      </c>
      <c r="L41" s="24"/>
      <c r="M41" s="25">
        <f t="shared" si="5"/>
        <v>259.82142857142856</v>
      </c>
      <c r="N41" s="25">
        <f t="shared" si="6"/>
        <v>31.178571428571427</v>
      </c>
      <c r="O41" s="25">
        <f t="shared" si="7"/>
        <v>0</v>
      </c>
      <c r="P41" s="25">
        <v>259.82</v>
      </c>
      <c r="Q41" s="25"/>
      <c r="R41" s="25"/>
      <c r="S41" s="25"/>
      <c r="T41" s="26"/>
      <c r="U41" s="26"/>
      <c r="V41" s="26"/>
      <c r="W41" s="26"/>
      <c r="X41" s="26"/>
      <c r="Y41" s="25"/>
      <c r="Z41" s="25"/>
      <c r="AA41" s="25"/>
      <c r="AB41" s="25"/>
      <c r="AC41" s="26"/>
      <c r="AD41" s="26"/>
      <c r="AE41" s="27"/>
      <c r="AF41" s="27"/>
      <c r="AG41" s="25">
        <f t="shared" si="8"/>
        <v>-290.99857142857144</v>
      </c>
      <c r="AH41" s="29">
        <f t="shared" si="9"/>
        <v>1.4285714285620088E-3</v>
      </c>
    </row>
    <row r="42" spans="1:34" s="30" customFormat="1" ht="19.5" customHeight="1" x14ac:dyDescent="0.2">
      <c r="A42" s="18">
        <v>43236</v>
      </c>
      <c r="B42" s="19"/>
      <c r="C42" s="20" t="s">
        <v>68</v>
      </c>
      <c r="D42" s="20"/>
      <c r="E42" s="20"/>
      <c r="F42" s="21"/>
      <c r="G42" s="22" t="s">
        <v>524</v>
      </c>
      <c r="H42" s="23">
        <v>40</v>
      </c>
      <c r="I42" s="23"/>
      <c r="J42" s="23"/>
      <c r="K42" s="23"/>
      <c r="L42" s="24"/>
      <c r="M42" s="25">
        <f t="shared" si="5"/>
        <v>40</v>
      </c>
      <c r="N42" s="25">
        <f t="shared" si="6"/>
        <v>0</v>
      </c>
      <c r="O42" s="25">
        <f t="shared" si="7"/>
        <v>0</v>
      </c>
      <c r="P42" s="25"/>
      <c r="Q42" s="25"/>
      <c r="R42" s="25"/>
      <c r="S42" s="25"/>
      <c r="T42" s="26"/>
      <c r="U42" s="26"/>
      <c r="V42" s="26"/>
      <c r="W42" s="26"/>
      <c r="X42" s="26"/>
      <c r="Y42" s="25"/>
      <c r="Z42" s="25"/>
      <c r="AA42" s="25">
        <v>40</v>
      </c>
      <c r="AB42" s="25"/>
      <c r="AC42" s="26"/>
      <c r="AD42" s="26"/>
      <c r="AE42" s="27"/>
      <c r="AF42" s="27"/>
      <c r="AG42" s="25">
        <f t="shared" si="8"/>
        <v>-40</v>
      </c>
      <c r="AH42" s="29">
        <f t="shared" si="9"/>
        <v>0</v>
      </c>
    </row>
    <row r="43" spans="1:34" s="30" customFormat="1" ht="19.5" customHeight="1" x14ac:dyDescent="0.2">
      <c r="A43" s="18">
        <v>43236</v>
      </c>
      <c r="B43" s="19"/>
      <c r="C43" s="20" t="s">
        <v>276</v>
      </c>
      <c r="D43" s="20" t="s">
        <v>52</v>
      </c>
      <c r="E43" s="20" t="s">
        <v>277</v>
      </c>
      <c r="F43" s="21">
        <v>30107</v>
      </c>
      <c r="G43" s="22" t="s">
        <v>525</v>
      </c>
      <c r="H43" s="23"/>
      <c r="I43" s="23"/>
      <c r="J43" s="23"/>
      <c r="K43" s="23">
        <v>420</v>
      </c>
      <c r="L43" s="24"/>
      <c r="M43" s="25">
        <f t="shared" si="5"/>
        <v>374.99999999999994</v>
      </c>
      <c r="N43" s="25">
        <f t="shared" si="6"/>
        <v>44.999999999999993</v>
      </c>
      <c r="O43" s="25">
        <f t="shared" si="7"/>
        <v>0</v>
      </c>
      <c r="P43" s="25">
        <v>375</v>
      </c>
      <c r="Q43" s="25"/>
      <c r="R43" s="25"/>
      <c r="S43" s="25"/>
      <c r="T43" s="26"/>
      <c r="U43" s="26"/>
      <c r="V43" s="26"/>
      <c r="W43" s="26"/>
      <c r="X43" s="26"/>
      <c r="Y43" s="25"/>
      <c r="Z43" s="25"/>
      <c r="AA43" s="25"/>
      <c r="AB43" s="25"/>
      <c r="AC43" s="26"/>
      <c r="AD43" s="26"/>
      <c r="AE43" s="27"/>
      <c r="AF43" s="27"/>
      <c r="AG43" s="25">
        <f t="shared" si="8"/>
        <v>-420</v>
      </c>
      <c r="AH43" s="29">
        <f t="shared" si="9"/>
        <v>0</v>
      </c>
    </row>
    <row r="44" spans="1:34" s="30" customFormat="1" ht="22.5" customHeight="1" x14ac:dyDescent="0.2">
      <c r="A44" s="56">
        <v>43238</v>
      </c>
      <c r="B44" s="57"/>
      <c r="C44" s="20" t="s">
        <v>63</v>
      </c>
      <c r="D44" s="20" t="s">
        <v>64</v>
      </c>
      <c r="E44" s="20" t="s">
        <v>65</v>
      </c>
      <c r="F44" s="58">
        <v>114277</v>
      </c>
      <c r="G44" s="59" t="s">
        <v>526</v>
      </c>
      <c r="H44" s="23"/>
      <c r="I44" s="23"/>
      <c r="J44" s="23"/>
      <c r="K44" s="23">
        <f>2545.4+305.45</f>
        <v>2850.85</v>
      </c>
      <c r="L44" s="24"/>
      <c r="M44" s="25">
        <f t="shared" si="5"/>
        <v>2545.4017857142853</v>
      </c>
      <c r="N44" s="25">
        <f t="shared" si="6"/>
        <v>305.44821428571424</v>
      </c>
      <c r="O44" s="25">
        <f t="shared" si="7"/>
        <v>0</v>
      </c>
      <c r="P44" s="25">
        <v>2545.4</v>
      </c>
      <c r="Q44" s="25"/>
      <c r="R44" s="25"/>
      <c r="S44" s="25"/>
      <c r="T44" s="26"/>
      <c r="U44" s="26"/>
      <c r="V44" s="26"/>
      <c r="W44" s="26"/>
      <c r="X44" s="26"/>
      <c r="Y44" s="25"/>
      <c r="Z44" s="25"/>
      <c r="AA44" s="25"/>
      <c r="AB44" s="25"/>
      <c r="AC44" s="25"/>
      <c r="AD44" s="25"/>
      <c r="AE44" s="25"/>
      <c r="AF44" s="25"/>
      <c r="AG44" s="25">
        <f t="shared" si="8"/>
        <v>-2850.8482142857142</v>
      </c>
      <c r="AH44" s="29">
        <f t="shared" si="9"/>
        <v>1.7857142856883002E-3</v>
      </c>
    </row>
    <row r="45" spans="1:34" s="46" customFormat="1" ht="21.75" customHeight="1" x14ac:dyDescent="0.2">
      <c r="A45" s="60">
        <v>43238</v>
      </c>
      <c r="B45" s="61"/>
      <c r="C45" s="36" t="s">
        <v>63</v>
      </c>
      <c r="D45" s="36" t="s">
        <v>64</v>
      </c>
      <c r="E45" s="36" t="s">
        <v>65</v>
      </c>
      <c r="F45" s="62">
        <v>114277</v>
      </c>
      <c r="G45" s="37" t="s">
        <v>527</v>
      </c>
      <c r="H45" s="39"/>
      <c r="I45" s="39"/>
      <c r="J45" s="39">
        <v>1109.8</v>
      </c>
      <c r="K45" s="39"/>
      <c r="L45" s="40"/>
      <c r="M45" s="41">
        <f t="shared" si="5"/>
        <v>1109.8</v>
      </c>
      <c r="N45" s="41">
        <f t="shared" si="6"/>
        <v>0</v>
      </c>
      <c r="O45" s="41">
        <f t="shared" si="7"/>
        <v>0</v>
      </c>
      <c r="P45" s="41">
        <v>1109.8</v>
      </c>
      <c r="Q45" s="41"/>
      <c r="R45" s="41"/>
      <c r="S45" s="41"/>
      <c r="T45" s="42"/>
      <c r="U45" s="42"/>
      <c r="V45" s="42"/>
      <c r="W45" s="42"/>
      <c r="X45" s="42"/>
      <c r="Y45" s="41"/>
      <c r="Z45" s="41"/>
      <c r="AA45" s="41"/>
      <c r="AB45" s="41"/>
      <c r="AC45" s="41"/>
      <c r="AD45" s="41"/>
      <c r="AE45" s="41"/>
      <c r="AF45" s="41"/>
      <c r="AG45" s="41">
        <f t="shared" si="8"/>
        <v>-1109.8</v>
      </c>
      <c r="AH45" s="45">
        <f t="shared" si="9"/>
        <v>0</v>
      </c>
    </row>
    <row r="46" spans="1:34" s="30" customFormat="1" ht="19.5" customHeight="1" x14ac:dyDescent="0.2">
      <c r="A46" s="18">
        <v>43238</v>
      </c>
      <c r="B46" s="19"/>
      <c r="C46" s="20" t="s">
        <v>396</v>
      </c>
      <c r="D46" s="20" t="s">
        <v>60</v>
      </c>
      <c r="E46" s="20" t="s">
        <v>397</v>
      </c>
      <c r="F46" s="21">
        <v>643702</v>
      </c>
      <c r="G46" s="21" t="s">
        <v>62</v>
      </c>
      <c r="H46" s="23"/>
      <c r="I46" s="23"/>
      <c r="J46" s="23"/>
      <c r="K46" s="23">
        <v>430</v>
      </c>
      <c r="L46" s="24"/>
      <c r="M46" s="25">
        <f t="shared" si="5"/>
        <v>383.92857142857139</v>
      </c>
      <c r="N46" s="25">
        <f t="shared" si="6"/>
        <v>46.071428571428562</v>
      </c>
      <c r="O46" s="25">
        <f t="shared" si="7"/>
        <v>0</v>
      </c>
      <c r="P46" s="25"/>
      <c r="Q46" s="25"/>
      <c r="R46" s="25"/>
      <c r="S46" s="25"/>
      <c r="T46" s="26">
        <v>383.93</v>
      </c>
      <c r="U46" s="26"/>
      <c r="V46" s="26"/>
      <c r="W46" s="26"/>
      <c r="X46" s="26"/>
      <c r="Y46" s="25"/>
      <c r="Z46" s="25"/>
      <c r="AA46" s="25"/>
      <c r="AB46" s="25"/>
      <c r="AC46" s="26"/>
      <c r="AD46" s="26"/>
      <c r="AE46" s="27"/>
      <c r="AF46" s="27"/>
      <c r="AG46" s="25">
        <f t="shared" si="8"/>
        <v>-430.00142857142856</v>
      </c>
      <c r="AH46" s="29">
        <f t="shared" si="9"/>
        <v>-1.4285714285620088E-3</v>
      </c>
    </row>
    <row r="47" spans="1:34" s="30" customFormat="1" ht="19.5" customHeight="1" x14ac:dyDescent="0.2">
      <c r="A47" s="18">
        <v>43239</v>
      </c>
      <c r="B47" s="19"/>
      <c r="C47" s="20" t="s">
        <v>528</v>
      </c>
      <c r="D47" s="20" t="s">
        <v>467</v>
      </c>
      <c r="E47" s="20" t="s">
        <v>277</v>
      </c>
      <c r="F47" s="21">
        <v>48</v>
      </c>
      <c r="G47" s="22" t="s">
        <v>40</v>
      </c>
      <c r="H47" s="23"/>
      <c r="I47" s="23"/>
      <c r="J47" s="23"/>
      <c r="K47" s="23">
        <v>76</v>
      </c>
      <c r="L47" s="24"/>
      <c r="M47" s="25">
        <f t="shared" si="5"/>
        <v>67.857142857142847</v>
      </c>
      <c r="N47" s="25">
        <f t="shared" si="6"/>
        <v>8.1428571428571406</v>
      </c>
      <c r="O47" s="25">
        <f t="shared" si="7"/>
        <v>0</v>
      </c>
      <c r="P47" s="25"/>
      <c r="Q47" s="25">
        <v>67.86</v>
      </c>
      <c r="R47" s="25"/>
      <c r="S47" s="25"/>
      <c r="T47" s="26"/>
      <c r="U47" s="26"/>
      <c r="V47" s="26"/>
      <c r="W47" s="26"/>
      <c r="X47" s="26"/>
      <c r="Y47" s="25"/>
      <c r="Z47" s="25"/>
      <c r="AA47" s="25"/>
      <c r="AB47" s="25"/>
      <c r="AC47" s="26"/>
      <c r="AD47" s="26"/>
      <c r="AE47" s="27"/>
      <c r="AF47" s="27"/>
      <c r="AG47" s="25">
        <f t="shared" si="8"/>
        <v>-76.002857142857138</v>
      </c>
      <c r="AH47" s="29">
        <f t="shared" si="9"/>
        <v>-2.8571428571382285E-3</v>
      </c>
    </row>
    <row r="48" spans="1:34" s="30" customFormat="1" ht="19.5" customHeight="1" x14ac:dyDescent="0.2">
      <c r="A48" s="18">
        <v>43239</v>
      </c>
      <c r="B48" s="19"/>
      <c r="C48" s="20" t="s">
        <v>396</v>
      </c>
      <c r="D48" s="20" t="s">
        <v>60</v>
      </c>
      <c r="E48" s="20" t="s">
        <v>397</v>
      </c>
      <c r="F48" s="21">
        <v>675477</v>
      </c>
      <c r="G48" s="22" t="s">
        <v>529</v>
      </c>
      <c r="H48" s="23"/>
      <c r="I48" s="23"/>
      <c r="J48" s="23"/>
      <c r="K48" s="23">
        <v>24</v>
      </c>
      <c r="L48" s="24"/>
      <c r="M48" s="25">
        <f t="shared" si="5"/>
        <v>21.428571428571427</v>
      </c>
      <c r="N48" s="25">
        <f t="shared" si="6"/>
        <v>2.5714285714285712</v>
      </c>
      <c r="O48" s="25">
        <f t="shared" si="7"/>
        <v>0</v>
      </c>
      <c r="P48" s="25"/>
      <c r="Q48" s="25"/>
      <c r="R48" s="25"/>
      <c r="S48" s="25"/>
      <c r="T48" s="26"/>
      <c r="U48" s="26"/>
      <c r="V48" s="26"/>
      <c r="W48" s="26"/>
      <c r="X48" s="26"/>
      <c r="Y48" s="25"/>
      <c r="Z48" s="25">
        <v>21.43</v>
      </c>
      <c r="AA48" s="25"/>
      <c r="AB48" s="25"/>
      <c r="AC48" s="26"/>
      <c r="AD48" s="26"/>
      <c r="AE48" s="27"/>
      <c r="AF48" s="27"/>
      <c r="AG48" s="25">
        <f t="shared" si="8"/>
        <v>-24.001428571428569</v>
      </c>
      <c r="AH48" s="29">
        <f t="shared" si="9"/>
        <v>-1.4285714285691142E-3</v>
      </c>
    </row>
    <row r="49" spans="1:34" s="30" customFormat="1" ht="19.5" customHeight="1" x14ac:dyDescent="0.2">
      <c r="A49" s="18">
        <v>43241</v>
      </c>
      <c r="B49" s="19"/>
      <c r="C49" s="20" t="s">
        <v>276</v>
      </c>
      <c r="D49" s="20" t="s">
        <v>52</v>
      </c>
      <c r="E49" s="20" t="s">
        <v>277</v>
      </c>
      <c r="F49" s="21">
        <v>30201</v>
      </c>
      <c r="G49" s="22" t="s">
        <v>530</v>
      </c>
      <c r="H49" s="23"/>
      <c r="I49" s="23"/>
      <c r="J49" s="23"/>
      <c r="K49" s="23">
        <v>132.25</v>
      </c>
      <c r="L49" s="24"/>
      <c r="M49" s="25">
        <f t="shared" si="5"/>
        <v>118.08035714285712</v>
      </c>
      <c r="N49" s="25">
        <f t="shared" si="6"/>
        <v>14.169642857142854</v>
      </c>
      <c r="O49" s="25">
        <f t="shared" si="7"/>
        <v>0</v>
      </c>
      <c r="P49" s="25">
        <v>118.08</v>
      </c>
      <c r="Q49" s="25"/>
      <c r="R49" s="25"/>
      <c r="S49" s="25"/>
      <c r="T49" s="26"/>
      <c r="U49" s="26"/>
      <c r="V49" s="26"/>
      <c r="W49" s="26"/>
      <c r="X49" s="26"/>
      <c r="Y49" s="25"/>
      <c r="Z49" s="25"/>
      <c r="AA49" s="25"/>
      <c r="AB49" s="25"/>
      <c r="AC49" s="26"/>
      <c r="AD49" s="26"/>
      <c r="AE49" s="27"/>
      <c r="AF49" s="27"/>
      <c r="AG49" s="25">
        <f t="shared" si="8"/>
        <v>-132.24964285714285</v>
      </c>
      <c r="AH49" s="29">
        <f t="shared" si="9"/>
        <v>3.5714285715471306E-4</v>
      </c>
    </row>
    <row r="50" spans="1:34" s="30" customFormat="1" ht="22.5" customHeight="1" x14ac:dyDescent="0.2">
      <c r="A50" s="56">
        <v>43241</v>
      </c>
      <c r="B50" s="57"/>
      <c r="C50" s="20" t="s">
        <v>276</v>
      </c>
      <c r="D50" s="20" t="s">
        <v>52</v>
      </c>
      <c r="E50" s="20" t="s">
        <v>277</v>
      </c>
      <c r="F50" s="58">
        <v>30206</v>
      </c>
      <c r="G50" s="59" t="s">
        <v>433</v>
      </c>
      <c r="H50" s="23"/>
      <c r="I50" s="23"/>
      <c r="J50" s="23"/>
      <c r="K50" s="23">
        <v>273</v>
      </c>
      <c r="L50" s="24"/>
      <c r="M50" s="25">
        <f t="shared" si="5"/>
        <v>243.74999999999997</v>
      </c>
      <c r="N50" s="25">
        <f t="shared" si="6"/>
        <v>29.249999999999996</v>
      </c>
      <c r="O50" s="25">
        <f t="shared" si="7"/>
        <v>0</v>
      </c>
      <c r="P50" s="25">
        <v>243.75</v>
      </c>
      <c r="Q50" s="25"/>
      <c r="R50" s="25"/>
      <c r="S50" s="25"/>
      <c r="T50" s="26"/>
      <c r="U50" s="26"/>
      <c r="V50" s="26"/>
      <c r="W50" s="26"/>
      <c r="X50" s="26"/>
      <c r="Y50" s="25"/>
      <c r="Z50" s="25"/>
      <c r="AA50" s="25"/>
      <c r="AB50" s="25"/>
      <c r="AC50" s="25"/>
      <c r="AD50" s="25"/>
      <c r="AE50" s="25"/>
      <c r="AF50" s="25"/>
      <c r="AG50" s="25">
        <f t="shared" si="8"/>
        <v>-273</v>
      </c>
      <c r="AH50" s="29">
        <f t="shared" si="9"/>
        <v>0</v>
      </c>
    </row>
    <row r="51" spans="1:34" s="30" customFormat="1" ht="21.75" customHeight="1" x14ac:dyDescent="0.2">
      <c r="A51" s="56">
        <v>43243</v>
      </c>
      <c r="B51" s="57"/>
      <c r="C51" s="20" t="s">
        <v>276</v>
      </c>
      <c r="D51" s="20" t="s">
        <v>52</v>
      </c>
      <c r="E51" s="20" t="s">
        <v>277</v>
      </c>
      <c r="F51" s="58">
        <v>30250</v>
      </c>
      <c r="G51" s="21" t="s">
        <v>531</v>
      </c>
      <c r="H51" s="23"/>
      <c r="I51" s="23"/>
      <c r="J51" s="23"/>
      <c r="K51" s="23">
        <v>267.45999999999998</v>
      </c>
      <c r="L51" s="24"/>
      <c r="M51" s="25">
        <f t="shared" si="5"/>
        <v>238.80357142857139</v>
      </c>
      <c r="N51" s="25">
        <f t="shared" si="6"/>
        <v>28.656428571428567</v>
      </c>
      <c r="O51" s="25">
        <f t="shared" si="7"/>
        <v>0</v>
      </c>
      <c r="P51" s="25">
        <v>238.8</v>
      </c>
      <c r="Q51" s="25"/>
      <c r="R51" s="25"/>
      <c r="S51" s="25"/>
      <c r="T51" s="26"/>
      <c r="U51" s="26"/>
      <c r="V51" s="26"/>
      <c r="W51" s="26"/>
      <c r="X51" s="26"/>
      <c r="Y51" s="25"/>
      <c r="Z51" s="25"/>
      <c r="AA51" s="25"/>
      <c r="AB51" s="25"/>
      <c r="AC51" s="25"/>
      <c r="AD51" s="25"/>
      <c r="AE51" s="25"/>
      <c r="AF51" s="25"/>
      <c r="AG51" s="25">
        <f t="shared" si="8"/>
        <v>-267.4564285714286</v>
      </c>
      <c r="AH51" s="29">
        <f t="shared" si="9"/>
        <v>3.5714285713766003E-3</v>
      </c>
    </row>
    <row r="52" spans="1:34" s="30" customFormat="1" ht="21.75" customHeight="1" x14ac:dyDescent="0.2">
      <c r="A52" s="18">
        <v>43243</v>
      </c>
      <c r="B52" s="19"/>
      <c r="C52" s="20" t="s">
        <v>396</v>
      </c>
      <c r="D52" s="20" t="s">
        <v>60</v>
      </c>
      <c r="E52" s="20" t="s">
        <v>397</v>
      </c>
      <c r="F52" s="21">
        <v>644478</v>
      </c>
      <c r="G52" s="22" t="s">
        <v>532</v>
      </c>
      <c r="H52" s="23"/>
      <c r="I52" s="23"/>
      <c r="J52" s="23"/>
      <c r="K52" s="23">
        <v>109.25</v>
      </c>
      <c r="L52" s="24"/>
      <c r="M52" s="25">
        <f t="shared" si="5"/>
        <v>97.544642857142847</v>
      </c>
      <c r="N52" s="25">
        <f t="shared" si="6"/>
        <v>11.705357142857141</v>
      </c>
      <c r="O52" s="25">
        <f t="shared" si="7"/>
        <v>0</v>
      </c>
      <c r="P52" s="25"/>
      <c r="Q52" s="25"/>
      <c r="R52" s="25"/>
      <c r="S52" s="25"/>
      <c r="T52" s="26">
        <v>97.54</v>
      </c>
      <c r="U52" s="26"/>
      <c r="V52" s="26"/>
      <c r="W52" s="26"/>
      <c r="X52" s="26"/>
      <c r="Y52" s="25"/>
      <c r="Z52" s="25"/>
      <c r="AA52" s="25"/>
      <c r="AB52" s="25"/>
      <c r="AC52" s="25"/>
      <c r="AD52" s="25"/>
      <c r="AE52" s="25"/>
      <c r="AF52" s="25"/>
      <c r="AG52" s="25">
        <f t="shared" si="8"/>
        <v>-109.24535714285715</v>
      </c>
      <c r="AH52" s="29">
        <f t="shared" si="9"/>
        <v>4.6428571428549503E-3</v>
      </c>
    </row>
    <row r="53" spans="1:34" s="30" customFormat="1" ht="21.75" customHeight="1" x14ac:dyDescent="0.2">
      <c r="A53" s="18">
        <v>43244</v>
      </c>
      <c r="B53" s="19"/>
      <c r="C53" s="20" t="s">
        <v>41</v>
      </c>
      <c r="D53" s="20" t="s">
        <v>88</v>
      </c>
      <c r="E53" s="20" t="s">
        <v>43</v>
      </c>
      <c r="F53" s="21">
        <v>2446</v>
      </c>
      <c r="G53" s="22" t="s">
        <v>533</v>
      </c>
      <c r="H53" s="23"/>
      <c r="I53" s="23"/>
      <c r="J53" s="23">
        <v>1270</v>
      </c>
      <c r="K53" s="23"/>
      <c r="L53" s="24"/>
      <c r="M53" s="25">
        <f t="shared" si="5"/>
        <v>1270</v>
      </c>
      <c r="N53" s="25">
        <f t="shared" si="6"/>
        <v>0</v>
      </c>
      <c r="O53" s="25">
        <f t="shared" si="7"/>
        <v>0</v>
      </c>
      <c r="P53" s="25">
        <v>1270</v>
      </c>
      <c r="Q53" s="25"/>
      <c r="R53" s="25"/>
      <c r="S53" s="25"/>
      <c r="T53" s="26"/>
      <c r="U53" s="26"/>
      <c r="V53" s="26"/>
      <c r="W53" s="26"/>
      <c r="X53" s="26"/>
      <c r="Y53" s="25"/>
      <c r="Z53" s="25"/>
      <c r="AA53" s="25"/>
      <c r="AB53" s="25"/>
      <c r="AC53" s="25"/>
      <c r="AD53" s="25"/>
      <c r="AE53" s="25"/>
      <c r="AF53" s="25"/>
      <c r="AG53" s="25">
        <f t="shared" si="8"/>
        <v>-1270</v>
      </c>
      <c r="AH53" s="29">
        <f t="shared" si="9"/>
        <v>0</v>
      </c>
    </row>
    <row r="54" spans="1:34" s="30" customFormat="1" ht="21.75" customHeight="1" x14ac:dyDescent="0.2">
      <c r="A54" s="18">
        <v>43244</v>
      </c>
      <c r="B54" s="19"/>
      <c r="C54" s="20" t="s">
        <v>45</v>
      </c>
      <c r="D54" s="20"/>
      <c r="E54" s="20"/>
      <c r="F54" s="21"/>
      <c r="G54" s="22" t="s">
        <v>196</v>
      </c>
      <c r="H54" s="23">
        <v>100</v>
      </c>
      <c r="I54" s="23"/>
      <c r="J54" s="23"/>
      <c r="K54" s="23"/>
      <c r="L54" s="24"/>
      <c r="M54" s="25">
        <f t="shared" si="5"/>
        <v>100</v>
      </c>
      <c r="N54" s="25">
        <f t="shared" si="6"/>
        <v>0</v>
      </c>
      <c r="O54" s="25">
        <f t="shared" si="7"/>
        <v>0</v>
      </c>
      <c r="P54" s="25"/>
      <c r="Q54" s="25"/>
      <c r="R54" s="25"/>
      <c r="S54" s="25"/>
      <c r="T54" s="26"/>
      <c r="U54" s="26"/>
      <c r="V54" s="26"/>
      <c r="W54" s="26"/>
      <c r="X54" s="26"/>
      <c r="Y54" s="25"/>
      <c r="Z54" s="25"/>
      <c r="AA54" s="25">
        <v>100</v>
      </c>
      <c r="AB54" s="25"/>
      <c r="AC54" s="25"/>
      <c r="AD54" s="25"/>
      <c r="AE54" s="25"/>
      <c r="AF54" s="25"/>
      <c r="AG54" s="25">
        <f t="shared" si="8"/>
        <v>-100</v>
      </c>
      <c r="AH54" s="29">
        <f t="shared" si="9"/>
        <v>0</v>
      </c>
    </row>
    <row r="55" spans="1:34" s="30" customFormat="1" ht="33.75" customHeight="1" x14ac:dyDescent="0.2">
      <c r="A55" s="18">
        <v>43245</v>
      </c>
      <c r="B55" s="19"/>
      <c r="C55" s="20" t="s">
        <v>63</v>
      </c>
      <c r="D55" s="20" t="s">
        <v>64</v>
      </c>
      <c r="E55" s="20" t="s">
        <v>65</v>
      </c>
      <c r="F55" s="21">
        <v>112915</v>
      </c>
      <c r="G55" s="22" t="s">
        <v>534</v>
      </c>
      <c r="H55" s="23"/>
      <c r="I55" s="23"/>
      <c r="J55" s="23"/>
      <c r="K55" s="23">
        <v>1616.15</v>
      </c>
      <c r="L55" s="24">
        <v>0.01</v>
      </c>
      <c r="M55" s="25">
        <f t="shared" si="5"/>
        <v>1442.9910714285713</v>
      </c>
      <c r="N55" s="25">
        <f t="shared" si="6"/>
        <v>173.15892857142856</v>
      </c>
      <c r="O55" s="25">
        <f t="shared" si="7"/>
        <v>-14.429910714285713</v>
      </c>
      <c r="P55" s="25">
        <v>1442.99</v>
      </c>
      <c r="Q55" s="25"/>
      <c r="R55" s="25"/>
      <c r="S55" s="25"/>
      <c r="T55" s="26"/>
      <c r="U55" s="26"/>
      <c r="V55" s="26"/>
      <c r="W55" s="26"/>
      <c r="X55" s="26"/>
      <c r="Y55" s="25"/>
      <c r="Z55" s="25"/>
      <c r="AA55" s="25"/>
      <c r="AB55" s="25"/>
      <c r="AC55" s="25"/>
      <c r="AD55" s="25"/>
      <c r="AE55" s="25"/>
      <c r="AF55" s="25"/>
      <c r="AG55" s="25">
        <f t="shared" si="8"/>
        <v>-1601.7190178571429</v>
      </c>
      <c r="AH55" s="29">
        <f t="shared" si="9"/>
        <v>1.0714285714339411E-3</v>
      </c>
    </row>
    <row r="56" spans="1:34" s="30" customFormat="1" ht="21.75" customHeight="1" x14ac:dyDescent="0.2">
      <c r="A56" s="18">
        <v>43246</v>
      </c>
      <c r="B56" s="19"/>
      <c r="C56" s="20" t="s">
        <v>535</v>
      </c>
      <c r="D56" s="20"/>
      <c r="E56" s="20"/>
      <c r="F56" s="21"/>
      <c r="G56" s="22" t="s">
        <v>536</v>
      </c>
      <c r="H56" s="23">
        <v>208.5</v>
      </c>
      <c r="I56" s="23"/>
      <c r="J56" s="23"/>
      <c r="K56" s="23"/>
      <c r="L56" s="24"/>
      <c r="M56" s="25">
        <f t="shared" si="5"/>
        <v>208.5</v>
      </c>
      <c r="N56" s="25">
        <f t="shared" si="6"/>
        <v>0</v>
      </c>
      <c r="O56" s="25">
        <f t="shared" si="7"/>
        <v>0</v>
      </c>
      <c r="P56" s="25"/>
      <c r="Q56" s="25"/>
      <c r="R56" s="25"/>
      <c r="S56" s="25"/>
      <c r="T56" s="26"/>
      <c r="U56" s="26"/>
      <c r="V56" s="26"/>
      <c r="W56" s="26"/>
      <c r="X56" s="26"/>
      <c r="Y56" s="25"/>
      <c r="Z56" s="25"/>
      <c r="AA56" s="25"/>
      <c r="AB56" s="25"/>
      <c r="AC56" s="25"/>
      <c r="AD56" s="25"/>
      <c r="AE56" s="25">
        <v>208.5</v>
      </c>
      <c r="AF56" s="25"/>
      <c r="AG56" s="25">
        <f t="shared" si="8"/>
        <v>-208.5</v>
      </c>
      <c r="AH56" s="29">
        <f t="shared" si="9"/>
        <v>0</v>
      </c>
    </row>
    <row r="57" spans="1:34" s="46" customFormat="1" ht="21.75" customHeight="1" x14ac:dyDescent="0.2">
      <c r="A57" s="33">
        <v>43246</v>
      </c>
      <c r="B57" s="34"/>
      <c r="C57" s="36" t="s">
        <v>276</v>
      </c>
      <c r="D57" s="36" t="s">
        <v>52</v>
      </c>
      <c r="E57" s="36" t="s">
        <v>277</v>
      </c>
      <c r="F57" s="37">
        <v>30968</v>
      </c>
      <c r="G57" s="38" t="s">
        <v>537</v>
      </c>
      <c r="H57" s="39"/>
      <c r="I57" s="39"/>
      <c r="J57" s="39"/>
      <c r="K57" s="39">
        <v>204.5</v>
      </c>
      <c r="L57" s="40"/>
      <c r="M57" s="41">
        <f t="shared" si="5"/>
        <v>182.58928571428569</v>
      </c>
      <c r="N57" s="41">
        <f t="shared" si="6"/>
        <v>21.910714285714281</v>
      </c>
      <c r="O57" s="41">
        <f t="shared" si="7"/>
        <v>0</v>
      </c>
      <c r="P57" s="41"/>
      <c r="Q57" s="41"/>
      <c r="R57" s="41">
        <v>182.59</v>
      </c>
      <c r="S57" s="41"/>
      <c r="T57" s="42"/>
      <c r="U57" s="42"/>
      <c r="V57" s="42"/>
      <c r="W57" s="42"/>
      <c r="X57" s="42"/>
      <c r="Y57" s="41"/>
      <c r="Z57" s="41"/>
      <c r="AA57" s="41"/>
      <c r="AB57" s="41"/>
      <c r="AC57" s="41"/>
      <c r="AD57" s="41"/>
      <c r="AE57" s="41"/>
      <c r="AF57" s="41"/>
      <c r="AG57" s="41">
        <f t="shared" si="8"/>
        <v>-204.50071428571428</v>
      </c>
      <c r="AH57" s="45">
        <f t="shared" si="9"/>
        <v>-7.142857142810044E-4</v>
      </c>
    </row>
    <row r="58" spans="1:34" s="30" customFormat="1" ht="19.5" customHeight="1" x14ac:dyDescent="0.2">
      <c r="A58" s="18">
        <v>43248</v>
      </c>
      <c r="B58" s="19"/>
      <c r="C58" s="20" t="s">
        <v>63</v>
      </c>
      <c r="D58" s="20" t="s">
        <v>64</v>
      </c>
      <c r="E58" s="20" t="s">
        <v>65</v>
      </c>
      <c r="F58" s="21">
        <v>93340</v>
      </c>
      <c r="G58" s="21" t="s">
        <v>538</v>
      </c>
      <c r="H58" s="23"/>
      <c r="I58" s="23"/>
      <c r="J58" s="23"/>
      <c r="K58" s="23">
        <v>1308.55</v>
      </c>
      <c r="L58" s="24"/>
      <c r="M58" s="25">
        <f t="shared" si="5"/>
        <v>1168.3482142857142</v>
      </c>
      <c r="N58" s="25">
        <f t="shared" si="6"/>
        <v>140.20178571428571</v>
      </c>
      <c r="O58" s="25">
        <f t="shared" si="7"/>
        <v>0</v>
      </c>
      <c r="P58" s="25">
        <v>1168.3499999999999</v>
      </c>
      <c r="Q58" s="25"/>
      <c r="R58" s="25"/>
      <c r="S58" s="25"/>
      <c r="T58" s="26"/>
      <c r="U58" s="26"/>
      <c r="V58" s="26"/>
      <c r="W58" s="26"/>
      <c r="X58" s="26"/>
      <c r="Y58" s="25"/>
      <c r="Z58" s="25"/>
      <c r="AA58" s="25"/>
      <c r="AB58" s="25"/>
      <c r="AC58" s="26"/>
      <c r="AD58" s="26"/>
      <c r="AE58" s="27"/>
      <c r="AF58" s="27"/>
      <c r="AG58" s="25">
        <f t="shared" si="8"/>
        <v>-1308.5517857142856</v>
      </c>
      <c r="AH58" s="29">
        <f t="shared" si="9"/>
        <v>-1.7857142856883002E-3</v>
      </c>
    </row>
    <row r="59" spans="1:34" s="30" customFormat="1" ht="19.5" customHeight="1" x14ac:dyDescent="0.2">
      <c r="A59" s="18">
        <v>43248</v>
      </c>
      <c r="B59" s="19"/>
      <c r="C59" s="20" t="s">
        <v>63</v>
      </c>
      <c r="D59" s="20" t="s">
        <v>64</v>
      </c>
      <c r="E59" s="20" t="s">
        <v>65</v>
      </c>
      <c r="F59" s="21">
        <v>93340</v>
      </c>
      <c r="G59" s="22" t="s">
        <v>539</v>
      </c>
      <c r="H59" s="23"/>
      <c r="I59" s="23"/>
      <c r="J59" s="23">
        <v>240</v>
      </c>
      <c r="K59" s="23"/>
      <c r="L59" s="24"/>
      <c r="M59" s="25">
        <f t="shared" si="5"/>
        <v>240</v>
      </c>
      <c r="N59" s="25">
        <f t="shared" si="6"/>
        <v>0</v>
      </c>
      <c r="O59" s="25">
        <f t="shared" si="7"/>
        <v>0</v>
      </c>
      <c r="P59" s="25">
        <v>240</v>
      </c>
      <c r="Q59" s="25"/>
      <c r="R59" s="25"/>
      <c r="S59" s="25"/>
      <c r="T59" s="26"/>
      <c r="U59" s="26"/>
      <c r="V59" s="26"/>
      <c r="W59" s="26"/>
      <c r="X59" s="26"/>
      <c r="Y59" s="25"/>
      <c r="Z59" s="25"/>
      <c r="AA59" s="25"/>
      <c r="AB59" s="25"/>
      <c r="AC59" s="26"/>
      <c r="AD59" s="26"/>
      <c r="AE59" s="27"/>
      <c r="AF59" s="27"/>
      <c r="AG59" s="25">
        <f t="shared" si="8"/>
        <v>-240</v>
      </c>
      <c r="AH59" s="29">
        <f t="shared" si="9"/>
        <v>0</v>
      </c>
    </row>
    <row r="60" spans="1:34" s="30" customFormat="1" ht="19.5" customHeight="1" x14ac:dyDescent="0.2">
      <c r="A60" s="18">
        <v>43248</v>
      </c>
      <c r="B60" s="19"/>
      <c r="C60" s="20" t="s">
        <v>63</v>
      </c>
      <c r="D60" s="20" t="s">
        <v>64</v>
      </c>
      <c r="E60" s="20" t="s">
        <v>65</v>
      </c>
      <c r="F60" s="21">
        <v>93340</v>
      </c>
      <c r="G60" s="22" t="s">
        <v>420</v>
      </c>
      <c r="H60" s="23"/>
      <c r="I60" s="23"/>
      <c r="J60" s="23"/>
      <c r="K60" s="23">
        <v>201.25</v>
      </c>
      <c r="L60" s="24"/>
      <c r="M60" s="25">
        <f t="shared" si="5"/>
        <v>179.68749999999997</v>
      </c>
      <c r="N60" s="25">
        <f t="shared" si="6"/>
        <v>21.562499999999996</v>
      </c>
      <c r="O60" s="25">
        <f t="shared" si="7"/>
        <v>0</v>
      </c>
      <c r="P60" s="25"/>
      <c r="Q60" s="25"/>
      <c r="R60" s="25"/>
      <c r="S60" s="25">
        <v>179.69</v>
      </c>
      <c r="T60" s="26"/>
      <c r="U60" s="26"/>
      <c r="V60" s="26"/>
      <c r="W60" s="26"/>
      <c r="X60" s="26"/>
      <c r="Y60" s="25"/>
      <c r="Z60" s="25"/>
      <c r="AA60" s="25"/>
      <c r="AB60" s="25"/>
      <c r="AC60" s="26"/>
      <c r="AD60" s="26"/>
      <c r="AE60" s="27"/>
      <c r="AF60" s="27"/>
      <c r="AG60" s="25">
        <f t="shared" si="8"/>
        <v>-201.2525</v>
      </c>
      <c r="AH60" s="29">
        <f t="shared" si="9"/>
        <v>-2.4999999999977263E-3</v>
      </c>
    </row>
    <row r="61" spans="1:34" s="30" customFormat="1" ht="19.5" customHeight="1" x14ac:dyDescent="0.2">
      <c r="A61" s="18">
        <v>43249</v>
      </c>
      <c r="B61" s="19"/>
      <c r="C61" s="20" t="s">
        <v>396</v>
      </c>
      <c r="D61" s="20" t="s">
        <v>60</v>
      </c>
      <c r="E61" s="20" t="s">
        <v>397</v>
      </c>
      <c r="F61" s="21">
        <v>645373</v>
      </c>
      <c r="G61" s="22" t="s">
        <v>540</v>
      </c>
      <c r="H61" s="23"/>
      <c r="I61" s="23"/>
      <c r="J61" s="23"/>
      <c r="K61" s="23">
        <v>130</v>
      </c>
      <c r="L61" s="24"/>
      <c r="M61" s="25">
        <f t="shared" si="5"/>
        <v>116.07142857142856</v>
      </c>
      <c r="N61" s="25">
        <f t="shared" si="6"/>
        <v>13.928571428571425</v>
      </c>
      <c r="O61" s="25">
        <f t="shared" si="7"/>
        <v>0</v>
      </c>
      <c r="P61" s="25"/>
      <c r="Q61" s="25"/>
      <c r="R61" s="25"/>
      <c r="S61" s="25"/>
      <c r="T61" s="26"/>
      <c r="U61" s="26">
        <v>116.07</v>
      </c>
      <c r="V61" s="26"/>
      <c r="W61" s="26"/>
      <c r="X61" s="26"/>
      <c r="Y61" s="25"/>
      <c r="Z61" s="25"/>
      <c r="AA61" s="25"/>
      <c r="AB61" s="25"/>
      <c r="AC61" s="26"/>
      <c r="AD61" s="26"/>
      <c r="AE61" s="27"/>
      <c r="AF61" s="27"/>
      <c r="AG61" s="25">
        <f t="shared" si="8"/>
        <v>-129.99857142857141</v>
      </c>
      <c r="AH61" s="29">
        <f t="shared" si="9"/>
        <v>1.4285714285904305E-3</v>
      </c>
    </row>
    <row r="62" spans="1:34" s="30" customFormat="1" ht="22.5" customHeight="1" x14ac:dyDescent="0.2">
      <c r="A62" s="56">
        <v>43251</v>
      </c>
      <c r="B62" s="57"/>
      <c r="C62" s="20" t="s">
        <v>276</v>
      </c>
      <c r="D62" s="20" t="s">
        <v>52</v>
      </c>
      <c r="E62" s="20" t="s">
        <v>277</v>
      </c>
      <c r="F62" s="58">
        <v>30404</v>
      </c>
      <c r="G62" s="59" t="s">
        <v>541</v>
      </c>
      <c r="H62" s="23"/>
      <c r="I62" s="23"/>
      <c r="J62" s="23"/>
      <c r="K62" s="23">
        <v>78</v>
      </c>
      <c r="L62" s="24"/>
      <c r="M62" s="25">
        <f t="shared" si="5"/>
        <v>69.642857142857139</v>
      </c>
      <c r="N62" s="25">
        <f t="shared" si="6"/>
        <v>8.3571428571428559</v>
      </c>
      <c r="O62" s="25">
        <f t="shared" si="7"/>
        <v>0</v>
      </c>
      <c r="P62" s="25">
        <v>69.64</v>
      </c>
      <c r="Q62" s="25"/>
      <c r="R62" s="25"/>
      <c r="S62" s="25"/>
      <c r="T62" s="26"/>
      <c r="U62" s="26"/>
      <c r="V62" s="26"/>
      <c r="W62" s="26"/>
      <c r="X62" s="26"/>
      <c r="Y62" s="25"/>
      <c r="Z62" s="25"/>
      <c r="AA62" s="25"/>
      <c r="AB62" s="25"/>
      <c r="AC62" s="25"/>
      <c r="AD62" s="25"/>
      <c r="AE62" s="25"/>
      <c r="AF62" s="25"/>
      <c r="AG62" s="25">
        <f t="shared" si="8"/>
        <v>-77.997142857142862</v>
      </c>
      <c r="AH62" s="29">
        <f t="shared" si="9"/>
        <v>2.8571428571382285E-3</v>
      </c>
    </row>
    <row r="63" spans="1:34" s="30" customFormat="1" ht="21.75" customHeight="1" x14ac:dyDescent="0.2">
      <c r="A63" s="56">
        <v>43251</v>
      </c>
      <c r="B63" s="57"/>
      <c r="C63" s="20" t="s">
        <v>276</v>
      </c>
      <c r="D63" s="20" t="s">
        <v>52</v>
      </c>
      <c r="E63" s="20" t="s">
        <v>277</v>
      </c>
      <c r="F63" s="58">
        <v>30396</v>
      </c>
      <c r="G63" s="21" t="s">
        <v>131</v>
      </c>
      <c r="H63" s="23"/>
      <c r="I63" s="23"/>
      <c r="J63" s="23"/>
      <c r="K63" s="23">
        <v>125</v>
      </c>
      <c r="L63" s="24"/>
      <c r="M63" s="25">
        <f t="shared" si="5"/>
        <v>111.60714285714285</v>
      </c>
      <c r="N63" s="25">
        <f t="shared" si="6"/>
        <v>13.392857142857141</v>
      </c>
      <c r="O63" s="25">
        <f t="shared" si="7"/>
        <v>0</v>
      </c>
      <c r="P63" s="25"/>
      <c r="Q63" s="25"/>
      <c r="R63" s="25">
        <v>111.61</v>
      </c>
      <c r="S63" s="25"/>
      <c r="T63" s="26"/>
      <c r="U63" s="26"/>
      <c r="V63" s="26"/>
      <c r="W63" s="26"/>
      <c r="X63" s="26"/>
      <c r="Y63" s="25"/>
      <c r="Z63" s="25"/>
      <c r="AA63" s="25"/>
      <c r="AB63" s="25"/>
      <c r="AC63" s="25"/>
      <c r="AD63" s="25"/>
      <c r="AE63" s="25"/>
      <c r="AF63" s="25"/>
      <c r="AG63" s="25">
        <f t="shared" si="8"/>
        <v>-125.00285714285714</v>
      </c>
      <c r="AH63" s="29">
        <f t="shared" si="9"/>
        <v>-2.8571428571382285E-3</v>
      </c>
    </row>
    <row r="64" spans="1:34" s="30" customFormat="1" ht="21.75" customHeight="1" x14ac:dyDescent="0.2">
      <c r="A64" s="18">
        <v>43251</v>
      </c>
      <c r="B64" s="19"/>
      <c r="C64" s="20" t="s">
        <v>396</v>
      </c>
      <c r="D64" s="20" t="s">
        <v>60</v>
      </c>
      <c r="E64" s="20" t="s">
        <v>397</v>
      </c>
      <c r="F64" s="21">
        <v>677620</v>
      </c>
      <c r="G64" s="22" t="s">
        <v>542</v>
      </c>
      <c r="H64" s="23"/>
      <c r="I64" s="23"/>
      <c r="J64" s="23"/>
      <c r="K64" s="23">
        <v>44.5</v>
      </c>
      <c r="L64" s="24"/>
      <c r="M64" s="25">
        <f t="shared" si="5"/>
        <v>39.732142857142854</v>
      </c>
      <c r="N64" s="25">
        <f t="shared" si="6"/>
        <v>4.7678571428571423</v>
      </c>
      <c r="O64" s="25">
        <f t="shared" si="7"/>
        <v>0</v>
      </c>
      <c r="P64" s="25"/>
      <c r="Q64" s="25"/>
      <c r="R64" s="25"/>
      <c r="S64" s="25"/>
      <c r="T64" s="26">
        <v>39.729999999999997</v>
      </c>
      <c r="U64" s="26"/>
      <c r="V64" s="26"/>
      <c r="W64" s="26"/>
      <c r="X64" s="26"/>
      <c r="Y64" s="25"/>
      <c r="Z64" s="25"/>
      <c r="AA64" s="25"/>
      <c r="AB64" s="25"/>
      <c r="AC64" s="25"/>
      <c r="AD64" s="25"/>
      <c r="AE64" s="25"/>
      <c r="AF64" s="25"/>
      <c r="AG64" s="25">
        <f t="shared" si="8"/>
        <v>-44.497857142857143</v>
      </c>
      <c r="AH64" s="29">
        <f t="shared" si="9"/>
        <v>2.1428571428572241E-3</v>
      </c>
    </row>
    <row r="65" spans="1:34" s="30" customFormat="1" ht="21.75" customHeight="1" x14ac:dyDescent="0.2">
      <c r="A65" s="18">
        <v>43251</v>
      </c>
      <c r="B65" s="19"/>
      <c r="C65" s="20" t="s">
        <v>396</v>
      </c>
      <c r="D65" s="20" t="s">
        <v>60</v>
      </c>
      <c r="E65" s="20" t="s">
        <v>397</v>
      </c>
      <c r="F65" s="21">
        <v>677620</v>
      </c>
      <c r="G65" s="22" t="s">
        <v>543</v>
      </c>
      <c r="H65" s="23"/>
      <c r="I65" s="23"/>
      <c r="J65" s="23"/>
      <c r="K65" s="23">
        <v>31.5</v>
      </c>
      <c r="L65" s="24"/>
      <c r="M65" s="25">
        <f t="shared" si="5"/>
        <v>28.124999999999996</v>
      </c>
      <c r="N65" s="25">
        <f t="shared" si="6"/>
        <v>3.3749999999999996</v>
      </c>
      <c r="O65" s="25">
        <f t="shared" si="7"/>
        <v>0</v>
      </c>
      <c r="P65" s="25"/>
      <c r="Q65" s="25"/>
      <c r="R65" s="25"/>
      <c r="S65" s="25"/>
      <c r="T65" s="26"/>
      <c r="U65" s="26"/>
      <c r="V65" s="26"/>
      <c r="W65" s="26"/>
      <c r="X65" s="26"/>
      <c r="Y65" s="25"/>
      <c r="Z65" s="25">
        <v>28.13</v>
      </c>
      <c r="AA65" s="25"/>
      <c r="AB65" s="25"/>
      <c r="AC65" s="25"/>
      <c r="AD65" s="25"/>
      <c r="AE65" s="25"/>
      <c r="AF65" s="25"/>
      <c r="AG65" s="25">
        <f t="shared" si="8"/>
        <v>-31.504999999999999</v>
      </c>
      <c r="AH65" s="29">
        <f t="shared" si="9"/>
        <v>-4.9999999999990052E-3</v>
      </c>
    </row>
    <row r="66" spans="1:34" s="30" customFormat="1" ht="19.5" customHeight="1" x14ac:dyDescent="0.2">
      <c r="A66" s="18"/>
      <c r="B66" s="19"/>
      <c r="C66" s="20"/>
      <c r="D66" s="20"/>
      <c r="E66" s="20"/>
      <c r="F66" s="21"/>
      <c r="G66" s="22"/>
      <c r="H66" s="23"/>
      <c r="I66" s="23"/>
      <c r="J66" s="23"/>
      <c r="K66" s="23"/>
      <c r="L66" s="24"/>
      <c r="M66" s="25"/>
      <c r="N66" s="25"/>
      <c r="O66" s="25"/>
      <c r="P66" s="25"/>
      <c r="Q66" s="25"/>
      <c r="R66" s="25"/>
      <c r="S66" s="25"/>
      <c r="T66" s="26"/>
      <c r="U66" s="26"/>
      <c r="V66" s="26"/>
      <c r="W66" s="26"/>
      <c r="X66" s="26"/>
      <c r="Y66" s="25"/>
      <c r="Z66" s="25"/>
      <c r="AA66" s="25"/>
      <c r="AB66" s="25"/>
      <c r="AC66" s="25"/>
      <c r="AD66" s="25"/>
      <c r="AE66" s="25"/>
      <c r="AF66" s="25"/>
      <c r="AG66" s="25"/>
      <c r="AH66" s="29"/>
    </row>
    <row r="67" spans="1:34" s="30" customFormat="1" ht="18.75" customHeight="1" x14ac:dyDescent="0.2">
      <c r="A67" s="18"/>
      <c r="B67" s="19"/>
      <c r="C67" s="20"/>
      <c r="D67" s="20"/>
      <c r="E67" s="20"/>
      <c r="F67" s="21"/>
      <c r="G67" s="22"/>
      <c r="H67" s="23"/>
      <c r="I67" s="23"/>
      <c r="J67" s="23"/>
      <c r="K67" s="23"/>
      <c r="L67" s="24"/>
      <c r="M67" s="25">
        <f>SUM(H67:J67,K67/1.12)</f>
        <v>0</v>
      </c>
      <c r="N67" s="25">
        <f>K67/1.12*0.12</f>
        <v>0</v>
      </c>
      <c r="O67" s="25">
        <f>-SUM(I67:J67,K67/1.12)*L67</f>
        <v>0</v>
      </c>
      <c r="P67" s="25"/>
      <c r="Q67" s="25"/>
      <c r="R67" s="25"/>
      <c r="S67" s="25"/>
      <c r="T67" s="26"/>
      <c r="U67" s="26"/>
      <c r="V67" s="26"/>
      <c r="W67" s="26"/>
      <c r="X67" s="26"/>
      <c r="Y67" s="25"/>
      <c r="Z67" s="25"/>
      <c r="AA67" s="25"/>
      <c r="AB67" s="25"/>
      <c r="AC67" s="25"/>
      <c r="AD67" s="25"/>
      <c r="AE67" s="25"/>
      <c r="AF67" s="25"/>
      <c r="AG67" s="25">
        <f>-SUM(N67:AF67)</f>
        <v>0</v>
      </c>
      <c r="AH67" s="29">
        <f>SUM(H67:K67)+AG67+O67</f>
        <v>0</v>
      </c>
    </row>
    <row r="68" spans="1:34" s="30" customFormat="1" ht="19.5" customHeight="1" x14ac:dyDescent="0.2">
      <c r="A68" s="18"/>
      <c r="B68" s="19"/>
      <c r="C68" s="47"/>
      <c r="D68" s="47"/>
      <c r="E68" s="47"/>
      <c r="F68" s="21"/>
      <c r="G68" s="22"/>
      <c r="H68" s="23"/>
      <c r="I68" s="23"/>
      <c r="J68" s="23"/>
      <c r="K68" s="23"/>
      <c r="L68" s="24"/>
      <c r="M68" s="25">
        <f>SUM(H68:J68,K68/1.12)</f>
        <v>0</v>
      </c>
      <c r="N68" s="25">
        <f>K68/1.12*0.12</f>
        <v>0</v>
      </c>
      <c r="O68" s="25">
        <f>-SUM(I68:J68,K68/1.12)*L68</f>
        <v>0</v>
      </c>
      <c r="P68" s="25"/>
      <c r="Q68" s="25"/>
      <c r="R68" s="25"/>
      <c r="S68" s="25"/>
      <c r="T68" s="26"/>
      <c r="U68" s="26"/>
      <c r="V68" s="26"/>
      <c r="W68" s="26"/>
      <c r="X68" s="26"/>
      <c r="Y68" s="31"/>
      <c r="Z68" s="25"/>
      <c r="AA68" s="25"/>
      <c r="AB68" s="25"/>
      <c r="AC68" s="26"/>
      <c r="AD68" s="26"/>
      <c r="AE68" s="27"/>
      <c r="AF68" s="27"/>
      <c r="AG68" s="28">
        <f>-SUM(N68:AF68)</f>
        <v>0</v>
      </c>
      <c r="AH68" s="29">
        <f>SUM(H68:K68)+AG68+O68</f>
        <v>0</v>
      </c>
    </row>
    <row r="69" spans="1:34" s="55" customFormat="1" ht="12" customHeight="1" x14ac:dyDescent="0.2">
      <c r="A69" s="48"/>
      <c r="B69" s="49"/>
      <c r="C69" s="50"/>
      <c r="D69" s="51"/>
      <c r="E69" s="51"/>
      <c r="F69" s="52"/>
      <c r="G69" s="50"/>
      <c r="H69" s="53">
        <f t="shared" ref="H69:AH69" si="10">SUM(H5:H68)</f>
        <v>1657.5</v>
      </c>
      <c r="I69" s="53">
        <f t="shared" si="10"/>
        <v>0</v>
      </c>
      <c r="J69" s="53">
        <f t="shared" si="10"/>
        <v>7625.45</v>
      </c>
      <c r="K69" s="53">
        <f t="shared" si="10"/>
        <v>22534.14</v>
      </c>
      <c r="L69" s="53">
        <f t="shared" si="10"/>
        <v>7.0000000000000007E-2</v>
      </c>
      <c r="M69" s="53">
        <f t="shared" si="10"/>
        <v>29402.717857142859</v>
      </c>
      <c r="N69" s="53">
        <f t="shared" si="10"/>
        <v>2414.3721428571425</v>
      </c>
      <c r="O69" s="53">
        <f t="shared" si="10"/>
        <v>-90.583017857142849</v>
      </c>
      <c r="P69" s="53">
        <f t="shared" si="10"/>
        <v>22439.31</v>
      </c>
      <c r="Q69" s="53">
        <f t="shared" si="10"/>
        <v>1514.2899999999997</v>
      </c>
      <c r="R69" s="53">
        <f t="shared" si="10"/>
        <v>294.2</v>
      </c>
      <c r="S69" s="53">
        <f t="shared" si="10"/>
        <v>1103.8900000000001</v>
      </c>
      <c r="T69" s="53">
        <f t="shared" si="10"/>
        <v>1057.1399999999999</v>
      </c>
      <c r="U69" s="53">
        <f t="shared" si="10"/>
        <v>133.93</v>
      </c>
      <c r="V69" s="53">
        <f t="shared" si="10"/>
        <v>0</v>
      </c>
      <c r="W69" s="53">
        <f t="shared" si="10"/>
        <v>229.02</v>
      </c>
      <c r="X69" s="53">
        <f t="shared" si="10"/>
        <v>267.63</v>
      </c>
      <c r="Y69" s="53">
        <f t="shared" si="10"/>
        <v>615.66999999999996</v>
      </c>
      <c r="Z69" s="53">
        <f t="shared" si="10"/>
        <v>90.12</v>
      </c>
      <c r="AA69" s="53">
        <f t="shared" si="10"/>
        <v>532</v>
      </c>
      <c r="AB69" s="53">
        <f t="shared" si="10"/>
        <v>0</v>
      </c>
      <c r="AC69" s="53">
        <f t="shared" si="10"/>
        <v>0</v>
      </c>
      <c r="AD69" s="53">
        <f t="shared" si="10"/>
        <v>917</v>
      </c>
      <c r="AE69" s="53">
        <f t="shared" si="10"/>
        <v>208.5</v>
      </c>
      <c r="AF69" s="54">
        <f t="shared" si="10"/>
        <v>0</v>
      </c>
      <c r="AG69" s="53">
        <f t="shared" si="10"/>
        <v>-31726.489124999996</v>
      </c>
      <c r="AH69" s="53">
        <f t="shared" si="10"/>
        <v>1.7857142857499397E-2</v>
      </c>
    </row>
    <row r="70" spans="1:34" ht="12" customHeight="1" x14ac:dyDescent="0.25"/>
    <row r="71" spans="1:34" ht="12" customHeight="1" x14ac:dyDescent="0.25"/>
    <row r="72" spans="1:34" ht="12" customHeight="1" x14ac:dyDescent="0.25"/>
    <row r="73" spans="1:34" ht="12" customHeight="1" x14ac:dyDescent="0.25"/>
    <row r="74" spans="1:34" ht="12" customHeight="1" x14ac:dyDescent="0.25"/>
    <row r="75" spans="1:34" ht="12" customHeight="1" x14ac:dyDescent="0.25">
      <c r="Q75" s="5">
        <v>0</v>
      </c>
    </row>
    <row r="76" spans="1:34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16"/>
  <sheetViews>
    <sheetView zoomScale="90" zoomScaleNormal="90" workbookViewId="0">
      <selection activeCell="G11" sqref="A11:XFD18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28.44140625" style="3" customWidth="1"/>
    <col min="4" max="4" width="17.6640625" style="4" hidden="1" customWidth="1"/>
    <col min="5" max="5" width="28.6640625" style="4" hidden="1" customWidth="1"/>
    <col min="6" max="6" width="9.88671875" style="2" hidden="1" customWidth="1"/>
    <col min="7" max="7" width="27.77734375" style="3" customWidth="1"/>
    <col min="8" max="8" width="10.109375" style="5" hidden="1" customWidth="1"/>
    <col min="9" max="9" width="10.6640625" style="5" hidden="1" customWidth="1"/>
    <col min="10" max="10" width="12.21875" style="5" customWidth="1"/>
    <col min="11" max="11" width="13.109375" style="5" customWidth="1"/>
    <col min="12" max="12" width="9.88671875" style="6" hidden="1" customWidth="1"/>
    <col min="13" max="13" width="12.21875" style="5" customWidth="1"/>
    <col min="14" max="14" width="10.77734375" style="5" hidden="1" customWidth="1"/>
    <col min="15" max="15" width="11.33203125" style="5" hidden="1" customWidth="1"/>
    <col min="16" max="16" width="12.44140625" style="5" customWidth="1"/>
    <col min="17" max="17" width="9.88671875" style="5" hidden="1" customWidth="1"/>
    <col min="18" max="18" width="9.6640625" style="5" hidden="1" customWidth="1"/>
    <col min="19" max="19" width="10.21875" style="5" hidden="1" customWidth="1"/>
    <col min="20" max="21" width="11.5546875" style="5" hidden="1"/>
    <col min="22" max="24" width="8.6640625" style="5" hidden="1" customWidth="1"/>
    <col min="25" max="25" width="11.6640625" style="5" hidden="1" customWidth="1"/>
    <col min="26" max="26" width="10.44140625" style="5" hidden="1" customWidth="1"/>
    <col min="27" max="27" width="8.44140625" style="5" hidden="1" customWidth="1"/>
    <col min="28" max="28" width="12.109375" style="5" hidden="1" customWidth="1"/>
    <col min="29" max="30" width="10.109375" style="5" hidden="1" customWidth="1"/>
    <col min="31" max="31" width="12.77734375" style="5" hidden="1" customWidth="1"/>
    <col min="32" max="32" width="0.21875" style="5" customWidth="1"/>
    <col min="33" max="33" width="13.44140625" style="5" customWidth="1"/>
    <col min="34" max="34" width="9.5546875" style="3" customWidth="1"/>
    <col min="35" max="1025" width="11.5546875" style="3"/>
  </cols>
  <sheetData>
    <row r="1" spans="1:34" ht="12" customHeight="1" x14ac:dyDescent="0.25">
      <c r="A1" s="7" t="s">
        <v>0</v>
      </c>
      <c r="C1" s="8"/>
    </row>
    <row r="2" spans="1:34" ht="12" customHeight="1" x14ac:dyDescent="0.25">
      <c r="A2" s="7" t="s">
        <v>1</v>
      </c>
    </row>
    <row r="3" spans="1:34" ht="12" customHeight="1" x14ac:dyDescent="0.25">
      <c r="A3" s="7" t="s">
        <v>544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6236</v>
      </c>
      <c r="AG3" s="10">
        <v>1002</v>
      </c>
    </row>
    <row r="4" spans="1:34" s="17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pans="1:34" s="30" customFormat="1" ht="19.5" customHeight="1" x14ac:dyDescent="0.2">
      <c r="A5" s="18">
        <v>43231</v>
      </c>
      <c r="B5" s="19"/>
      <c r="C5" s="20" t="s">
        <v>545</v>
      </c>
      <c r="D5" s="20"/>
      <c r="E5" s="20"/>
      <c r="F5" s="21"/>
      <c r="G5" s="21" t="s">
        <v>546</v>
      </c>
      <c r="H5" s="23"/>
      <c r="I5" s="23"/>
      <c r="J5" s="23">
        <v>220</v>
      </c>
      <c r="K5" s="23"/>
      <c r="L5" s="24"/>
      <c r="M5" s="25">
        <f>SUM(H5:J5,K5/1.12)</f>
        <v>220</v>
      </c>
      <c r="N5" s="25">
        <f>K5/1.12*0.12</f>
        <v>0</v>
      </c>
      <c r="O5" s="25">
        <f>-SUM(I5:J5,K5/1.12)*L5</f>
        <v>0</v>
      </c>
      <c r="P5" s="25">
        <v>220</v>
      </c>
      <c r="Q5" s="25"/>
      <c r="R5" s="25"/>
      <c r="S5" s="25"/>
      <c r="T5" s="26"/>
      <c r="U5" s="26"/>
      <c r="V5" s="26"/>
      <c r="W5" s="26"/>
      <c r="X5" s="26"/>
      <c r="Y5" s="25"/>
      <c r="Z5" s="25"/>
      <c r="AA5" s="25"/>
      <c r="AB5" s="25"/>
      <c r="AC5" s="26"/>
      <c r="AD5" s="26"/>
      <c r="AE5" s="27"/>
      <c r="AF5" s="27"/>
      <c r="AG5" s="25">
        <f>-SUM(N5:AF5)</f>
        <v>-220</v>
      </c>
      <c r="AH5" s="29">
        <f>SUM(H5:K5)+AG5+O5</f>
        <v>0</v>
      </c>
    </row>
    <row r="6" spans="1:34" s="30" customFormat="1" ht="19.5" customHeight="1" x14ac:dyDescent="0.2">
      <c r="A6" s="18">
        <v>43231</v>
      </c>
      <c r="B6" s="19"/>
      <c r="C6" s="20" t="s">
        <v>545</v>
      </c>
      <c r="D6" s="20"/>
      <c r="E6" s="20"/>
      <c r="F6" s="21"/>
      <c r="G6" s="22" t="s">
        <v>547</v>
      </c>
      <c r="H6" s="23"/>
      <c r="I6" s="23"/>
      <c r="J6" s="23">
        <v>107</v>
      </c>
      <c r="K6" s="23"/>
      <c r="L6" s="24"/>
      <c r="M6" s="25">
        <f>SUM(H6:J6,K6/1.12)</f>
        <v>107</v>
      </c>
      <c r="N6" s="25">
        <f>K6/1.12*0.12</f>
        <v>0</v>
      </c>
      <c r="O6" s="25">
        <f>-SUM(I6:J6,K6/1.12)*L6</f>
        <v>0</v>
      </c>
      <c r="P6" s="25">
        <v>107</v>
      </c>
      <c r="Q6" s="25"/>
      <c r="R6" s="25"/>
      <c r="S6" s="25"/>
      <c r="T6" s="26"/>
      <c r="U6" s="26"/>
      <c r="V6" s="26"/>
      <c r="W6" s="26"/>
      <c r="X6" s="26"/>
      <c r="Y6" s="25"/>
      <c r="Z6" s="25"/>
      <c r="AA6" s="25"/>
      <c r="AB6" s="25"/>
      <c r="AC6" s="26"/>
      <c r="AD6" s="26"/>
      <c r="AE6" s="27"/>
      <c r="AF6" s="27"/>
      <c r="AG6" s="25">
        <f>-SUM(N6:AF6)</f>
        <v>-107</v>
      </c>
      <c r="AH6" s="29">
        <f>SUM(H6:K6)+AG6+O6</f>
        <v>0</v>
      </c>
    </row>
    <row r="7" spans="1:34" s="30" customFormat="1" ht="19.5" customHeight="1" x14ac:dyDescent="0.2">
      <c r="A7" s="18">
        <v>43243</v>
      </c>
      <c r="B7" s="19"/>
      <c r="C7" s="20" t="s">
        <v>545</v>
      </c>
      <c r="D7" s="20"/>
      <c r="E7" s="20"/>
      <c r="F7" s="21"/>
      <c r="G7" s="22" t="s">
        <v>82</v>
      </c>
      <c r="H7" s="23"/>
      <c r="I7" s="23"/>
      <c r="J7" s="23">
        <v>200</v>
      </c>
      <c r="K7" s="23"/>
      <c r="L7" s="24"/>
      <c r="M7" s="25">
        <f>SUM(H7:J7,K7/1.12)</f>
        <v>200</v>
      </c>
      <c r="N7" s="25">
        <f>K7/1.12*0.12</f>
        <v>0</v>
      </c>
      <c r="O7" s="25">
        <f>-SUM(I7:J7,K7/1.12)*L7</f>
        <v>0</v>
      </c>
      <c r="P7" s="25">
        <v>200</v>
      </c>
      <c r="Q7" s="25"/>
      <c r="R7" s="25"/>
      <c r="S7" s="25"/>
      <c r="T7" s="26"/>
      <c r="U7" s="26"/>
      <c r="V7" s="26"/>
      <c r="W7" s="26"/>
      <c r="X7" s="26"/>
      <c r="Y7" s="25"/>
      <c r="Z7" s="25"/>
      <c r="AA7" s="25"/>
      <c r="AB7" s="25"/>
      <c r="AC7" s="26"/>
      <c r="AD7" s="26"/>
      <c r="AE7" s="27"/>
      <c r="AF7" s="27"/>
      <c r="AG7" s="25">
        <f>-SUM(N7:AF7)</f>
        <v>-200</v>
      </c>
      <c r="AH7" s="29">
        <f>SUM(H7:K7)+AG7+O7</f>
        <v>0</v>
      </c>
    </row>
    <row r="8" spans="1:34" s="30" customFormat="1" ht="19.5" customHeight="1" x14ac:dyDescent="0.2">
      <c r="A8" s="18">
        <v>43246</v>
      </c>
      <c r="B8" s="19"/>
      <c r="C8" s="20" t="s">
        <v>545</v>
      </c>
      <c r="D8" s="20"/>
      <c r="E8" s="20"/>
      <c r="F8" s="21"/>
      <c r="G8" s="22" t="s">
        <v>82</v>
      </c>
      <c r="H8" s="23"/>
      <c r="I8" s="23"/>
      <c r="J8" s="23">
        <v>100</v>
      </c>
      <c r="K8" s="23"/>
      <c r="L8" s="24"/>
      <c r="M8" s="25">
        <f>SUM(H8:J8,K8/1.12)</f>
        <v>100</v>
      </c>
      <c r="N8" s="25">
        <f>K8/1.12*0.12</f>
        <v>0</v>
      </c>
      <c r="O8" s="25">
        <f>-SUM(I8:J8,K8/1.12)*L8</f>
        <v>0</v>
      </c>
      <c r="P8" s="25">
        <v>100</v>
      </c>
      <c r="Q8" s="25"/>
      <c r="R8" s="25"/>
      <c r="S8" s="25"/>
      <c r="T8" s="26"/>
      <c r="U8" s="26"/>
      <c r="V8" s="26"/>
      <c r="W8" s="26"/>
      <c r="X8" s="26"/>
      <c r="Y8" s="25"/>
      <c r="Z8" s="25"/>
      <c r="AA8" s="25"/>
      <c r="AB8" s="25"/>
      <c r="AC8" s="26"/>
      <c r="AD8" s="26"/>
      <c r="AE8" s="27"/>
      <c r="AF8" s="27"/>
      <c r="AG8" s="25">
        <f>-SUM(N8:AF8)</f>
        <v>-100</v>
      </c>
      <c r="AH8" s="29">
        <f>SUM(H8:K8)+AG8+O8</f>
        <v>0</v>
      </c>
    </row>
    <row r="9" spans="1:34" s="30" customFormat="1" ht="19.5" customHeight="1" x14ac:dyDescent="0.2">
      <c r="A9" s="18"/>
      <c r="B9" s="19"/>
      <c r="C9" s="47"/>
      <c r="D9" s="47"/>
      <c r="E9" s="47"/>
      <c r="F9" s="21"/>
      <c r="G9" s="22"/>
      <c r="H9" s="23"/>
      <c r="I9" s="23"/>
      <c r="J9" s="23"/>
      <c r="K9" s="23"/>
      <c r="L9" s="24"/>
      <c r="M9" s="25">
        <f>SUM(H9:J9,K9/1.12)</f>
        <v>0</v>
      </c>
      <c r="N9" s="25">
        <f>K9/1.12*0.12</f>
        <v>0</v>
      </c>
      <c r="O9" s="25">
        <f>-SUM(I9:J9,K9/1.12)*L9</f>
        <v>0</v>
      </c>
      <c r="P9" s="25"/>
      <c r="Q9" s="25"/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6"/>
      <c r="AD9" s="26"/>
      <c r="AE9" s="27"/>
      <c r="AF9" s="27"/>
      <c r="AG9" s="28">
        <f>-SUM(N9:AF9)</f>
        <v>0</v>
      </c>
      <c r="AH9" s="29">
        <f>SUM(H9:K9)+AG9+O9</f>
        <v>0</v>
      </c>
    </row>
    <row r="10" spans="1:34" s="55" customFormat="1" ht="12" customHeight="1" x14ac:dyDescent="0.2">
      <c r="A10" s="48"/>
      <c r="B10" s="49"/>
      <c r="C10" s="50"/>
      <c r="D10" s="51"/>
      <c r="E10" s="51"/>
      <c r="F10" s="52"/>
      <c r="G10" s="50"/>
      <c r="H10" s="53">
        <f t="shared" ref="H10:AH10" si="0">SUM(H5:H9)</f>
        <v>0</v>
      </c>
      <c r="I10" s="53">
        <f t="shared" si="0"/>
        <v>0</v>
      </c>
      <c r="J10" s="53">
        <f t="shared" si="0"/>
        <v>627</v>
      </c>
      <c r="K10" s="53">
        <f t="shared" si="0"/>
        <v>0</v>
      </c>
      <c r="L10" s="53">
        <f t="shared" si="0"/>
        <v>0</v>
      </c>
      <c r="M10" s="53">
        <f t="shared" si="0"/>
        <v>627</v>
      </c>
      <c r="N10" s="53">
        <f t="shared" si="0"/>
        <v>0</v>
      </c>
      <c r="O10" s="53">
        <f t="shared" si="0"/>
        <v>0</v>
      </c>
      <c r="P10" s="53">
        <f t="shared" si="0"/>
        <v>627</v>
      </c>
      <c r="Q10" s="53">
        <f t="shared" si="0"/>
        <v>0</v>
      </c>
      <c r="R10" s="53">
        <f t="shared" si="0"/>
        <v>0</v>
      </c>
      <c r="S10" s="53">
        <f t="shared" si="0"/>
        <v>0</v>
      </c>
      <c r="T10" s="53">
        <f t="shared" si="0"/>
        <v>0</v>
      </c>
      <c r="U10" s="53">
        <f t="shared" si="0"/>
        <v>0</v>
      </c>
      <c r="V10" s="53">
        <f t="shared" si="0"/>
        <v>0</v>
      </c>
      <c r="W10" s="53">
        <f t="shared" si="0"/>
        <v>0</v>
      </c>
      <c r="X10" s="53">
        <f t="shared" si="0"/>
        <v>0</v>
      </c>
      <c r="Y10" s="53">
        <f t="shared" si="0"/>
        <v>0</v>
      </c>
      <c r="Z10" s="53">
        <f t="shared" si="0"/>
        <v>0</v>
      </c>
      <c r="AA10" s="53">
        <f t="shared" si="0"/>
        <v>0</v>
      </c>
      <c r="AB10" s="53">
        <f t="shared" si="0"/>
        <v>0</v>
      </c>
      <c r="AC10" s="53">
        <f t="shared" si="0"/>
        <v>0</v>
      </c>
      <c r="AD10" s="53">
        <f t="shared" si="0"/>
        <v>0</v>
      </c>
      <c r="AE10" s="53">
        <f t="shared" si="0"/>
        <v>0</v>
      </c>
      <c r="AF10" s="54">
        <f t="shared" si="0"/>
        <v>0</v>
      </c>
      <c r="AG10" s="53">
        <f t="shared" si="0"/>
        <v>-627</v>
      </c>
      <c r="AH10" s="53">
        <f t="shared" si="0"/>
        <v>0</v>
      </c>
    </row>
    <row r="16" spans="1:34" x14ac:dyDescent="0.25">
      <c r="Q16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2018-01</vt:lpstr>
      <vt:lpstr>2018-02</vt:lpstr>
      <vt:lpstr>2018-02 Palengke</vt:lpstr>
      <vt:lpstr>2018-02 Sizzle It Pull Out Expe</vt:lpstr>
      <vt:lpstr>2018-02 ACU Repair</vt:lpstr>
      <vt:lpstr>2018-03</vt:lpstr>
      <vt:lpstr>2018-04</vt:lpstr>
      <vt:lpstr>2018.05 Summary</vt:lpstr>
      <vt:lpstr>2018-05 Palengke</vt:lpstr>
      <vt:lpstr>2018-06 Summary</vt:lpstr>
      <vt:lpstr>2018-06 Palengke</vt:lpstr>
      <vt:lpstr>2018-07</vt:lpstr>
      <vt:lpstr>2018-08</vt:lpstr>
      <vt:lpstr>2018-09</vt:lpstr>
      <vt:lpstr>2018-10</vt:lpstr>
      <vt:lpstr>2018-11</vt:lpstr>
      <vt:lpstr>2018-12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</dc:creator>
  <dc:description/>
  <cp:lastModifiedBy>Ben</cp:lastModifiedBy>
  <cp:revision>2</cp:revision>
  <dcterms:created xsi:type="dcterms:W3CDTF">2022-03-06T11:48:51Z</dcterms:created>
  <dcterms:modified xsi:type="dcterms:W3CDTF">2022-03-06T09:12:21Z</dcterms:modified>
  <dc:language>en-PH</dc:language>
</cp:coreProperties>
</file>