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ocuments\venv\jarvis\instance\uploads\"/>
    </mc:Choice>
  </mc:AlternateContent>
  <xr:revisionPtr revIDLastSave="0" documentId="8_{2CA95237-61A6-43C4-AB8E-F6692CB457A4}" xr6:coauthVersionLast="47" xr6:coauthVersionMax="47" xr10:uidLastSave="{00000000-0000-0000-0000-000000000000}"/>
  <bookViews>
    <workbookView xWindow="-108" yWindow="-108" windowWidth="23256" windowHeight="12576" tabRatio="825" firstSheet="14" activeTab="22" xr2:uid="{00000000-000D-0000-FFFF-FFFF00000000}"/>
  </bookViews>
  <sheets>
    <sheet name="2019-01" sheetId="1" r:id="rId1"/>
    <sheet name="2019-02" sheetId="2" r:id="rId2"/>
    <sheet name="2019-03" sheetId="3" r:id="rId3"/>
    <sheet name="2019-04 April" sheetId="4" r:id="rId4"/>
    <sheet name="2019-04 Food" sheetId="5" r:id="rId5"/>
    <sheet name="2019-04 Nonfood" sheetId="6" r:id="rId6"/>
    <sheet name="2019-05" sheetId="7" r:id="rId7"/>
    <sheet name="2019-06" sheetId="8" r:id="rId8"/>
    <sheet name="2019-07" sheetId="9" r:id="rId9"/>
    <sheet name="2K EM" sheetId="10" r:id="rId10"/>
    <sheet name="6k Budget (Uniform)" sheetId="11" r:id="rId11"/>
    <sheet name="Php5750 budget" sheetId="12" r:id="rId12"/>
    <sheet name="4KBudget" sheetId="13" r:id="rId13"/>
    <sheet name="4k(other expenses)" sheetId="14" r:id="rId14"/>
    <sheet name="Php838JFD" sheetId="15" r:id="rId15"/>
    <sheet name="20K(Bar &amp; Kitchen)" sheetId="16" r:id="rId16"/>
    <sheet name="10K(kitchen fund)" sheetId="17" r:id="rId17"/>
    <sheet name="15K(Raw mats)" sheetId="18" r:id="rId18"/>
    <sheet name="2019-11" sheetId="19" r:id="rId19"/>
    <sheet name="2019-Dec 2-5" sheetId="20" r:id="rId20"/>
    <sheet name="2019-Dec 5-12" sheetId="21" r:id="rId21"/>
    <sheet name="2019-Dec 12-17" sheetId="22" r:id="rId22"/>
    <sheet name="2019-Dec23-27" sheetId="23" r:id="rId23"/>
  </sheets>
  <externalReferences>
    <externalReference r:id="rId24"/>
    <externalReference r:id="rId25"/>
  </externalReferences>
  <definedNames>
    <definedName name="_xlnm.Print_Area" localSheetId="3">'2019-04 April'!$A$16:$AF$96</definedName>
    <definedName name="_xlnm.Print_Area" localSheetId="6">'[1]may-sum'!#REF!</definedName>
    <definedName name="_xlnm.Print_Area" localSheetId="7">[2]summary!#REF!</definedName>
    <definedName name="_xlnm.Print_Area" localSheetId="8">[2]summary!#REF!</definedName>
    <definedName name="_xlnm.Print_Area" localSheetId="18">[2]summary!#REF!</definedName>
    <definedName name="_xlnm.Print_Area" localSheetId="21">'2019-Dec 12-17'!$A$17:$AG$37</definedName>
    <definedName name="_xlnm.Print_Area" localSheetId="20">'2019-Dec 5-12'!$A$20:$AB$47</definedName>
    <definedName name="_xlnm.Print_Area" localSheetId="22">'2019-Dec23-27'!$A$31:$AG$57</definedName>
    <definedName name="_xlnm.Print_Area" localSheetId="9">'2K EM'!$A$2:$AG$34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E56" i="23" l="1"/>
  <c r="AD56" i="23"/>
  <c r="AC56" i="23"/>
  <c r="AB56" i="23"/>
  <c r="AA56" i="23"/>
  <c r="Z56" i="23"/>
  <c r="Y56" i="23"/>
  <c r="X56" i="23"/>
  <c r="W56" i="23"/>
  <c r="V56" i="23"/>
  <c r="U56" i="23"/>
  <c r="T56" i="23"/>
  <c r="S56" i="23"/>
  <c r="R56" i="23"/>
  <c r="Q56" i="23"/>
  <c r="P56" i="23"/>
  <c r="L56" i="23"/>
  <c r="J56" i="23"/>
  <c r="I56" i="23"/>
  <c r="H56" i="23"/>
  <c r="O55" i="23"/>
  <c r="AF55" i="23" s="1"/>
  <c r="AG55" i="23" s="1"/>
  <c r="N55" i="23"/>
  <c r="M55" i="23"/>
  <c r="O53" i="23"/>
  <c r="AF53" i="23" s="1"/>
  <c r="AG53" i="23" s="1"/>
  <c r="N53" i="23"/>
  <c r="M53" i="23"/>
  <c r="O52" i="23"/>
  <c r="N52" i="23"/>
  <c r="M52" i="23"/>
  <c r="O51" i="23"/>
  <c r="AF51" i="23" s="1"/>
  <c r="AG51" i="23" s="1"/>
  <c r="N51" i="23"/>
  <c r="M51" i="23"/>
  <c r="AF50" i="23"/>
  <c r="AG50" i="23" s="1"/>
  <c r="O50" i="23"/>
  <c r="N50" i="23"/>
  <c r="M50" i="23"/>
  <c r="O49" i="23"/>
  <c r="AF49" i="23" s="1"/>
  <c r="AG49" i="23" s="1"/>
  <c r="N49" i="23"/>
  <c r="M49" i="23"/>
  <c r="O48" i="23"/>
  <c r="AF48" i="23" s="1"/>
  <c r="AG48" i="23" s="1"/>
  <c r="N48" i="23"/>
  <c r="M48" i="23"/>
  <c r="O47" i="23"/>
  <c r="N47" i="23"/>
  <c r="M47" i="23"/>
  <c r="O46" i="23"/>
  <c r="N46" i="23"/>
  <c r="AF46" i="23" s="1"/>
  <c r="AG46" i="23" s="1"/>
  <c r="M46" i="23"/>
  <c r="O45" i="23"/>
  <c r="N45" i="23"/>
  <c r="AF45" i="23" s="1"/>
  <c r="AG45" i="23" s="1"/>
  <c r="M45" i="23"/>
  <c r="O44" i="23"/>
  <c r="N44" i="23"/>
  <c r="AF44" i="23" s="1"/>
  <c r="AG44" i="23" s="1"/>
  <c r="M44" i="23"/>
  <c r="O43" i="23"/>
  <c r="N43" i="23"/>
  <c r="AF43" i="23" s="1"/>
  <c r="AG43" i="23" s="1"/>
  <c r="M43" i="23"/>
  <c r="M42" i="23"/>
  <c r="K42" i="23"/>
  <c r="O42" i="23" s="1"/>
  <c r="O41" i="23"/>
  <c r="N41" i="23"/>
  <c r="AF41" i="23" s="1"/>
  <c r="AG41" i="23" s="1"/>
  <c r="M41" i="23"/>
  <c r="AF40" i="23"/>
  <c r="AG40" i="23" s="1"/>
  <c r="O40" i="23"/>
  <c r="N40" i="23"/>
  <c r="M40" i="23"/>
  <c r="O39" i="23"/>
  <c r="N39" i="23"/>
  <c r="AF39" i="23" s="1"/>
  <c r="AG39" i="23" s="1"/>
  <c r="M39" i="23"/>
  <c r="AF38" i="23"/>
  <c r="AG38" i="23" s="1"/>
  <c r="O38" i="23"/>
  <c r="N38" i="23"/>
  <c r="M38" i="23"/>
  <c r="O37" i="23"/>
  <c r="AF37" i="23" s="1"/>
  <c r="AG37" i="23" s="1"/>
  <c r="N37" i="23"/>
  <c r="M37" i="23"/>
  <c r="O36" i="23"/>
  <c r="N36" i="23"/>
  <c r="AF36" i="23" s="1"/>
  <c r="AG36" i="23" s="1"/>
  <c r="M36" i="23"/>
  <c r="O35" i="23"/>
  <c r="N35" i="23"/>
  <c r="AF35" i="23" s="1"/>
  <c r="AG35" i="23" s="1"/>
  <c r="M35" i="23"/>
  <c r="K34" i="23"/>
  <c r="M34" i="23" s="1"/>
  <c r="O33" i="23"/>
  <c r="N33" i="23"/>
  <c r="M33" i="23"/>
  <c r="O32" i="23"/>
  <c r="N32" i="23"/>
  <c r="M32" i="23"/>
  <c r="O31" i="23"/>
  <c r="N31" i="23"/>
  <c r="AF31" i="23" s="1"/>
  <c r="AG31" i="23" s="1"/>
  <c r="M31" i="23"/>
  <c r="M30" i="23"/>
  <c r="K30" i="23"/>
  <c r="O30" i="23" s="1"/>
  <c r="O29" i="23"/>
  <c r="N29" i="23"/>
  <c r="AF29" i="23" s="1"/>
  <c r="AG29" i="23" s="1"/>
  <c r="M29" i="23"/>
  <c r="O28" i="23"/>
  <c r="N28" i="23"/>
  <c r="M28" i="23"/>
  <c r="O27" i="23"/>
  <c r="N27" i="23"/>
  <c r="M27" i="23"/>
  <c r="O26" i="23"/>
  <c r="N26" i="23"/>
  <c r="AF26" i="23" s="1"/>
  <c r="AG26" i="23" s="1"/>
  <c r="M26" i="23"/>
  <c r="O25" i="23"/>
  <c r="N25" i="23"/>
  <c r="AF25" i="23" s="1"/>
  <c r="AG25" i="23" s="1"/>
  <c r="M25" i="23"/>
  <c r="K24" i="23"/>
  <c r="O24" i="23" s="1"/>
  <c r="AF23" i="23"/>
  <c r="AG23" i="23" s="1"/>
  <c r="O23" i="23"/>
  <c r="N23" i="23"/>
  <c r="M23" i="23"/>
  <c r="AF22" i="23"/>
  <c r="AG22" i="23" s="1"/>
  <c r="O22" i="23"/>
  <c r="N22" i="23"/>
  <c r="M22" i="23"/>
  <c r="AF21" i="23"/>
  <c r="AG21" i="23" s="1"/>
  <c r="O21" i="23"/>
  <c r="N21" i="23"/>
  <c r="M21" i="23"/>
  <c r="O20" i="23"/>
  <c r="AF20" i="23" s="1"/>
  <c r="AG20" i="23" s="1"/>
  <c r="N20" i="23"/>
  <c r="M20" i="23"/>
  <c r="O19" i="23"/>
  <c r="N19" i="23"/>
  <c r="AF19" i="23" s="1"/>
  <c r="AG19" i="23" s="1"/>
  <c r="M19" i="23"/>
  <c r="O18" i="23"/>
  <c r="N18" i="23"/>
  <c r="AF18" i="23" s="1"/>
  <c r="AG18" i="23" s="1"/>
  <c r="M18" i="23"/>
  <c r="O17" i="23"/>
  <c r="N17" i="23"/>
  <c r="AF17" i="23" s="1"/>
  <c r="AG17" i="23" s="1"/>
  <c r="M17" i="23"/>
  <c r="K16" i="23"/>
  <c r="O16" i="23" s="1"/>
  <c r="O15" i="23"/>
  <c r="N15" i="23"/>
  <c r="M15" i="23"/>
  <c r="O14" i="23"/>
  <c r="N14" i="23"/>
  <c r="AF14" i="23" s="1"/>
  <c r="AG14" i="23" s="1"/>
  <c r="M14" i="23"/>
  <c r="O13" i="23"/>
  <c r="N13" i="23"/>
  <c r="AF13" i="23" s="1"/>
  <c r="AG13" i="23" s="1"/>
  <c r="M13" i="23"/>
  <c r="O12" i="23"/>
  <c r="N12" i="23"/>
  <c r="AF12" i="23" s="1"/>
  <c r="AG12" i="23" s="1"/>
  <c r="M12" i="23"/>
  <c r="O11" i="23"/>
  <c r="N11" i="23"/>
  <c r="AF11" i="23" s="1"/>
  <c r="AG11" i="23" s="1"/>
  <c r="M11" i="23"/>
  <c r="O10" i="23"/>
  <c r="N10" i="23"/>
  <c r="AF10" i="23" s="1"/>
  <c r="AG10" i="23" s="1"/>
  <c r="M10" i="23"/>
  <c r="O9" i="23"/>
  <c r="AF9" i="23" s="1"/>
  <c r="AG9" i="23" s="1"/>
  <c r="N9" i="23"/>
  <c r="M9" i="23"/>
  <c r="O8" i="23"/>
  <c r="N8" i="23"/>
  <c r="M8" i="23"/>
  <c r="O7" i="23"/>
  <c r="N7" i="23"/>
  <c r="AF7" i="23" s="1"/>
  <c r="AG7" i="23" s="1"/>
  <c r="M7" i="23"/>
  <c r="AI6" i="23" a="1"/>
  <c r="AI6" i="23" s="1"/>
  <c r="AF6" i="23"/>
  <c r="AG6" i="23" s="1"/>
  <c r="O6" i="23"/>
  <c r="N6" i="23"/>
  <c r="M6" i="23"/>
  <c r="AI5" i="23"/>
  <c r="O5" i="23"/>
  <c r="K5" i="23"/>
  <c r="M5" i="23" s="1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L36" i="22"/>
  <c r="J36" i="22"/>
  <c r="I36" i="22"/>
  <c r="H36" i="22"/>
  <c r="O35" i="22"/>
  <c r="N35" i="22"/>
  <c r="AF35" i="22" s="1"/>
  <c r="AG35" i="22" s="1"/>
  <c r="M35" i="22"/>
  <c r="AF34" i="22"/>
  <c r="AG34" i="22" s="1"/>
  <c r="O34" i="22"/>
  <c r="N34" i="22"/>
  <c r="M34" i="22"/>
  <c r="O33" i="22"/>
  <c r="N33" i="22"/>
  <c r="AF33" i="22" s="1"/>
  <c r="AG33" i="22" s="1"/>
  <c r="M33" i="22"/>
  <c r="O32" i="22"/>
  <c r="N32" i="22"/>
  <c r="M32" i="22"/>
  <c r="O31" i="22"/>
  <c r="AF31" i="22" s="1"/>
  <c r="AG31" i="22" s="1"/>
  <c r="N31" i="22"/>
  <c r="M31" i="22"/>
  <c r="K30" i="22"/>
  <c r="O29" i="22"/>
  <c r="AF29" i="22" s="1"/>
  <c r="AG29" i="22" s="1"/>
  <c r="N29" i="22"/>
  <c r="M29" i="22"/>
  <c r="O28" i="22"/>
  <c r="N28" i="22"/>
  <c r="M28" i="22"/>
  <c r="O27" i="22"/>
  <c r="N27" i="22"/>
  <c r="AF27" i="22" s="1"/>
  <c r="AG27" i="22" s="1"/>
  <c r="M27" i="22"/>
  <c r="O26" i="22"/>
  <c r="N26" i="22"/>
  <c r="M26" i="22"/>
  <c r="O25" i="22"/>
  <c r="N25" i="22"/>
  <c r="AF25" i="22" s="1"/>
  <c r="AG25" i="22" s="1"/>
  <c r="M25" i="22"/>
  <c r="O24" i="22"/>
  <c r="N24" i="22"/>
  <c r="AF24" i="22" s="1"/>
  <c r="AG24" i="22" s="1"/>
  <c r="M24" i="22"/>
  <c r="AF23" i="22"/>
  <c r="AG23" i="22" s="1"/>
  <c r="O23" i="22"/>
  <c r="N23" i="22"/>
  <c r="M23" i="22"/>
  <c r="O22" i="22"/>
  <c r="N22" i="22"/>
  <c r="M22" i="22"/>
  <c r="O21" i="22"/>
  <c r="N21" i="22"/>
  <c r="M21" i="22"/>
  <c r="O20" i="22"/>
  <c r="N20" i="22"/>
  <c r="M20" i="22"/>
  <c r="O19" i="22"/>
  <c r="N19" i="22"/>
  <c r="AF19" i="22" s="1"/>
  <c r="AG19" i="22" s="1"/>
  <c r="M19" i="22"/>
  <c r="O18" i="22"/>
  <c r="K18" i="22"/>
  <c r="M18" i="22" s="1"/>
  <c r="O17" i="22"/>
  <c r="N17" i="22"/>
  <c r="M17" i="22"/>
  <c r="O16" i="22"/>
  <c r="N16" i="22"/>
  <c r="M16" i="22"/>
  <c r="O15" i="22"/>
  <c r="N15" i="22"/>
  <c r="AF15" i="22" s="1"/>
  <c r="AG15" i="22" s="1"/>
  <c r="M15" i="22"/>
  <c r="O14" i="22"/>
  <c r="N14" i="22"/>
  <c r="AF14" i="22" s="1"/>
  <c r="AG14" i="22" s="1"/>
  <c r="M14" i="22"/>
  <c r="AF13" i="22"/>
  <c r="AG13" i="22" s="1"/>
  <c r="O13" i="22"/>
  <c r="N13" i="22"/>
  <c r="M13" i="22"/>
  <c r="O12" i="22"/>
  <c r="N12" i="22"/>
  <c r="AF12" i="22" s="1"/>
  <c r="AG12" i="22" s="1"/>
  <c r="M12" i="22"/>
  <c r="N11" i="22"/>
  <c r="K11" i="22"/>
  <c r="K36" i="22" s="1"/>
  <c r="O10" i="22"/>
  <c r="AF10" i="22" s="1"/>
  <c r="AG10" i="22" s="1"/>
  <c r="N10" i="22"/>
  <c r="M10" i="22"/>
  <c r="O9" i="22"/>
  <c r="AF9" i="22" s="1"/>
  <c r="AG9" i="22" s="1"/>
  <c r="N9" i="22"/>
  <c r="M9" i="22"/>
  <c r="O8" i="22"/>
  <c r="N8" i="22"/>
  <c r="AF8" i="22" s="1"/>
  <c r="AG8" i="22" s="1"/>
  <c r="M8" i="22"/>
  <c r="O7" i="22"/>
  <c r="AF7" i="22" s="1"/>
  <c r="AG7" i="22" s="1"/>
  <c r="N7" i="22"/>
  <c r="M7" i="22"/>
  <c r="O6" i="22"/>
  <c r="N6" i="22"/>
  <c r="M6" i="22"/>
  <c r="O5" i="22"/>
  <c r="N5" i="22"/>
  <c r="M5" i="22"/>
  <c r="Z46" i="21"/>
  <c r="Y46" i="21"/>
  <c r="X46" i="21"/>
  <c r="W46" i="21"/>
  <c r="V46" i="21"/>
  <c r="U46" i="21"/>
  <c r="T46" i="21"/>
  <c r="S46" i="21"/>
  <c r="R46" i="21"/>
  <c r="Q46" i="21"/>
  <c r="P46" i="21"/>
  <c r="L46" i="21"/>
  <c r="J46" i="21"/>
  <c r="I46" i="21"/>
  <c r="H46" i="21"/>
  <c r="AA45" i="21"/>
  <c r="AB45" i="21" s="1"/>
  <c r="O45" i="21"/>
  <c r="N45" i="21"/>
  <c r="M45" i="21"/>
  <c r="O44" i="21"/>
  <c r="N44" i="21"/>
  <c r="M44" i="21"/>
  <c r="O43" i="21"/>
  <c r="N43" i="21"/>
  <c r="M43" i="21"/>
  <c r="O42" i="21"/>
  <c r="AA42" i="21" s="1"/>
  <c r="AB42" i="21" s="1"/>
  <c r="N42" i="21"/>
  <c r="M42" i="21"/>
  <c r="O41" i="21"/>
  <c r="N41" i="21"/>
  <c r="M41" i="21"/>
  <c r="O40" i="21"/>
  <c r="N40" i="21"/>
  <c r="M40" i="21"/>
  <c r="O39" i="21"/>
  <c r="N39" i="21"/>
  <c r="AA39" i="21" s="1"/>
  <c r="AB39" i="21" s="1"/>
  <c r="M39" i="21"/>
  <c r="O38" i="21"/>
  <c r="N38" i="21"/>
  <c r="AA38" i="21" s="1"/>
  <c r="AB38" i="21" s="1"/>
  <c r="M38" i="21"/>
  <c r="M37" i="21"/>
  <c r="K37" i="21"/>
  <c r="N37" i="21" s="1"/>
  <c r="O36" i="21"/>
  <c r="N36" i="21"/>
  <c r="AA36" i="21" s="1"/>
  <c r="AB36" i="21" s="1"/>
  <c r="M36" i="21"/>
  <c r="O35" i="21"/>
  <c r="AA35" i="21" s="1"/>
  <c r="AB35" i="21" s="1"/>
  <c r="N35" i="21"/>
  <c r="M35" i="21"/>
  <c r="O34" i="21"/>
  <c r="N34" i="21"/>
  <c r="AA34" i="21" s="1"/>
  <c r="AB34" i="21" s="1"/>
  <c r="M34" i="21"/>
  <c r="O33" i="21"/>
  <c r="N33" i="21"/>
  <c r="AA33" i="21" s="1"/>
  <c r="AB33" i="21" s="1"/>
  <c r="M33" i="21"/>
  <c r="O32" i="21"/>
  <c r="N32" i="21"/>
  <c r="M32" i="21"/>
  <c r="O31" i="21"/>
  <c r="N31" i="21"/>
  <c r="M31" i="21"/>
  <c r="K30" i="21"/>
  <c r="O29" i="21"/>
  <c r="N29" i="21"/>
  <c r="AA29" i="21" s="1"/>
  <c r="AB29" i="21" s="1"/>
  <c r="M29" i="21"/>
  <c r="O28" i="21"/>
  <c r="N28" i="21"/>
  <c r="M28" i="21"/>
  <c r="O27" i="21"/>
  <c r="N27" i="21"/>
  <c r="M27" i="21"/>
  <c r="O26" i="21"/>
  <c r="N26" i="21"/>
  <c r="M26" i="21"/>
  <c r="O25" i="21"/>
  <c r="N25" i="21"/>
  <c r="M25" i="21"/>
  <c r="K24" i="21"/>
  <c r="O24" i="21" s="1"/>
  <c r="O23" i="21"/>
  <c r="N23" i="21"/>
  <c r="M23" i="21"/>
  <c r="O22" i="21"/>
  <c r="N22" i="21"/>
  <c r="M22" i="21"/>
  <c r="O21" i="21"/>
  <c r="N21" i="21"/>
  <c r="AA21" i="21" s="1"/>
  <c r="AB21" i="21" s="1"/>
  <c r="M21" i="21"/>
  <c r="O20" i="21"/>
  <c r="N20" i="21"/>
  <c r="AA20" i="21" s="1"/>
  <c r="AB20" i="21" s="1"/>
  <c r="M20" i="21"/>
  <c r="O19" i="21"/>
  <c r="N19" i="21"/>
  <c r="AA19" i="21" s="1"/>
  <c r="AB19" i="21" s="1"/>
  <c r="M19" i="21"/>
  <c r="O18" i="21"/>
  <c r="N18" i="21"/>
  <c r="M18" i="21"/>
  <c r="O17" i="21"/>
  <c r="N17" i="21"/>
  <c r="M17" i="21"/>
  <c r="O16" i="21"/>
  <c r="N16" i="21"/>
  <c r="M16" i="21"/>
  <c r="O15" i="21"/>
  <c r="N15" i="21"/>
  <c r="AA15" i="21" s="1"/>
  <c r="AB15" i="21" s="1"/>
  <c r="M15" i="21"/>
  <c r="O14" i="21"/>
  <c r="M14" i="21"/>
  <c r="K14" i="21"/>
  <c r="N14" i="21" s="1"/>
  <c r="AA14" i="21" s="1"/>
  <c r="AB14" i="21" s="1"/>
  <c r="O13" i="21"/>
  <c r="N13" i="21"/>
  <c r="AA13" i="21" s="1"/>
  <c r="AB13" i="21" s="1"/>
  <c r="M13" i="21"/>
  <c r="O12" i="21"/>
  <c r="N12" i="21"/>
  <c r="M12" i="21"/>
  <c r="N11" i="21"/>
  <c r="K11" i="21"/>
  <c r="M11" i="21" s="1"/>
  <c r="AA10" i="21"/>
  <c r="AB10" i="21" s="1"/>
  <c r="O10" i="21"/>
  <c r="N10" i="21"/>
  <c r="M10" i="21"/>
  <c r="AB9" i="21"/>
  <c r="O9" i="21"/>
  <c r="N9" i="21"/>
  <c r="AA9" i="21" s="1"/>
  <c r="M9" i="21"/>
  <c r="O8" i="21"/>
  <c r="N8" i="21"/>
  <c r="M8" i="21"/>
  <c r="K8" i="21"/>
  <c r="O7" i="21"/>
  <c r="AA7" i="21" s="1"/>
  <c r="AB7" i="21" s="1"/>
  <c r="N7" i="21"/>
  <c r="M7" i="21"/>
  <c r="O6" i="21"/>
  <c r="N6" i="21"/>
  <c r="M6" i="21"/>
  <c r="O5" i="21"/>
  <c r="N5" i="21"/>
  <c r="AA5" i="21" s="1"/>
  <c r="M5" i="21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L24" i="20"/>
  <c r="K24" i="20"/>
  <c r="J24" i="20"/>
  <c r="I24" i="20"/>
  <c r="H24" i="20"/>
  <c r="O23" i="20"/>
  <c r="N23" i="20"/>
  <c r="AF23" i="20" s="1"/>
  <c r="AG23" i="20" s="1"/>
  <c r="M23" i="20"/>
  <c r="O22" i="20"/>
  <c r="N22" i="20"/>
  <c r="AF22" i="20" s="1"/>
  <c r="AG22" i="20" s="1"/>
  <c r="M22" i="20"/>
  <c r="AF21" i="20"/>
  <c r="AG21" i="20" s="1"/>
  <c r="O21" i="20"/>
  <c r="N21" i="20"/>
  <c r="M21" i="20"/>
  <c r="O20" i="20"/>
  <c r="N20" i="20"/>
  <c r="AF20" i="20" s="1"/>
  <c r="AG20" i="20" s="1"/>
  <c r="M20" i="20"/>
  <c r="O19" i="20"/>
  <c r="N19" i="20"/>
  <c r="AF19" i="20" s="1"/>
  <c r="AG19" i="20" s="1"/>
  <c r="M19" i="20"/>
  <c r="O18" i="20"/>
  <c r="N18" i="20"/>
  <c r="M18" i="20"/>
  <c r="AF17" i="20"/>
  <c r="AG17" i="20" s="1"/>
  <c r="O17" i="20"/>
  <c r="N17" i="20"/>
  <c r="M17" i="20"/>
  <c r="M16" i="20"/>
  <c r="K16" i="20"/>
  <c r="O16" i="20" s="1"/>
  <c r="O15" i="20"/>
  <c r="N15" i="20"/>
  <c r="M15" i="20"/>
  <c r="AF14" i="20"/>
  <c r="AG14" i="20" s="1"/>
  <c r="O14" i="20"/>
  <c r="N14" i="20"/>
  <c r="M14" i="20"/>
  <c r="AF13" i="20"/>
  <c r="AG13" i="20" s="1"/>
  <c r="O13" i="20"/>
  <c r="N13" i="20"/>
  <c r="M13" i="20"/>
  <c r="O12" i="20"/>
  <c r="N12" i="20"/>
  <c r="AF12" i="20" s="1"/>
  <c r="AG12" i="20" s="1"/>
  <c r="M12" i="20"/>
  <c r="O11" i="20"/>
  <c r="N11" i="20"/>
  <c r="AF11" i="20" s="1"/>
  <c r="AG11" i="20" s="1"/>
  <c r="M11" i="20"/>
  <c r="O10" i="20"/>
  <c r="AF10" i="20" s="1"/>
  <c r="AG10" i="20" s="1"/>
  <c r="N10" i="20"/>
  <c r="M10" i="20"/>
  <c r="AG9" i="20"/>
  <c r="AF9" i="20"/>
  <c r="O9" i="20"/>
  <c r="N9" i="20"/>
  <c r="M9" i="20"/>
  <c r="N8" i="20"/>
  <c r="AF8" i="20" s="1"/>
  <c r="AG8" i="20" s="1"/>
  <c r="M8" i="20"/>
  <c r="K8" i="20"/>
  <c r="O8" i="20" s="1"/>
  <c r="O7" i="20"/>
  <c r="AF7" i="20" s="1"/>
  <c r="AG7" i="20" s="1"/>
  <c r="N7" i="20"/>
  <c r="M7" i="20"/>
  <c r="AG6" i="20"/>
  <c r="AF6" i="20"/>
  <c r="O6" i="20"/>
  <c r="N6" i="20"/>
  <c r="M6" i="20"/>
  <c r="AG5" i="20"/>
  <c r="O5" i="20"/>
  <c r="N5" i="20"/>
  <c r="AF5" i="20" s="1"/>
  <c r="M5" i="20"/>
  <c r="AE144" i="19"/>
  <c r="AD144" i="19"/>
  <c r="AC144" i="19"/>
  <c r="AB144" i="19"/>
  <c r="AA144" i="19"/>
  <c r="Z144" i="19"/>
  <c r="Y144" i="19"/>
  <c r="X144" i="19"/>
  <c r="W144" i="19"/>
  <c r="V144" i="19"/>
  <c r="U144" i="19"/>
  <c r="T144" i="19"/>
  <c r="S144" i="19"/>
  <c r="R144" i="19"/>
  <c r="Q144" i="19"/>
  <c r="P144" i="19"/>
  <c r="L144" i="19"/>
  <c r="J144" i="19"/>
  <c r="I144" i="19"/>
  <c r="H144" i="19"/>
  <c r="O143" i="19"/>
  <c r="N143" i="19"/>
  <c r="M143" i="19"/>
  <c r="O140" i="19"/>
  <c r="N140" i="19"/>
  <c r="AF140" i="19" s="1"/>
  <c r="AG140" i="19" s="1"/>
  <c r="M140" i="19"/>
  <c r="K139" i="19"/>
  <c r="M139" i="19" s="1"/>
  <c r="O138" i="19"/>
  <c r="N138" i="19"/>
  <c r="AF138" i="19" s="1"/>
  <c r="AG138" i="19" s="1"/>
  <c r="M138" i="19"/>
  <c r="AF137" i="19"/>
  <c r="AG137" i="19" s="1"/>
  <c r="O137" i="19"/>
  <c r="N137" i="19"/>
  <c r="M137" i="19"/>
  <c r="O136" i="19"/>
  <c r="AF136" i="19" s="1"/>
  <c r="AG136" i="19" s="1"/>
  <c r="N136" i="19"/>
  <c r="M136" i="19"/>
  <c r="O135" i="19"/>
  <c r="N135" i="19"/>
  <c r="AF135" i="19" s="1"/>
  <c r="AG135" i="19" s="1"/>
  <c r="M135" i="19"/>
  <c r="O134" i="19"/>
  <c r="N134" i="19"/>
  <c r="AF134" i="19" s="1"/>
  <c r="AG134" i="19" s="1"/>
  <c r="M134" i="19"/>
  <c r="O133" i="19"/>
  <c r="AF133" i="19" s="1"/>
  <c r="AG133" i="19" s="1"/>
  <c r="N133" i="19"/>
  <c r="M133" i="19"/>
  <c r="O132" i="19"/>
  <c r="N132" i="19"/>
  <c r="AF132" i="19" s="1"/>
  <c r="AG132" i="19" s="1"/>
  <c r="M132" i="19"/>
  <c r="O131" i="19"/>
  <c r="N131" i="19"/>
  <c r="AF131" i="19" s="1"/>
  <c r="AG131" i="19" s="1"/>
  <c r="M131" i="19"/>
  <c r="O130" i="19"/>
  <c r="N130" i="19"/>
  <c r="M130" i="19"/>
  <c r="O129" i="19"/>
  <c r="AF129" i="19" s="1"/>
  <c r="AG129" i="19" s="1"/>
  <c r="N129" i="19"/>
  <c r="M129" i="19"/>
  <c r="O128" i="19"/>
  <c r="N128" i="19"/>
  <c r="AF128" i="19" s="1"/>
  <c r="AG128" i="19" s="1"/>
  <c r="M128" i="19"/>
  <c r="O127" i="19"/>
  <c r="N127" i="19"/>
  <c r="M127" i="19"/>
  <c r="O126" i="19"/>
  <c r="N126" i="19"/>
  <c r="AF126" i="19" s="1"/>
  <c r="AG126" i="19" s="1"/>
  <c r="M126" i="19"/>
  <c r="K125" i="19"/>
  <c r="O124" i="19"/>
  <c r="N124" i="19"/>
  <c r="AF124" i="19" s="1"/>
  <c r="AG124" i="19" s="1"/>
  <c r="M124" i="19"/>
  <c r="O123" i="19"/>
  <c r="K123" i="19"/>
  <c r="M123" i="19" s="1"/>
  <c r="O122" i="19"/>
  <c r="N122" i="19"/>
  <c r="AF122" i="19" s="1"/>
  <c r="AG122" i="19" s="1"/>
  <c r="M122" i="19"/>
  <c r="O121" i="19"/>
  <c r="N121" i="19"/>
  <c r="M121" i="19"/>
  <c r="O120" i="19"/>
  <c r="N120" i="19"/>
  <c r="M120" i="19"/>
  <c r="AF119" i="19"/>
  <c r="AG119" i="19" s="1"/>
  <c r="O119" i="19"/>
  <c r="N119" i="19"/>
  <c r="M119" i="19"/>
  <c r="O118" i="19"/>
  <c r="N118" i="19"/>
  <c r="AF118" i="19" s="1"/>
  <c r="AG118" i="19" s="1"/>
  <c r="M118" i="19"/>
  <c r="O117" i="19"/>
  <c r="N117" i="19"/>
  <c r="AF117" i="19" s="1"/>
  <c r="AG117" i="19" s="1"/>
  <c r="M117" i="19"/>
  <c r="O116" i="19"/>
  <c r="N116" i="19"/>
  <c r="M116" i="19"/>
  <c r="O115" i="19"/>
  <c r="AF115" i="19" s="1"/>
  <c r="AG115" i="19" s="1"/>
  <c r="N115" i="19"/>
  <c r="M115" i="19"/>
  <c r="K114" i="19"/>
  <c r="O113" i="19"/>
  <c r="N113" i="19"/>
  <c r="M113" i="19"/>
  <c r="O112" i="19"/>
  <c r="AF112" i="19" s="1"/>
  <c r="AG112" i="19" s="1"/>
  <c r="N112" i="19"/>
  <c r="M112" i="19"/>
  <c r="K111" i="19"/>
  <c r="M111" i="19" s="1"/>
  <c r="O110" i="19"/>
  <c r="N110" i="19"/>
  <c r="AF110" i="19" s="1"/>
  <c r="AG110" i="19" s="1"/>
  <c r="M110" i="19"/>
  <c r="O109" i="19"/>
  <c r="AF109" i="19" s="1"/>
  <c r="AG109" i="19" s="1"/>
  <c r="N109" i="19"/>
  <c r="M109" i="19"/>
  <c r="O108" i="19"/>
  <c r="N108" i="19"/>
  <c r="AF108" i="19" s="1"/>
  <c r="AG108" i="19" s="1"/>
  <c r="M108" i="19"/>
  <c r="O107" i="19"/>
  <c r="N107" i="19"/>
  <c r="M107" i="19"/>
  <c r="O106" i="19"/>
  <c r="N106" i="19"/>
  <c r="AF106" i="19" s="1"/>
  <c r="AG106" i="19" s="1"/>
  <c r="M106" i="19"/>
  <c r="O105" i="19"/>
  <c r="N105" i="19"/>
  <c r="AF105" i="19" s="1"/>
  <c r="AG105" i="19" s="1"/>
  <c r="M105" i="19"/>
  <c r="O104" i="19"/>
  <c r="N104" i="19"/>
  <c r="AF104" i="19" s="1"/>
  <c r="AG104" i="19" s="1"/>
  <c r="M104" i="19"/>
  <c r="O103" i="19"/>
  <c r="N103" i="19"/>
  <c r="AF103" i="19" s="1"/>
  <c r="AG103" i="19" s="1"/>
  <c r="M103" i="19"/>
  <c r="O102" i="19"/>
  <c r="N102" i="19"/>
  <c r="M102" i="19"/>
  <c r="O101" i="19"/>
  <c r="N101" i="19"/>
  <c r="AF101" i="19" s="1"/>
  <c r="AG101" i="19" s="1"/>
  <c r="M101" i="19"/>
  <c r="AF100" i="19"/>
  <c r="AG100" i="19" s="1"/>
  <c r="O100" i="19"/>
  <c r="N100" i="19"/>
  <c r="M100" i="19"/>
  <c r="O99" i="19"/>
  <c r="N99" i="19"/>
  <c r="M99" i="19"/>
  <c r="O98" i="19"/>
  <c r="N98" i="19"/>
  <c r="M98" i="19"/>
  <c r="O97" i="19"/>
  <c r="N97" i="19"/>
  <c r="AF97" i="19" s="1"/>
  <c r="AG97" i="19" s="1"/>
  <c r="M97" i="19"/>
  <c r="O96" i="19"/>
  <c r="N96" i="19"/>
  <c r="AF96" i="19" s="1"/>
  <c r="AG96" i="19" s="1"/>
  <c r="M96" i="19"/>
  <c r="K95" i="19"/>
  <c r="O95" i="19" s="1"/>
  <c r="AF94" i="19"/>
  <c r="AG94" i="19" s="1"/>
  <c r="O94" i="19"/>
  <c r="N94" i="19"/>
  <c r="M94" i="19"/>
  <c r="M93" i="19"/>
  <c r="K93" i="19"/>
  <c r="O93" i="19" s="1"/>
  <c r="O92" i="19"/>
  <c r="N92" i="19"/>
  <c r="M92" i="19"/>
  <c r="O91" i="19"/>
  <c r="AF91" i="19" s="1"/>
  <c r="AG91" i="19" s="1"/>
  <c r="N91" i="19"/>
  <c r="M91" i="19"/>
  <c r="O90" i="19"/>
  <c r="N90" i="19"/>
  <c r="AF90" i="19" s="1"/>
  <c r="AG90" i="19" s="1"/>
  <c r="M90" i="19"/>
  <c r="O89" i="19"/>
  <c r="N89" i="19"/>
  <c r="AF89" i="19" s="1"/>
  <c r="AG89" i="19" s="1"/>
  <c r="M89" i="19"/>
  <c r="O88" i="19"/>
  <c r="N88" i="19"/>
  <c r="M88" i="19"/>
  <c r="O87" i="19"/>
  <c r="N87" i="19"/>
  <c r="M87" i="19"/>
  <c r="K86" i="19"/>
  <c r="O85" i="19"/>
  <c r="N85" i="19"/>
  <c r="AF85" i="19" s="1"/>
  <c r="AG85" i="19" s="1"/>
  <c r="M85" i="19"/>
  <c r="O84" i="19"/>
  <c r="N84" i="19"/>
  <c r="AF84" i="19" s="1"/>
  <c r="AG84" i="19" s="1"/>
  <c r="M84" i="19"/>
  <c r="O83" i="19"/>
  <c r="N83" i="19"/>
  <c r="AF83" i="19" s="1"/>
  <c r="AG83" i="19" s="1"/>
  <c r="M83" i="19"/>
  <c r="O82" i="19"/>
  <c r="N82" i="19"/>
  <c r="M82" i="19"/>
  <c r="O81" i="19"/>
  <c r="N81" i="19"/>
  <c r="M81" i="19"/>
  <c r="O80" i="19"/>
  <c r="N80" i="19"/>
  <c r="AF80" i="19" s="1"/>
  <c r="AG80" i="19" s="1"/>
  <c r="M80" i="19"/>
  <c r="AF79" i="19"/>
  <c r="AG79" i="19" s="1"/>
  <c r="O79" i="19"/>
  <c r="N79" i="19"/>
  <c r="M79" i="19"/>
  <c r="O78" i="19"/>
  <c r="N78" i="19"/>
  <c r="AF78" i="19" s="1"/>
  <c r="AG78" i="19" s="1"/>
  <c r="M78" i="19"/>
  <c r="O77" i="19"/>
  <c r="N77" i="19"/>
  <c r="AF77" i="19" s="1"/>
  <c r="AG77" i="19" s="1"/>
  <c r="M77" i="19"/>
  <c r="O76" i="19"/>
  <c r="AF76" i="19" s="1"/>
  <c r="AG76" i="19" s="1"/>
  <c r="N76" i="19"/>
  <c r="M76" i="19"/>
  <c r="O75" i="19"/>
  <c r="N75" i="19"/>
  <c r="AF75" i="19" s="1"/>
  <c r="AG75" i="19" s="1"/>
  <c r="M75" i="19"/>
  <c r="O74" i="19"/>
  <c r="N74" i="19"/>
  <c r="AF74" i="19" s="1"/>
  <c r="AG74" i="19" s="1"/>
  <c r="M74" i="19"/>
  <c r="K73" i="19"/>
  <c r="M73" i="19" s="1"/>
  <c r="O72" i="19"/>
  <c r="N72" i="19"/>
  <c r="AF72" i="19" s="1"/>
  <c r="AG72" i="19" s="1"/>
  <c r="M72" i="19"/>
  <c r="O71" i="19"/>
  <c r="N71" i="19"/>
  <c r="AF71" i="19" s="1"/>
  <c r="AG71" i="19" s="1"/>
  <c r="M71" i="19"/>
  <c r="O70" i="19"/>
  <c r="N70" i="19"/>
  <c r="M70" i="19"/>
  <c r="O69" i="19"/>
  <c r="AF69" i="19" s="1"/>
  <c r="AG69" i="19" s="1"/>
  <c r="N69" i="19"/>
  <c r="M69" i="19"/>
  <c r="O68" i="19"/>
  <c r="N68" i="19"/>
  <c r="AF68" i="19" s="1"/>
  <c r="AG68" i="19" s="1"/>
  <c r="M68" i="19"/>
  <c r="O67" i="19"/>
  <c r="N67" i="19"/>
  <c r="AF67" i="19" s="1"/>
  <c r="AG67" i="19" s="1"/>
  <c r="M67" i="19"/>
  <c r="O66" i="19"/>
  <c r="K66" i="19"/>
  <c r="M66" i="19" s="1"/>
  <c r="O65" i="19"/>
  <c r="N65" i="19"/>
  <c r="AF65" i="19" s="1"/>
  <c r="AG65" i="19" s="1"/>
  <c r="M65" i="19"/>
  <c r="O64" i="19"/>
  <c r="N64" i="19"/>
  <c r="AF64" i="19" s="1"/>
  <c r="AG64" i="19" s="1"/>
  <c r="M64" i="19"/>
  <c r="O63" i="19"/>
  <c r="N63" i="19"/>
  <c r="M63" i="19"/>
  <c r="O62" i="19"/>
  <c r="AF62" i="19" s="1"/>
  <c r="AG62" i="19" s="1"/>
  <c r="N62" i="19"/>
  <c r="M62" i="19"/>
  <c r="O61" i="19"/>
  <c r="N61" i="19"/>
  <c r="AF61" i="19" s="1"/>
  <c r="AG61" i="19" s="1"/>
  <c r="M61" i="19"/>
  <c r="O60" i="19"/>
  <c r="N60" i="19"/>
  <c r="M60" i="19"/>
  <c r="O59" i="19"/>
  <c r="N59" i="19"/>
  <c r="AF59" i="19" s="1"/>
  <c r="AG59" i="19" s="1"/>
  <c r="M59" i="19"/>
  <c r="O58" i="19"/>
  <c r="N58" i="19"/>
  <c r="AF58" i="19" s="1"/>
  <c r="AG58" i="19" s="1"/>
  <c r="M58" i="19"/>
  <c r="O57" i="19"/>
  <c r="N57" i="19"/>
  <c r="AF57" i="19" s="1"/>
  <c r="AG57" i="19" s="1"/>
  <c r="M57" i="19"/>
  <c r="O56" i="19"/>
  <c r="N56" i="19"/>
  <c r="AF56" i="19" s="1"/>
  <c r="AG56" i="19" s="1"/>
  <c r="M56" i="19"/>
  <c r="O55" i="19"/>
  <c r="N55" i="19"/>
  <c r="M55" i="19"/>
  <c r="O54" i="19"/>
  <c r="N54" i="19"/>
  <c r="M54" i="19"/>
  <c r="O53" i="19"/>
  <c r="AF53" i="19" s="1"/>
  <c r="AG53" i="19" s="1"/>
  <c r="N53" i="19"/>
  <c r="M53" i="19"/>
  <c r="O52" i="19"/>
  <c r="N52" i="19"/>
  <c r="AF52" i="19" s="1"/>
  <c r="AG52" i="19" s="1"/>
  <c r="M52" i="19"/>
  <c r="O51" i="19"/>
  <c r="N51" i="19"/>
  <c r="K51" i="19"/>
  <c r="M51" i="19" s="1"/>
  <c r="O50" i="19"/>
  <c r="N50" i="19"/>
  <c r="AF50" i="19" s="1"/>
  <c r="AG50" i="19" s="1"/>
  <c r="M50" i="19"/>
  <c r="O49" i="19"/>
  <c r="N49" i="19"/>
  <c r="M49" i="19"/>
  <c r="K48" i="19"/>
  <c r="M48" i="19" s="1"/>
  <c r="O47" i="19"/>
  <c r="N47" i="19"/>
  <c r="AF47" i="19" s="1"/>
  <c r="AG47" i="19" s="1"/>
  <c r="M47" i="19"/>
  <c r="O46" i="19"/>
  <c r="N46" i="19"/>
  <c r="AF46" i="19" s="1"/>
  <c r="AG46" i="19" s="1"/>
  <c r="M46" i="19"/>
  <c r="O45" i="19"/>
  <c r="N45" i="19"/>
  <c r="M45" i="19"/>
  <c r="AF44" i="19"/>
  <c r="AG44" i="19" s="1"/>
  <c r="O44" i="19"/>
  <c r="N44" i="19"/>
  <c r="M44" i="19"/>
  <c r="O43" i="19"/>
  <c r="AF43" i="19" s="1"/>
  <c r="AG43" i="19" s="1"/>
  <c r="N43" i="19"/>
  <c r="M43" i="19"/>
  <c r="O42" i="19"/>
  <c r="N42" i="19"/>
  <c r="AF42" i="19" s="1"/>
  <c r="AG42" i="19" s="1"/>
  <c r="M42" i="19"/>
  <c r="O41" i="19"/>
  <c r="N41" i="19"/>
  <c r="M41" i="19"/>
  <c r="O40" i="19"/>
  <c r="N40" i="19"/>
  <c r="M40" i="19"/>
  <c r="O39" i="19"/>
  <c r="AF39" i="19" s="1"/>
  <c r="AG39" i="19" s="1"/>
  <c r="N39" i="19"/>
  <c r="M39" i="19"/>
  <c r="O38" i="19"/>
  <c r="N38" i="19"/>
  <c r="M38" i="19"/>
  <c r="O37" i="19"/>
  <c r="N37" i="19"/>
  <c r="M37" i="19"/>
  <c r="AF36" i="19"/>
  <c r="AG36" i="19" s="1"/>
  <c r="O36" i="19"/>
  <c r="N36" i="19"/>
  <c r="M36" i="19"/>
  <c r="O35" i="19"/>
  <c r="N35" i="19"/>
  <c r="AF35" i="19" s="1"/>
  <c r="AG35" i="19" s="1"/>
  <c r="M35" i="19"/>
  <c r="O34" i="19"/>
  <c r="N34" i="19"/>
  <c r="M34" i="19"/>
  <c r="O33" i="19"/>
  <c r="N33" i="19"/>
  <c r="AF33" i="19" s="1"/>
  <c r="AG33" i="19" s="1"/>
  <c r="M33" i="19"/>
  <c r="O32" i="19"/>
  <c r="AF32" i="19" s="1"/>
  <c r="AG32" i="19" s="1"/>
  <c r="N32" i="19"/>
  <c r="M32" i="19"/>
  <c r="O31" i="19"/>
  <c r="N31" i="19"/>
  <c r="AF31" i="19" s="1"/>
  <c r="AG31" i="19" s="1"/>
  <c r="M31" i="19"/>
  <c r="O30" i="19"/>
  <c r="N30" i="19"/>
  <c r="M30" i="19"/>
  <c r="O29" i="19"/>
  <c r="N29" i="19"/>
  <c r="AF29" i="19" s="1"/>
  <c r="AG29" i="19" s="1"/>
  <c r="M29" i="19"/>
  <c r="O28" i="19"/>
  <c r="N28" i="19"/>
  <c r="AF28" i="19" s="1"/>
  <c r="AG28" i="19" s="1"/>
  <c r="M28" i="19"/>
  <c r="O27" i="19"/>
  <c r="AF27" i="19" s="1"/>
  <c r="AG27" i="19" s="1"/>
  <c r="N27" i="19"/>
  <c r="M27" i="19"/>
  <c r="O26" i="19"/>
  <c r="N26" i="19"/>
  <c r="AF26" i="19" s="1"/>
  <c r="AG26" i="19" s="1"/>
  <c r="M26" i="19"/>
  <c r="O25" i="19"/>
  <c r="N25" i="19"/>
  <c r="M25" i="19"/>
  <c r="O24" i="19"/>
  <c r="N24" i="19"/>
  <c r="AF24" i="19" s="1"/>
  <c r="AG24" i="19" s="1"/>
  <c r="M24" i="19"/>
  <c r="AF23" i="19"/>
  <c r="AG23" i="19" s="1"/>
  <c r="O23" i="19"/>
  <c r="N23" i="19"/>
  <c r="M23" i="19"/>
  <c r="O22" i="19"/>
  <c r="N22" i="19"/>
  <c r="M22" i="19"/>
  <c r="O21" i="19"/>
  <c r="N21" i="19"/>
  <c r="M21" i="19"/>
  <c r="O20" i="19"/>
  <c r="N20" i="19"/>
  <c r="AF20" i="19" s="1"/>
  <c r="AG20" i="19" s="1"/>
  <c r="M20" i="19"/>
  <c r="O19" i="19"/>
  <c r="N19" i="19"/>
  <c r="AF19" i="19" s="1"/>
  <c r="AG19" i="19" s="1"/>
  <c r="M19" i="19"/>
  <c r="O18" i="19"/>
  <c r="N18" i="19"/>
  <c r="AF18" i="19" s="1"/>
  <c r="AG18" i="19" s="1"/>
  <c r="M18" i="19"/>
  <c r="O17" i="19"/>
  <c r="N17" i="19"/>
  <c r="M17" i="19"/>
  <c r="O16" i="19"/>
  <c r="N16" i="19"/>
  <c r="AF16" i="19" s="1"/>
  <c r="AG16" i="19" s="1"/>
  <c r="M16" i="19"/>
  <c r="O15" i="19"/>
  <c r="N15" i="19"/>
  <c r="AF15" i="19" s="1"/>
  <c r="AG15" i="19" s="1"/>
  <c r="M15" i="19"/>
  <c r="O14" i="19"/>
  <c r="N14" i="19"/>
  <c r="M14" i="19"/>
  <c r="O13" i="19"/>
  <c r="N13" i="19"/>
  <c r="AF13" i="19" s="1"/>
  <c r="AG13" i="19" s="1"/>
  <c r="M13" i="19"/>
  <c r="O12" i="19"/>
  <c r="AF12" i="19" s="1"/>
  <c r="AG12" i="19" s="1"/>
  <c r="N12" i="19"/>
  <c r="M12" i="19"/>
  <c r="O11" i="19"/>
  <c r="N11" i="19"/>
  <c r="AF11" i="19" s="1"/>
  <c r="AG11" i="19" s="1"/>
  <c r="M11" i="19"/>
  <c r="O10" i="19"/>
  <c r="N10" i="19"/>
  <c r="M10" i="19"/>
  <c r="O9" i="19"/>
  <c r="N9" i="19"/>
  <c r="AF9" i="19" s="1"/>
  <c r="AG9" i="19" s="1"/>
  <c r="M9" i="19"/>
  <c r="O8" i="19"/>
  <c r="N8" i="19"/>
  <c r="AF8" i="19" s="1"/>
  <c r="AG8" i="19" s="1"/>
  <c r="M8" i="19"/>
  <c r="AF7" i="19"/>
  <c r="AG7" i="19" s="1"/>
  <c r="O7" i="19"/>
  <c r="N7" i="19"/>
  <c r="M7" i="19"/>
  <c r="O6" i="19"/>
  <c r="N6" i="19"/>
  <c r="M6" i="19"/>
  <c r="O5" i="19"/>
  <c r="N5" i="19"/>
  <c r="M5" i="19"/>
  <c r="AE28" i="18"/>
  <c r="AD28" i="18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L28" i="18"/>
  <c r="J28" i="18"/>
  <c r="I28" i="18"/>
  <c r="H28" i="18"/>
  <c r="O27" i="18"/>
  <c r="N27" i="18"/>
  <c r="AF27" i="18" s="1"/>
  <c r="AG27" i="18" s="1"/>
  <c r="M27" i="18"/>
  <c r="O26" i="18"/>
  <c r="N26" i="18"/>
  <c r="AF26" i="18" s="1"/>
  <c r="AG26" i="18" s="1"/>
  <c r="M26" i="18"/>
  <c r="AF25" i="18"/>
  <c r="AG25" i="18" s="1"/>
  <c r="O25" i="18"/>
  <c r="N25" i="18"/>
  <c r="M25" i="18"/>
  <c r="O24" i="18"/>
  <c r="AF24" i="18" s="1"/>
  <c r="N24" i="18"/>
  <c r="M24" i="18"/>
  <c r="AF23" i="18"/>
  <c r="O23" i="18"/>
  <c r="N23" i="18"/>
  <c r="M23" i="18"/>
  <c r="AF22" i="18"/>
  <c r="AG22" i="18" s="1"/>
  <c r="O22" i="18"/>
  <c r="N22" i="18"/>
  <c r="M22" i="18"/>
  <c r="O21" i="18"/>
  <c r="N21" i="18"/>
  <c r="AF21" i="18" s="1"/>
  <c r="AG21" i="18" s="1"/>
  <c r="M21" i="18"/>
  <c r="O20" i="18"/>
  <c r="N20" i="18"/>
  <c r="AF20" i="18" s="1"/>
  <c r="AG20" i="18" s="1"/>
  <c r="M20" i="18"/>
  <c r="O19" i="18"/>
  <c r="AF19" i="18" s="1"/>
  <c r="AG19" i="18" s="1"/>
  <c r="N19" i="18"/>
  <c r="M19" i="18"/>
  <c r="AG18" i="18"/>
  <c r="AF18" i="18"/>
  <c r="O18" i="18"/>
  <c r="N18" i="18"/>
  <c r="M18" i="18"/>
  <c r="O17" i="18"/>
  <c r="N17" i="18"/>
  <c r="AF17" i="18" s="1"/>
  <c r="AG17" i="18" s="1"/>
  <c r="M17" i="18"/>
  <c r="O16" i="18"/>
  <c r="N16" i="18"/>
  <c r="AF16" i="18" s="1"/>
  <c r="AG16" i="18" s="1"/>
  <c r="M16" i="18"/>
  <c r="AF15" i="18"/>
  <c r="AG15" i="18" s="1"/>
  <c r="O15" i="18"/>
  <c r="N15" i="18"/>
  <c r="M15" i="18"/>
  <c r="M14" i="18"/>
  <c r="K14" i="18"/>
  <c r="O14" i="18" s="1"/>
  <c r="O28" i="18" s="1"/>
  <c r="O13" i="18"/>
  <c r="N13" i="18"/>
  <c r="AF13" i="18" s="1"/>
  <c r="AG13" i="18" s="1"/>
  <c r="M13" i="18"/>
  <c r="AF12" i="18"/>
  <c r="AG12" i="18" s="1"/>
  <c r="O12" i="18"/>
  <c r="N12" i="18"/>
  <c r="M12" i="18"/>
  <c r="AF11" i="18"/>
  <c r="AG11" i="18" s="1"/>
  <c r="O11" i="18"/>
  <c r="N11" i="18"/>
  <c r="M11" i="18"/>
  <c r="O10" i="18"/>
  <c r="N10" i="18"/>
  <c r="AF10" i="18" s="1"/>
  <c r="AG10" i="18" s="1"/>
  <c r="O9" i="18"/>
  <c r="N9" i="18"/>
  <c r="AF9" i="18" s="1"/>
  <c r="AG9" i="18" s="1"/>
  <c r="M9" i="18"/>
  <c r="O8" i="18"/>
  <c r="N8" i="18"/>
  <c r="AF8" i="18" s="1"/>
  <c r="AG8" i="18" s="1"/>
  <c r="M8" i="18"/>
  <c r="AF7" i="18"/>
  <c r="AG7" i="18" s="1"/>
  <c r="O7" i="18"/>
  <c r="N7" i="18"/>
  <c r="M7" i="18"/>
  <c r="AF6" i="18"/>
  <c r="AG6" i="18" s="1"/>
  <c r="O6" i="18"/>
  <c r="N6" i="18"/>
  <c r="M6" i="18"/>
  <c r="O5" i="18"/>
  <c r="N5" i="18"/>
  <c r="M5" i="18"/>
  <c r="M28" i="18" s="1"/>
  <c r="AE27" i="17"/>
  <c r="AD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L27" i="17"/>
  <c r="K27" i="17"/>
  <c r="I27" i="17"/>
  <c r="H27" i="17"/>
  <c r="AG26" i="17"/>
  <c r="AF26" i="17"/>
  <c r="O26" i="17"/>
  <c r="N26" i="17"/>
  <c r="M26" i="17"/>
  <c r="O25" i="17"/>
  <c r="N25" i="17"/>
  <c r="AF25" i="17" s="1"/>
  <c r="AG25" i="17" s="1"/>
  <c r="M25" i="17"/>
  <c r="O24" i="17"/>
  <c r="N24" i="17"/>
  <c r="AF24" i="17" s="1"/>
  <c r="AG24" i="17" s="1"/>
  <c r="M24" i="17"/>
  <c r="AF23" i="17"/>
  <c r="AG23" i="17" s="1"/>
  <c r="O23" i="17"/>
  <c r="N23" i="17"/>
  <c r="M23" i="17"/>
  <c r="AF22" i="17"/>
  <c r="AG22" i="17" s="1"/>
  <c r="O22" i="17"/>
  <c r="N22" i="17"/>
  <c r="M22" i="17"/>
  <c r="O21" i="17"/>
  <c r="N21" i="17"/>
  <c r="AF21" i="17" s="1"/>
  <c r="AG21" i="17" s="1"/>
  <c r="M21" i="17"/>
  <c r="O20" i="17"/>
  <c r="N20" i="17"/>
  <c r="AF20" i="17" s="1"/>
  <c r="AG20" i="17" s="1"/>
  <c r="M20" i="17"/>
  <c r="O19" i="17"/>
  <c r="AF19" i="17" s="1"/>
  <c r="AG19" i="17" s="1"/>
  <c r="N19" i="17"/>
  <c r="M19" i="17"/>
  <c r="AG18" i="17"/>
  <c r="AF18" i="17"/>
  <c r="O18" i="17"/>
  <c r="N18" i="17"/>
  <c r="M18" i="17"/>
  <c r="O17" i="17"/>
  <c r="N17" i="17"/>
  <c r="AF17" i="17" s="1"/>
  <c r="AG17" i="17" s="1"/>
  <c r="M17" i="17"/>
  <c r="O16" i="17"/>
  <c r="N16" i="17"/>
  <c r="AF16" i="17" s="1"/>
  <c r="AG16" i="17" s="1"/>
  <c r="M16" i="17"/>
  <c r="AF15" i="17"/>
  <c r="AG15" i="17" s="1"/>
  <c r="O15" i="17"/>
  <c r="N15" i="17"/>
  <c r="M15" i="17"/>
  <c r="AF14" i="17"/>
  <c r="AG14" i="17" s="1"/>
  <c r="O14" i="17"/>
  <c r="N14" i="17"/>
  <c r="M14" i="17"/>
  <c r="O13" i="17"/>
  <c r="N13" i="17"/>
  <c r="AF13" i="17" s="1"/>
  <c r="AG13" i="17" s="1"/>
  <c r="M13" i="17"/>
  <c r="O12" i="17"/>
  <c r="N12" i="17"/>
  <c r="AF12" i="17" s="1"/>
  <c r="AG12" i="17" s="1"/>
  <c r="M12" i="17"/>
  <c r="O11" i="17"/>
  <c r="AF11" i="17" s="1"/>
  <c r="AG11" i="17" s="1"/>
  <c r="N11" i="17"/>
  <c r="M11" i="17"/>
  <c r="N10" i="17"/>
  <c r="J10" i="17"/>
  <c r="M10" i="17" s="1"/>
  <c r="O9" i="17"/>
  <c r="N9" i="17"/>
  <c r="AF9" i="17" s="1"/>
  <c r="AG9" i="17" s="1"/>
  <c r="M9" i="17"/>
  <c r="O8" i="17"/>
  <c r="AF8" i="17" s="1"/>
  <c r="AG8" i="17" s="1"/>
  <c r="N8" i="17"/>
  <c r="M8" i="17"/>
  <c r="AG7" i="17"/>
  <c r="AF7" i="17"/>
  <c r="O7" i="17"/>
  <c r="N7" i="17"/>
  <c r="M7" i="17"/>
  <c r="N6" i="17"/>
  <c r="AF6" i="17" s="1"/>
  <c r="AG6" i="17" s="1"/>
  <c r="M6" i="17"/>
  <c r="K6" i="17"/>
  <c r="O6" i="17" s="1"/>
  <c r="O5" i="17"/>
  <c r="AF5" i="17" s="1"/>
  <c r="N5" i="17"/>
  <c r="N27" i="17" s="1"/>
  <c r="M5" i="17"/>
  <c r="AE31" i="16"/>
  <c r="AD31" i="16"/>
  <c r="AC31" i="16"/>
  <c r="AB31" i="16"/>
  <c r="AA31" i="16"/>
  <c r="Z31" i="16"/>
  <c r="Y31" i="16"/>
  <c r="X31" i="16"/>
  <c r="W31" i="16"/>
  <c r="V31" i="16"/>
  <c r="U31" i="16"/>
  <c r="T31" i="16"/>
  <c r="S31" i="16"/>
  <c r="R31" i="16"/>
  <c r="Q31" i="16"/>
  <c r="P31" i="16"/>
  <c r="L31" i="16"/>
  <c r="K31" i="16"/>
  <c r="J31" i="16"/>
  <c r="I31" i="16"/>
  <c r="H31" i="16"/>
  <c r="O30" i="16"/>
  <c r="N30" i="16"/>
  <c r="AF30" i="16" s="1"/>
  <c r="AG30" i="16" s="1"/>
  <c r="M30" i="16"/>
  <c r="AF29" i="16"/>
  <c r="AG29" i="16" s="1"/>
  <c r="O29" i="16"/>
  <c r="N29" i="16"/>
  <c r="M29" i="16"/>
  <c r="AF28" i="16"/>
  <c r="AG28" i="16" s="1"/>
  <c r="O28" i="16"/>
  <c r="N28" i="16"/>
  <c r="M28" i="16"/>
  <c r="O27" i="16"/>
  <c r="N27" i="16"/>
  <c r="AF27" i="16" s="1"/>
  <c r="AG27" i="16" s="1"/>
  <c r="M27" i="16"/>
  <c r="O26" i="16"/>
  <c r="N26" i="16"/>
  <c r="AF26" i="16" s="1"/>
  <c r="AG26" i="16" s="1"/>
  <c r="M26" i="16"/>
  <c r="O25" i="16"/>
  <c r="AF25" i="16" s="1"/>
  <c r="AG25" i="16" s="1"/>
  <c r="N25" i="16"/>
  <c r="M25" i="16"/>
  <c r="AG24" i="16"/>
  <c r="AF24" i="16"/>
  <c r="O24" i="16"/>
  <c r="N24" i="16"/>
  <c r="M24" i="16"/>
  <c r="AG23" i="16"/>
  <c r="O23" i="16"/>
  <c r="N23" i="16"/>
  <c r="AF23" i="16" s="1"/>
  <c r="M23" i="16"/>
  <c r="O22" i="16"/>
  <c r="N22" i="16"/>
  <c r="AF22" i="16" s="1"/>
  <c r="AG22" i="16" s="1"/>
  <c r="M22" i="16"/>
  <c r="AF21" i="16"/>
  <c r="AG21" i="16" s="1"/>
  <c r="O21" i="16"/>
  <c r="N21" i="16"/>
  <c r="M21" i="16"/>
  <c r="AF20" i="16"/>
  <c r="AG20" i="16" s="1"/>
  <c r="O20" i="16"/>
  <c r="N20" i="16"/>
  <c r="M20" i="16"/>
  <c r="O19" i="16"/>
  <c r="N19" i="16"/>
  <c r="AF19" i="16" s="1"/>
  <c r="AG19" i="16" s="1"/>
  <c r="M19" i="16"/>
  <c r="O18" i="16"/>
  <c r="N18" i="16"/>
  <c r="AF18" i="16" s="1"/>
  <c r="AG18" i="16" s="1"/>
  <c r="M18" i="16"/>
  <c r="O17" i="16"/>
  <c r="AF17" i="16" s="1"/>
  <c r="AG17" i="16" s="1"/>
  <c r="N17" i="16"/>
  <c r="M17" i="16"/>
  <c r="AG16" i="16"/>
  <c r="AF16" i="16"/>
  <c r="O16" i="16"/>
  <c r="N16" i="16"/>
  <c r="M16" i="16"/>
  <c r="AG15" i="16"/>
  <c r="O15" i="16"/>
  <c r="N15" i="16"/>
  <c r="AF15" i="16" s="1"/>
  <c r="M15" i="16"/>
  <c r="O14" i="16"/>
  <c r="N14" i="16"/>
  <c r="AF14" i="16" s="1"/>
  <c r="AG14" i="16" s="1"/>
  <c r="M14" i="16"/>
  <c r="AF13" i="16"/>
  <c r="AG13" i="16" s="1"/>
  <c r="O13" i="16"/>
  <c r="N13" i="16"/>
  <c r="M13" i="16"/>
  <c r="AF12" i="16"/>
  <c r="AG12" i="16" s="1"/>
  <c r="O12" i="16"/>
  <c r="N12" i="16"/>
  <c r="M12" i="16"/>
  <c r="O11" i="16"/>
  <c r="N11" i="16"/>
  <c r="AF11" i="16" s="1"/>
  <c r="AG11" i="16" s="1"/>
  <c r="M11" i="16"/>
  <c r="O10" i="16"/>
  <c r="N10" i="16"/>
  <c r="AF10" i="16" s="1"/>
  <c r="AG10" i="16" s="1"/>
  <c r="M10" i="16"/>
  <c r="O9" i="16"/>
  <c r="AF9" i="16" s="1"/>
  <c r="AG9" i="16" s="1"/>
  <c r="N9" i="16"/>
  <c r="M9" i="16"/>
  <c r="AG8" i="16"/>
  <c r="AF8" i="16"/>
  <c r="O8" i="16"/>
  <c r="N8" i="16"/>
  <c r="M8" i="16"/>
  <c r="O7" i="16"/>
  <c r="N7" i="16"/>
  <c r="AF7" i="16" s="1"/>
  <c r="AG7" i="16" s="1"/>
  <c r="M7" i="16"/>
  <c r="O6" i="16"/>
  <c r="N6" i="16"/>
  <c r="AF6" i="16" s="1"/>
  <c r="AG6" i="16" s="1"/>
  <c r="M6" i="16"/>
  <c r="M31" i="16" s="1"/>
  <c r="AF5" i="16"/>
  <c r="AG5" i="16" s="1"/>
  <c r="O5" i="16"/>
  <c r="N5" i="16"/>
  <c r="M5" i="16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L17" i="15"/>
  <c r="K17" i="15"/>
  <c r="J17" i="15"/>
  <c r="I17" i="15"/>
  <c r="H17" i="15"/>
  <c r="O16" i="15"/>
  <c r="N16" i="15"/>
  <c r="AF16" i="15" s="1"/>
  <c r="AG16" i="15" s="1"/>
  <c r="M16" i="15"/>
  <c r="O15" i="15"/>
  <c r="AF15" i="15" s="1"/>
  <c r="AG15" i="15" s="1"/>
  <c r="N15" i="15"/>
  <c r="M15" i="15"/>
  <c r="AG14" i="15"/>
  <c r="AF14" i="15"/>
  <c r="O14" i="15"/>
  <c r="N14" i="15"/>
  <c r="M14" i="15"/>
  <c r="O13" i="15"/>
  <c r="N13" i="15"/>
  <c r="AF13" i="15" s="1"/>
  <c r="AG13" i="15" s="1"/>
  <c r="M13" i="15"/>
  <c r="O12" i="15"/>
  <c r="N12" i="15"/>
  <c r="AF12" i="15" s="1"/>
  <c r="AG12" i="15" s="1"/>
  <c r="M12" i="15"/>
  <c r="AF11" i="15"/>
  <c r="AG11" i="15" s="1"/>
  <c r="O11" i="15"/>
  <c r="N11" i="15"/>
  <c r="M11" i="15"/>
  <c r="AF10" i="15"/>
  <c r="AG10" i="15" s="1"/>
  <c r="O10" i="15"/>
  <c r="N10" i="15"/>
  <c r="M10" i="15"/>
  <c r="O9" i="15"/>
  <c r="N9" i="15"/>
  <c r="AF9" i="15" s="1"/>
  <c r="AG9" i="15" s="1"/>
  <c r="M9" i="15"/>
  <c r="O8" i="15"/>
  <c r="N8" i="15"/>
  <c r="AF8" i="15" s="1"/>
  <c r="AG8" i="15" s="1"/>
  <c r="M8" i="15"/>
  <c r="O7" i="15"/>
  <c r="N7" i="15"/>
  <c r="M7" i="15"/>
  <c r="AG6" i="15"/>
  <c r="AF6" i="15"/>
  <c r="O6" i="15"/>
  <c r="N6" i="15"/>
  <c r="M6" i="15"/>
  <c r="O5" i="15"/>
  <c r="N5" i="15"/>
  <c r="AF5" i="15" s="1"/>
  <c r="AG5" i="15" s="1"/>
  <c r="M5" i="15"/>
  <c r="M17" i="15" s="1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L13" i="14"/>
  <c r="K13" i="14"/>
  <c r="J13" i="14"/>
  <c r="I13" i="14"/>
  <c r="H13" i="14"/>
  <c r="AF12" i="14"/>
  <c r="AG12" i="14" s="1"/>
  <c r="O12" i="14"/>
  <c r="N12" i="14"/>
  <c r="M12" i="14"/>
  <c r="O11" i="14"/>
  <c r="N11" i="14"/>
  <c r="AF11" i="14" s="1"/>
  <c r="AG11" i="14" s="1"/>
  <c r="M11" i="14"/>
  <c r="O10" i="14"/>
  <c r="N10" i="14"/>
  <c r="AF10" i="14" s="1"/>
  <c r="AG10" i="14" s="1"/>
  <c r="M10" i="14"/>
  <c r="O9" i="14"/>
  <c r="AF9" i="14" s="1"/>
  <c r="AG9" i="14" s="1"/>
  <c r="N9" i="14"/>
  <c r="M9" i="14"/>
  <c r="AG8" i="14"/>
  <c r="AF8" i="14"/>
  <c r="O8" i="14"/>
  <c r="N8" i="14"/>
  <c r="M8" i="14"/>
  <c r="O7" i="14"/>
  <c r="N7" i="14"/>
  <c r="AF7" i="14" s="1"/>
  <c r="AG7" i="14" s="1"/>
  <c r="M7" i="14"/>
  <c r="O6" i="14"/>
  <c r="N6" i="14"/>
  <c r="AF6" i="14" s="1"/>
  <c r="AG6" i="14" s="1"/>
  <c r="M6" i="14"/>
  <c r="M13" i="14" s="1"/>
  <c r="AF5" i="14"/>
  <c r="O5" i="14"/>
  <c r="O13" i="14" s="1"/>
  <c r="N5" i="14"/>
  <c r="M5" i="14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L15" i="13"/>
  <c r="K15" i="13"/>
  <c r="J15" i="13"/>
  <c r="I15" i="13"/>
  <c r="H15" i="13"/>
  <c r="O14" i="13"/>
  <c r="N14" i="13"/>
  <c r="AF14" i="13" s="1"/>
  <c r="AG14" i="13" s="1"/>
  <c r="M14" i="13"/>
  <c r="O13" i="13"/>
  <c r="AF13" i="13" s="1"/>
  <c r="AG13" i="13" s="1"/>
  <c r="N13" i="13"/>
  <c r="M13" i="13"/>
  <c r="AG12" i="13"/>
  <c r="AF12" i="13"/>
  <c r="O12" i="13"/>
  <c r="N12" i="13"/>
  <c r="M12" i="13"/>
  <c r="O11" i="13"/>
  <c r="N11" i="13"/>
  <c r="AF11" i="13" s="1"/>
  <c r="AG11" i="13" s="1"/>
  <c r="M11" i="13"/>
  <c r="O10" i="13"/>
  <c r="N10" i="13"/>
  <c r="AF10" i="13" s="1"/>
  <c r="AG10" i="13" s="1"/>
  <c r="M10" i="13"/>
  <c r="AF9" i="13"/>
  <c r="AG9" i="13" s="1"/>
  <c r="O9" i="13"/>
  <c r="N9" i="13"/>
  <c r="M9" i="13"/>
  <c r="AF8" i="13"/>
  <c r="AG8" i="13" s="1"/>
  <c r="O8" i="13"/>
  <c r="N8" i="13"/>
  <c r="M8" i="13"/>
  <c r="O7" i="13"/>
  <c r="N7" i="13"/>
  <c r="AF7" i="13" s="1"/>
  <c r="AG7" i="13" s="1"/>
  <c r="M7" i="13"/>
  <c r="M15" i="13" s="1"/>
  <c r="O6" i="13"/>
  <c r="N6" i="13"/>
  <c r="AF6" i="13" s="1"/>
  <c r="AG6" i="13" s="1"/>
  <c r="M6" i="13"/>
  <c r="O5" i="13"/>
  <c r="N5" i="13"/>
  <c r="M5" i="13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L8" i="12"/>
  <c r="K8" i="12"/>
  <c r="J8" i="12"/>
  <c r="I8" i="12"/>
  <c r="H8" i="12"/>
  <c r="O7" i="12"/>
  <c r="N7" i="12"/>
  <c r="AF7" i="12" s="1"/>
  <c r="AG7" i="12" s="1"/>
  <c r="M7" i="12"/>
  <c r="AF6" i="12"/>
  <c r="AG6" i="12" s="1"/>
  <c r="O6" i="12"/>
  <c r="N6" i="12"/>
  <c r="M6" i="12"/>
  <c r="AF5" i="12"/>
  <c r="O5" i="12"/>
  <c r="O8" i="12" s="1"/>
  <c r="N5" i="12"/>
  <c r="N8" i="12" s="1"/>
  <c r="M5" i="12"/>
  <c r="M8" i="12" s="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M16" i="11"/>
  <c r="L16" i="11"/>
  <c r="K16" i="11"/>
  <c r="J16" i="11"/>
  <c r="I16" i="11"/>
  <c r="H16" i="11"/>
  <c r="O15" i="11"/>
  <c r="AF15" i="11" s="1"/>
  <c r="AG15" i="11" s="1"/>
  <c r="N15" i="11"/>
  <c r="M15" i="11"/>
  <c r="AG14" i="11"/>
  <c r="AF14" i="11"/>
  <c r="N14" i="11"/>
  <c r="M14" i="11"/>
  <c r="AF13" i="11"/>
  <c r="AG13" i="11" s="1"/>
  <c r="N13" i="11"/>
  <c r="M13" i="11"/>
  <c r="AG12" i="11"/>
  <c r="AF12" i="11"/>
  <c r="O12" i="11"/>
  <c r="N12" i="11"/>
  <c r="M12" i="11"/>
  <c r="AG11" i="11"/>
  <c r="O11" i="11"/>
  <c r="N11" i="11"/>
  <c r="AF11" i="11" s="1"/>
  <c r="M11" i="11"/>
  <c r="O10" i="11"/>
  <c r="N10" i="11"/>
  <c r="AF10" i="11" s="1"/>
  <c r="AG10" i="11" s="1"/>
  <c r="M10" i="11"/>
  <c r="AF9" i="11"/>
  <c r="AG9" i="11" s="1"/>
  <c r="O9" i="11"/>
  <c r="N9" i="11"/>
  <c r="M9" i="11"/>
  <c r="AF8" i="11"/>
  <c r="AG8" i="11" s="1"/>
  <c r="O8" i="11"/>
  <c r="N8" i="11"/>
  <c r="M8" i="11"/>
  <c r="O7" i="11"/>
  <c r="N7" i="11"/>
  <c r="AF7" i="11" s="1"/>
  <c r="AG7" i="11" s="1"/>
  <c r="M7" i="11"/>
  <c r="O6" i="11"/>
  <c r="N6" i="11"/>
  <c r="AF6" i="11" s="1"/>
  <c r="AG6" i="11" s="1"/>
  <c r="M6" i="11"/>
  <c r="O5" i="11"/>
  <c r="N5" i="11"/>
  <c r="M5" i="11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L34" i="10"/>
  <c r="K34" i="10"/>
  <c r="J34" i="10"/>
  <c r="I34" i="10"/>
  <c r="H34" i="10"/>
  <c r="O33" i="10"/>
  <c r="N33" i="10"/>
  <c r="AF33" i="10" s="1"/>
  <c r="AG33" i="10" s="1"/>
  <c r="M33" i="10"/>
  <c r="AF32" i="10"/>
  <c r="AG32" i="10" s="1"/>
  <c r="N32" i="10"/>
  <c r="M32" i="10"/>
  <c r="N31" i="10"/>
  <c r="AF31" i="10" s="1"/>
  <c r="AG31" i="10" s="1"/>
  <c r="M31" i="10"/>
  <c r="O30" i="10"/>
  <c r="AF30" i="10" s="1"/>
  <c r="AG30" i="10" s="1"/>
  <c r="N30" i="10"/>
  <c r="M30" i="10"/>
  <c r="AF29" i="10"/>
  <c r="AG29" i="10" s="1"/>
  <c r="O29" i="10"/>
  <c r="N29" i="10"/>
  <c r="M29" i="10"/>
  <c r="O28" i="10"/>
  <c r="N28" i="10"/>
  <c r="AF28" i="10" s="1"/>
  <c r="AG28" i="10" s="1"/>
  <c r="M28" i="10"/>
  <c r="O27" i="10"/>
  <c r="N27" i="10"/>
  <c r="AF27" i="10" s="1"/>
  <c r="AG27" i="10" s="1"/>
  <c r="M27" i="10"/>
  <c r="N26" i="10"/>
  <c r="AF26" i="10" s="1"/>
  <c r="AG26" i="10" s="1"/>
  <c r="M26" i="10"/>
  <c r="O25" i="10"/>
  <c r="AF25" i="10" s="1"/>
  <c r="AG25" i="10" s="1"/>
  <c r="N25" i="10"/>
  <c r="M25" i="10"/>
  <c r="AF24" i="10"/>
  <c r="AG24" i="10" s="1"/>
  <c r="N24" i="10"/>
  <c r="M24" i="10"/>
  <c r="AF23" i="10"/>
  <c r="AG23" i="10" s="1"/>
  <c r="N23" i="10"/>
  <c r="M23" i="10"/>
  <c r="AF22" i="10"/>
  <c r="AG22" i="10" s="1"/>
  <c r="O22" i="10"/>
  <c r="N22" i="10"/>
  <c r="M22" i="10"/>
  <c r="O21" i="10"/>
  <c r="N21" i="10"/>
  <c r="AF21" i="10" s="1"/>
  <c r="AG21" i="10" s="1"/>
  <c r="M21" i="10"/>
  <c r="N20" i="10"/>
  <c r="AF20" i="10" s="1"/>
  <c r="AG20" i="10" s="1"/>
  <c r="M20" i="10"/>
  <c r="N19" i="10"/>
  <c r="AF19" i="10" s="1"/>
  <c r="AG19" i="10" s="1"/>
  <c r="M19" i="10"/>
  <c r="O18" i="10"/>
  <c r="N18" i="10"/>
  <c r="AF18" i="10" s="1"/>
  <c r="AG18" i="10" s="1"/>
  <c r="M18" i="10"/>
  <c r="N17" i="10"/>
  <c r="AF17" i="10" s="1"/>
  <c r="AG17" i="10" s="1"/>
  <c r="M17" i="10"/>
  <c r="AF16" i="10"/>
  <c r="AG16" i="10" s="1"/>
  <c r="N16" i="10"/>
  <c r="M16" i="10"/>
  <c r="N15" i="10"/>
  <c r="AF15" i="10" s="1"/>
  <c r="AG15" i="10" s="1"/>
  <c r="M15" i="10"/>
  <c r="AF14" i="10"/>
  <c r="AG14" i="10" s="1"/>
  <c r="N14" i="10"/>
  <c r="M14" i="10"/>
  <c r="N13" i="10"/>
  <c r="AF13" i="10" s="1"/>
  <c r="AG13" i="10" s="1"/>
  <c r="M13" i="10"/>
  <c r="O12" i="10"/>
  <c r="AF12" i="10" s="1"/>
  <c r="AG12" i="10" s="1"/>
  <c r="N12" i="10"/>
  <c r="M12" i="10"/>
  <c r="AF11" i="10"/>
  <c r="AG11" i="10" s="1"/>
  <c r="O11" i="10"/>
  <c r="N11" i="10"/>
  <c r="M11" i="10"/>
  <c r="O10" i="10"/>
  <c r="N10" i="10"/>
  <c r="AF10" i="10" s="1"/>
  <c r="AG10" i="10" s="1"/>
  <c r="M10" i="10"/>
  <c r="O9" i="10"/>
  <c r="N9" i="10"/>
  <c r="AF9" i="10" s="1"/>
  <c r="AG9" i="10" s="1"/>
  <c r="M9" i="10"/>
  <c r="O8" i="10"/>
  <c r="N8" i="10"/>
  <c r="AF8" i="10" s="1"/>
  <c r="AG8" i="10" s="1"/>
  <c r="M8" i="10"/>
  <c r="AG7" i="10"/>
  <c r="AF7" i="10"/>
  <c r="O7" i="10"/>
  <c r="N7" i="10"/>
  <c r="M7" i="10"/>
  <c r="AG6" i="10"/>
  <c r="O6" i="10"/>
  <c r="N6" i="10"/>
  <c r="AF6" i="10" s="1"/>
  <c r="M6" i="10"/>
  <c r="O5" i="10"/>
  <c r="O34" i="10" s="1"/>
  <c r="N5" i="10"/>
  <c r="M5" i="10"/>
  <c r="AE154" i="9"/>
  <c r="AD154" i="9"/>
  <c r="AC154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L154" i="9"/>
  <c r="J154" i="9"/>
  <c r="I154" i="9"/>
  <c r="H154" i="9"/>
  <c r="O153" i="9"/>
  <c r="N153" i="9"/>
  <c r="M153" i="9"/>
  <c r="O152" i="9"/>
  <c r="N152" i="9"/>
  <c r="M152" i="9"/>
  <c r="O151" i="9"/>
  <c r="AF151" i="9" s="1"/>
  <c r="AG151" i="9" s="1"/>
  <c r="N151" i="9"/>
  <c r="M151" i="9"/>
  <c r="K150" i="9"/>
  <c r="O150" i="9" s="1"/>
  <c r="O149" i="9"/>
  <c r="N149" i="9"/>
  <c r="AF149" i="9" s="1"/>
  <c r="AG149" i="9" s="1"/>
  <c r="M149" i="9"/>
  <c r="O148" i="9"/>
  <c r="N148" i="9"/>
  <c r="M148" i="9"/>
  <c r="AF147" i="9"/>
  <c r="AG147" i="9" s="1"/>
  <c r="O147" i="9"/>
  <c r="N147" i="9"/>
  <c r="M147" i="9"/>
  <c r="O146" i="9"/>
  <c r="N146" i="9"/>
  <c r="AF146" i="9" s="1"/>
  <c r="AG146" i="9" s="1"/>
  <c r="M146" i="9"/>
  <c r="O145" i="9"/>
  <c r="N145" i="9"/>
  <c r="AF145" i="9" s="1"/>
  <c r="AG145" i="9" s="1"/>
  <c r="M145" i="9"/>
  <c r="O144" i="9"/>
  <c r="N144" i="9"/>
  <c r="AF144" i="9" s="1"/>
  <c r="AG144" i="9" s="1"/>
  <c r="M144" i="9"/>
  <c r="AF143" i="9"/>
  <c r="AG143" i="9" s="1"/>
  <c r="O143" i="9"/>
  <c r="N143" i="9"/>
  <c r="M143" i="9"/>
  <c r="O142" i="9"/>
  <c r="N142" i="9"/>
  <c r="M142" i="9"/>
  <c r="O141" i="9"/>
  <c r="N141" i="9"/>
  <c r="AF141" i="9" s="1"/>
  <c r="AG141" i="9" s="1"/>
  <c r="M141" i="9"/>
  <c r="O140" i="9"/>
  <c r="N140" i="9"/>
  <c r="M140" i="9"/>
  <c r="O139" i="9"/>
  <c r="AF139" i="9" s="1"/>
  <c r="AG139" i="9" s="1"/>
  <c r="N139" i="9"/>
  <c r="M139" i="9"/>
  <c r="O138" i="9"/>
  <c r="N138" i="9"/>
  <c r="M138" i="9"/>
  <c r="K137" i="9"/>
  <c r="M137" i="9" s="1"/>
  <c r="O136" i="9"/>
  <c r="N136" i="9"/>
  <c r="AF136" i="9" s="1"/>
  <c r="AG136" i="9" s="1"/>
  <c r="M136" i="9"/>
  <c r="O135" i="9"/>
  <c r="N135" i="9"/>
  <c r="M135" i="9"/>
  <c r="O134" i="9"/>
  <c r="N134" i="9"/>
  <c r="M134" i="9"/>
  <c r="O133" i="9"/>
  <c r="N133" i="9"/>
  <c r="M133" i="9"/>
  <c r="O132" i="9"/>
  <c r="N132" i="9"/>
  <c r="AF132" i="9" s="1"/>
  <c r="AG132" i="9" s="1"/>
  <c r="M132" i="9"/>
  <c r="O131" i="9"/>
  <c r="N131" i="9"/>
  <c r="M131" i="9"/>
  <c r="O130" i="9"/>
  <c r="N130" i="9"/>
  <c r="AF130" i="9" s="1"/>
  <c r="AG130" i="9" s="1"/>
  <c r="M130" i="9"/>
  <c r="O129" i="9"/>
  <c r="N129" i="9"/>
  <c r="M129" i="9"/>
  <c r="O128" i="9"/>
  <c r="N128" i="9"/>
  <c r="AF128" i="9" s="1"/>
  <c r="AG128" i="9" s="1"/>
  <c r="M128" i="9"/>
  <c r="O127" i="9"/>
  <c r="N127" i="9"/>
  <c r="M127" i="9"/>
  <c r="O126" i="9"/>
  <c r="N126" i="9"/>
  <c r="M126" i="9"/>
  <c r="O125" i="9"/>
  <c r="N125" i="9"/>
  <c r="AF125" i="9" s="1"/>
  <c r="AG125" i="9" s="1"/>
  <c r="M125" i="9"/>
  <c r="O124" i="9"/>
  <c r="N124" i="9"/>
  <c r="AF124" i="9" s="1"/>
  <c r="AG124" i="9" s="1"/>
  <c r="M124" i="9"/>
  <c r="O123" i="9"/>
  <c r="N123" i="9"/>
  <c r="M123" i="9"/>
  <c r="O122" i="9"/>
  <c r="N122" i="9"/>
  <c r="M122" i="9"/>
  <c r="O121" i="9"/>
  <c r="AF121" i="9" s="1"/>
  <c r="AG121" i="9" s="1"/>
  <c r="N121" i="9"/>
  <c r="M121" i="9"/>
  <c r="O120" i="9"/>
  <c r="N120" i="9"/>
  <c r="AF120" i="9" s="1"/>
  <c r="AG120" i="9" s="1"/>
  <c r="M120" i="9"/>
  <c r="O119" i="9"/>
  <c r="N119" i="9"/>
  <c r="M119" i="9"/>
  <c r="O118" i="9"/>
  <c r="K118" i="9"/>
  <c r="M118" i="9" s="1"/>
  <c r="O117" i="9"/>
  <c r="N117" i="9"/>
  <c r="AF117" i="9" s="1"/>
  <c r="AG117" i="9" s="1"/>
  <c r="M117" i="9"/>
  <c r="O116" i="9"/>
  <c r="N116" i="9"/>
  <c r="M116" i="9"/>
  <c r="O115" i="9"/>
  <c r="N115" i="9"/>
  <c r="M115" i="9"/>
  <c r="O114" i="9"/>
  <c r="N114" i="9"/>
  <c r="M114" i="9"/>
  <c r="O113" i="9"/>
  <c r="N113" i="9"/>
  <c r="AF113" i="9" s="1"/>
  <c r="AG113" i="9" s="1"/>
  <c r="M113" i="9"/>
  <c r="O112" i="9"/>
  <c r="N112" i="9"/>
  <c r="M112" i="9"/>
  <c r="O111" i="9"/>
  <c r="N111" i="9"/>
  <c r="M111" i="9"/>
  <c r="O110" i="9"/>
  <c r="N110" i="9"/>
  <c r="AF110" i="9" s="1"/>
  <c r="AG110" i="9" s="1"/>
  <c r="M110" i="9"/>
  <c r="K109" i="9"/>
  <c r="O108" i="9"/>
  <c r="N108" i="9"/>
  <c r="M108" i="9"/>
  <c r="O107" i="9"/>
  <c r="AF107" i="9" s="1"/>
  <c r="AG107" i="9" s="1"/>
  <c r="N107" i="9"/>
  <c r="M107" i="9"/>
  <c r="O106" i="9"/>
  <c r="N106" i="9"/>
  <c r="AF106" i="9" s="1"/>
  <c r="AG106" i="9" s="1"/>
  <c r="M106" i="9"/>
  <c r="O105" i="9"/>
  <c r="N105" i="9"/>
  <c r="M105" i="9"/>
  <c r="O104" i="9"/>
  <c r="N104" i="9"/>
  <c r="AF104" i="9" s="1"/>
  <c r="AG104" i="9" s="1"/>
  <c r="M104" i="9"/>
  <c r="O103" i="9"/>
  <c r="N103" i="9"/>
  <c r="M103" i="9"/>
  <c r="AF102" i="9"/>
  <c r="AG102" i="9" s="1"/>
  <c r="O102" i="9"/>
  <c r="N102" i="9"/>
  <c r="M102" i="9"/>
  <c r="O101" i="9"/>
  <c r="N101" i="9"/>
  <c r="AF101" i="9" s="1"/>
  <c r="AG101" i="9" s="1"/>
  <c r="M101" i="9"/>
  <c r="O100" i="9"/>
  <c r="N100" i="9"/>
  <c r="M100" i="9"/>
  <c r="O99" i="9"/>
  <c r="AF99" i="9" s="1"/>
  <c r="AG99" i="9" s="1"/>
  <c r="N99" i="9"/>
  <c r="M99" i="9"/>
  <c r="M98" i="9"/>
  <c r="K98" i="9"/>
  <c r="N98" i="9" s="1"/>
  <c r="O97" i="9"/>
  <c r="N97" i="9"/>
  <c r="M97" i="9"/>
  <c r="AF96" i="9"/>
  <c r="AG96" i="9" s="1"/>
  <c r="O96" i="9"/>
  <c r="N96" i="9"/>
  <c r="M96" i="9"/>
  <c r="O95" i="9"/>
  <c r="N95" i="9"/>
  <c r="AF95" i="9" s="1"/>
  <c r="AG95" i="9" s="1"/>
  <c r="M95" i="9"/>
  <c r="O94" i="9"/>
  <c r="N94" i="9"/>
  <c r="M94" i="9"/>
  <c r="O93" i="9"/>
  <c r="N93" i="9"/>
  <c r="M93" i="9"/>
  <c r="O92" i="9"/>
  <c r="N92" i="9"/>
  <c r="AF92" i="9" s="1"/>
  <c r="AG92" i="9" s="1"/>
  <c r="M92" i="9"/>
  <c r="O91" i="9"/>
  <c r="N91" i="9"/>
  <c r="AF91" i="9" s="1"/>
  <c r="AG91" i="9" s="1"/>
  <c r="M91" i="9"/>
  <c r="M90" i="9"/>
  <c r="K90" i="9"/>
  <c r="O90" i="9" s="1"/>
  <c r="O89" i="9"/>
  <c r="N89" i="9"/>
  <c r="AF89" i="9" s="1"/>
  <c r="AG89" i="9" s="1"/>
  <c r="M89" i="9"/>
  <c r="AF88" i="9"/>
  <c r="AG88" i="9" s="1"/>
  <c r="O88" i="9"/>
  <c r="N88" i="9"/>
  <c r="M88" i="9"/>
  <c r="O87" i="9"/>
  <c r="N87" i="9"/>
  <c r="AF87" i="9" s="1"/>
  <c r="AG87" i="9" s="1"/>
  <c r="M87" i="9"/>
  <c r="O86" i="9"/>
  <c r="AF86" i="9" s="1"/>
  <c r="AG86" i="9" s="1"/>
  <c r="N86" i="9"/>
  <c r="M86" i="9"/>
  <c r="O85" i="9"/>
  <c r="N85" i="9"/>
  <c r="M85" i="9"/>
  <c r="O84" i="9"/>
  <c r="N84" i="9"/>
  <c r="AF84" i="9" s="1"/>
  <c r="AG84" i="9" s="1"/>
  <c r="M84" i="9"/>
  <c r="AF83" i="9"/>
  <c r="AG83" i="9" s="1"/>
  <c r="O83" i="9"/>
  <c r="N83" i="9"/>
  <c r="M83" i="9"/>
  <c r="O82" i="9"/>
  <c r="N82" i="9"/>
  <c r="AF82" i="9" s="1"/>
  <c r="AG82" i="9" s="1"/>
  <c r="M82" i="9"/>
  <c r="O81" i="9"/>
  <c r="AF81" i="9" s="1"/>
  <c r="AG81" i="9" s="1"/>
  <c r="N81" i="9"/>
  <c r="M81" i="9"/>
  <c r="K80" i="9"/>
  <c r="O79" i="9"/>
  <c r="N79" i="9"/>
  <c r="AF79" i="9" s="1"/>
  <c r="AG79" i="9" s="1"/>
  <c r="M79" i="9"/>
  <c r="O78" i="9"/>
  <c r="M78" i="9"/>
  <c r="K78" i="9"/>
  <c r="N78" i="9" s="1"/>
  <c r="AF77" i="9"/>
  <c r="AG77" i="9" s="1"/>
  <c r="O77" i="9"/>
  <c r="N77" i="9"/>
  <c r="M77" i="9"/>
  <c r="O76" i="9"/>
  <c r="N76" i="9"/>
  <c r="AF76" i="9" s="1"/>
  <c r="AG76" i="9" s="1"/>
  <c r="M76" i="9"/>
  <c r="O75" i="9"/>
  <c r="AF75" i="9" s="1"/>
  <c r="AG75" i="9" s="1"/>
  <c r="N75" i="9"/>
  <c r="M75" i="9"/>
  <c r="O74" i="9"/>
  <c r="AF74" i="9" s="1"/>
  <c r="AG74" i="9" s="1"/>
  <c r="N74" i="9"/>
  <c r="M74" i="9"/>
  <c r="O73" i="9"/>
  <c r="N73" i="9"/>
  <c r="AF73" i="9" s="1"/>
  <c r="AG73" i="9" s="1"/>
  <c r="M73" i="9"/>
  <c r="O72" i="9"/>
  <c r="N72" i="9"/>
  <c r="AF72" i="9" s="1"/>
  <c r="AG72" i="9" s="1"/>
  <c r="M72" i="9"/>
  <c r="O71" i="9"/>
  <c r="N71" i="9"/>
  <c r="M71" i="9"/>
  <c r="AF70" i="9"/>
  <c r="AG70" i="9" s="1"/>
  <c r="O70" i="9"/>
  <c r="N70" i="9"/>
  <c r="M70" i="9"/>
  <c r="O69" i="9"/>
  <c r="N69" i="9"/>
  <c r="AF69" i="9" s="1"/>
  <c r="AG69" i="9" s="1"/>
  <c r="M69" i="9"/>
  <c r="AF68" i="9"/>
  <c r="AG68" i="9" s="1"/>
  <c r="O68" i="9"/>
  <c r="N68" i="9"/>
  <c r="M68" i="9"/>
  <c r="O67" i="9"/>
  <c r="N67" i="9"/>
  <c r="M67" i="9"/>
  <c r="O66" i="9"/>
  <c r="N66" i="9"/>
  <c r="M66" i="9"/>
  <c r="O65" i="9"/>
  <c r="N65" i="9"/>
  <c r="AF65" i="9" s="1"/>
  <c r="AG65" i="9" s="1"/>
  <c r="M65" i="9"/>
  <c r="O64" i="9"/>
  <c r="N64" i="9"/>
  <c r="M64" i="9"/>
  <c r="O63" i="9"/>
  <c r="N63" i="9"/>
  <c r="M63" i="9"/>
  <c r="AF62" i="9"/>
  <c r="AG62" i="9" s="1"/>
  <c r="O62" i="9"/>
  <c r="N62" i="9"/>
  <c r="M62" i="9"/>
  <c r="O61" i="9"/>
  <c r="N61" i="9"/>
  <c r="AF61" i="9" s="1"/>
  <c r="AG61" i="9" s="1"/>
  <c r="M61" i="9"/>
  <c r="AF60" i="9"/>
  <c r="AG60" i="9" s="1"/>
  <c r="O60" i="9"/>
  <c r="N60" i="9"/>
  <c r="M60" i="9"/>
  <c r="O59" i="9"/>
  <c r="N59" i="9"/>
  <c r="M59" i="9"/>
  <c r="O58" i="9"/>
  <c r="N58" i="9"/>
  <c r="M58" i="9"/>
  <c r="O57" i="9"/>
  <c r="N57" i="9"/>
  <c r="M57" i="9"/>
  <c r="O56" i="9"/>
  <c r="N56" i="9"/>
  <c r="AF56" i="9" s="1"/>
  <c r="AG56" i="9" s="1"/>
  <c r="M56" i="9"/>
  <c r="O55" i="9"/>
  <c r="N55" i="9"/>
  <c r="AF55" i="9" s="1"/>
  <c r="AG55" i="9" s="1"/>
  <c r="M55" i="9"/>
  <c r="O54" i="9"/>
  <c r="AF54" i="9" s="1"/>
  <c r="AG54" i="9" s="1"/>
  <c r="N54" i="9"/>
  <c r="M54" i="9"/>
  <c r="AF53" i="9"/>
  <c r="AG53" i="9" s="1"/>
  <c r="O53" i="9"/>
  <c r="N53" i="9"/>
  <c r="M53" i="9"/>
  <c r="O52" i="9"/>
  <c r="AF52" i="9" s="1"/>
  <c r="AG52" i="9" s="1"/>
  <c r="N52" i="9"/>
  <c r="M52" i="9"/>
  <c r="O51" i="9"/>
  <c r="AF51" i="9" s="1"/>
  <c r="AG51" i="9" s="1"/>
  <c r="N51" i="9"/>
  <c r="M51" i="9"/>
  <c r="O50" i="9"/>
  <c r="AF50" i="9" s="1"/>
  <c r="AG50" i="9" s="1"/>
  <c r="N50" i="9"/>
  <c r="M50" i="9"/>
  <c r="O49" i="9"/>
  <c r="N49" i="9"/>
  <c r="AF49" i="9" s="1"/>
  <c r="AG49" i="9" s="1"/>
  <c r="M49" i="9"/>
  <c r="O48" i="9"/>
  <c r="N48" i="9"/>
  <c r="AF48" i="9" s="1"/>
  <c r="AG48" i="9" s="1"/>
  <c r="M48" i="9"/>
  <c r="O47" i="9"/>
  <c r="N47" i="9"/>
  <c r="AF47" i="9" s="1"/>
  <c r="AG47" i="9" s="1"/>
  <c r="M47" i="9"/>
  <c r="O46" i="9"/>
  <c r="AF46" i="9" s="1"/>
  <c r="AG46" i="9" s="1"/>
  <c r="N46" i="9"/>
  <c r="M46" i="9"/>
  <c r="K45" i="9"/>
  <c r="O45" i="9" s="1"/>
  <c r="K44" i="9"/>
  <c r="O44" i="9" s="1"/>
  <c r="AG43" i="9"/>
  <c r="O43" i="9"/>
  <c r="N43" i="9"/>
  <c r="AF43" i="9" s="1"/>
  <c r="M43" i="9"/>
  <c r="O42" i="9"/>
  <c r="N42" i="9"/>
  <c r="AF42" i="9" s="1"/>
  <c r="AG42" i="9" s="1"/>
  <c r="M42" i="9"/>
  <c r="O41" i="9"/>
  <c r="N41" i="9"/>
  <c r="AF41" i="9" s="1"/>
  <c r="AG41" i="9" s="1"/>
  <c r="M41" i="9"/>
  <c r="AF40" i="9"/>
  <c r="AG40" i="9" s="1"/>
  <c r="O40" i="9"/>
  <c r="N40" i="9"/>
  <c r="M40" i="9"/>
  <c r="O39" i="9"/>
  <c r="N39" i="9"/>
  <c r="AF39" i="9" s="1"/>
  <c r="AG39" i="9" s="1"/>
  <c r="M39" i="9"/>
  <c r="AF38" i="9"/>
  <c r="AG38" i="9" s="1"/>
  <c r="O38" i="9"/>
  <c r="N38" i="9"/>
  <c r="M38" i="9"/>
  <c r="O37" i="9"/>
  <c r="N37" i="9"/>
  <c r="M37" i="9"/>
  <c r="O36" i="9"/>
  <c r="N36" i="9"/>
  <c r="M36" i="9"/>
  <c r="K35" i="9"/>
  <c r="O35" i="9" s="1"/>
  <c r="O34" i="9"/>
  <c r="AF34" i="9" s="1"/>
  <c r="AG34" i="9" s="1"/>
  <c r="N34" i="9"/>
  <c r="M34" i="9"/>
  <c r="O33" i="9"/>
  <c r="AF33" i="9" s="1"/>
  <c r="AG33" i="9" s="1"/>
  <c r="N33" i="9"/>
  <c r="M33" i="9"/>
  <c r="O32" i="9"/>
  <c r="N32" i="9"/>
  <c r="M32" i="9"/>
  <c r="O31" i="9"/>
  <c r="N31" i="9"/>
  <c r="AF31" i="9" s="1"/>
  <c r="AG31" i="9" s="1"/>
  <c r="M31" i="9"/>
  <c r="O30" i="9"/>
  <c r="N30" i="9"/>
  <c r="AF30" i="9" s="1"/>
  <c r="AG30" i="9" s="1"/>
  <c r="M30" i="9"/>
  <c r="O29" i="9"/>
  <c r="AF29" i="9" s="1"/>
  <c r="AG29" i="9" s="1"/>
  <c r="N29" i="9"/>
  <c r="M29" i="9"/>
  <c r="AF28" i="9"/>
  <c r="AG28" i="9" s="1"/>
  <c r="O28" i="9"/>
  <c r="N28" i="9"/>
  <c r="M28" i="9"/>
  <c r="O27" i="9"/>
  <c r="AF27" i="9" s="1"/>
  <c r="AG27" i="9" s="1"/>
  <c r="N27" i="9"/>
  <c r="M27" i="9"/>
  <c r="O26" i="9"/>
  <c r="AF26" i="9" s="1"/>
  <c r="AG26" i="9" s="1"/>
  <c r="N26" i="9"/>
  <c r="M26" i="9"/>
  <c r="O25" i="9"/>
  <c r="AF25" i="9" s="1"/>
  <c r="AG25" i="9" s="1"/>
  <c r="N25" i="9"/>
  <c r="M25" i="9"/>
  <c r="O24" i="9"/>
  <c r="N24" i="9"/>
  <c r="AF24" i="9" s="1"/>
  <c r="AG24" i="9" s="1"/>
  <c r="M24" i="9"/>
  <c r="N23" i="9"/>
  <c r="K23" i="9"/>
  <c r="M23" i="9" s="1"/>
  <c r="O22" i="9"/>
  <c r="N22" i="9"/>
  <c r="M22" i="9"/>
  <c r="K21" i="9"/>
  <c r="O21" i="9" s="1"/>
  <c r="O20" i="9"/>
  <c r="AF20" i="9" s="1"/>
  <c r="AG20" i="9" s="1"/>
  <c r="N20" i="9"/>
  <c r="M20" i="9"/>
  <c r="O19" i="9"/>
  <c r="AF19" i="9" s="1"/>
  <c r="AG19" i="9" s="1"/>
  <c r="N19" i="9"/>
  <c r="M19" i="9"/>
  <c r="K18" i="9"/>
  <c r="O17" i="9"/>
  <c r="N17" i="9"/>
  <c r="M17" i="9"/>
  <c r="O16" i="9"/>
  <c r="N16" i="9"/>
  <c r="M16" i="9"/>
  <c r="AG15" i="9"/>
  <c r="O15" i="9"/>
  <c r="N15" i="9"/>
  <c r="AF15" i="9" s="1"/>
  <c r="M15" i="9"/>
  <c r="O14" i="9"/>
  <c r="N14" i="9"/>
  <c r="AF14" i="9" s="1"/>
  <c r="AG14" i="9" s="1"/>
  <c r="M14" i="9"/>
  <c r="O13" i="9"/>
  <c r="N13" i="9"/>
  <c r="AF13" i="9" s="1"/>
  <c r="AG13" i="9" s="1"/>
  <c r="M13" i="9"/>
  <c r="O12" i="9"/>
  <c r="AF12" i="9" s="1"/>
  <c r="AG12" i="9" s="1"/>
  <c r="N12" i="9"/>
  <c r="M12" i="9"/>
  <c r="O11" i="9"/>
  <c r="N11" i="9"/>
  <c r="AF11" i="9" s="1"/>
  <c r="AG11" i="9" s="1"/>
  <c r="M11" i="9"/>
  <c r="O10" i="9"/>
  <c r="AF10" i="9" s="1"/>
  <c r="AG10" i="9" s="1"/>
  <c r="N10" i="9"/>
  <c r="M10" i="9"/>
  <c r="O9" i="9"/>
  <c r="AF9" i="9" s="1"/>
  <c r="AG9" i="9" s="1"/>
  <c r="N9" i="9"/>
  <c r="M9" i="9"/>
  <c r="O8" i="9"/>
  <c r="N8" i="9"/>
  <c r="M8" i="9"/>
  <c r="O7" i="9"/>
  <c r="N7" i="9"/>
  <c r="AF7" i="9" s="1"/>
  <c r="AG7" i="9" s="1"/>
  <c r="M7" i="9"/>
  <c r="O6" i="9"/>
  <c r="N6" i="9"/>
  <c r="M6" i="9"/>
  <c r="O5" i="9"/>
  <c r="N5" i="9"/>
  <c r="M5" i="9"/>
  <c r="AE90" i="8"/>
  <c r="AD90" i="8"/>
  <c r="AC90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L90" i="8"/>
  <c r="J90" i="8"/>
  <c r="I90" i="8"/>
  <c r="H90" i="8"/>
  <c r="AF89" i="8"/>
  <c r="AG89" i="8" s="1"/>
  <c r="O89" i="8"/>
  <c r="N89" i="8"/>
  <c r="M89" i="8"/>
  <c r="O85" i="8"/>
  <c r="AF85" i="8" s="1"/>
  <c r="AG85" i="8" s="1"/>
  <c r="N85" i="8"/>
  <c r="M85" i="8"/>
  <c r="O84" i="8"/>
  <c r="AF84" i="8" s="1"/>
  <c r="AG84" i="8" s="1"/>
  <c r="N84" i="8"/>
  <c r="M84" i="8"/>
  <c r="K83" i="8"/>
  <c r="O82" i="8"/>
  <c r="AF82" i="8" s="1"/>
  <c r="AG82" i="8" s="1"/>
  <c r="N82" i="8"/>
  <c r="M82" i="8"/>
  <c r="O81" i="8"/>
  <c r="AF81" i="8" s="1"/>
  <c r="AG81" i="8" s="1"/>
  <c r="N81" i="8"/>
  <c r="M81" i="8"/>
  <c r="O80" i="8"/>
  <c r="AF80" i="8" s="1"/>
  <c r="AG80" i="8" s="1"/>
  <c r="N80" i="8"/>
  <c r="M80" i="8"/>
  <c r="O79" i="8"/>
  <c r="N79" i="8"/>
  <c r="AF79" i="8" s="1"/>
  <c r="AG79" i="8" s="1"/>
  <c r="M79" i="8"/>
  <c r="O78" i="8"/>
  <c r="N78" i="8"/>
  <c r="M78" i="8"/>
  <c r="O77" i="8"/>
  <c r="N77" i="8"/>
  <c r="AF77" i="8" s="1"/>
  <c r="AG77" i="8" s="1"/>
  <c r="M77" i="8"/>
  <c r="O76" i="8"/>
  <c r="AF76" i="8" s="1"/>
  <c r="AG76" i="8" s="1"/>
  <c r="N76" i="8"/>
  <c r="M76" i="8"/>
  <c r="AF75" i="8"/>
  <c r="AG75" i="8" s="1"/>
  <c r="O75" i="8"/>
  <c r="N75" i="8"/>
  <c r="M75" i="8"/>
  <c r="O74" i="8"/>
  <c r="K74" i="8"/>
  <c r="N74" i="8" s="1"/>
  <c r="AF74" i="8" s="1"/>
  <c r="AG74" i="8" s="1"/>
  <c r="O73" i="8"/>
  <c r="N73" i="8"/>
  <c r="AF73" i="8" s="1"/>
  <c r="AG73" i="8" s="1"/>
  <c r="M73" i="8"/>
  <c r="AF72" i="8"/>
  <c r="AG72" i="8" s="1"/>
  <c r="O72" i="8"/>
  <c r="N72" i="8"/>
  <c r="M72" i="8"/>
  <c r="O71" i="8"/>
  <c r="N71" i="8"/>
  <c r="AF71" i="8" s="1"/>
  <c r="AG71" i="8" s="1"/>
  <c r="M71" i="8"/>
  <c r="O70" i="8"/>
  <c r="AF70" i="8" s="1"/>
  <c r="AG70" i="8" s="1"/>
  <c r="N70" i="8"/>
  <c r="M70" i="8"/>
  <c r="O69" i="8"/>
  <c r="AF69" i="8" s="1"/>
  <c r="AG69" i="8" s="1"/>
  <c r="N69" i="8"/>
  <c r="M69" i="8"/>
  <c r="O68" i="8"/>
  <c r="N68" i="8"/>
  <c r="AF68" i="8" s="1"/>
  <c r="AG68" i="8" s="1"/>
  <c r="M68" i="8"/>
  <c r="O67" i="8"/>
  <c r="N67" i="8"/>
  <c r="M67" i="8"/>
  <c r="O66" i="8"/>
  <c r="N66" i="8"/>
  <c r="AF66" i="8" s="1"/>
  <c r="AG66" i="8" s="1"/>
  <c r="M66" i="8"/>
  <c r="O65" i="8"/>
  <c r="AF65" i="8" s="1"/>
  <c r="AG65" i="8" s="1"/>
  <c r="N65" i="8"/>
  <c r="M65" i="8"/>
  <c r="AF64" i="8"/>
  <c r="AG64" i="8" s="1"/>
  <c r="O64" i="8"/>
  <c r="N64" i="8"/>
  <c r="M64" i="8"/>
  <c r="O63" i="8"/>
  <c r="AF63" i="8" s="1"/>
  <c r="AG63" i="8" s="1"/>
  <c r="N63" i="8"/>
  <c r="M63" i="8"/>
  <c r="N62" i="8"/>
  <c r="AF62" i="8" s="1"/>
  <c r="AG62" i="8" s="1"/>
  <c r="M62" i="8"/>
  <c r="O61" i="8"/>
  <c r="N61" i="8"/>
  <c r="M61" i="8"/>
  <c r="AF60" i="8"/>
  <c r="AG60" i="8" s="1"/>
  <c r="O60" i="8"/>
  <c r="N60" i="8"/>
  <c r="M60" i="8"/>
  <c r="M59" i="8"/>
  <c r="K59" i="8"/>
  <c r="O59" i="8" s="1"/>
  <c r="O58" i="8"/>
  <c r="N58" i="8"/>
  <c r="M58" i="8"/>
  <c r="N57" i="8"/>
  <c r="AF57" i="8" s="1"/>
  <c r="AG57" i="8" s="1"/>
  <c r="M57" i="8"/>
  <c r="O56" i="8"/>
  <c r="N56" i="8"/>
  <c r="M56" i="8"/>
  <c r="N55" i="8"/>
  <c r="AF55" i="8" s="1"/>
  <c r="AG55" i="8" s="1"/>
  <c r="M55" i="8"/>
  <c r="N54" i="8"/>
  <c r="AF54" i="8" s="1"/>
  <c r="AG54" i="8" s="1"/>
  <c r="M54" i="8"/>
  <c r="O53" i="8"/>
  <c r="N53" i="8"/>
  <c r="AF53" i="8" s="1"/>
  <c r="AG53" i="8" s="1"/>
  <c r="M53" i="8"/>
  <c r="K52" i="8"/>
  <c r="M52" i="8" s="1"/>
  <c r="N51" i="8"/>
  <c r="AF51" i="8" s="1"/>
  <c r="AG51" i="8" s="1"/>
  <c r="M51" i="8"/>
  <c r="O50" i="8"/>
  <c r="N50" i="8"/>
  <c r="AF50" i="8" s="1"/>
  <c r="AG50" i="8" s="1"/>
  <c r="M50" i="8"/>
  <c r="N49" i="8"/>
  <c r="AF49" i="8" s="1"/>
  <c r="AG49" i="8" s="1"/>
  <c r="M49" i="8"/>
  <c r="O48" i="8"/>
  <c r="N48" i="8"/>
  <c r="AF48" i="8" s="1"/>
  <c r="AG48" i="8" s="1"/>
  <c r="M48" i="8"/>
  <c r="N47" i="8"/>
  <c r="AF47" i="8" s="1"/>
  <c r="AG47" i="8" s="1"/>
  <c r="M47" i="8"/>
  <c r="N46" i="8"/>
  <c r="K46" i="8"/>
  <c r="O46" i="8" s="1"/>
  <c r="N45" i="8"/>
  <c r="AF45" i="8" s="1"/>
  <c r="AG45" i="8" s="1"/>
  <c r="M45" i="8"/>
  <c r="N44" i="8"/>
  <c r="AF44" i="8" s="1"/>
  <c r="AG44" i="8" s="1"/>
  <c r="M44" i="8"/>
  <c r="AF43" i="8"/>
  <c r="AG43" i="8" s="1"/>
  <c r="O43" i="8"/>
  <c r="N43" i="8"/>
  <c r="M43" i="8"/>
  <c r="O42" i="8"/>
  <c r="AF42" i="8" s="1"/>
  <c r="AG42" i="8" s="1"/>
  <c r="N42" i="8"/>
  <c r="M42" i="8"/>
  <c r="AF41" i="8"/>
  <c r="AG41" i="8" s="1"/>
  <c r="O41" i="8"/>
  <c r="N41" i="8"/>
  <c r="M41" i="8"/>
  <c r="O40" i="8"/>
  <c r="M40" i="8"/>
  <c r="K40" i="8"/>
  <c r="N40" i="8" s="1"/>
  <c r="O39" i="8"/>
  <c r="N39" i="8"/>
  <c r="AF39" i="8" s="1"/>
  <c r="AG39" i="8" s="1"/>
  <c r="M39" i="8"/>
  <c r="O38" i="8"/>
  <c r="N38" i="8"/>
  <c r="AF38" i="8" s="1"/>
  <c r="AG38" i="8" s="1"/>
  <c r="M38" i="8"/>
  <c r="O37" i="8"/>
  <c r="N37" i="8"/>
  <c r="M37" i="8"/>
  <c r="O36" i="8"/>
  <c r="AF36" i="8" s="1"/>
  <c r="AG36" i="8" s="1"/>
  <c r="N36" i="8"/>
  <c r="M36" i="8"/>
  <c r="K35" i="8"/>
  <c r="N35" i="8" s="1"/>
  <c r="AF35" i="8" s="1"/>
  <c r="AG35" i="8" s="1"/>
  <c r="O34" i="8"/>
  <c r="N34" i="8"/>
  <c r="AF34" i="8" s="1"/>
  <c r="AG34" i="8" s="1"/>
  <c r="M34" i="8"/>
  <c r="AF33" i="8"/>
  <c r="AG33" i="8" s="1"/>
  <c r="N33" i="8"/>
  <c r="M33" i="8"/>
  <c r="N32" i="8"/>
  <c r="AF32" i="8" s="1"/>
  <c r="AG32" i="8" s="1"/>
  <c r="M32" i="8"/>
  <c r="O31" i="8"/>
  <c r="N31" i="8"/>
  <c r="M31" i="8"/>
  <c r="K30" i="8"/>
  <c r="O30" i="8" s="1"/>
  <c r="N29" i="8"/>
  <c r="AF29" i="8" s="1"/>
  <c r="AG29" i="8" s="1"/>
  <c r="M29" i="8"/>
  <c r="O28" i="8"/>
  <c r="N28" i="8"/>
  <c r="AF28" i="8" s="1"/>
  <c r="AG28" i="8" s="1"/>
  <c r="M28" i="8"/>
  <c r="N27" i="8"/>
  <c r="AF27" i="8" s="1"/>
  <c r="AG27" i="8" s="1"/>
  <c r="M27" i="8"/>
  <c r="O26" i="8"/>
  <c r="N26" i="8"/>
  <c r="AF26" i="8" s="1"/>
  <c r="AG26" i="8" s="1"/>
  <c r="M26" i="8"/>
  <c r="N25" i="8"/>
  <c r="AF25" i="8" s="1"/>
  <c r="AG25" i="8" s="1"/>
  <c r="M25" i="8"/>
  <c r="O24" i="8"/>
  <c r="N24" i="8"/>
  <c r="M24" i="8"/>
  <c r="AG23" i="8"/>
  <c r="N23" i="8"/>
  <c r="AF23" i="8" s="1"/>
  <c r="M23" i="8"/>
  <c r="AF22" i="8"/>
  <c r="AG22" i="8" s="1"/>
  <c r="N22" i="8"/>
  <c r="M22" i="8"/>
  <c r="O21" i="8"/>
  <c r="N21" i="8"/>
  <c r="M21" i="8"/>
  <c r="N20" i="8"/>
  <c r="AF20" i="8" s="1"/>
  <c r="AG20" i="8" s="1"/>
  <c r="M20" i="8"/>
  <c r="AF19" i="8"/>
  <c r="AG19" i="8" s="1"/>
  <c r="O19" i="8"/>
  <c r="N19" i="8"/>
  <c r="M19" i="8"/>
  <c r="N18" i="8"/>
  <c r="AF18" i="8" s="1"/>
  <c r="AG18" i="8" s="1"/>
  <c r="M18" i="8"/>
  <c r="O17" i="8"/>
  <c r="N17" i="8"/>
  <c r="AF17" i="8" s="1"/>
  <c r="AG17" i="8" s="1"/>
  <c r="M17" i="8"/>
  <c r="N16" i="8"/>
  <c r="AF16" i="8" s="1"/>
  <c r="AG16" i="8" s="1"/>
  <c r="M16" i="8"/>
  <c r="N15" i="8"/>
  <c r="AF15" i="8" s="1"/>
  <c r="AG15" i="8" s="1"/>
  <c r="M15" i="8"/>
  <c r="O14" i="8"/>
  <c r="N14" i="8"/>
  <c r="AF14" i="8" s="1"/>
  <c r="AG14" i="8" s="1"/>
  <c r="M14" i="8"/>
  <c r="O13" i="8"/>
  <c r="N13" i="8"/>
  <c r="AF13" i="8" s="1"/>
  <c r="AG13" i="8" s="1"/>
  <c r="M13" i="8"/>
  <c r="N12" i="8"/>
  <c r="AF12" i="8" s="1"/>
  <c r="AG12" i="8" s="1"/>
  <c r="M12" i="8"/>
  <c r="O11" i="8"/>
  <c r="N11" i="8"/>
  <c r="AF11" i="8" s="1"/>
  <c r="AG11" i="8" s="1"/>
  <c r="M11" i="8"/>
  <c r="AG10" i="8"/>
  <c r="AF10" i="8"/>
  <c r="N10" i="8"/>
  <c r="M10" i="8"/>
  <c r="O9" i="8"/>
  <c r="AF9" i="8" s="1"/>
  <c r="AG9" i="8" s="1"/>
  <c r="N9" i="8"/>
  <c r="M9" i="8"/>
  <c r="N8" i="8"/>
  <c r="AF8" i="8" s="1"/>
  <c r="AG8" i="8" s="1"/>
  <c r="M8" i="8"/>
  <c r="O7" i="8"/>
  <c r="N7" i="8"/>
  <c r="AF7" i="8" s="1"/>
  <c r="AG7" i="8" s="1"/>
  <c r="M7" i="8"/>
  <c r="N6" i="8"/>
  <c r="AF6" i="8" s="1"/>
  <c r="AG6" i="8" s="1"/>
  <c r="M6" i="8"/>
  <c r="AG5" i="8"/>
  <c r="N5" i="8"/>
  <c r="AF5" i="8" s="1"/>
  <c r="M5" i="8"/>
  <c r="AE137" i="7"/>
  <c r="AD137" i="7"/>
  <c r="AC137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L137" i="7"/>
  <c r="I137" i="7"/>
  <c r="H137" i="7"/>
  <c r="O136" i="7"/>
  <c r="N136" i="7"/>
  <c r="M136" i="7"/>
  <c r="AF135" i="7"/>
  <c r="AG135" i="7" s="1"/>
  <c r="N135" i="7"/>
  <c r="M135" i="7"/>
  <c r="N134" i="7"/>
  <c r="AF134" i="7" s="1"/>
  <c r="AG134" i="7" s="1"/>
  <c r="M134" i="7"/>
  <c r="N133" i="7"/>
  <c r="AF133" i="7" s="1"/>
  <c r="AG133" i="7" s="1"/>
  <c r="M133" i="7"/>
  <c r="N132" i="7"/>
  <c r="AF132" i="7" s="1"/>
  <c r="AG132" i="7" s="1"/>
  <c r="M132" i="7"/>
  <c r="N131" i="7"/>
  <c r="AF131" i="7" s="1"/>
  <c r="AG131" i="7" s="1"/>
  <c r="M131" i="7"/>
  <c r="N130" i="7"/>
  <c r="AF130" i="7" s="1"/>
  <c r="AG130" i="7" s="1"/>
  <c r="K130" i="7"/>
  <c r="M130" i="7" s="1"/>
  <c r="O129" i="7"/>
  <c r="N129" i="7"/>
  <c r="AF129" i="7" s="1"/>
  <c r="AG129" i="7" s="1"/>
  <c r="M129" i="7"/>
  <c r="N128" i="7"/>
  <c r="AF128" i="7" s="1"/>
  <c r="AG128" i="7" s="1"/>
  <c r="M128" i="7"/>
  <c r="N127" i="7"/>
  <c r="AF127" i="7" s="1"/>
  <c r="AG127" i="7" s="1"/>
  <c r="M127" i="7"/>
  <c r="N126" i="7"/>
  <c r="AF126" i="7" s="1"/>
  <c r="AG126" i="7" s="1"/>
  <c r="M126" i="7"/>
  <c r="N125" i="7"/>
  <c r="AF125" i="7" s="1"/>
  <c r="AG125" i="7" s="1"/>
  <c r="M125" i="7"/>
  <c r="O124" i="7"/>
  <c r="N124" i="7"/>
  <c r="AF124" i="7" s="1"/>
  <c r="AG124" i="7" s="1"/>
  <c r="M124" i="7"/>
  <c r="AF123" i="7"/>
  <c r="AG123" i="7" s="1"/>
  <c r="N123" i="7"/>
  <c r="M123" i="7"/>
  <c r="N122" i="7"/>
  <c r="AF122" i="7" s="1"/>
  <c r="AG122" i="7" s="1"/>
  <c r="M122" i="7"/>
  <c r="O121" i="7"/>
  <c r="N121" i="7"/>
  <c r="M121" i="7"/>
  <c r="AF120" i="7"/>
  <c r="AG120" i="7" s="1"/>
  <c r="N120" i="7"/>
  <c r="M120" i="7"/>
  <c r="N119" i="7"/>
  <c r="AF119" i="7" s="1"/>
  <c r="AG119" i="7" s="1"/>
  <c r="K119" i="7"/>
  <c r="M119" i="7" s="1"/>
  <c r="AG118" i="7"/>
  <c r="N118" i="7"/>
  <c r="AF118" i="7" s="1"/>
  <c r="M118" i="7"/>
  <c r="AF117" i="7"/>
  <c r="AG117" i="7" s="1"/>
  <c r="N117" i="7"/>
  <c r="M117" i="7"/>
  <c r="N116" i="7"/>
  <c r="AF116" i="7" s="1"/>
  <c r="AG116" i="7" s="1"/>
  <c r="M116" i="7"/>
  <c r="AF115" i="7"/>
  <c r="AG115" i="7" s="1"/>
  <c r="N115" i="7"/>
  <c r="M115" i="7"/>
  <c r="O114" i="7"/>
  <c r="N114" i="7"/>
  <c r="AF114" i="7" s="1"/>
  <c r="AG114" i="7" s="1"/>
  <c r="M114" i="7"/>
  <c r="O113" i="7"/>
  <c r="N113" i="7"/>
  <c r="AF113" i="7" s="1"/>
  <c r="AG113" i="7" s="1"/>
  <c r="M113" i="7"/>
  <c r="O112" i="7"/>
  <c r="N112" i="7"/>
  <c r="AF112" i="7" s="1"/>
  <c r="AG112" i="7" s="1"/>
  <c r="M112" i="7"/>
  <c r="O111" i="7"/>
  <c r="AF111" i="7" s="1"/>
  <c r="AG111" i="7" s="1"/>
  <c r="N111" i="7"/>
  <c r="M111" i="7"/>
  <c r="O110" i="7"/>
  <c r="N110" i="7"/>
  <c r="AF110" i="7" s="1"/>
  <c r="AG110" i="7" s="1"/>
  <c r="M110" i="7"/>
  <c r="O109" i="7"/>
  <c r="AF109" i="7" s="1"/>
  <c r="AG109" i="7" s="1"/>
  <c r="N109" i="7"/>
  <c r="M109" i="7"/>
  <c r="O108" i="7"/>
  <c r="N108" i="7"/>
  <c r="M108" i="7"/>
  <c r="O107" i="7"/>
  <c r="N107" i="7"/>
  <c r="M107" i="7"/>
  <c r="O106" i="7"/>
  <c r="N106" i="7"/>
  <c r="M106" i="7"/>
  <c r="O105" i="7"/>
  <c r="N105" i="7"/>
  <c r="M105" i="7"/>
  <c r="O104" i="7"/>
  <c r="N104" i="7"/>
  <c r="M104" i="7"/>
  <c r="O103" i="7"/>
  <c r="N103" i="7"/>
  <c r="AF103" i="7" s="1"/>
  <c r="AG103" i="7" s="1"/>
  <c r="M103" i="7"/>
  <c r="O102" i="7"/>
  <c r="AF102" i="7" s="1"/>
  <c r="AG102" i="7" s="1"/>
  <c r="N102" i="7"/>
  <c r="M102" i="7"/>
  <c r="O101" i="7"/>
  <c r="N101" i="7"/>
  <c r="AF101" i="7" s="1"/>
  <c r="AG101" i="7" s="1"/>
  <c r="M101" i="7"/>
  <c r="O100" i="7"/>
  <c r="N100" i="7"/>
  <c r="M100" i="7"/>
  <c r="O99" i="7"/>
  <c r="AF99" i="7" s="1"/>
  <c r="AG99" i="7" s="1"/>
  <c r="N99" i="7"/>
  <c r="M99" i="7"/>
  <c r="O98" i="7"/>
  <c r="N98" i="7"/>
  <c r="AF98" i="7" s="1"/>
  <c r="AG98" i="7" s="1"/>
  <c r="M98" i="7"/>
  <c r="O97" i="7"/>
  <c r="N97" i="7"/>
  <c r="M97" i="7"/>
  <c r="O96" i="7"/>
  <c r="N96" i="7"/>
  <c r="M96" i="7"/>
  <c r="AF95" i="7"/>
  <c r="AG95" i="7" s="1"/>
  <c r="O95" i="7"/>
  <c r="N95" i="7"/>
  <c r="M95" i="7"/>
  <c r="O94" i="7"/>
  <c r="AF94" i="7" s="1"/>
  <c r="AG94" i="7" s="1"/>
  <c r="N94" i="7"/>
  <c r="M94" i="7"/>
  <c r="AF93" i="7"/>
  <c r="AG93" i="7" s="1"/>
  <c r="O93" i="7"/>
  <c r="N93" i="7"/>
  <c r="M93" i="7"/>
  <c r="O92" i="7"/>
  <c r="N92" i="7"/>
  <c r="M92" i="7"/>
  <c r="O91" i="7"/>
  <c r="N91" i="7"/>
  <c r="M91" i="7"/>
  <c r="K90" i="7"/>
  <c r="O89" i="7"/>
  <c r="N89" i="7"/>
  <c r="M89" i="7"/>
  <c r="O88" i="7"/>
  <c r="N88" i="7"/>
  <c r="M88" i="7"/>
  <c r="O87" i="7"/>
  <c r="N87" i="7"/>
  <c r="M87" i="7"/>
  <c r="O86" i="7"/>
  <c r="N86" i="7"/>
  <c r="AF86" i="7" s="1"/>
  <c r="AG86" i="7" s="1"/>
  <c r="M86" i="7"/>
  <c r="O85" i="7"/>
  <c r="N85" i="7"/>
  <c r="AF85" i="7" s="1"/>
  <c r="AG85" i="7" s="1"/>
  <c r="M85" i="7"/>
  <c r="O84" i="7"/>
  <c r="N84" i="7"/>
  <c r="M84" i="7"/>
  <c r="O83" i="7"/>
  <c r="N83" i="7"/>
  <c r="AF83" i="7" s="1"/>
  <c r="AG83" i="7" s="1"/>
  <c r="M83" i="7"/>
  <c r="K82" i="7"/>
  <c r="O82" i="7" s="1"/>
  <c r="O81" i="7"/>
  <c r="N81" i="7"/>
  <c r="AF81" i="7" s="1"/>
  <c r="AG81" i="7" s="1"/>
  <c r="M81" i="7"/>
  <c r="O80" i="7"/>
  <c r="N80" i="7"/>
  <c r="AF80" i="7" s="1"/>
  <c r="AG80" i="7" s="1"/>
  <c r="M80" i="7"/>
  <c r="O79" i="7"/>
  <c r="N79" i="7"/>
  <c r="AF79" i="7" s="1"/>
  <c r="AG79" i="7" s="1"/>
  <c r="M79" i="7"/>
  <c r="O78" i="7"/>
  <c r="AF78" i="7" s="1"/>
  <c r="AG78" i="7" s="1"/>
  <c r="N78" i="7"/>
  <c r="M78" i="7"/>
  <c r="O77" i="7"/>
  <c r="AF77" i="7" s="1"/>
  <c r="AG77" i="7" s="1"/>
  <c r="N77" i="7"/>
  <c r="M77" i="7"/>
  <c r="AG76" i="7"/>
  <c r="O76" i="7"/>
  <c r="N76" i="7"/>
  <c r="AF76" i="7" s="1"/>
  <c r="M76" i="7"/>
  <c r="O75" i="7"/>
  <c r="N75" i="7"/>
  <c r="AF75" i="7" s="1"/>
  <c r="AG75" i="7" s="1"/>
  <c r="M75" i="7"/>
  <c r="O74" i="7"/>
  <c r="N74" i="7"/>
  <c r="M74" i="7"/>
  <c r="O73" i="7"/>
  <c r="N73" i="7"/>
  <c r="AF73" i="7" s="1"/>
  <c r="AG73" i="7" s="1"/>
  <c r="M73" i="7"/>
  <c r="O72" i="7"/>
  <c r="N72" i="7"/>
  <c r="AF72" i="7" s="1"/>
  <c r="AG72" i="7" s="1"/>
  <c r="M72" i="7"/>
  <c r="O71" i="7"/>
  <c r="N71" i="7"/>
  <c r="AF71" i="7" s="1"/>
  <c r="AG71" i="7" s="1"/>
  <c r="M71" i="7"/>
  <c r="O70" i="7"/>
  <c r="N70" i="7"/>
  <c r="M70" i="7"/>
  <c r="O69" i="7"/>
  <c r="N69" i="7"/>
  <c r="M69" i="7"/>
  <c r="O68" i="7"/>
  <c r="N68" i="7"/>
  <c r="M68" i="7"/>
  <c r="O67" i="7"/>
  <c r="N67" i="7"/>
  <c r="M67" i="7"/>
  <c r="O66" i="7"/>
  <c r="N66" i="7"/>
  <c r="AF66" i="7" s="1"/>
  <c r="AG66" i="7" s="1"/>
  <c r="M66" i="7"/>
  <c r="O65" i="7"/>
  <c r="AF65" i="7" s="1"/>
  <c r="AG65" i="7" s="1"/>
  <c r="N65" i="7"/>
  <c r="M65" i="7"/>
  <c r="O64" i="7"/>
  <c r="N64" i="7"/>
  <c r="AF64" i="7" s="1"/>
  <c r="AG64" i="7" s="1"/>
  <c r="M64" i="7"/>
  <c r="O63" i="7"/>
  <c r="AF63" i="7" s="1"/>
  <c r="AG63" i="7" s="1"/>
  <c r="N63" i="7"/>
  <c r="M63" i="7"/>
  <c r="O62" i="7"/>
  <c r="N62" i="7"/>
  <c r="AF62" i="7" s="1"/>
  <c r="AG62" i="7" s="1"/>
  <c r="M62" i="7"/>
  <c r="O61" i="7"/>
  <c r="N61" i="7"/>
  <c r="M61" i="7"/>
  <c r="O60" i="7"/>
  <c r="N60" i="7"/>
  <c r="M60" i="7"/>
  <c r="O59" i="7"/>
  <c r="K59" i="7"/>
  <c r="M59" i="7" s="1"/>
  <c r="O58" i="7"/>
  <c r="N58" i="7"/>
  <c r="M58" i="7"/>
  <c r="O57" i="7"/>
  <c r="N57" i="7"/>
  <c r="M57" i="7"/>
  <c r="O56" i="7"/>
  <c r="N56" i="7"/>
  <c r="M56" i="7"/>
  <c r="O55" i="7"/>
  <c r="AF55" i="7" s="1"/>
  <c r="AG55" i="7" s="1"/>
  <c r="N55" i="7"/>
  <c r="M55" i="7"/>
  <c r="O54" i="7"/>
  <c r="AF54" i="7" s="1"/>
  <c r="AG54" i="7" s="1"/>
  <c r="N54" i="7"/>
  <c r="M54" i="7"/>
  <c r="O53" i="7"/>
  <c r="N53" i="7"/>
  <c r="M53" i="7"/>
  <c r="O52" i="7"/>
  <c r="N52" i="7"/>
  <c r="AF52" i="7" s="1"/>
  <c r="AG52" i="7" s="1"/>
  <c r="M52" i="7"/>
  <c r="O51" i="7"/>
  <c r="N51" i="7"/>
  <c r="M51" i="7"/>
  <c r="O50" i="7"/>
  <c r="AF50" i="7" s="1"/>
  <c r="AG50" i="7" s="1"/>
  <c r="N50" i="7"/>
  <c r="M50" i="7"/>
  <c r="O49" i="7"/>
  <c r="N49" i="7"/>
  <c r="M49" i="7"/>
  <c r="O48" i="7"/>
  <c r="N48" i="7"/>
  <c r="M48" i="7"/>
  <c r="O47" i="7"/>
  <c r="N47" i="7"/>
  <c r="AF47" i="7" s="1"/>
  <c r="AG47" i="7" s="1"/>
  <c r="M47" i="7"/>
  <c r="K46" i="7"/>
  <c r="O45" i="7"/>
  <c r="N45" i="7"/>
  <c r="M45" i="7"/>
  <c r="O44" i="7"/>
  <c r="N44" i="7"/>
  <c r="AF44" i="7" s="1"/>
  <c r="AG44" i="7" s="1"/>
  <c r="M44" i="7"/>
  <c r="O43" i="7"/>
  <c r="N43" i="7"/>
  <c r="AF43" i="7" s="1"/>
  <c r="AG43" i="7" s="1"/>
  <c r="M43" i="7"/>
  <c r="O42" i="7"/>
  <c r="N42" i="7"/>
  <c r="AF42" i="7" s="1"/>
  <c r="AG42" i="7" s="1"/>
  <c r="M42" i="7"/>
  <c r="O41" i="7"/>
  <c r="AF41" i="7" s="1"/>
  <c r="AG41" i="7" s="1"/>
  <c r="N41" i="7"/>
  <c r="M41" i="7"/>
  <c r="AF40" i="7"/>
  <c r="AG40" i="7" s="1"/>
  <c r="O40" i="7"/>
  <c r="N40" i="7"/>
  <c r="M40" i="7"/>
  <c r="O39" i="7"/>
  <c r="AF39" i="7" s="1"/>
  <c r="AG39" i="7" s="1"/>
  <c r="N39" i="7"/>
  <c r="M39" i="7"/>
  <c r="O38" i="7"/>
  <c r="N38" i="7"/>
  <c r="M38" i="7"/>
  <c r="O37" i="7"/>
  <c r="N37" i="7"/>
  <c r="AF37" i="7" s="1"/>
  <c r="AG37" i="7" s="1"/>
  <c r="M37" i="7"/>
  <c r="AF36" i="7"/>
  <c r="AG36" i="7" s="1"/>
  <c r="O36" i="7"/>
  <c r="N36" i="7"/>
  <c r="M36" i="7"/>
  <c r="O35" i="7"/>
  <c r="N35" i="7"/>
  <c r="M35" i="7"/>
  <c r="O34" i="7"/>
  <c r="AF34" i="7" s="1"/>
  <c r="AG34" i="7" s="1"/>
  <c r="N34" i="7"/>
  <c r="M34" i="7"/>
  <c r="O33" i="7"/>
  <c r="AF33" i="7" s="1"/>
  <c r="AG33" i="7" s="1"/>
  <c r="N33" i="7"/>
  <c r="M33" i="7"/>
  <c r="K32" i="7"/>
  <c r="O32" i="7" s="1"/>
  <c r="K31" i="7"/>
  <c r="O30" i="7"/>
  <c r="AF30" i="7" s="1"/>
  <c r="AG30" i="7" s="1"/>
  <c r="N30" i="7"/>
  <c r="M30" i="7"/>
  <c r="O29" i="7"/>
  <c r="N29" i="7"/>
  <c r="M29" i="7"/>
  <c r="O28" i="7"/>
  <c r="N28" i="7"/>
  <c r="M28" i="7"/>
  <c r="O27" i="7"/>
  <c r="N27" i="7"/>
  <c r="AF27" i="7" s="1"/>
  <c r="AG27" i="7" s="1"/>
  <c r="M27" i="7"/>
  <c r="O26" i="7"/>
  <c r="N26" i="7"/>
  <c r="AF26" i="7" s="1"/>
  <c r="AG26" i="7" s="1"/>
  <c r="M26" i="7"/>
  <c r="O25" i="7"/>
  <c r="N25" i="7"/>
  <c r="M25" i="7"/>
  <c r="O24" i="7"/>
  <c r="N24" i="7"/>
  <c r="AF24" i="7" s="1"/>
  <c r="AG24" i="7" s="1"/>
  <c r="M24" i="7"/>
  <c r="O23" i="7"/>
  <c r="N23" i="7"/>
  <c r="AF23" i="7" s="1"/>
  <c r="AG23" i="7" s="1"/>
  <c r="M23" i="7"/>
  <c r="O22" i="7"/>
  <c r="N22" i="7"/>
  <c r="AF22" i="7" s="1"/>
  <c r="AG22" i="7" s="1"/>
  <c r="M22" i="7"/>
  <c r="K21" i="7"/>
  <c r="O21" i="7" s="1"/>
  <c r="O20" i="7"/>
  <c r="N20" i="7"/>
  <c r="AF20" i="7" s="1"/>
  <c r="AG20" i="7" s="1"/>
  <c r="M20" i="7"/>
  <c r="O19" i="7"/>
  <c r="N19" i="7"/>
  <c r="AF19" i="7" s="1"/>
  <c r="AG19" i="7" s="1"/>
  <c r="M19" i="7"/>
  <c r="O18" i="7"/>
  <c r="N18" i="7"/>
  <c r="K18" i="7"/>
  <c r="M18" i="7" s="1"/>
  <c r="O17" i="7"/>
  <c r="N17" i="7"/>
  <c r="AF17" i="7" s="1"/>
  <c r="AG17" i="7" s="1"/>
  <c r="M17" i="7"/>
  <c r="AF16" i="7"/>
  <c r="AG16" i="7" s="1"/>
  <c r="O16" i="7"/>
  <c r="N16" i="7"/>
  <c r="M16" i="7"/>
  <c r="K15" i="7"/>
  <c r="N15" i="7" s="1"/>
  <c r="N14" i="7"/>
  <c r="J14" i="7"/>
  <c r="J137" i="7" s="1"/>
  <c r="O13" i="7"/>
  <c r="N13" i="7"/>
  <c r="AF13" i="7" s="1"/>
  <c r="AG13" i="7" s="1"/>
  <c r="M13" i="7"/>
  <c r="O12" i="7"/>
  <c r="N12" i="7"/>
  <c r="AF12" i="7" s="1"/>
  <c r="AG12" i="7" s="1"/>
  <c r="M12" i="7"/>
  <c r="O11" i="7"/>
  <c r="N11" i="7"/>
  <c r="AF11" i="7" s="1"/>
  <c r="AG11" i="7" s="1"/>
  <c r="M11" i="7"/>
  <c r="K10" i="7"/>
  <c r="O10" i="7" s="1"/>
  <c r="O9" i="7"/>
  <c r="N9" i="7"/>
  <c r="AF9" i="7" s="1"/>
  <c r="AG9" i="7" s="1"/>
  <c r="M9" i="7"/>
  <c r="O8" i="7"/>
  <c r="N8" i="7"/>
  <c r="AF8" i="7" s="1"/>
  <c r="AG8" i="7" s="1"/>
  <c r="M8" i="7"/>
  <c r="O7" i="7"/>
  <c r="N7" i="7"/>
  <c r="AF7" i="7" s="1"/>
  <c r="AG7" i="7" s="1"/>
  <c r="M7" i="7"/>
  <c r="O6" i="7"/>
  <c r="N6" i="7"/>
  <c r="M6" i="7"/>
  <c r="O5" i="7"/>
  <c r="N5" i="7"/>
  <c r="M5" i="7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L18" i="6"/>
  <c r="K18" i="6"/>
  <c r="J18" i="6"/>
  <c r="I18" i="6"/>
  <c r="H18" i="6"/>
  <c r="AF17" i="6"/>
  <c r="AG17" i="6" s="1"/>
  <c r="O17" i="6"/>
  <c r="N17" i="6"/>
  <c r="M17" i="6"/>
  <c r="O16" i="6"/>
  <c r="N16" i="6"/>
  <c r="AF16" i="6" s="1"/>
  <c r="AG16" i="6" s="1"/>
  <c r="M16" i="6"/>
  <c r="O15" i="6"/>
  <c r="N15" i="6"/>
  <c r="M15" i="6"/>
  <c r="O14" i="6"/>
  <c r="AF14" i="6" s="1"/>
  <c r="AG14" i="6" s="1"/>
  <c r="N14" i="6"/>
  <c r="M14" i="6"/>
  <c r="AF13" i="6"/>
  <c r="AG13" i="6" s="1"/>
  <c r="O13" i="6"/>
  <c r="N13" i="6"/>
  <c r="M13" i="6"/>
  <c r="O12" i="6"/>
  <c r="N12" i="6"/>
  <c r="M12" i="6"/>
  <c r="O11" i="6"/>
  <c r="N11" i="6"/>
  <c r="AF11" i="6" s="1"/>
  <c r="AG11" i="6" s="1"/>
  <c r="M11" i="6"/>
  <c r="O10" i="6"/>
  <c r="N10" i="6"/>
  <c r="AF10" i="6" s="1"/>
  <c r="AG10" i="6" s="1"/>
  <c r="M10" i="6"/>
  <c r="AF9" i="6"/>
  <c r="AG9" i="6" s="1"/>
  <c r="O9" i="6"/>
  <c r="N9" i="6"/>
  <c r="M9" i="6"/>
  <c r="O8" i="6"/>
  <c r="AF8" i="6" s="1"/>
  <c r="AG8" i="6" s="1"/>
  <c r="N8" i="6"/>
  <c r="M8" i="6"/>
  <c r="O7" i="6"/>
  <c r="N7" i="6"/>
  <c r="AF7" i="6" s="1"/>
  <c r="AG7" i="6" s="1"/>
  <c r="M7" i="6"/>
  <c r="O6" i="6"/>
  <c r="N6" i="6"/>
  <c r="M6" i="6"/>
  <c r="AF5" i="6"/>
  <c r="AG5" i="6" s="1"/>
  <c r="O5" i="6"/>
  <c r="N5" i="6"/>
  <c r="N18" i="6" s="1"/>
  <c r="M5" i="6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L18" i="5"/>
  <c r="J18" i="5"/>
  <c r="I18" i="5"/>
  <c r="H18" i="5"/>
  <c r="O17" i="5"/>
  <c r="N17" i="5"/>
  <c r="AF17" i="5" s="1"/>
  <c r="AG17" i="5" s="1"/>
  <c r="M17" i="5"/>
  <c r="O16" i="5"/>
  <c r="N16" i="5"/>
  <c r="M16" i="5"/>
  <c r="O15" i="5"/>
  <c r="AF15" i="5" s="1"/>
  <c r="AG15" i="5" s="1"/>
  <c r="N15" i="5"/>
  <c r="M15" i="5"/>
  <c r="O14" i="5"/>
  <c r="AF14" i="5" s="1"/>
  <c r="AG14" i="5" s="1"/>
  <c r="N14" i="5"/>
  <c r="M14" i="5"/>
  <c r="AG13" i="5"/>
  <c r="O13" i="5"/>
  <c r="N13" i="5"/>
  <c r="AF13" i="5" s="1"/>
  <c r="M13" i="5"/>
  <c r="O12" i="5"/>
  <c r="N12" i="5"/>
  <c r="M12" i="5"/>
  <c r="AF11" i="5"/>
  <c r="AG11" i="5" s="1"/>
  <c r="O11" i="5"/>
  <c r="N11" i="5"/>
  <c r="M11" i="5"/>
  <c r="K10" i="5"/>
  <c r="O10" i="5" s="1"/>
  <c r="O9" i="5"/>
  <c r="N9" i="5"/>
  <c r="M9" i="5"/>
  <c r="AF8" i="5"/>
  <c r="AG8" i="5" s="1"/>
  <c r="O8" i="5"/>
  <c r="N8" i="5"/>
  <c r="M8" i="5"/>
  <c r="AF7" i="5"/>
  <c r="AG7" i="5" s="1"/>
  <c r="O7" i="5"/>
  <c r="N7" i="5"/>
  <c r="M7" i="5"/>
  <c r="O6" i="5"/>
  <c r="N6" i="5"/>
  <c r="M6" i="5"/>
  <c r="O5" i="5"/>
  <c r="N5" i="5"/>
  <c r="AF5" i="5" s="1"/>
  <c r="AG5" i="5" s="1"/>
  <c r="M5" i="5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K95" i="4"/>
  <c r="I95" i="4"/>
  <c r="H95" i="4"/>
  <c r="AE94" i="4"/>
  <c r="AF94" i="4" s="1"/>
  <c r="N94" i="4"/>
  <c r="M94" i="4"/>
  <c r="L94" i="4"/>
  <c r="N93" i="4"/>
  <c r="M93" i="4"/>
  <c r="AE93" i="4" s="1"/>
  <c r="AF93" i="4" s="1"/>
  <c r="L93" i="4"/>
  <c r="N92" i="4"/>
  <c r="M92" i="4"/>
  <c r="L92" i="4"/>
  <c r="N91" i="4"/>
  <c r="M91" i="4"/>
  <c r="L91" i="4"/>
  <c r="N90" i="4"/>
  <c r="AE90" i="4" s="1"/>
  <c r="AF90" i="4" s="1"/>
  <c r="M90" i="4"/>
  <c r="L90" i="4"/>
  <c r="N89" i="4"/>
  <c r="M89" i="4"/>
  <c r="AE89" i="4" s="1"/>
  <c r="AF89" i="4" s="1"/>
  <c r="L89" i="4"/>
  <c r="N88" i="4"/>
  <c r="M88" i="4"/>
  <c r="L88" i="4"/>
  <c r="N87" i="4"/>
  <c r="M87" i="4"/>
  <c r="L87" i="4"/>
  <c r="N86" i="4"/>
  <c r="M86" i="4"/>
  <c r="AE86" i="4" s="1"/>
  <c r="AF86" i="4" s="1"/>
  <c r="L86" i="4"/>
  <c r="AE85" i="4"/>
  <c r="AF85" i="4" s="1"/>
  <c r="N85" i="4"/>
  <c r="M85" i="4"/>
  <c r="L85" i="4"/>
  <c r="N84" i="4"/>
  <c r="M84" i="4"/>
  <c r="AE84" i="4" s="1"/>
  <c r="AF84" i="4" s="1"/>
  <c r="L84" i="4"/>
  <c r="N83" i="4"/>
  <c r="M83" i="4"/>
  <c r="AE83" i="4" s="1"/>
  <c r="AF83" i="4" s="1"/>
  <c r="L83" i="4"/>
  <c r="N82" i="4"/>
  <c r="M82" i="4"/>
  <c r="L82" i="4"/>
  <c r="AE81" i="4"/>
  <c r="AF81" i="4" s="1"/>
  <c r="N81" i="4"/>
  <c r="M81" i="4"/>
  <c r="L81" i="4"/>
  <c r="N80" i="4"/>
  <c r="M80" i="4"/>
  <c r="AE80" i="4" s="1"/>
  <c r="AF80" i="4" s="1"/>
  <c r="L80" i="4"/>
  <c r="J79" i="4"/>
  <c r="L79" i="4" s="1"/>
  <c r="AE78" i="4"/>
  <c r="AF78" i="4" s="1"/>
  <c r="N78" i="4"/>
  <c r="M78" i="4"/>
  <c r="L78" i="4"/>
  <c r="N77" i="4"/>
  <c r="M77" i="4"/>
  <c r="AE77" i="4" s="1"/>
  <c r="AF77" i="4" s="1"/>
  <c r="L77" i="4"/>
  <c r="N76" i="4"/>
  <c r="M76" i="4"/>
  <c r="AE76" i="4" s="1"/>
  <c r="AF76" i="4" s="1"/>
  <c r="L76" i="4"/>
  <c r="N75" i="4"/>
  <c r="AE75" i="4" s="1"/>
  <c r="AF75" i="4" s="1"/>
  <c r="M75" i="4"/>
  <c r="L75" i="4"/>
  <c r="AE74" i="4"/>
  <c r="AF74" i="4" s="1"/>
  <c r="N74" i="4"/>
  <c r="M74" i="4"/>
  <c r="L74" i="4"/>
  <c r="N73" i="4"/>
  <c r="M73" i="4"/>
  <c r="AE73" i="4" s="1"/>
  <c r="AF73" i="4" s="1"/>
  <c r="L73" i="4"/>
  <c r="N72" i="4"/>
  <c r="M72" i="4"/>
  <c r="AE72" i="4" s="1"/>
  <c r="AF72" i="4" s="1"/>
  <c r="L72" i="4"/>
  <c r="J71" i="4"/>
  <c r="N70" i="4"/>
  <c r="M70" i="4"/>
  <c r="L70" i="4"/>
  <c r="N69" i="4"/>
  <c r="M69" i="4"/>
  <c r="AE69" i="4" s="1"/>
  <c r="AF69" i="4" s="1"/>
  <c r="L69" i="4"/>
  <c r="N68" i="4"/>
  <c r="M68" i="4"/>
  <c r="L68" i="4"/>
  <c r="AE67" i="4"/>
  <c r="AF67" i="4" s="1"/>
  <c r="N67" i="4"/>
  <c r="M67" i="4"/>
  <c r="L67" i="4"/>
  <c r="N66" i="4"/>
  <c r="M66" i="4"/>
  <c r="AE66" i="4" s="1"/>
  <c r="AF66" i="4" s="1"/>
  <c r="L66" i="4"/>
  <c r="N65" i="4"/>
  <c r="M65" i="4"/>
  <c r="AE65" i="4" s="1"/>
  <c r="AF65" i="4" s="1"/>
  <c r="L65" i="4"/>
  <c r="J64" i="4"/>
  <c r="M64" i="4" s="1"/>
  <c r="N63" i="4"/>
  <c r="M63" i="4"/>
  <c r="L63" i="4"/>
  <c r="N62" i="4"/>
  <c r="M62" i="4"/>
  <c r="L62" i="4"/>
  <c r="AE61" i="4"/>
  <c r="AF61" i="4" s="1"/>
  <c r="N61" i="4"/>
  <c r="M61" i="4"/>
  <c r="L61" i="4"/>
  <c r="N60" i="4"/>
  <c r="M60" i="4"/>
  <c r="AE60" i="4" s="1"/>
  <c r="AF60" i="4" s="1"/>
  <c r="L60" i="4"/>
  <c r="M59" i="4"/>
  <c r="AE59" i="4" s="1"/>
  <c r="AF59" i="4" s="1"/>
  <c r="L59" i="4"/>
  <c r="M58" i="4"/>
  <c r="AE58" i="4" s="1"/>
  <c r="AF58" i="4" s="1"/>
  <c r="L58" i="4"/>
  <c r="M57" i="4"/>
  <c r="AE57" i="4" s="1"/>
  <c r="G57" i="4"/>
  <c r="N56" i="4"/>
  <c r="M56" i="4"/>
  <c r="L56" i="4"/>
  <c r="M55" i="4"/>
  <c r="AE55" i="4" s="1"/>
  <c r="AF55" i="4" s="1"/>
  <c r="L55" i="4"/>
  <c r="M54" i="4"/>
  <c r="AE54" i="4" s="1"/>
  <c r="AF54" i="4" s="1"/>
  <c r="L54" i="4"/>
  <c r="M53" i="4"/>
  <c r="AE53" i="4" s="1"/>
  <c r="AF53" i="4" s="1"/>
  <c r="L53" i="4"/>
  <c r="M52" i="4"/>
  <c r="AE52" i="4" s="1"/>
  <c r="AF52" i="4" s="1"/>
  <c r="L52" i="4"/>
  <c r="M51" i="4"/>
  <c r="AE51" i="4" s="1"/>
  <c r="AF51" i="4" s="1"/>
  <c r="L51" i="4"/>
  <c r="AE50" i="4"/>
  <c r="AF50" i="4" s="1"/>
  <c r="N50" i="4"/>
  <c r="M50" i="4"/>
  <c r="L50" i="4"/>
  <c r="J49" i="4"/>
  <c r="N49" i="4" s="1"/>
  <c r="N48" i="4"/>
  <c r="M48" i="4"/>
  <c r="L48" i="4"/>
  <c r="N47" i="4"/>
  <c r="AE47" i="4" s="1"/>
  <c r="AF47" i="4" s="1"/>
  <c r="M47" i="4"/>
  <c r="L47" i="4"/>
  <c r="L46" i="4"/>
  <c r="J46" i="4"/>
  <c r="N46" i="4" s="1"/>
  <c r="N45" i="4"/>
  <c r="M45" i="4"/>
  <c r="AE45" i="4" s="1"/>
  <c r="AF45" i="4" s="1"/>
  <c r="L45" i="4"/>
  <c r="AE44" i="4"/>
  <c r="AF44" i="4" s="1"/>
  <c r="N44" i="4"/>
  <c r="M44" i="4"/>
  <c r="L44" i="4"/>
  <c r="N43" i="4"/>
  <c r="M43" i="4"/>
  <c r="AE43" i="4" s="1"/>
  <c r="AF43" i="4" s="1"/>
  <c r="L43" i="4"/>
  <c r="N42" i="4"/>
  <c r="M42" i="4"/>
  <c r="L42" i="4"/>
  <c r="N41" i="4"/>
  <c r="M41" i="4"/>
  <c r="L41" i="4"/>
  <c r="N40" i="4"/>
  <c r="AE40" i="4" s="1"/>
  <c r="AF40" i="4" s="1"/>
  <c r="M40" i="4"/>
  <c r="L40" i="4"/>
  <c r="N39" i="4"/>
  <c r="M39" i="4"/>
  <c r="AE39" i="4" s="1"/>
  <c r="AF39" i="4" s="1"/>
  <c r="L39" i="4"/>
  <c r="N38" i="4"/>
  <c r="M38" i="4"/>
  <c r="L38" i="4"/>
  <c r="N37" i="4"/>
  <c r="M37" i="4"/>
  <c r="AE37" i="4" s="1"/>
  <c r="G37" i="4"/>
  <c r="N36" i="4"/>
  <c r="M36" i="4"/>
  <c r="AE36" i="4" s="1"/>
  <c r="AF36" i="4" s="1"/>
  <c r="L36" i="4"/>
  <c r="N35" i="4"/>
  <c r="M35" i="4"/>
  <c r="AE35" i="4" s="1"/>
  <c r="AF35" i="4" s="1"/>
  <c r="L35" i="4"/>
  <c r="M34" i="4"/>
  <c r="J34" i="4"/>
  <c r="L34" i="4" s="1"/>
  <c r="N33" i="4"/>
  <c r="AE33" i="4" s="1"/>
  <c r="AF33" i="4" s="1"/>
  <c r="M33" i="4"/>
  <c r="L33" i="4"/>
  <c r="N32" i="4"/>
  <c r="M32" i="4"/>
  <c r="L32" i="4"/>
  <c r="N31" i="4"/>
  <c r="M31" i="4"/>
  <c r="L31" i="4"/>
  <c r="N30" i="4"/>
  <c r="M30" i="4"/>
  <c r="AE30" i="4" s="1"/>
  <c r="AF30" i="4" s="1"/>
  <c r="L30" i="4"/>
  <c r="N29" i="4"/>
  <c r="M29" i="4"/>
  <c r="AE29" i="4" s="1"/>
  <c r="AF29" i="4" s="1"/>
  <c r="L29" i="4"/>
  <c r="N28" i="4"/>
  <c r="M28" i="4"/>
  <c r="AE28" i="4" s="1"/>
  <c r="AF28" i="4" s="1"/>
  <c r="L28" i="4"/>
  <c r="N27" i="4"/>
  <c r="M27" i="4"/>
  <c r="L27" i="4"/>
  <c r="N26" i="4"/>
  <c r="M26" i="4"/>
  <c r="L26" i="4"/>
  <c r="AE25" i="4"/>
  <c r="AF25" i="4" s="1"/>
  <c r="N25" i="4"/>
  <c r="M25" i="4"/>
  <c r="L25" i="4"/>
  <c r="N24" i="4"/>
  <c r="M24" i="4"/>
  <c r="AE24" i="4" s="1"/>
  <c r="AF24" i="4" s="1"/>
  <c r="L24" i="4"/>
  <c r="N23" i="4"/>
  <c r="M23" i="4"/>
  <c r="AE23" i="4" s="1"/>
  <c r="AF23" i="4" s="1"/>
  <c r="L23" i="4"/>
  <c r="N22" i="4"/>
  <c r="M22" i="4"/>
  <c r="AE22" i="4" s="1"/>
  <c r="AF22" i="4" s="1"/>
  <c r="L22" i="4"/>
  <c r="N21" i="4"/>
  <c r="M21" i="4"/>
  <c r="AE21" i="4" s="1"/>
  <c r="AF21" i="4" s="1"/>
  <c r="L21" i="4"/>
  <c r="N20" i="4"/>
  <c r="M20" i="4"/>
  <c r="AE20" i="4" s="1"/>
  <c r="AF20" i="4" s="1"/>
  <c r="L20" i="4"/>
  <c r="N19" i="4"/>
  <c r="M19" i="4"/>
  <c r="L19" i="4"/>
  <c r="N18" i="4"/>
  <c r="AE18" i="4" s="1"/>
  <c r="AF18" i="4" s="1"/>
  <c r="M18" i="4"/>
  <c r="L18" i="4"/>
  <c r="N17" i="4"/>
  <c r="AE17" i="4" s="1"/>
  <c r="AF17" i="4" s="1"/>
  <c r="M17" i="4"/>
  <c r="L17" i="4"/>
  <c r="N16" i="4"/>
  <c r="M16" i="4"/>
  <c r="L16" i="4"/>
  <c r="N15" i="4"/>
  <c r="M15" i="4"/>
  <c r="AE15" i="4" s="1"/>
  <c r="AF15" i="4" s="1"/>
  <c r="L15" i="4"/>
  <c r="J14" i="4"/>
  <c r="M14" i="4" s="1"/>
  <c r="N13" i="4"/>
  <c r="M13" i="4"/>
  <c r="L13" i="4"/>
  <c r="N12" i="4"/>
  <c r="M12" i="4"/>
  <c r="AE12" i="4" s="1"/>
  <c r="AF12" i="4" s="1"/>
  <c r="L12" i="4"/>
  <c r="N11" i="4"/>
  <c r="AE11" i="4" s="1"/>
  <c r="AF11" i="4" s="1"/>
  <c r="M11" i="4"/>
  <c r="L11" i="4"/>
  <c r="AE10" i="4"/>
  <c r="AF10" i="4" s="1"/>
  <c r="N10" i="4"/>
  <c r="M10" i="4"/>
  <c r="L10" i="4"/>
  <c r="N9" i="4"/>
  <c r="M9" i="4"/>
  <c r="AE9" i="4" s="1"/>
  <c r="AF9" i="4" s="1"/>
  <c r="L9" i="4"/>
  <c r="N8" i="4"/>
  <c r="M8" i="4"/>
  <c r="AE8" i="4" s="1"/>
  <c r="AF8" i="4" s="1"/>
  <c r="L8" i="4"/>
  <c r="N7" i="4"/>
  <c r="AE7" i="4" s="1"/>
  <c r="AF7" i="4" s="1"/>
  <c r="M7" i="4"/>
  <c r="L7" i="4"/>
  <c r="N6" i="4"/>
  <c r="M6" i="4"/>
  <c r="AE6" i="4" s="1"/>
  <c r="AF6" i="4" s="1"/>
  <c r="L6" i="4"/>
  <c r="N5" i="4"/>
  <c r="M5" i="4"/>
  <c r="L5" i="4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L176" i="3"/>
  <c r="J176" i="3"/>
  <c r="I176" i="3"/>
  <c r="O175" i="3"/>
  <c r="N175" i="3"/>
  <c r="M175" i="3"/>
  <c r="O174" i="3"/>
  <c r="AF174" i="3" s="1"/>
  <c r="AG174" i="3" s="1"/>
  <c r="N174" i="3"/>
  <c r="M174" i="3"/>
  <c r="O173" i="3"/>
  <c r="AF173" i="3" s="1"/>
  <c r="AG173" i="3" s="1"/>
  <c r="N173" i="3"/>
  <c r="M173" i="3"/>
  <c r="AG172" i="3"/>
  <c r="O172" i="3"/>
  <c r="N172" i="3"/>
  <c r="AF172" i="3" s="1"/>
  <c r="M172" i="3"/>
  <c r="O171" i="3"/>
  <c r="N171" i="3"/>
  <c r="AF171" i="3" s="1"/>
  <c r="AG171" i="3" s="1"/>
  <c r="M171" i="3"/>
  <c r="O170" i="3"/>
  <c r="N170" i="3"/>
  <c r="AF170" i="3" s="1"/>
  <c r="AG170" i="3" s="1"/>
  <c r="M170" i="3"/>
  <c r="O169" i="3"/>
  <c r="N169" i="3"/>
  <c r="AF169" i="3" s="1"/>
  <c r="AG169" i="3" s="1"/>
  <c r="M169" i="3"/>
  <c r="O168" i="3"/>
  <c r="N168" i="3"/>
  <c r="AF168" i="3" s="1"/>
  <c r="AG168" i="3" s="1"/>
  <c r="M168" i="3"/>
  <c r="O167" i="3"/>
  <c r="N167" i="3"/>
  <c r="M167" i="3"/>
  <c r="O166" i="3"/>
  <c r="AF166" i="3" s="1"/>
  <c r="AG166" i="3" s="1"/>
  <c r="N166" i="3"/>
  <c r="M166" i="3"/>
  <c r="O165" i="3"/>
  <c r="N165" i="3"/>
  <c r="AF165" i="3" s="1"/>
  <c r="AG165" i="3" s="1"/>
  <c r="M165" i="3"/>
  <c r="O164" i="3"/>
  <c r="N164" i="3"/>
  <c r="M164" i="3"/>
  <c r="O163" i="3"/>
  <c r="N163" i="3"/>
  <c r="M163" i="3"/>
  <c r="O162" i="3"/>
  <c r="N162" i="3"/>
  <c r="M162" i="3"/>
  <c r="AF161" i="3"/>
  <c r="AG161" i="3" s="1"/>
  <c r="O161" i="3"/>
  <c r="N161" i="3"/>
  <c r="M161" i="3"/>
  <c r="O160" i="3"/>
  <c r="N160" i="3"/>
  <c r="AF160" i="3" s="1"/>
  <c r="AG160" i="3" s="1"/>
  <c r="M160" i="3"/>
  <c r="O159" i="3"/>
  <c r="N159" i="3"/>
  <c r="M159" i="3"/>
  <c r="O158" i="3"/>
  <c r="AF158" i="3" s="1"/>
  <c r="AG158" i="3" s="1"/>
  <c r="N158" i="3"/>
  <c r="M158" i="3"/>
  <c r="O157" i="3"/>
  <c r="AF157" i="3" s="1"/>
  <c r="AG157" i="3" s="1"/>
  <c r="N157" i="3"/>
  <c r="M157" i="3"/>
  <c r="O156" i="3"/>
  <c r="N156" i="3"/>
  <c r="M156" i="3"/>
  <c r="O155" i="3"/>
  <c r="N155" i="3"/>
  <c r="AF155" i="3" s="1"/>
  <c r="AG155" i="3" s="1"/>
  <c r="M155" i="3"/>
  <c r="AF154" i="3"/>
  <c r="AG154" i="3" s="1"/>
  <c r="O154" i="3"/>
  <c r="N154" i="3"/>
  <c r="M154" i="3"/>
  <c r="O153" i="3"/>
  <c r="N153" i="3"/>
  <c r="AF153" i="3" s="1"/>
  <c r="AG153" i="3" s="1"/>
  <c r="M153" i="3"/>
  <c r="O152" i="3"/>
  <c r="N152" i="3"/>
  <c r="M152" i="3"/>
  <c r="K151" i="3"/>
  <c r="O151" i="3" s="1"/>
  <c r="AF150" i="3"/>
  <c r="AG150" i="3" s="1"/>
  <c r="O150" i="3"/>
  <c r="N150" i="3"/>
  <c r="M150" i="3"/>
  <c r="O149" i="3"/>
  <c r="N149" i="3"/>
  <c r="M149" i="3"/>
  <c r="O148" i="3"/>
  <c r="N148" i="3"/>
  <c r="M148" i="3"/>
  <c r="O147" i="3"/>
  <c r="N147" i="3"/>
  <c r="M147" i="3"/>
  <c r="O146" i="3"/>
  <c r="N146" i="3"/>
  <c r="AF146" i="3" s="1"/>
  <c r="AG146" i="3" s="1"/>
  <c r="M146" i="3"/>
  <c r="O145" i="3"/>
  <c r="N145" i="3"/>
  <c r="M145" i="3"/>
  <c r="O144" i="3"/>
  <c r="N144" i="3"/>
  <c r="M144" i="3"/>
  <c r="O143" i="3"/>
  <c r="N143" i="3"/>
  <c r="M143" i="3"/>
  <c r="O142" i="3"/>
  <c r="N142" i="3"/>
  <c r="AF142" i="3" s="1"/>
  <c r="AG142" i="3" s="1"/>
  <c r="M142" i="3"/>
  <c r="O141" i="3"/>
  <c r="N141" i="3"/>
  <c r="AF141" i="3" s="1"/>
  <c r="AG141" i="3" s="1"/>
  <c r="M141" i="3"/>
  <c r="O140" i="3"/>
  <c r="N140" i="3"/>
  <c r="AF140" i="3" s="1"/>
  <c r="AG140" i="3" s="1"/>
  <c r="M140" i="3"/>
  <c r="O139" i="3"/>
  <c r="AF139" i="3" s="1"/>
  <c r="AG139" i="3" s="1"/>
  <c r="N139" i="3"/>
  <c r="M139" i="3"/>
  <c r="AF138" i="3"/>
  <c r="AG138" i="3" s="1"/>
  <c r="O138" i="3"/>
  <c r="N138" i="3"/>
  <c r="M138" i="3"/>
  <c r="O137" i="3"/>
  <c r="N137" i="3"/>
  <c r="M137" i="3"/>
  <c r="O136" i="3"/>
  <c r="N136" i="3"/>
  <c r="AF136" i="3" s="1"/>
  <c r="AG136" i="3" s="1"/>
  <c r="K136" i="3"/>
  <c r="M136" i="3" s="1"/>
  <c r="AF135" i="3"/>
  <c r="AG135" i="3" s="1"/>
  <c r="O135" i="3"/>
  <c r="N135" i="3"/>
  <c r="M135" i="3"/>
  <c r="O134" i="3"/>
  <c r="N134" i="3"/>
  <c r="AF134" i="3" s="1"/>
  <c r="AG134" i="3" s="1"/>
  <c r="M134" i="3"/>
  <c r="O133" i="3"/>
  <c r="N133" i="3"/>
  <c r="AF133" i="3" s="1"/>
  <c r="AG133" i="3" s="1"/>
  <c r="M133" i="3"/>
  <c r="O132" i="3"/>
  <c r="AF132" i="3" s="1"/>
  <c r="AG132" i="3" s="1"/>
  <c r="N132" i="3"/>
  <c r="M132" i="3"/>
  <c r="AF131" i="3"/>
  <c r="AG131" i="3" s="1"/>
  <c r="O131" i="3"/>
  <c r="N131" i="3"/>
  <c r="M131" i="3"/>
  <c r="O130" i="3"/>
  <c r="N130" i="3"/>
  <c r="M130" i="3"/>
  <c r="O129" i="3"/>
  <c r="N129" i="3"/>
  <c r="M129" i="3"/>
  <c r="O128" i="3"/>
  <c r="N128" i="3"/>
  <c r="M128" i="3"/>
  <c r="O127" i="3"/>
  <c r="N127" i="3"/>
  <c r="AF127" i="3" s="1"/>
  <c r="AG127" i="3" s="1"/>
  <c r="H127" i="3"/>
  <c r="M127" i="3" s="1"/>
  <c r="O126" i="3"/>
  <c r="N126" i="3"/>
  <c r="M126" i="3"/>
  <c r="O125" i="3"/>
  <c r="AF125" i="3" s="1"/>
  <c r="AG125" i="3" s="1"/>
  <c r="N125" i="3"/>
  <c r="H125" i="3"/>
  <c r="M125" i="3" s="1"/>
  <c r="O124" i="3"/>
  <c r="N124" i="3"/>
  <c r="AF124" i="3" s="1"/>
  <c r="AG124" i="3" s="1"/>
  <c r="M124" i="3"/>
  <c r="O123" i="3"/>
  <c r="N123" i="3"/>
  <c r="M123" i="3"/>
  <c r="O122" i="3"/>
  <c r="AF122" i="3" s="1"/>
  <c r="AG122" i="3" s="1"/>
  <c r="N122" i="3"/>
  <c r="M122" i="3"/>
  <c r="AG121" i="3"/>
  <c r="AF121" i="3"/>
  <c r="O121" i="3"/>
  <c r="N121" i="3"/>
  <c r="M121" i="3"/>
  <c r="O120" i="3"/>
  <c r="N120" i="3"/>
  <c r="M120" i="3"/>
  <c r="O119" i="3"/>
  <c r="N119" i="3"/>
  <c r="H119" i="3"/>
  <c r="M119" i="3" s="1"/>
  <c r="AG118" i="3"/>
  <c r="AF118" i="3"/>
  <c r="O118" i="3"/>
  <c r="N118" i="3"/>
  <c r="M118" i="3"/>
  <c r="O117" i="3"/>
  <c r="N117" i="3"/>
  <c r="M117" i="3"/>
  <c r="O116" i="3"/>
  <c r="N116" i="3"/>
  <c r="M116" i="3"/>
  <c r="O115" i="3"/>
  <c r="N115" i="3"/>
  <c r="AF115" i="3" s="1"/>
  <c r="AG115" i="3" s="1"/>
  <c r="M115" i="3"/>
  <c r="K114" i="3"/>
  <c r="M114" i="3" s="1"/>
  <c r="O113" i="3"/>
  <c r="N113" i="3"/>
  <c r="M113" i="3"/>
  <c r="O112" i="3"/>
  <c r="AF112" i="3" s="1"/>
  <c r="AG112" i="3" s="1"/>
  <c r="N112" i="3"/>
  <c r="M112" i="3"/>
  <c r="AF111" i="3"/>
  <c r="AG111" i="3" s="1"/>
  <c r="O111" i="3"/>
  <c r="N111" i="3"/>
  <c r="M111" i="3"/>
  <c r="O110" i="3"/>
  <c r="N110" i="3"/>
  <c r="AF110" i="3" s="1"/>
  <c r="AG110" i="3" s="1"/>
  <c r="M110" i="3"/>
  <c r="O109" i="3"/>
  <c r="N109" i="3"/>
  <c r="AF109" i="3" s="1"/>
  <c r="AG109" i="3" s="1"/>
  <c r="M109" i="3"/>
  <c r="O108" i="3"/>
  <c r="AF108" i="3" s="1"/>
  <c r="AG108" i="3" s="1"/>
  <c r="N108" i="3"/>
  <c r="M108" i="3"/>
  <c r="AG107" i="3"/>
  <c r="AF107" i="3"/>
  <c r="O107" i="3"/>
  <c r="N107" i="3"/>
  <c r="M107" i="3"/>
  <c r="O106" i="3"/>
  <c r="N106" i="3"/>
  <c r="M106" i="3"/>
  <c r="O105" i="3"/>
  <c r="N105" i="3"/>
  <c r="M105" i="3"/>
  <c r="O104" i="3"/>
  <c r="AF104" i="3" s="1"/>
  <c r="AG104" i="3" s="1"/>
  <c r="N104" i="3"/>
  <c r="M104" i="3"/>
  <c r="O103" i="3"/>
  <c r="AF103" i="3" s="1"/>
  <c r="AG103" i="3" s="1"/>
  <c r="N103" i="3"/>
  <c r="M103" i="3"/>
  <c r="O102" i="3"/>
  <c r="N102" i="3"/>
  <c r="M102" i="3"/>
  <c r="O101" i="3"/>
  <c r="N101" i="3"/>
  <c r="AF101" i="3" s="1"/>
  <c r="AG101" i="3" s="1"/>
  <c r="M101" i="3"/>
  <c r="O100" i="3"/>
  <c r="AF100" i="3" s="1"/>
  <c r="AG100" i="3" s="1"/>
  <c r="N100" i="3"/>
  <c r="M100" i="3"/>
  <c r="O99" i="3"/>
  <c r="N99" i="3"/>
  <c r="AF99" i="3" s="1"/>
  <c r="AG99" i="3" s="1"/>
  <c r="M99" i="3"/>
  <c r="O98" i="3"/>
  <c r="N98" i="3"/>
  <c r="M98" i="3"/>
  <c r="O97" i="3"/>
  <c r="N97" i="3"/>
  <c r="M97" i="3"/>
  <c r="K96" i="3"/>
  <c r="O96" i="3" s="1"/>
  <c r="AG95" i="3"/>
  <c r="O95" i="3"/>
  <c r="N95" i="3"/>
  <c r="AF95" i="3" s="1"/>
  <c r="M95" i="3"/>
  <c r="O94" i="3"/>
  <c r="N94" i="3"/>
  <c r="M94" i="3"/>
  <c r="O93" i="3"/>
  <c r="AF93" i="3" s="1"/>
  <c r="AG93" i="3" s="1"/>
  <c r="N93" i="3"/>
  <c r="H93" i="3"/>
  <c r="M93" i="3" s="1"/>
  <c r="O92" i="3"/>
  <c r="N92" i="3"/>
  <c r="M92" i="3"/>
  <c r="O91" i="3"/>
  <c r="N91" i="3"/>
  <c r="AF91" i="3" s="1"/>
  <c r="AG91" i="3" s="1"/>
  <c r="M91" i="3"/>
  <c r="O90" i="3"/>
  <c r="N90" i="3"/>
  <c r="M90" i="3"/>
  <c r="O89" i="3"/>
  <c r="N89" i="3"/>
  <c r="AF89" i="3" s="1"/>
  <c r="AG89" i="3" s="1"/>
  <c r="M89" i="3"/>
  <c r="O88" i="3"/>
  <c r="N88" i="3"/>
  <c r="M88" i="3"/>
  <c r="O87" i="3"/>
  <c r="N87" i="3"/>
  <c r="AF87" i="3" s="1"/>
  <c r="AG87" i="3" s="1"/>
  <c r="M87" i="3"/>
  <c r="O86" i="3"/>
  <c r="AF86" i="3" s="1"/>
  <c r="AG86" i="3" s="1"/>
  <c r="N86" i="3"/>
  <c r="M86" i="3"/>
  <c r="O85" i="3"/>
  <c r="N85" i="3"/>
  <c r="AF85" i="3" s="1"/>
  <c r="AG85" i="3" s="1"/>
  <c r="M85" i="3"/>
  <c r="AG84" i="3"/>
  <c r="O84" i="3"/>
  <c r="N84" i="3"/>
  <c r="AF84" i="3" s="1"/>
  <c r="M84" i="3"/>
  <c r="O83" i="3"/>
  <c r="N83" i="3"/>
  <c r="M83" i="3"/>
  <c r="O82" i="3"/>
  <c r="AF82" i="3" s="1"/>
  <c r="AG82" i="3" s="1"/>
  <c r="N82" i="3"/>
  <c r="M82" i="3"/>
  <c r="AG81" i="3"/>
  <c r="AF81" i="3"/>
  <c r="O81" i="3"/>
  <c r="N81" i="3"/>
  <c r="M81" i="3"/>
  <c r="O80" i="3"/>
  <c r="N80" i="3"/>
  <c r="M80" i="3"/>
  <c r="O79" i="3"/>
  <c r="N79" i="3"/>
  <c r="M79" i="3"/>
  <c r="O78" i="3"/>
  <c r="N78" i="3"/>
  <c r="M78" i="3"/>
  <c r="AF77" i="3"/>
  <c r="AG77" i="3" s="1"/>
  <c r="O77" i="3"/>
  <c r="N77" i="3"/>
  <c r="M77" i="3"/>
  <c r="O76" i="3"/>
  <c r="N76" i="3"/>
  <c r="M76" i="3"/>
  <c r="O75" i="3"/>
  <c r="N75" i="3"/>
  <c r="AF75" i="3" s="1"/>
  <c r="AG75" i="3" s="1"/>
  <c r="M75" i="3"/>
  <c r="O74" i="3"/>
  <c r="AF74" i="3" s="1"/>
  <c r="AG74" i="3" s="1"/>
  <c r="N74" i="3"/>
  <c r="M74" i="3"/>
  <c r="AF73" i="3"/>
  <c r="AG73" i="3" s="1"/>
  <c r="O73" i="3"/>
  <c r="N73" i="3"/>
  <c r="M73" i="3"/>
  <c r="O72" i="3"/>
  <c r="N72" i="3"/>
  <c r="M72" i="3"/>
  <c r="O71" i="3"/>
  <c r="N71" i="3"/>
  <c r="AF71" i="3" s="1"/>
  <c r="AG71" i="3" s="1"/>
  <c r="M71" i="3"/>
  <c r="AF70" i="3"/>
  <c r="AG70" i="3" s="1"/>
  <c r="O70" i="3"/>
  <c r="N70" i="3"/>
  <c r="M70" i="3"/>
  <c r="AF69" i="3"/>
  <c r="AG69" i="3" s="1"/>
  <c r="O69" i="3"/>
  <c r="N69" i="3"/>
  <c r="M69" i="3"/>
  <c r="O68" i="3"/>
  <c r="N68" i="3"/>
  <c r="M68" i="3"/>
  <c r="O67" i="3"/>
  <c r="N67" i="3"/>
  <c r="M67" i="3"/>
  <c r="O66" i="3"/>
  <c r="N66" i="3"/>
  <c r="M66" i="3"/>
  <c r="O65" i="3"/>
  <c r="N65" i="3"/>
  <c r="M65" i="3"/>
  <c r="AG64" i="3"/>
  <c r="N64" i="3"/>
  <c r="AF64" i="3" s="1"/>
  <c r="K64" i="3"/>
  <c r="O64" i="3" s="1"/>
  <c r="O63" i="3"/>
  <c r="AF63" i="3" s="1"/>
  <c r="AG63" i="3" s="1"/>
  <c r="N63" i="3"/>
  <c r="M63" i="3"/>
  <c r="O62" i="3"/>
  <c r="N62" i="3"/>
  <c r="AF62" i="3" s="1"/>
  <c r="AG62" i="3" s="1"/>
  <c r="M62" i="3"/>
  <c r="O61" i="3"/>
  <c r="N61" i="3"/>
  <c r="M61" i="3"/>
  <c r="O60" i="3"/>
  <c r="N60" i="3"/>
  <c r="AF60" i="3" s="1"/>
  <c r="AG60" i="3" s="1"/>
  <c r="M60" i="3"/>
  <c r="O59" i="3"/>
  <c r="N59" i="3"/>
  <c r="AF59" i="3" s="1"/>
  <c r="AG59" i="3" s="1"/>
  <c r="M59" i="3"/>
  <c r="O58" i="3"/>
  <c r="N58" i="3"/>
  <c r="AF58" i="3" s="1"/>
  <c r="AG58" i="3" s="1"/>
  <c r="M58" i="3"/>
  <c r="O57" i="3"/>
  <c r="N57" i="3"/>
  <c r="M57" i="3"/>
  <c r="O56" i="3"/>
  <c r="N56" i="3"/>
  <c r="M56" i="3"/>
  <c r="O55" i="3"/>
  <c r="AF55" i="3" s="1"/>
  <c r="AG55" i="3" s="1"/>
  <c r="N55" i="3"/>
  <c r="M55" i="3"/>
  <c r="O54" i="3"/>
  <c r="N54" i="3"/>
  <c r="M54" i="3"/>
  <c r="O53" i="3"/>
  <c r="N53" i="3"/>
  <c r="AF53" i="3" s="1"/>
  <c r="AG53" i="3" s="1"/>
  <c r="M53" i="3"/>
  <c r="O52" i="3"/>
  <c r="N52" i="3"/>
  <c r="AF52" i="3" s="1"/>
  <c r="AG52" i="3" s="1"/>
  <c r="M52" i="3"/>
  <c r="O51" i="3"/>
  <c r="N51" i="3"/>
  <c r="AF51" i="3" s="1"/>
  <c r="AG51" i="3" s="1"/>
  <c r="M51" i="3"/>
  <c r="AF50" i="3"/>
  <c r="AG50" i="3" s="1"/>
  <c r="O50" i="3"/>
  <c r="N50" i="3"/>
  <c r="M50" i="3"/>
  <c r="O49" i="3"/>
  <c r="N49" i="3"/>
  <c r="M49" i="3"/>
  <c r="O48" i="3"/>
  <c r="N48" i="3"/>
  <c r="M48" i="3"/>
  <c r="O47" i="3"/>
  <c r="AF47" i="3" s="1"/>
  <c r="AG47" i="3" s="1"/>
  <c r="N47" i="3"/>
  <c r="M47" i="3"/>
  <c r="K46" i="3"/>
  <c r="O46" i="3" s="1"/>
  <c r="O45" i="3"/>
  <c r="N45" i="3"/>
  <c r="M45" i="3"/>
  <c r="AF44" i="3"/>
  <c r="AG44" i="3" s="1"/>
  <c r="O44" i="3"/>
  <c r="N44" i="3"/>
  <c r="M44" i="3"/>
  <c r="O43" i="3"/>
  <c r="N43" i="3"/>
  <c r="AF43" i="3" s="1"/>
  <c r="AG43" i="3" s="1"/>
  <c r="M43" i="3"/>
  <c r="O42" i="3"/>
  <c r="N42" i="3"/>
  <c r="AF42" i="3" s="1"/>
  <c r="AG42" i="3" s="1"/>
  <c r="M42" i="3"/>
  <c r="O41" i="3"/>
  <c r="N41" i="3"/>
  <c r="M41" i="3"/>
  <c r="O40" i="3"/>
  <c r="AF40" i="3" s="1"/>
  <c r="AG40" i="3" s="1"/>
  <c r="N40" i="3"/>
  <c r="M40" i="3"/>
  <c r="AG39" i="3"/>
  <c r="AF39" i="3"/>
  <c r="O39" i="3"/>
  <c r="N39" i="3"/>
  <c r="M39" i="3"/>
  <c r="O38" i="3"/>
  <c r="N38" i="3"/>
  <c r="M38" i="3"/>
  <c r="O37" i="3"/>
  <c r="N37" i="3"/>
  <c r="M37" i="3"/>
  <c r="O36" i="3"/>
  <c r="N36" i="3"/>
  <c r="AF36" i="3" s="1"/>
  <c r="AG36" i="3" s="1"/>
  <c r="M36" i="3"/>
  <c r="O35" i="3"/>
  <c r="N35" i="3"/>
  <c r="AF35" i="3" s="1"/>
  <c r="AG35" i="3" s="1"/>
  <c r="M35" i="3"/>
  <c r="O34" i="3"/>
  <c r="N34" i="3"/>
  <c r="AF34" i="3" s="1"/>
  <c r="AG34" i="3" s="1"/>
  <c r="M34" i="3"/>
  <c r="O33" i="3"/>
  <c r="N33" i="3"/>
  <c r="M33" i="3"/>
  <c r="K33" i="3"/>
  <c r="O32" i="3"/>
  <c r="N32" i="3"/>
  <c r="AF32" i="3" s="1"/>
  <c r="AG32" i="3" s="1"/>
  <c r="M32" i="3"/>
  <c r="O31" i="3"/>
  <c r="N31" i="3"/>
  <c r="M31" i="3"/>
  <c r="O30" i="3"/>
  <c r="N30" i="3"/>
  <c r="M30" i="3"/>
  <c r="O29" i="3"/>
  <c r="N29" i="3"/>
  <c r="M29" i="3"/>
  <c r="AF28" i="3"/>
  <c r="AG28" i="3" s="1"/>
  <c r="O28" i="3"/>
  <c r="N28" i="3"/>
  <c r="M28" i="3"/>
  <c r="O27" i="3"/>
  <c r="N27" i="3"/>
  <c r="AF27" i="3" s="1"/>
  <c r="AG27" i="3" s="1"/>
  <c r="M27" i="3"/>
  <c r="O26" i="3"/>
  <c r="N26" i="3"/>
  <c r="AF26" i="3" s="1"/>
  <c r="AG26" i="3" s="1"/>
  <c r="M26" i="3"/>
  <c r="O25" i="3"/>
  <c r="N25" i="3"/>
  <c r="AF25" i="3" s="1"/>
  <c r="AG25" i="3" s="1"/>
  <c r="M25" i="3"/>
  <c r="AF24" i="3"/>
  <c r="AG24" i="3" s="1"/>
  <c r="O24" i="3"/>
  <c r="N24" i="3"/>
  <c r="M24" i="3"/>
  <c r="O23" i="3"/>
  <c r="N23" i="3"/>
  <c r="AF23" i="3" s="1"/>
  <c r="AG23" i="3" s="1"/>
  <c r="M23" i="3"/>
  <c r="O22" i="3"/>
  <c r="AF22" i="3" s="1"/>
  <c r="AG22" i="3" s="1"/>
  <c r="N22" i="3"/>
  <c r="M22" i="3"/>
  <c r="O21" i="3"/>
  <c r="AF21" i="3" s="1"/>
  <c r="AG21" i="3" s="1"/>
  <c r="N21" i="3"/>
  <c r="M21" i="3"/>
  <c r="O20" i="3"/>
  <c r="N20" i="3"/>
  <c r="AF20" i="3" s="1"/>
  <c r="AG20" i="3" s="1"/>
  <c r="M20" i="3"/>
  <c r="O19" i="3"/>
  <c r="N19" i="3"/>
  <c r="M19" i="3"/>
  <c r="O18" i="3"/>
  <c r="N18" i="3"/>
  <c r="M18" i="3"/>
  <c r="AF17" i="3"/>
  <c r="AG17" i="3" s="1"/>
  <c r="O17" i="3"/>
  <c r="N17" i="3"/>
  <c r="M17" i="3"/>
  <c r="O16" i="3"/>
  <c r="N16" i="3"/>
  <c r="M16" i="3"/>
  <c r="O15" i="3"/>
  <c r="N15" i="3"/>
  <c r="M15" i="3"/>
  <c r="O14" i="3"/>
  <c r="N14" i="3"/>
  <c r="K14" i="3"/>
  <c r="M14" i="3" s="1"/>
  <c r="O13" i="3"/>
  <c r="N13" i="3"/>
  <c r="AF13" i="3" s="1"/>
  <c r="AG13" i="3" s="1"/>
  <c r="M13" i="3"/>
  <c r="O12" i="3"/>
  <c r="N12" i="3"/>
  <c r="M12" i="3"/>
  <c r="O11" i="3"/>
  <c r="N11" i="3"/>
  <c r="M11" i="3"/>
  <c r="O10" i="3"/>
  <c r="N10" i="3"/>
  <c r="M10" i="3"/>
  <c r="O9" i="3"/>
  <c r="N9" i="3"/>
  <c r="AF9" i="3" s="1"/>
  <c r="AG9" i="3" s="1"/>
  <c r="M9" i="3"/>
  <c r="O8" i="3"/>
  <c r="N8" i="3"/>
  <c r="M8" i="3"/>
  <c r="O7" i="3"/>
  <c r="N7" i="3"/>
  <c r="M7" i="3"/>
  <c r="O6" i="3"/>
  <c r="N6" i="3"/>
  <c r="AF6" i="3" s="1"/>
  <c r="AG6" i="3" s="1"/>
  <c r="M6" i="3"/>
  <c r="O5" i="3"/>
  <c r="N5" i="3"/>
  <c r="M5" i="3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L117" i="2"/>
  <c r="J117" i="2"/>
  <c r="I117" i="2"/>
  <c r="H117" i="2"/>
  <c r="O116" i="2"/>
  <c r="N116" i="2"/>
  <c r="AG116" i="2" s="1"/>
  <c r="AH116" i="2" s="1"/>
  <c r="M116" i="2"/>
  <c r="O115" i="2"/>
  <c r="N115" i="2"/>
  <c r="AG115" i="2" s="1"/>
  <c r="AH115" i="2" s="1"/>
  <c r="M115" i="2"/>
  <c r="O114" i="2"/>
  <c r="AG114" i="2" s="1"/>
  <c r="AH114" i="2" s="1"/>
  <c r="N114" i="2"/>
  <c r="M114" i="2"/>
  <c r="O113" i="2"/>
  <c r="N113" i="2"/>
  <c r="M113" i="2"/>
  <c r="O112" i="2"/>
  <c r="N112" i="2"/>
  <c r="M112" i="2"/>
  <c r="O111" i="2"/>
  <c r="N111" i="2"/>
  <c r="AG111" i="2" s="1"/>
  <c r="AH111" i="2" s="1"/>
  <c r="M111" i="2"/>
  <c r="K110" i="2"/>
  <c r="O110" i="2" s="1"/>
  <c r="O109" i="2"/>
  <c r="N109" i="2"/>
  <c r="M109" i="2"/>
  <c r="N108" i="2"/>
  <c r="K108" i="2"/>
  <c r="M108" i="2" s="1"/>
  <c r="O107" i="2"/>
  <c r="N107" i="2"/>
  <c r="M107" i="2"/>
  <c r="O106" i="2"/>
  <c r="N106" i="2"/>
  <c r="AG106" i="2" s="1"/>
  <c r="AH106" i="2" s="1"/>
  <c r="O105" i="2"/>
  <c r="N105" i="2"/>
  <c r="AG105" i="2" s="1"/>
  <c r="AH105" i="2" s="1"/>
  <c r="M105" i="2"/>
  <c r="O104" i="2"/>
  <c r="AG104" i="2" s="1"/>
  <c r="AH104" i="2" s="1"/>
  <c r="N104" i="2"/>
  <c r="M104" i="2"/>
  <c r="O103" i="2"/>
  <c r="N103" i="2"/>
  <c r="M103" i="2"/>
  <c r="O102" i="2"/>
  <c r="N102" i="2"/>
  <c r="M102" i="2"/>
  <c r="O101" i="2"/>
  <c r="N101" i="2"/>
  <c r="AG101" i="2" s="1"/>
  <c r="AH101" i="2" s="1"/>
  <c r="M101" i="2"/>
  <c r="O100" i="2"/>
  <c r="AG100" i="2" s="1"/>
  <c r="AH100" i="2" s="1"/>
  <c r="N100" i="2"/>
  <c r="M100" i="2"/>
  <c r="O99" i="2"/>
  <c r="N99" i="2"/>
  <c r="M99" i="2"/>
  <c r="O98" i="2"/>
  <c r="N98" i="2"/>
  <c r="M98" i="2"/>
  <c r="O97" i="2"/>
  <c r="N97" i="2"/>
  <c r="AG97" i="2" s="1"/>
  <c r="AH97" i="2" s="1"/>
  <c r="M97" i="2"/>
  <c r="O96" i="2"/>
  <c r="N96" i="2"/>
  <c r="AG96" i="2" s="1"/>
  <c r="AH96" i="2" s="1"/>
  <c r="M96" i="2"/>
  <c r="O95" i="2"/>
  <c r="N95" i="2"/>
  <c r="AG95" i="2" s="1"/>
  <c r="AH95" i="2" s="1"/>
  <c r="M95" i="2"/>
  <c r="O94" i="2"/>
  <c r="N94" i="2"/>
  <c r="M94" i="2"/>
  <c r="O93" i="2"/>
  <c r="N93" i="2"/>
  <c r="AG93" i="2" s="1"/>
  <c r="AH93" i="2" s="1"/>
  <c r="M93" i="2"/>
  <c r="O92" i="2"/>
  <c r="AG92" i="2" s="1"/>
  <c r="AH92" i="2" s="1"/>
  <c r="N92" i="2"/>
  <c r="M92" i="2"/>
  <c r="O91" i="2"/>
  <c r="N91" i="2"/>
  <c r="AG91" i="2" s="1"/>
  <c r="AH91" i="2" s="1"/>
  <c r="M91" i="2"/>
  <c r="O90" i="2"/>
  <c r="N90" i="2"/>
  <c r="AG90" i="2" s="1"/>
  <c r="AH90" i="2" s="1"/>
  <c r="M90" i="2"/>
  <c r="O89" i="2"/>
  <c r="M89" i="2"/>
  <c r="K89" i="2"/>
  <c r="N89" i="2" s="1"/>
  <c r="AG89" i="2" s="1"/>
  <c r="AH89" i="2" s="1"/>
  <c r="O88" i="2"/>
  <c r="N88" i="2"/>
  <c r="AG88" i="2" s="1"/>
  <c r="AH88" i="2" s="1"/>
  <c r="M88" i="2"/>
  <c r="O87" i="2"/>
  <c r="N87" i="2"/>
  <c r="AG87" i="2" s="1"/>
  <c r="AH87" i="2" s="1"/>
  <c r="M87" i="2"/>
  <c r="O86" i="2"/>
  <c r="N86" i="2"/>
  <c r="AG86" i="2" s="1"/>
  <c r="AH86" i="2" s="1"/>
  <c r="M86" i="2"/>
  <c r="O85" i="2"/>
  <c r="N85" i="2"/>
  <c r="AG85" i="2" s="1"/>
  <c r="AH85" i="2" s="1"/>
  <c r="M85" i="2"/>
  <c r="O84" i="2"/>
  <c r="N84" i="2"/>
  <c r="AG84" i="2" s="1"/>
  <c r="AH84" i="2" s="1"/>
  <c r="M84" i="2"/>
  <c r="O83" i="2"/>
  <c r="N83" i="2"/>
  <c r="M83" i="2"/>
  <c r="O82" i="2"/>
  <c r="N82" i="2"/>
  <c r="M82" i="2"/>
  <c r="O81" i="2"/>
  <c r="N81" i="2"/>
  <c r="AG81" i="2" s="1"/>
  <c r="AH81" i="2" s="1"/>
  <c r="M81" i="2"/>
  <c r="AG80" i="2"/>
  <c r="AH80" i="2" s="1"/>
  <c r="O80" i="2"/>
  <c r="N80" i="2"/>
  <c r="M80" i="2"/>
  <c r="AG79" i="2"/>
  <c r="AH79" i="2" s="1"/>
  <c r="O79" i="2"/>
  <c r="N79" i="2"/>
  <c r="M79" i="2"/>
  <c r="O78" i="2"/>
  <c r="N78" i="2"/>
  <c r="M78" i="2"/>
  <c r="O77" i="2"/>
  <c r="N77" i="2"/>
  <c r="AG77" i="2" s="1"/>
  <c r="AH77" i="2" s="1"/>
  <c r="M77" i="2"/>
  <c r="O76" i="2"/>
  <c r="N76" i="2"/>
  <c r="M76" i="2"/>
  <c r="O75" i="2"/>
  <c r="N75" i="2"/>
  <c r="M75" i="2"/>
  <c r="O74" i="2"/>
  <c r="N74" i="2"/>
  <c r="M74" i="2"/>
  <c r="O73" i="2"/>
  <c r="N73" i="2"/>
  <c r="M73" i="2"/>
  <c r="M72" i="2"/>
  <c r="K72" i="2"/>
  <c r="O72" i="2" s="1"/>
  <c r="O71" i="2"/>
  <c r="N71" i="2"/>
  <c r="M71" i="2"/>
  <c r="O70" i="2"/>
  <c r="AG70" i="2" s="1"/>
  <c r="AH70" i="2" s="1"/>
  <c r="N70" i="2"/>
  <c r="M70" i="2"/>
  <c r="O69" i="2"/>
  <c r="N69" i="2"/>
  <c r="AG69" i="2" s="1"/>
  <c r="AH69" i="2" s="1"/>
  <c r="M69" i="2"/>
  <c r="O68" i="2"/>
  <c r="N68" i="2"/>
  <c r="M68" i="2"/>
  <c r="O67" i="2"/>
  <c r="N67" i="2"/>
  <c r="AG67" i="2" s="1"/>
  <c r="AH67" i="2" s="1"/>
  <c r="M67" i="2"/>
  <c r="O66" i="2"/>
  <c r="AG66" i="2" s="1"/>
  <c r="AH66" i="2" s="1"/>
  <c r="N66" i="2"/>
  <c r="M66" i="2"/>
  <c r="O65" i="2"/>
  <c r="N65" i="2"/>
  <c r="M65" i="2"/>
  <c r="O64" i="2"/>
  <c r="N64" i="2"/>
  <c r="M64" i="2"/>
  <c r="O63" i="2"/>
  <c r="N63" i="2"/>
  <c r="M63" i="2"/>
  <c r="O62" i="2"/>
  <c r="N62" i="2"/>
  <c r="M62" i="2"/>
  <c r="O61" i="2"/>
  <c r="N61" i="2"/>
  <c r="AG61" i="2" s="1"/>
  <c r="AH61" i="2" s="1"/>
  <c r="M61" i="2"/>
  <c r="O60" i="2"/>
  <c r="N60" i="2"/>
  <c r="M60" i="2"/>
  <c r="O59" i="2"/>
  <c r="N59" i="2"/>
  <c r="AG59" i="2" s="1"/>
  <c r="AH59" i="2" s="1"/>
  <c r="M59" i="2"/>
  <c r="O58" i="2"/>
  <c r="N58" i="2"/>
  <c r="AG58" i="2" s="1"/>
  <c r="AH58" i="2" s="1"/>
  <c r="M58" i="2"/>
  <c r="O57" i="2"/>
  <c r="AG57" i="2" s="1"/>
  <c r="AH57" i="2" s="1"/>
  <c r="N57" i="2"/>
  <c r="M57" i="2"/>
  <c r="O56" i="2"/>
  <c r="N56" i="2"/>
  <c r="M56" i="2"/>
  <c r="O55" i="2"/>
  <c r="N55" i="2"/>
  <c r="M55" i="2"/>
  <c r="O54" i="2"/>
  <c r="N54" i="2"/>
  <c r="AG54" i="2" s="1"/>
  <c r="AH54" i="2" s="1"/>
  <c r="M54" i="2"/>
  <c r="O53" i="2"/>
  <c r="N53" i="2"/>
  <c r="AG53" i="2" s="1"/>
  <c r="AH53" i="2" s="1"/>
  <c r="M53" i="2"/>
  <c r="O52" i="2"/>
  <c r="N52" i="2"/>
  <c r="M52" i="2"/>
  <c r="K51" i="2"/>
  <c r="O51" i="2" s="1"/>
  <c r="O50" i="2"/>
  <c r="N50" i="2"/>
  <c r="AG50" i="2" s="1"/>
  <c r="AH50" i="2" s="1"/>
  <c r="M50" i="2"/>
  <c r="O49" i="2"/>
  <c r="N49" i="2"/>
  <c r="M49" i="2"/>
  <c r="O48" i="2"/>
  <c r="N48" i="2"/>
  <c r="AG48" i="2" s="1"/>
  <c r="AH48" i="2" s="1"/>
  <c r="M48" i="2"/>
  <c r="O47" i="2"/>
  <c r="N47" i="2"/>
  <c r="AG47" i="2" s="1"/>
  <c r="AH47" i="2" s="1"/>
  <c r="M47" i="2"/>
  <c r="O46" i="2"/>
  <c r="N46" i="2"/>
  <c r="AG46" i="2" s="1"/>
  <c r="AH46" i="2" s="1"/>
  <c r="M46" i="2"/>
  <c r="O45" i="2"/>
  <c r="N45" i="2"/>
  <c r="M45" i="2"/>
  <c r="O44" i="2"/>
  <c r="N44" i="2"/>
  <c r="AG44" i="2" s="1"/>
  <c r="AH44" i="2" s="1"/>
  <c r="M44" i="2"/>
  <c r="O43" i="2"/>
  <c r="AG43" i="2" s="1"/>
  <c r="AH43" i="2" s="1"/>
  <c r="N43" i="2"/>
  <c r="M43" i="2"/>
  <c r="O42" i="2"/>
  <c r="N42" i="2"/>
  <c r="AG42" i="2" s="1"/>
  <c r="AH42" i="2" s="1"/>
  <c r="M42" i="2"/>
  <c r="O41" i="2"/>
  <c r="N41" i="2"/>
  <c r="AG41" i="2" s="1"/>
  <c r="AH41" i="2" s="1"/>
  <c r="M41" i="2"/>
  <c r="O40" i="2"/>
  <c r="N40" i="2"/>
  <c r="M40" i="2"/>
  <c r="O39" i="2"/>
  <c r="N39" i="2"/>
  <c r="M39" i="2"/>
  <c r="O38" i="2"/>
  <c r="AG38" i="2" s="1"/>
  <c r="AH38" i="2" s="1"/>
  <c r="N38" i="2"/>
  <c r="M38" i="2"/>
  <c r="N37" i="2"/>
  <c r="K37" i="2"/>
  <c r="O37" i="2" s="1"/>
  <c r="O36" i="2"/>
  <c r="N36" i="2"/>
  <c r="M36" i="2"/>
  <c r="O35" i="2"/>
  <c r="N35" i="2"/>
  <c r="AG35" i="2" s="1"/>
  <c r="AH35" i="2" s="1"/>
  <c r="M35" i="2"/>
  <c r="O34" i="2"/>
  <c r="N34" i="2"/>
  <c r="M34" i="2"/>
  <c r="O33" i="2"/>
  <c r="N33" i="2"/>
  <c r="M33" i="2"/>
  <c r="O32" i="2"/>
  <c r="N32" i="2"/>
  <c r="M32" i="2"/>
  <c r="O31" i="2"/>
  <c r="N31" i="2"/>
  <c r="AG31" i="2" s="1"/>
  <c r="AH31" i="2" s="1"/>
  <c r="M31" i="2"/>
  <c r="O30" i="2"/>
  <c r="N30" i="2"/>
  <c r="AG30" i="2" s="1"/>
  <c r="AH30" i="2" s="1"/>
  <c r="M30" i="2"/>
  <c r="O29" i="2"/>
  <c r="N29" i="2"/>
  <c r="M29" i="2"/>
  <c r="O28" i="2"/>
  <c r="AG28" i="2" s="1"/>
  <c r="AH28" i="2" s="1"/>
  <c r="N28" i="2"/>
  <c r="M28" i="2"/>
  <c r="O27" i="2"/>
  <c r="AG27" i="2" s="1"/>
  <c r="AH27" i="2" s="1"/>
  <c r="N27" i="2"/>
  <c r="M27" i="2"/>
  <c r="O26" i="2"/>
  <c r="N26" i="2"/>
  <c r="M26" i="2"/>
  <c r="O25" i="2"/>
  <c r="N25" i="2"/>
  <c r="M25" i="2"/>
  <c r="O24" i="2"/>
  <c r="N24" i="2"/>
  <c r="AG24" i="2" s="1"/>
  <c r="AH24" i="2" s="1"/>
  <c r="M24" i="2"/>
  <c r="O23" i="2"/>
  <c r="N23" i="2"/>
  <c r="M23" i="2"/>
  <c r="O22" i="2"/>
  <c r="AG22" i="2" s="1"/>
  <c r="AH22" i="2" s="1"/>
  <c r="N22" i="2"/>
  <c r="M22" i="2"/>
  <c r="O21" i="2"/>
  <c r="N21" i="2"/>
  <c r="M21" i="2"/>
  <c r="O20" i="2"/>
  <c r="AG20" i="2" s="1"/>
  <c r="AH20" i="2" s="1"/>
  <c r="N20" i="2"/>
  <c r="M20" i="2"/>
  <c r="O19" i="2"/>
  <c r="N19" i="2"/>
  <c r="AG19" i="2" s="1"/>
  <c r="AH19" i="2" s="1"/>
  <c r="M19" i="2"/>
  <c r="O18" i="2"/>
  <c r="N18" i="2"/>
  <c r="AG18" i="2" s="1"/>
  <c r="AH18" i="2" s="1"/>
  <c r="M18" i="2"/>
  <c r="O17" i="2"/>
  <c r="N17" i="2"/>
  <c r="M17" i="2"/>
  <c r="O16" i="2"/>
  <c r="N16" i="2"/>
  <c r="AG16" i="2" s="1"/>
  <c r="AH16" i="2" s="1"/>
  <c r="M16" i="2"/>
  <c r="O15" i="2"/>
  <c r="N15" i="2"/>
  <c r="M15" i="2"/>
  <c r="AG14" i="2"/>
  <c r="AH14" i="2" s="1"/>
  <c r="O14" i="2"/>
  <c r="N14" i="2"/>
  <c r="M14" i="2"/>
  <c r="O13" i="2"/>
  <c r="AG13" i="2" s="1"/>
  <c r="AH13" i="2" s="1"/>
  <c r="N13" i="2"/>
  <c r="M13" i="2"/>
  <c r="K13" i="2"/>
  <c r="O12" i="2"/>
  <c r="N12" i="2"/>
  <c r="M12" i="2"/>
  <c r="O11" i="2"/>
  <c r="N11" i="2"/>
  <c r="AG11" i="2" s="1"/>
  <c r="AH11" i="2" s="1"/>
  <c r="M11" i="2"/>
  <c r="O10" i="2"/>
  <c r="N10" i="2"/>
  <c r="M10" i="2"/>
  <c r="O9" i="2"/>
  <c r="AG9" i="2" s="1"/>
  <c r="AH9" i="2" s="1"/>
  <c r="N9" i="2"/>
  <c r="M9" i="2"/>
  <c r="O8" i="2"/>
  <c r="N8" i="2"/>
  <c r="M8" i="2"/>
  <c r="O7" i="2"/>
  <c r="N7" i="2"/>
  <c r="M7" i="2"/>
  <c r="O6" i="2"/>
  <c r="N6" i="2"/>
  <c r="M6" i="2"/>
  <c r="O5" i="2"/>
  <c r="N5" i="2"/>
  <c r="AG5" i="2" s="1"/>
  <c r="M5" i="2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L128" i="1"/>
  <c r="I128" i="1"/>
  <c r="H128" i="1"/>
  <c r="O127" i="1"/>
  <c r="AG127" i="1" s="1"/>
  <c r="AH127" i="1" s="1"/>
  <c r="N127" i="1"/>
  <c r="M127" i="1"/>
  <c r="O126" i="1"/>
  <c r="AG126" i="1" s="1"/>
  <c r="AH126" i="1" s="1"/>
  <c r="N126" i="1"/>
  <c r="M126" i="1"/>
  <c r="O125" i="1"/>
  <c r="N125" i="1"/>
  <c r="M125" i="1"/>
  <c r="O124" i="1"/>
  <c r="N124" i="1"/>
  <c r="AG124" i="1" s="1"/>
  <c r="AH124" i="1" s="1"/>
  <c r="M124" i="1"/>
  <c r="K123" i="1"/>
  <c r="O123" i="1" s="1"/>
  <c r="N122" i="1"/>
  <c r="AG122" i="1" s="1"/>
  <c r="AH122" i="1" s="1"/>
  <c r="M122" i="1"/>
  <c r="N121" i="1"/>
  <c r="AG121" i="1" s="1"/>
  <c r="AH121" i="1" s="1"/>
  <c r="M121" i="1"/>
  <c r="O120" i="1"/>
  <c r="N120" i="1"/>
  <c r="AG120" i="1" s="1"/>
  <c r="AH120" i="1" s="1"/>
  <c r="M120" i="1"/>
  <c r="O119" i="1"/>
  <c r="N119" i="1"/>
  <c r="AG119" i="1" s="1"/>
  <c r="AH119" i="1" s="1"/>
  <c r="M119" i="1"/>
  <c r="O118" i="1"/>
  <c r="N118" i="1"/>
  <c r="M118" i="1"/>
  <c r="AH117" i="1"/>
  <c r="N117" i="1"/>
  <c r="AG117" i="1" s="1"/>
  <c r="M117" i="1"/>
  <c r="AG116" i="1"/>
  <c r="AH116" i="1" s="1"/>
  <c r="N116" i="1"/>
  <c r="M116" i="1"/>
  <c r="O115" i="1"/>
  <c r="N115" i="1"/>
  <c r="M115" i="1"/>
  <c r="O114" i="1"/>
  <c r="N114" i="1"/>
  <c r="AG114" i="1" s="1"/>
  <c r="AH114" i="1" s="1"/>
  <c r="M114" i="1"/>
  <c r="O113" i="1"/>
  <c r="N113" i="1"/>
  <c r="AG113" i="1" s="1"/>
  <c r="AH113" i="1" s="1"/>
  <c r="M113" i="1"/>
  <c r="O112" i="1"/>
  <c r="N112" i="1"/>
  <c r="AG112" i="1" s="1"/>
  <c r="AH112" i="1" s="1"/>
  <c r="K112" i="1"/>
  <c r="M112" i="1" s="1"/>
  <c r="O111" i="1"/>
  <c r="N111" i="1"/>
  <c r="M111" i="1"/>
  <c r="O110" i="1"/>
  <c r="N110" i="1"/>
  <c r="AG110" i="1" s="1"/>
  <c r="AH110" i="1" s="1"/>
  <c r="M110" i="1"/>
  <c r="O109" i="1"/>
  <c r="N109" i="1"/>
  <c r="AG109" i="1" s="1"/>
  <c r="AH109" i="1" s="1"/>
  <c r="M109" i="1"/>
  <c r="O108" i="1"/>
  <c r="N108" i="1"/>
  <c r="M108" i="1"/>
  <c r="O107" i="1"/>
  <c r="AG107" i="1" s="1"/>
  <c r="AH107" i="1" s="1"/>
  <c r="N107" i="1"/>
  <c r="M107" i="1"/>
  <c r="O106" i="1"/>
  <c r="N106" i="1"/>
  <c r="M106" i="1"/>
  <c r="K105" i="1"/>
  <c r="O105" i="1" s="1"/>
  <c r="O104" i="1"/>
  <c r="AG104" i="1" s="1"/>
  <c r="AH104" i="1" s="1"/>
  <c r="N104" i="1"/>
  <c r="M104" i="1"/>
  <c r="O103" i="1"/>
  <c r="N103" i="1"/>
  <c r="M103" i="1"/>
  <c r="O102" i="1"/>
  <c r="N102" i="1"/>
  <c r="AG102" i="1" s="1"/>
  <c r="AH102" i="1" s="1"/>
  <c r="M102" i="1"/>
  <c r="O101" i="1"/>
  <c r="N101" i="1"/>
  <c r="M101" i="1"/>
  <c r="O100" i="1"/>
  <c r="N100" i="1"/>
  <c r="AG100" i="1" s="1"/>
  <c r="AH100" i="1" s="1"/>
  <c r="M100" i="1"/>
  <c r="O99" i="1"/>
  <c r="N99" i="1"/>
  <c r="AG99" i="1" s="1"/>
  <c r="AH99" i="1" s="1"/>
  <c r="M99" i="1"/>
  <c r="O98" i="1"/>
  <c r="N98" i="1"/>
  <c r="M98" i="1"/>
  <c r="O97" i="1"/>
  <c r="AG97" i="1" s="1"/>
  <c r="AH97" i="1" s="1"/>
  <c r="N97" i="1"/>
  <c r="M97" i="1"/>
  <c r="AG96" i="1"/>
  <c r="AH96" i="1" s="1"/>
  <c r="O96" i="1"/>
  <c r="N96" i="1"/>
  <c r="M96" i="1"/>
  <c r="O95" i="1"/>
  <c r="N95" i="1"/>
  <c r="AG95" i="1" s="1"/>
  <c r="AH95" i="1" s="1"/>
  <c r="M95" i="1"/>
  <c r="O94" i="1"/>
  <c r="N94" i="1"/>
  <c r="AG94" i="1" s="1"/>
  <c r="AH94" i="1" s="1"/>
  <c r="M94" i="1"/>
  <c r="O93" i="1"/>
  <c r="AG93" i="1" s="1"/>
  <c r="AH93" i="1" s="1"/>
  <c r="N93" i="1"/>
  <c r="M93" i="1"/>
  <c r="O92" i="1"/>
  <c r="N92" i="1"/>
  <c r="M92" i="1"/>
  <c r="O91" i="1"/>
  <c r="N91" i="1"/>
  <c r="M91" i="1"/>
  <c r="O90" i="1"/>
  <c r="N90" i="1"/>
  <c r="M90" i="1"/>
  <c r="O89" i="1"/>
  <c r="N89" i="1"/>
  <c r="M89" i="1"/>
  <c r="O88" i="1"/>
  <c r="N88" i="1"/>
  <c r="AG88" i="1" s="1"/>
  <c r="AH88" i="1" s="1"/>
  <c r="M88" i="1"/>
  <c r="O87" i="1"/>
  <c r="N87" i="1"/>
  <c r="M87" i="1"/>
  <c r="O86" i="1"/>
  <c r="N86" i="1"/>
  <c r="M86" i="1"/>
  <c r="O85" i="1"/>
  <c r="AG85" i="1" s="1"/>
  <c r="AH85" i="1" s="1"/>
  <c r="N85" i="1"/>
  <c r="M85" i="1"/>
  <c r="O84" i="1"/>
  <c r="N84" i="1"/>
  <c r="AG84" i="1" s="1"/>
  <c r="AH84" i="1" s="1"/>
  <c r="M84" i="1"/>
  <c r="O83" i="1"/>
  <c r="N83" i="1"/>
  <c r="AG83" i="1" s="1"/>
  <c r="AH83" i="1" s="1"/>
  <c r="M83" i="1"/>
  <c r="O82" i="1"/>
  <c r="N82" i="1"/>
  <c r="AG82" i="1" s="1"/>
  <c r="AH82" i="1" s="1"/>
  <c r="M82" i="1"/>
  <c r="K81" i="1"/>
  <c r="O81" i="1" s="1"/>
  <c r="O80" i="1"/>
  <c r="N80" i="1"/>
  <c r="M80" i="1"/>
  <c r="O79" i="1"/>
  <c r="N79" i="1"/>
  <c r="M79" i="1"/>
  <c r="O78" i="1"/>
  <c r="N78" i="1"/>
  <c r="M78" i="1"/>
  <c r="K77" i="1"/>
  <c r="O77" i="1" s="1"/>
  <c r="O76" i="1"/>
  <c r="N76" i="1"/>
  <c r="M76" i="1"/>
  <c r="O75" i="1"/>
  <c r="AG75" i="1" s="1"/>
  <c r="AH75" i="1" s="1"/>
  <c r="N75" i="1"/>
  <c r="M75" i="1"/>
  <c r="AG74" i="1"/>
  <c r="AH74" i="1" s="1"/>
  <c r="O74" i="1"/>
  <c r="N74" i="1"/>
  <c r="M74" i="1"/>
  <c r="O73" i="1"/>
  <c r="N73" i="1"/>
  <c r="AG73" i="1" s="1"/>
  <c r="AH73" i="1" s="1"/>
  <c r="M73" i="1"/>
  <c r="K72" i="1"/>
  <c r="O72" i="1" s="1"/>
  <c r="O71" i="1"/>
  <c r="N71" i="1"/>
  <c r="AG71" i="1" s="1"/>
  <c r="AH71" i="1" s="1"/>
  <c r="M71" i="1"/>
  <c r="O70" i="1"/>
  <c r="N70" i="1"/>
  <c r="M70" i="1"/>
  <c r="O69" i="1"/>
  <c r="N69" i="1"/>
  <c r="M69" i="1"/>
  <c r="O68" i="1"/>
  <c r="AG68" i="1" s="1"/>
  <c r="AH68" i="1" s="1"/>
  <c r="N68" i="1"/>
  <c r="M68" i="1"/>
  <c r="O67" i="1"/>
  <c r="N67" i="1"/>
  <c r="AG67" i="1" s="1"/>
  <c r="AH67" i="1" s="1"/>
  <c r="M67" i="1"/>
  <c r="O66" i="1"/>
  <c r="N66" i="1"/>
  <c r="M66" i="1"/>
  <c r="O65" i="1"/>
  <c r="N65" i="1"/>
  <c r="M65" i="1"/>
  <c r="K64" i="1"/>
  <c r="O64" i="1" s="1"/>
  <c r="O63" i="1"/>
  <c r="N63" i="1"/>
  <c r="AG63" i="1" s="1"/>
  <c r="AH63" i="1" s="1"/>
  <c r="M63" i="1"/>
  <c r="O62" i="1"/>
  <c r="N62" i="1"/>
  <c r="AG62" i="1" s="1"/>
  <c r="AH62" i="1" s="1"/>
  <c r="M62" i="1"/>
  <c r="O61" i="1"/>
  <c r="N61" i="1"/>
  <c r="M61" i="1"/>
  <c r="AG60" i="1"/>
  <c r="AH60" i="1" s="1"/>
  <c r="O60" i="1"/>
  <c r="N60" i="1"/>
  <c r="M60" i="1"/>
  <c r="O59" i="1"/>
  <c r="N59" i="1"/>
  <c r="AG59" i="1" s="1"/>
  <c r="AH59" i="1" s="1"/>
  <c r="M59" i="1"/>
  <c r="O58" i="1"/>
  <c r="N58" i="1"/>
  <c r="AG58" i="1" s="1"/>
  <c r="AH58" i="1" s="1"/>
  <c r="M58" i="1"/>
  <c r="O57" i="1"/>
  <c r="N57" i="1"/>
  <c r="M57" i="1"/>
  <c r="K56" i="1"/>
  <c r="O56" i="1" s="1"/>
  <c r="N55" i="1"/>
  <c r="AG55" i="1" s="1"/>
  <c r="AH55" i="1" s="1"/>
  <c r="K55" i="1"/>
  <c r="O55" i="1" s="1"/>
  <c r="AG54" i="1"/>
  <c r="AH54" i="1" s="1"/>
  <c r="O54" i="1"/>
  <c r="N54" i="1"/>
  <c r="M54" i="1"/>
  <c r="N53" i="1"/>
  <c r="AG53" i="1" s="1"/>
  <c r="AH53" i="1" s="1"/>
  <c r="M53" i="1"/>
  <c r="N52" i="1"/>
  <c r="AG52" i="1" s="1"/>
  <c r="AH52" i="1" s="1"/>
  <c r="M52" i="1"/>
  <c r="N51" i="1"/>
  <c r="AG51" i="1" s="1"/>
  <c r="AH51" i="1" s="1"/>
  <c r="M51" i="1"/>
  <c r="K50" i="1"/>
  <c r="N50" i="1" s="1"/>
  <c r="AG50" i="1" s="1"/>
  <c r="AH50" i="1" s="1"/>
  <c r="N49" i="1"/>
  <c r="AG49" i="1" s="1"/>
  <c r="AH49" i="1" s="1"/>
  <c r="M49" i="1"/>
  <c r="J49" i="1"/>
  <c r="N48" i="1"/>
  <c r="AG48" i="1" s="1"/>
  <c r="AH48" i="1" s="1"/>
  <c r="M48" i="1"/>
  <c r="N47" i="1"/>
  <c r="AG47" i="1" s="1"/>
  <c r="AH47" i="1" s="1"/>
  <c r="M47" i="1"/>
  <c r="N46" i="1"/>
  <c r="AG46" i="1" s="1"/>
  <c r="AH46" i="1" s="1"/>
  <c r="M46" i="1"/>
  <c r="N45" i="1"/>
  <c r="AG45" i="1" s="1"/>
  <c r="AH45" i="1" s="1"/>
  <c r="M45" i="1"/>
  <c r="N44" i="1"/>
  <c r="AG44" i="1" s="1"/>
  <c r="AH44" i="1" s="1"/>
  <c r="M44" i="1"/>
  <c r="N43" i="1"/>
  <c r="AG43" i="1" s="1"/>
  <c r="AH43" i="1" s="1"/>
  <c r="M43" i="1"/>
  <c r="N42" i="1"/>
  <c r="AG42" i="1" s="1"/>
  <c r="AH42" i="1" s="1"/>
  <c r="M42" i="1"/>
  <c r="N41" i="1"/>
  <c r="AG41" i="1" s="1"/>
  <c r="AH41" i="1" s="1"/>
  <c r="M41" i="1"/>
  <c r="N40" i="1"/>
  <c r="AG40" i="1" s="1"/>
  <c r="AH40" i="1" s="1"/>
  <c r="M40" i="1"/>
  <c r="N39" i="1"/>
  <c r="AG39" i="1" s="1"/>
  <c r="AH39" i="1" s="1"/>
  <c r="M39" i="1"/>
  <c r="J39" i="1"/>
  <c r="N38" i="1"/>
  <c r="AG38" i="1" s="1"/>
  <c r="AH38" i="1" s="1"/>
  <c r="M38" i="1"/>
  <c r="AG37" i="1"/>
  <c r="AH37" i="1" s="1"/>
  <c r="N37" i="1"/>
  <c r="M37" i="1"/>
  <c r="AG36" i="1"/>
  <c r="AH36" i="1" s="1"/>
  <c r="N36" i="1"/>
  <c r="M36" i="1"/>
  <c r="AG35" i="1"/>
  <c r="AH35" i="1" s="1"/>
  <c r="N35" i="1"/>
  <c r="J35" i="1"/>
  <c r="J128" i="1" s="1"/>
  <c r="N34" i="1"/>
  <c r="AG34" i="1" s="1"/>
  <c r="AH34" i="1" s="1"/>
  <c r="M34" i="1"/>
  <c r="N33" i="1"/>
  <c r="AG33" i="1" s="1"/>
  <c r="AH33" i="1" s="1"/>
  <c r="M33" i="1"/>
  <c r="O32" i="1"/>
  <c r="N32" i="1"/>
  <c r="AG32" i="1" s="1"/>
  <c r="AH32" i="1" s="1"/>
  <c r="M32" i="1"/>
  <c r="O31" i="1"/>
  <c r="N31" i="1"/>
  <c r="M31" i="1"/>
  <c r="O30" i="1"/>
  <c r="N30" i="1"/>
  <c r="M30" i="1"/>
  <c r="AG29" i="1"/>
  <c r="AH29" i="1" s="1"/>
  <c r="O29" i="1"/>
  <c r="N29" i="1"/>
  <c r="M29" i="1"/>
  <c r="K28" i="1"/>
  <c r="O28" i="1" s="1"/>
  <c r="O27" i="1"/>
  <c r="N27" i="1"/>
  <c r="M27" i="1"/>
  <c r="AG26" i="1"/>
  <c r="AH26" i="1" s="1"/>
  <c r="O26" i="1"/>
  <c r="N26" i="1"/>
  <c r="M26" i="1"/>
  <c r="O25" i="1"/>
  <c r="N25" i="1"/>
  <c r="M25" i="1"/>
  <c r="O24" i="1"/>
  <c r="N24" i="1"/>
  <c r="M24" i="1"/>
  <c r="K23" i="1"/>
  <c r="O23" i="1" s="1"/>
  <c r="O22" i="1"/>
  <c r="N22" i="1"/>
  <c r="AG22" i="1" s="1"/>
  <c r="AH22" i="1" s="1"/>
  <c r="M22" i="1"/>
  <c r="O21" i="1"/>
  <c r="N21" i="1"/>
  <c r="M21" i="1"/>
  <c r="K20" i="1"/>
  <c r="O20" i="1" s="1"/>
  <c r="O19" i="1"/>
  <c r="AG19" i="1" s="1"/>
  <c r="AH19" i="1" s="1"/>
  <c r="N19" i="1"/>
  <c r="M19" i="1"/>
  <c r="O18" i="1"/>
  <c r="N18" i="1"/>
  <c r="M18" i="1"/>
  <c r="O17" i="1"/>
  <c r="N17" i="1"/>
  <c r="M17" i="1"/>
  <c r="O16" i="1"/>
  <c r="N16" i="1"/>
  <c r="AG16" i="1" s="1"/>
  <c r="AH16" i="1" s="1"/>
  <c r="M16" i="1"/>
  <c r="O15" i="1"/>
  <c r="N15" i="1"/>
  <c r="M15" i="1"/>
  <c r="O14" i="1"/>
  <c r="N14" i="1"/>
  <c r="M14" i="1"/>
  <c r="O13" i="1"/>
  <c r="AG13" i="1" s="1"/>
  <c r="AH13" i="1" s="1"/>
  <c r="N13" i="1"/>
  <c r="M13" i="1"/>
  <c r="O12" i="1"/>
  <c r="N12" i="1"/>
  <c r="AG12" i="1" s="1"/>
  <c r="AH12" i="1" s="1"/>
  <c r="M12" i="1"/>
  <c r="AG11" i="1"/>
  <c r="AH11" i="1" s="1"/>
  <c r="O11" i="1"/>
  <c r="N11" i="1"/>
  <c r="M11" i="1"/>
  <c r="O10" i="1"/>
  <c r="N10" i="1"/>
  <c r="AG10" i="1" s="1"/>
  <c r="AH10" i="1" s="1"/>
  <c r="M10" i="1"/>
  <c r="O9" i="1"/>
  <c r="N9" i="1"/>
  <c r="M9" i="1"/>
  <c r="O8" i="1"/>
  <c r="N8" i="1"/>
  <c r="AG8" i="1" s="1"/>
  <c r="AH8" i="1" s="1"/>
  <c r="M8" i="1"/>
  <c r="O7" i="1"/>
  <c r="N7" i="1"/>
  <c r="AG7" i="1" s="1"/>
  <c r="AH7" i="1" s="1"/>
  <c r="M7" i="1"/>
  <c r="K7" i="1"/>
  <c r="O6" i="1"/>
  <c r="AG6" i="1" s="1"/>
  <c r="AH6" i="1" s="1"/>
  <c r="N6" i="1"/>
  <c r="M6" i="1"/>
  <c r="AG5" i="1"/>
  <c r="AH5" i="1" s="1"/>
  <c r="O5" i="1"/>
  <c r="N5" i="1"/>
  <c r="M5" i="1"/>
  <c r="M24" i="23" l="1"/>
  <c r="N34" i="23"/>
  <c r="AF34" i="23" s="1"/>
  <c r="AG34" i="23" s="1"/>
  <c r="AF8" i="23"/>
  <c r="AG8" i="23" s="1"/>
  <c r="AF15" i="23"/>
  <c r="AG15" i="23" s="1"/>
  <c r="O34" i="23"/>
  <c r="O56" i="23" s="1"/>
  <c r="AF27" i="23"/>
  <c r="AG27" i="23" s="1"/>
  <c r="AF32" i="23"/>
  <c r="AG32" i="23" s="1"/>
  <c r="AF52" i="23"/>
  <c r="AG52" i="23" s="1"/>
  <c r="M16" i="23"/>
  <c r="N30" i="23"/>
  <c r="AF30" i="23" s="1"/>
  <c r="AG30" i="23" s="1"/>
  <c r="N42" i="23"/>
  <c r="AF42" i="23" s="1"/>
  <c r="AG42" i="23" s="1"/>
  <c r="N5" i="23"/>
  <c r="AF5" i="23" s="1"/>
  <c r="N16" i="23"/>
  <c r="AF16" i="23" s="1"/>
  <c r="AG16" i="23" s="1"/>
  <c r="AF28" i="23"/>
  <c r="AG28" i="23" s="1"/>
  <c r="AF33" i="23"/>
  <c r="AG33" i="23" s="1"/>
  <c r="AF47" i="23"/>
  <c r="AG47" i="23" s="1"/>
  <c r="AF22" i="22"/>
  <c r="AG22" i="22" s="1"/>
  <c r="AF32" i="22"/>
  <c r="AG32" i="22" s="1"/>
  <c r="AF17" i="22"/>
  <c r="AG17" i="22" s="1"/>
  <c r="AF20" i="22"/>
  <c r="AG20" i="22" s="1"/>
  <c r="AF6" i="22"/>
  <c r="AG6" i="22" s="1"/>
  <c r="M11" i="22"/>
  <c r="N18" i="22"/>
  <c r="AF18" i="22" s="1"/>
  <c r="AG18" i="22" s="1"/>
  <c r="AF16" i="22"/>
  <c r="AG16" i="22" s="1"/>
  <c r="AF21" i="22"/>
  <c r="AG21" i="22" s="1"/>
  <c r="AF26" i="22"/>
  <c r="AG26" i="22" s="1"/>
  <c r="AF28" i="22"/>
  <c r="AG28" i="22" s="1"/>
  <c r="K46" i="21"/>
  <c r="O11" i="21"/>
  <c r="AA18" i="21"/>
  <c r="AB18" i="21" s="1"/>
  <c r="AA31" i="21"/>
  <c r="AB31" i="21" s="1"/>
  <c r="AA43" i="21"/>
  <c r="AB43" i="21" s="1"/>
  <c r="AA23" i="21"/>
  <c r="AB23" i="21" s="1"/>
  <c r="AA26" i="21"/>
  <c r="AB26" i="21" s="1"/>
  <c r="AA28" i="21"/>
  <c r="AB28" i="21" s="1"/>
  <c r="AA41" i="21"/>
  <c r="AB41" i="21" s="1"/>
  <c r="AA11" i="21"/>
  <c r="AB11" i="21" s="1"/>
  <c r="AA6" i="21"/>
  <c r="AB6" i="21" s="1"/>
  <c r="AA12" i="21"/>
  <c r="AB12" i="21" s="1"/>
  <c r="AA16" i="21"/>
  <c r="AB16" i="21" s="1"/>
  <c r="AA32" i="21"/>
  <c r="AB32" i="21" s="1"/>
  <c r="AA44" i="21"/>
  <c r="AB44" i="21" s="1"/>
  <c r="O37" i="21"/>
  <c r="AA37" i="21" s="1"/>
  <c r="AB37" i="21" s="1"/>
  <c r="AA17" i="21"/>
  <c r="AB17" i="21" s="1"/>
  <c r="AA22" i="21"/>
  <c r="AB22" i="21" s="1"/>
  <c r="AA25" i="21"/>
  <c r="AB25" i="21" s="1"/>
  <c r="AA27" i="21"/>
  <c r="AB27" i="21" s="1"/>
  <c r="AA40" i="21"/>
  <c r="AB40" i="21" s="1"/>
  <c r="AF10" i="19"/>
  <c r="AG10" i="19" s="1"/>
  <c r="AF30" i="19"/>
  <c r="AG30" i="19" s="1"/>
  <c r="AF60" i="19"/>
  <c r="AG60" i="19" s="1"/>
  <c r="N73" i="19"/>
  <c r="AF82" i="19"/>
  <c r="AG82" i="19" s="1"/>
  <c r="AF107" i="19"/>
  <c r="AG107" i="19" s="1"/>
  <c r="AF127" i="19"/>
  <c r="AG127" i="19" s="1"/>
  <c r="AF6" i="19"/>
  <c r="AG6" i="19" s="1"/>
  <c r="AF22" i="19"/>
  <c r="AG22" i="19" s="1"/>
  <c r="AF87" i="19"/>
  <c r="AG87" i="19" s="1"/>
  <c r="AF99" i="19"/>
  <c r="AG99" i="19" s="1"/>
  <c r="AF143" i="19"/>
  <c r="AG143" i="19" s="1"/>
  <c r="N48" i="19"/>
  <c r="AF48" i="19" s="1"/>
  <c r="AG48" i="19" s="1"/>
  <c r="M95" i="19"/>
  <c r="AF38" i="19"/>
  <c r="AG38" i="19" s="1"/>
  <c r="O48" i="19"/>
  <c r="AF54" i="19"/>
  <c r="AG54" i="19" s="1"/>
  <c r="AF63" i="19"/>
  <c r="AG63" i="19" s="1"/>
  <c r="AF88" i="19"/>
  <c r="AG88" i="19" s="1"/>
  <c r="N95" i="19"/>
  <c r="AF95" i="19" s="1"/>
  <c r="AG95" i="19" s="1"/>
  <c r="AF113" i="19"/>
  <c r="AG113" i="19" s="1"/>
  <c r="AF116" i="19"/>
  <c r="AG116" i="19" s="1"/>
  <c r="AF130" i="19"/>
  <c r="AG130" i="19" s="1"/>
  <c r="O73" i="19"/>
  <c r="AF14" i="19"/>
  <c r="AG14" i="19" s="1"/>
  <c r="AF34" i="19"/>
  <c r="AG34" i="19" s="1"/>
  <c r="AF40" i="19"/>
  <c r="AG40" i="19" s="1"/>
  <c r="AF49" i="19"/>
  <c r="AG49" i="19" s="1"/>
  <c r="N66" i="19"/>
  <c r="AF66" i="19" s="1"/>
  <c r="AG66" i="19" s="1"/>
  <c r="AF102" i="19"/>
  <c r="AG102" i="19" s="1"/>
  <c r="AF121" i="19"/>
  <c r="AG121" i="19" s="1"/>
  <c r="N123" i="19"/>
  <c r="AF123" i="19" s="1"/>
  <c r="AG123" i="19" s="1"/>
  <c r="AF17" i="9"/>
  <c r="AG17" i="9" s="1"/>
  <c r="AF58" i="9"/>
  <c r="AG58" i="9" s="1"/>
  <c r="AF93" i="9"/>
  <c r="AG93" i="9" s="1"/>
  <c r="AF126" i="9"/>
  <c r="AG126" i="9" s="1"/>
  <c r="AF131" i="9"/>
  <c r="AG131" i="9" s="1"/>
  <c r="AF133" i="9"/>
  <c r="AG133" i="9" s="1"/>
  <c r="AF138" i="9"/>
  <c r="AG138" i="9" s="1"/>
  <c r="AF140" i="9"/>
  <c r="AG140" i="9" s="1"/>
  <c r="AF6" i="9"/>
  <c r="AG6" i="9" s="1"/>
  <c r="AF8" i="9"/>
  <c r="AG8" i="9" s="1"/>
  <c r="AF37" i="9"/>
  <c r="AG37" i="9" s="1"/>
  <c r="N44" i="9"/>
  <c r="AF44" i="9" s="1"/>
  <c r="AG44" i="9" s="1"/>
  <c r="AF63" i="9"/>
  <c r="AG63" i="9" s="1"/>
  <c r="AF100" i="9"/>
  <c r="AG100" i="9" s="1"/>
  <c r="AF112" i="9"/>
  <c r="AG112" i="9" s="1"/>
  <c r="AF119" i="9"/>
  <c r="AG119" i="9" s="1"/>
  <c r="AF148" i="9"/>
  <c r="AG148" i="9" s="1"/>
  <c r="AF22" i="9"/>
  <c r="AG22" i="9" s="1"/>
  <c r="AF32" i="9"/>
  <c r="AG32" i="9" s="1"/>
  <c r="M45" i="9"/>
  <c r="AF57" i="9"/>
  <c r="AG57" i="9" s="1"/>
  <c r="AF59" i="9"/>
  <c r="AG59" i="9" s="1"/>
  <c r="AF66" i="9"/>
  <c r="AG66" i="9" s="1"/>
  <c r="AF85" i="9"/>
  <c r="AG85" i="9" s="1"/>
  <c r="O98" i="9"/>
  <c r="AF98" i="9" s="1"/>
  <c r="AG98" i="9" s="1"/>
  <c r="AF105" i="9"/>
  <c r="AG105" i="9" s="1"/>
  <c r="AF122" i="9"/>
  <c r="AG122" i="9" s="1"/>
  <c r="AF127" i="9"/>
  <c r="AG127" i="9" s="1"/>
  <c r="AF129" i="9"/>
  <c r="AG129" i="9" s="1"/>
  <c r="AF134" i="9"/>
  <c r="AG134" i="9" s="1"/>
  <c r="AF152" i="9"/>
  <c r="AG152" i="9" s="1"/>
  <c r="N45" i="9"/>
  <c r="AF45" i="9" s="1"/>
  <c r="AG45" i="9" s="1"/>
  <c r="AF64" i="9"/>
  <c r="AG64" i="9" s="1"/>
  <c r="AF71" i="9"/>
  <c r="AG71" i="9" s="1"/>
  <c r="AF94" i="9"/>
  <c r="AG94" i="9" s="1"/>
  <c r="AF103" i="9"/>
  <c r="AG103" i="9" s="1"/>
  <c r="AF16" i="9"/>
  <c r="AG16" i="9" s="1"/>
  <c r="N137" i="9"/>
  <c r="AF142" i="9"/>
  <c r="AG142" i="9" s="1"/>
  <c r="AF36" i="9"/>
  <c r="AG36" i="9" s="1"/>
  <c r="AF67" i="9"/>
  <c r="AG67" i="9" s="1"/>
  <c r="N90" i="9"/>
  <c r="AF90" i="9" s="1"/>
  <c r="AG90" i="9" s="1"/>
  <c r="AF108" i="9"/>
  <c r="AG108" i="9" s="1"/>
  <c r="AF111" i="9"/>
  <c r="AG111" i="9" s="1"/>
  <c r="AF116" i="9"/>
  <c r="AG116" i="9" s="1"/>
  <c r="N118" i="9"/>
  <c r="AF123" i="9"/>
  <c r="AG123" i="9" s="1"/>
  <c r="AF135" i="9"/>
  <c r="AG135" i="9" s="1"/>
  <c r="O137" i="9"/>
  <c r="AF153" i="9"/>
  <c r="AG153" i="9" s="1"/>
  <c r="AF46" i="8"/>
  <c r="AG46" i="8" s="1"/>
  <c r="AF31" i="8"/>
  <c r="AG31" i="8" s="1"/>
  <c r="AF61" i="8"/>
  <c r="AG61" i="8" s="1"/>
  <c r="AF56" i="8"/>
  <c r="AG56" i="8" s="1"/>
  <c r="AF21" i="8"/>
  <c r="AG21" i="8" s="1"/>
  <c r="M46" i="8"/>
  <c r="N59" i="8"/>
  <c r="AF59" i="8" s="1"/>
  <c r="AG59" i="8" s="1"/>
  <c r="K90" i="8"/>
  <c r="AF58" i="8"/>
  <c r="AG58" i="8" s="1"/>
  <c r="AF24" i="8"/>
  <c r="AG24" i="8" s="1"/>
  <c r="M30" i="8"/>
  <c r="M35" i="8"/>
  <c r="AF37" i="8"/>
  <c r="AG37" i="8" s="1"/>
  <c r="AF67" i="8"/>
  <c r="AG67" i="8" s="1"/>
  <c r="M74" i="8"/>
  <c r="M90" i="8" s="1"/>
  <c r="AF78" i="8"/>
  <c r="AG78" i="8" s="1"/>
  <c r="N30" i="8"/>
  <c r="AF30" i="8" s="1"/>
  <c r="AG30" i="8" s="1"/>
  <c r="AF40" i="8"/>
  <c r="AG40" i="8" s="1"/>
  <c r="N52" i="8"/>
  <c r="AF15" i="7"/>
  <c r="AG15" i="7" s="1"/>
  <c r="AF91" i="7"/>
  <c r="AG91" i="7" s="1"/>
  <c r="AF100" i="7"/>
  <c r="AG100" i="7" s="1"/>
  <c r="AF58" i="7"/>
  <c r="AG58" i="7" s="1"/>
  <c r="N10" i="7"/>
  <c r="M15" i="7"/>
  <c r="AF28" i="7"/>
  <c r="AG28" i="7" s="1"/>
  <c r="AF70" i="7"/>
  <c r="AG70" i="7" s="1"/>
  <c r="AF88" i="7"/>
  <c r="AG88" i="7" s="1"/>
  <c r="AF96" i="7"/>
  <c r="AG96" i="7" s="1"/>
  <c r="AF105" i="7"/>
  <c r="AG105" i="7" s="1"/>
  <c r="AF107" i="7"/>
  <c r="AG107" i="7" s="1"/>
  <c r="AF51" i="7"/>
  <c r="AG51" i="7" s="1"/>
  <c r="O15" i="7"/>
  <c r="M21" i="7"/>
  <c r="M82" i="7"/>
  <c r="AF92" i="7"/>
  <c r="AG92" i="7" s="1"/>
  <c r="M10" i="7"/>
  <c r="AF61" i="7"/>
  <c r="AG61" i="7" s="1"/>
  <c r="N21" i="7"/>
  <c r="AF21" i="7" s="1"/>
  <c r="AG21" i="7" s="1"/>
  <c r="AF25" i="7"/>
  <c r="AG25" i="7" s="1"/>
  <c r="M32" i="7"/>
  <c r="AF57" i="7"/>
  <c r="AG57" i="7" s="1"/>
  <c r="N82" i="7"/>
  <c r="AF82" i="7" s="1"/>
  <c r="AG82" i="7" s="1"/>
  <c r="AF84" i="7"/>
  <c r="AG84" i="7" s="1"/>
  <c r="AF89" i="7"/>
  <c r="AG89" i="7" s="1"/>
  <c r="AF97" i="7"/>
  <c r="AG97" i="7" s="1"/>
  <c r="AF106" i="7"/>
  <c r="AG106" i="7" s="1"/>
  <c r="AF108" i="7"/>
  <c r="AG108" i="7" s="1"/>
  <c r="AF121" i="7"/>
  <c r="AG121" i="7" s="1"/>
  <c r="AF136" i="7"/>
  <c r="AG136" i="7" s="1"/>
  <c r="AF10" i="7"/>
  <c r="AG10" i="7" s="1"/>
  <c r="N32" i="7"/>
  <c r="AF32" i="7" s="1"/>
  <c r="AG32" i="7" s="1"/>
  <c r="M14" i="7"/>
  <c r="AF48" i="7"/>
  <c r="AG48" i="7" s="1"/>
  <c r="AF53" i="7"/>
  <c r="AG53" i="7" s="1"/>
  <c r="AF67" i="7"/>
  <c r="AG67" i="7" s="1"/>
  <c r="AF69" i="7"/>
  <c r="AG69" i="7" s="1"/>
  <c r="AF74" i="7"/>
  <c r="AG74" i="7" s="1"/>
  <c r="AF104" i="7"/>
  <c r="AG104" i="7" s="1"/>
  <c r="AF12" i="6"/>
  <c r="AG12" i="6" s="1"/>
  <c r="AF6" i="6"/>
  <c r="AG6" i="6" s="1"/>
  <c r="AF15" i="6"/>
  <c r="AG15" i="6" s="1"/>
  <c r="AF9" i="5"/>
  <c r="AG9" i="5" s="1"/>
  <c r="AF12" i="5"/>
  <c r="AG12" i="5" s="1"/>
  <c r="K18" i="5"/>
  <c r="M10" i="5"/>
  <c r="AF6" i="5"/>
  <c r="AG6" i="5" s="1"/>
  <c r="AE13" i="4"/>
  <c r="AF13" i="4" s="1"/>
  <c r="AE16" i="4"/>
  <c r="AF16" i="4" s="1"/>
  <c r="AE27" i="4"/>
  <c r="AF27" i="4" s="1"/>
  <c r="AE48" i="4"/>
  <c r="AF48" i="4" s="1"/>
  <c r="N64" i="4"/>
  <c r="M79" i="4"/>
  <c r="AE64" i="4"/>
  <c r="AF64" i="4" s="1"/>
  <c r="AE32" i="4"/>
  <c r="AF32" i="4" s="1"/>
  <c r="AE41" i="4"/>
  <c r="AF41" i="4" s="1"/>
  <c r="AE62" i="4"/>
  <c r="AF62" i="4" s="1"/>
  <c r="AE91" i="4"/>
  <c r="AF91" i="4" s="1"/>
  <c r="G95" i="4"/>
  <c r="N14" i="4"/>
  <c r="AF37" i="4"/>
  <c r="L49" i="4"/>
  <c r="AE70" i="4"/>
  <c r="AF70" i="4" s="1"/>
  <c r="AE82" i="4"/>
  <c r="AF82" i="4" s="1"/>
  <c r="AE87" i="4"/>
  <c r="AF87" i="4" s="1"/>
  <c r="AE14" i="4"/>
  <c r="AF14" i="4" s="1"/>
  <c r="AE5" i="4"/>
  <c r="AE42" i="4"/>
  <c r="AF42" i="4" s="1"/>
  <c r="AE63" i="4"/>
  <c r="AF63" i="4" s="1"/>
  <c r="AE92" i="4"/>
  <c r="AF92" i="4" s="1"/>
  <c r="AE26" i="4"/>
  <c r="AF26" i="4" s="1"/>
  <c r="AE31" i="4"/>
  <c r="AF31" i="4" s="1"/>
  <c r="AE38" i="4"/>
  <c r="AF38" i="4" s="1"/>
  <c r="AE68" i="4"/>
  <c r="AF68" i="4" s="1"/>
  <c r="AE88" i="4"/>
  <c r="AF88" i="4" s="1"/>
  <c r="AF78" i="3"/>
  <c r="AG78" i="3" s="1"/>
  <c r="AF16" i="3"/>
  <c r="AG16" i="3" s="1"/>
  <c r="AF41" i="3"/>
  <c r="AG41" i="3" s="1"/>
  <c r="M46" i="3"/>
  <c r="AF65" i="3"/>
  <c r="AG65" i="3" s="1"/>
  <c r="AF83" i="3"/>
  <c r="AG83" i="3" s="1"/>
  <c r="AF106" i="3"/>
  <c r="AG106" i="3" s="1"/>
  <c r="AF120" i="3"/>
  <c r="AG120" i="3" s="1"/>
  <c r="M151" i="3"/>
  <c r="AF162" i="3"/>
  <c r="AG162" i="3" s="1"/>
  <c r="AF11" i="3"/>
  <c r="AG11" i="3" s="1"/>
  <c r="AF12" i="3"/>
  <c r="AG12" i="3" s="1"/>
  <c r="AF30" i="3"/>
  <c r="AG30" i="3" s="1"/>
  <c r="AF54" i="3"/>
  <c r="AG54" i="3" s="1"/>
  <c r="AF72" i="3"/>
  <c r="AG72" i="3" s="1"/>
  <c r="AF79" i="3"/>
  <c r="AG79" i="3" s="1"/>
  <c r="AF92" i="3"/>
  <c r="AG92" i="3" s="1"/>
  <c r="AF97" i="3"/>
  <c r="AG97" i="3" s="1"/>
  <c r="AF113" i="3"/>
  <c r="AG113" i="3" s="1"/>
  <c r="AF130" i="3"/>
  <c r="AG130" i="3" s="1"/>
  <c r="AF137" i="3"/>
  <c r="AG137" i="3" s="1"/>
  <c r="AF144" i="3"/>
  <c r="AG144" i="3" s="1"/>
  <c r="AF149" i="3"/>
  <c r="AG149" i="3" s="1"/>
  <c r="N151" i="3"/>
  <c r="AF151" i="3" s="1"/>
  <c r="AG151" i="3" s="1"/>
  <c r="AF29" i="3"/>
  <c r="AG29" i="3" s="1"/>
  <c r="AF14" i="3"/>
  <c r="AG14" i="3" s="1"/>
  <c r="AF37" i="3"/>
  <c r="AG37" i="3" s="1"/>
  <c r="AF61" i="3"/>
  <c r="AG61" i="3" s="1"/>
  <c r="AF88" i="3"/>
  <c r="AG88" i="3" s="1"/>
  <c r="AF102" i="3"/>
  <c r="AG102" i="3" s="1"/>
  <c r="AF116" i="3"/>
  <c r="AG116" i="3" s="1"/>
  <c r="AF156" i="3"/>
  <c r="AG156" i="3" s="1"/>
  <c r="AF163" i="3"/>
  <c r="AG163" i="3" s="1"/>
  <c r="AF143" i="3"/>
  <c r="AG143" i="3" s="1"/>
  <c r="AF10" i="3"/>
  <c r="AG10" i="3" s="1"/>
  <c r="AF31" i="3"/>
  <c r="AG31" i="3" s="1"/>
  <c r="AF33" i="3"/>
  <c r="AG33" i="3" s="1"/>
  <c r="M64" i="3"/>
  <c r="AF66" i="3"/>
  <c r="AG66" i="3" s="1"/>
  <c r="AF80" i="3"/>
  <c r="AG80" i="3" s="1"/>
  <c r="AF90" i="3"/>
  <c r="AG90" i="3" s="1"/>
  <c r="AF98" i="3"/>
  <c r="AG98" i="3" s="1"/>
  <c r="AF128" i="3"/>
  <c r="AG128" i="3" s="1"/>
  <c r="AF145" i="3"/>
  <c r="AG145" i="3" s="1"/>
  <c r="AF147" i="3"/>
  <c r="AG147" i="3" s="1"/>
  <c r="AF152" i="3"/>
  <c r="AG152" i="3" s="1"/>
  <c r="AF159" i="3"/>
  <c r="AG159" i="3" s="1"/>
  <c r="AF15" i="3"/>
  <c r="AG15" i="3" s="1"/>
  <c r="AF38" i="3"/>
  <c r="AG38" i="3" s="1"/>
  <c r="AF48" i="3"/>
  <c r="AG48" i="3" s="1"/>
  <c r="AF105" i="3"/>
  <c r="AG105" i="3" s="1"/>
  <c r="AF117" i="3"/>
  <c r="AG117" i="3" s="1"/>
  <c r="AF119" i="3"/>
  <c r="AG119" i="3" s="1"/>
  <c r="AF164" i="3"/>
  <c r="AG164" i="3" s="1"/>
  <c r="AG10" i="2"/>
  <c r="AH10" i="2" s="1"/>
  <c r="AG29" i="2"/>
  <c r="AH29" i="2" s="1"/>
  <c r="AG34" i="2"/>
  <c r="AH34" i="2" s="1"/>
  <c r="AG36" i="2"/>
  <c r="AH36" i="2" s="1"/>
  <c r="M51" i="2"/>
  <c r="AG76" i="2"/>
  <c r="AH76" i="2" s="1"/>
  <c r="AG94" i="2"/>
  <c r="AH94" i="2" s="1"/>
  <c r="AG107" i="2"/>
  <c r="AH107" i="2" s="1"/>
  <c r="N51" i="2"/>
  <c r="AG51" i="2" s="1"/>
  <c r="AH51" i="2" s="1"/>
  <c r="AG99" i="2"/>
  <c r="AH99" i="2" s="1"/>
  <c r="AG8" i="2"/>
  <c r="AH8" i="2" s="1"/>
  <c r="AG15" i="2"/>
  <c r="AH15" i="2" s="1"/>
  <c r="AG25" i="2"/>
  <c r="AH25" i="2" s="1"/>
  <c r="AG32" i="2"/>
  <c r="AH32" i="2" s="1"/>
  <c r="M37" i="2"/>
  <c r="AG39" i="2"/>
  <c r="AH39" i="2" s="1"/>
  <c r="AG49" i="2"/>
  <c r="AH49" i="2" s="1"/>
  <c r="AG102" i="2"/>
  <c r="AH102" i="2" s="1"/>
  <c r="AG23" i="2"/>
  <c r="AH23" i="2" s="1"/>
  <c r="AG40" i="2"/>
  <c r="AH40" i="2" s="1"/>
  <c r="AG45" i="2"/>
  <c r="AH45" i="2" s="1"/>
  <c r="AG52" i="2"/>
  <c r="AH52" i="2" s="1"/>
  <c r="AG62" i="2"/>
  <c r="AH62" i="2" s="1"/>
  <c r="N72" i="2"/>
  <c r="AG72" i="2" s="1"/>
  <c r="AH72" i="2" s="1"/>
  <c r="AG75" i="2"/>
  <c r="AH75" i="2" s="1"/>
  <c r="AG82" i="2"/>
  <c r="AH82" i="2" s="1"/>
  <c r="O108" i="2"/>
  <c r="AG108" i="2" s="1"/>
  <c r="AH108" i="2" s="1"/>
  <c r="AG37" i="2"/>
  <c r="AH37" i="2" s="1"/>
  <c r="AG12" i="2"/>
  <c r="AH12" i="2" s="1"/>
  <c r="AG21" i="2"/>
  <c r="AH21" i="2" s="1"/>
  <c r="AG60" i="2"/>
  <c r="AH60" i="2" s="1"/>
  <c r="AG65" i="2"/>
  <c r="AH65" i="2" s="1"/>
  <c r="AG68" i="2"/>
  <c r="AH68" i="2" s="1"/>
  <c r="AG73" i="2"/>
  <c r="AH73" i="2" s="1"/>
  <c r="AG78" i="2"/>
  <c r="AH78" i="2" s="1"/>
  <c r="AG98" i="2"/>
  <c r="AH98" i="2" s="1"/>
  <c r="AG103" i="2"/>
  <c r="AH103" i="2" s="1"/>
  <c r="AG109" i="2"/>
  <c r="AH109" i="2" s="1"/>
  <c r="AG15" i="1"/>
  <c r="AH15" i="1" s="1"/>
  <c r="AG17" i="1"/>
  <c r="AH17" i="1" s="1"/>
  <c r="N28" i="1"/>
  <c r="AG65" i="1"/>
  <c r="AH65" i="1" s="1"/>
  <c r="AG70" i="1"/>
  <c r="AH70" i="1" s="1"/>
  <c r="AG78" i="1"/>
  <c r="AH78" i="1" s="1"/>
  <c r="AG87" i="1"/>
  <c r="AH87" i="1" s="1"/>
  <c r="AG89" i="1"/>
  <c r="AH89" i="1" s="1"/>
  <c r="AG92" i="1"/>
  <c r="AH92" i="1" s="1"/>
  <c r="AG125" i="1"/>
  <c r="AH125" i="1" s="1"/>
  <c r="N72" i="1"/>
  <c r="AG31" i="1"/>
  <c r="AH31" i="1" s="1"/>
  <c r="K128" i="1"/>
  <c r="AG18" i="1"/>
  <c r="AH18" i="1" s="1"/>
  <c r="AG24" i="1"/>
  <c r="AH24" i="1" s="1"/>
  <c r="AG57" i="1"/>
  <c r="AH57" i="1" s="1"/>
  <c r="AG79" i="1"/>
  <c r="AH79" i="1" s="1"/>
  <c r="AG90" i="1"/>
  <c r="AH90" i="1" s="1"/>
  <c r="AG103" i="1"/>
  <c r="AH103" i="1" s="1"/>
  <c r="AG106" i="1"/>
  <c r="AH106" i="1" s="1"/>
  <c r="AG108" i="1"/>
  <c r="AH108" i="1" s="1"/>
  <c r="AG111" i="1"/>
  <c r="AH111" i="1" s="1"/>
  <c r="AG21" i="1"/>
  <c r="AH21" i="1" s="1"/>
  <c r="AG66" i="1"/>
  <c r="AH66" i="1" s="1"/>
  <c r="AG76" i="1"/>
  <c r="AH76" i="1" s="1"/>
  <c r="AG98" i="1"/>
  <c r="AH98" i="1" s="1"/>
  <c r="M28" i="1"/>
  <c r="AG61" i="1"/>
  <c r="AH61" i="1" s="1"/>
  <c r="AG9" i="1"/>
  <c r="AH9" i="1" s="1"/>
  <c r="AG30" i="1"/>
  <c r="AH30" i="1" s="1"/>
  <c r="AG14" i="1"/>
  <c r="AH14" i="1" s="1"/>
  <c r="AG25" i="1"/>
  <c r="AH25" i="1" s="1"/>
  <c r="AG27" i="1"/>
  <c r="AH27" i="1" s="1"/>
  <c r="AG69" i="1"/>
  <c r="AH69" i="1" s="1"/>
  <c r="AG80" i="1"/>
  <c r="AH80" i="1" s="1"/>
  <c r="AG86" i="1"/>
  <c r="AH86" i="1" s="1"/>
  <c r="AG91" i="1"/>
  <c r="AH91" i="1" s="1"/>
  <c r="AG101" i="1"/>
  <c r="AH101" i="1" s="1"/>
  <c r="AG28" i="1"/>
  <c r="AH28" i="1" s="1"/>
  <c r="AG72" i="1"/>
  <c r="AH72" i="1" s="1"/>
  <c r="AH128" i="1" s="1"/>
  <c r="AF57" i="4"/>
  <c r="L57" i="4"/>
  <c r="M56" i="1"/>
  <c r="AG118" i="1"/>
  <c r="AH118" i="1" s="1"/>
  <c r="AH5" i="2"/>
  <c r="AG74" i="2"/>
  <c r="AH74" i="2" s="1"/>
  <c r="AG83" i="2"/>
  <c r="AH83" i="2" s="1"/>
  <c r="M110" i="2"/>
  <c r="M117" i="2" s="1"/>
  <c r="AF57" i="3"/>
  <c r="AG57" i="3" s="1"/>
  <c r="AF68" i="3"/>
  <c r="AG68" i="3" s="1"/>
  <c r="N96" i="3"/>
  <c r="AF96" i="3" s="1"/>
  <c r="AG96" i="3" s="1"/>
  <c r="M96" i="3"/>
  <c r="AF123" i="3"/>
  <c r="AG123" i="3" s="1"/>
  <c r="M71" i="4"/>
  <c r="L71" i="4"/>
  <c r="M18" i="6"/>
  <c r="M20" i="1"/>
  <c r="M64" i="1"/>
  <c r="N110" i="2"/>
  <c r="AG110" i="2" s="1"/>
  <c r="AH110" i="2" s="1"/>
  <c r="N71" i="4"/>
  <c r="N31" i="7"/>
  <c r="M31" i="7"/>
  <c r="O46" i="7"/>
  <c r="N46" i="7"/>
  <c r="M46" i="7"/>
  <c r="M23" i="1"/>
  <c r="N56" i="1"/>
  <c r="AG56" i="1" s="1"/>
  <c r="AH56" i="1" s="1"/>
  <c r="M81" i="1"/>
  <c r="N20" i="1"/>
  <c r="AG20" i="1" s="1"/>
  <c r="AH20" i="1" s="1"/>
  <c r="N23" i="1"/>
  <c r="AG23" i="1" s="1"/>
  <c r="AH23" i="1" s="1"/>
  <c r="M55" i="1"/>
  <c r="N64" i="1"/>
  <c r="AG64" i="1" s="1"/>
  <c r="AH64" i="1" s="1"/>
  <c r="M72" i="1"/>
  <c r="N81" i="1"/>
  <c r="AG81" i="1" s="1"/>
  <c r="AH81" i="1" s="1"/>
  <c r="M105" i="1"/>
  <c r="AG6" i="2"/>
  <c r="AH6" i="2" s="1"/>
  <c r="AG55" i="2"/>
  <c r="AH55" i="2" s="1"/>
  <c r="AG64" i="2"/>
  <c r="AH64" i="2" s="1"/>
  <c r="AG71" i="2"/>
  <c r="AH71" i="2" s="1"/>
  <c r="AG112" i="2"/>
  <c r="AH112" i="2" s="1"/>
  <c r="AF5" i="3"/>
  <c r="AF7" i="3"/>
  <c r="AG7" i="3" s="1"/>
  <c r="AF18" i="3"/>
  <c r="AG18" i="3" s="1"/>
  <c r="N46" i="3"/>
  <c r="AF46" i="3" s="1"/>
  <c r="AG46" i="3" s="1"/>
  <c r="AF76" i="3"/>
  <c r="AG76" i="3" s="1"/>
  <c r="AF94" i="3"/>
  <c r="AG94" i="3" s="1"/>
  <c r="AF126" i="3"/>
  <c r="AG126" i="3" s="1"/>
  <c r="AF175" i="3"/>
  <c r="AG175" i="3" s="1"/>
  <c r="M18" i="5"/>
  <c r="AF16" i="5"/>
  <c r="AG16" i="5" s="1"/>
  <c r="O18" i="6"/>
  <c r="AF29" i="7"/>
  <c r="AG29" i="7" s="1"/>
  <c r="O31" i="7"/>
  <c r="AF35" i="7"/>
  <c r="AG35" i="7" s="1"/>
  <c r="N90" i="7"/>
  <c r="M90" i="7"/>
  <c r="O90" i="7"/>
  <c r="N105" i="1"/>
  <c r="AG105" i="1" s="1"/>
  <c r="AH105" i="1" s="1"/>
  <c r="O128" i="1"/>
  <c r="M77" i="1"/>
  <c r="M123" i="1"/>
  <c r="H176" i="3"/>
  <c r="O18" i="5"/>
  <c r="AG18" i="6"/>
  <c r="AF5" i="7"/>
  <c r="M50" i="1"/>
  <c r="M35" i="1"/>
  <c r="N77" i="1"/>
  <c r="AG77" i="1" s="1"/>
  <c r="AH77" i="1" s="1"/>
  <c r="N123" i="1"/>
  <c r="AG123" i="1" s="1"/>
  <c r="AH123" i="1" s="1"/>
  <c r="AG17" i="2"/>
  <c r="AH17" i="2" s="1"/>
  <c r="AG26" i="2"/>
  <c r="AH26" i="2" s="1"/>
  <c r="AG33" i="2"/>
  <c r="AH33" i="2" s="1"/>
  <c r="K117" i="2"/>
  <c r="AF8" i="3"/>
  <c r="AG8" i="3" s="1"/>
  <c r="AF19" i="3"/>
  <c r="AG19" i="3" s="1"/>
  <c r="AF56" i="3"/>
  <c r="AG56" i="3" s="1"/>
  <c r="AF67" i="3"/>
  <c r="AG67" i="3" s="1"/>
  <c r="O114" i="3"/>
  <c r="O176" i="3" s="1"/>
  <c r="N114" i="3"/>
  <c r="AF129" i="3"/>
  <c r="AG129" i="3" s="1"/>
  <c r="AF148" i="3"/>
  <c r="AG148" i="3" s="1"/>
  <c r="AF167" i="3"/>
  <c r="AG167" i="3" s="1"/>
  <c r="AF5" i="4"/>
  <c r="AE56" i="4"/>
  <c r="AF56" i="4" s="1"/>
  <c r="AG115" i="1"/>
  <c r="AH115" i="1" s="1"/>
  <c r="O117" i="2"/>
  <c r="AG7" i="2"/>
  <c r="AH7" i="2" s="1"/>
  <c r="AG56" i="2"/>
  <c r="AH56" i="2" s="1"/>
  <c r="AG63" i="2"/>
  <c r="AH63" i="2" s="1"/>
  <c r="AG113" i="2"/>
  <c r="AH113" i="2" s="1"/>
  <c r="K176" i="3"/>
  <c r="AF45" i="3"/>
  <c r="AG45" i="3" s="1"/>
  <c r="AF49" i="3"/>
  <c r="AG49" i="3" s="1"/>
  <c r="AE19" i="4"/>
  <c r="AF19" i="4" s="1"/>
  <c r="AF18" i="5"/>
  <c r="AF6" i="7"/>
  <c r="AG6" i="7" s="1"/>
  <c r="AF18" i="7"/>
  <c r="AG18" i="7" s="1"/>
  <c r="N34" i="4"/>
  <c r="N79" i="4"/>
  <c r="AE79" i="4" s="1"/>
  <c r="AF79" i="4" s="1"/>
  <c r="O109" i="9"/>
  <c r="N109" i="9"/>
  <c r="M109" i="9"/>
  <c r="L14" i="4"/>
  <c r="L64" i="4"/>
  <c r="J95" i="4"/>
  <c r="AF38" i="7"/>
  <c r="AG38" i="7" s="1"/>
  <c r="AF45" i="7"/>
  <c r="AG45" i="7" s="1"/>
  <c r="AF23" i="9"/>
  <c r="AG23" i="9" s="1"/>
  <c r="AF60" i="7"/>
  <c r="AG60" i="7" s="1"/>
  <c r="AF68" i="7"/>
  <c r="AG68" i="7" s="1"/>
  <c r="O80" i="9"/>
  <c r="N80" i="9"/>
  <c r="M80" i="9"/>
  <c r="AF49" i="7"/>
  <c r="AG49" i="7" s="1"/>
  <c r="AF56" i="7"/>
  <c r="AG56" i="7" s="1"/>
  <c r="AF87" i="7"/>
  <c r="AG87" i="7" s="1"/>
  <c r="AF78" i="9"/>
  <c r="AG78" i="9" s="1"/>
  <c r="M46" i="4"/>
  <c r="AE46" i="4" s="1"/>
  <c r="AF46" i="4" s="1"/>
  <c r="M49" i="4"/>
  <c r="AE49" i="4" s="1"/>
  <c r="AF49" i="4" s="1"/>
  <c r="N10" i="5"/>
  <c r="AF10" i="5" s="1"/>
  <c r="AG10" i="5" s="1"/>
  <c r="AG18" i="5" s="1"/>
  <c r="O83" i="8"/>
  <c r="N83" i="8"/>
  <c r="AF83" i="8" s="1"/>
  <c r="AG83" i="8" s="1"/>
  <c r="M83" i="8"/>
  <c r="L37" i="4"/>
  <c r="K137" i="7"/>
  <c r="O14" i="7"/>
  <c r="AF14" i="7" s="1"/>
  <c r="AG14" i="7" s="1"/>
  <c r="N59" i="7"/>
  <c r="AF59" i="7" s="1"/>
  <c r="AG59" i="7" s="1"/>
  <c r="AF5" i="13"/>
  <c r="O15" i="13"/>
  <c r="O52" i="8"/>
  <c r="AF52" i="8" s="1"/>
  <c r="O23" i="9"/>
  <c r="AG5" i="12"/>
  <c r="AG8" i="12" s="1"/>
  <c r="AF8" i="12"/>
  <c r="N13" i="14"/>
  <c r="AG5" i="17"/>
  <c r="M44" i="9"/>
  <c r="AF97" i="9"/>
  <c r="AG97" i="9" s="1"/>
  <c r="AF118" i="9"/>
  <c r="AG118" i="9" s="1"/>
  <c r="N16" i="11"/>
  <c r="AF13" i="14"/>
  <c r="K154" i="9"/>
  <c r="O16" i="11"/>
  <c r="AF5" i="11"/>
  <c r="M18" i="9"/>
  <c r="M21" i="9"/>
  <c r="M35" i="9"/>
  <c r="AF114" i="9"/>
  <c r="AG114" i="9" s="1"/>
  <c r="AF5" i="9"/>
  <c r="N18" i="9"/>
  <c r="AF18" i="9" s="1"/>
  <c r="AG18" i="9" s="1"/>
  <c r="N21" i="9"/>
  <c r="AF21" i="9" s="1"/>
  <c r="AG21" i="9" s="1"/>
  <c r="N35" i="9"/>
  <c r="AF35" i="9" s="1"/>
  <c r="AG35" i="9" s="1"/>
  <c r="AF7" i="15"/>
  <c r="AG7" i="15" s="1"/>
  <c r="AG17" i="15" s="1"/>
  <c r="O17" i="15"/>
  <c r="N31" i="16"/>
  <c r="O18" i="9"/>
  <c r="O154" i="9" s="1"/>
  <c r="M34" i="10"/>
  <c r="O31" i="16"/>
  <c r="AF115" i="9"/>
  <c r="AG115" i="9" s="1"/>
  <c r="N34" i="10"/>
  <c r="AF5" i="10"/>
  <c r="N15" i="13"/>
  <c r="AG31" i="16"/>
  <c r="M27" i="17"/>
  <c r="N28" i="18"/>
  <c r="O10" i="17"/>
  <c r="AF10" i="17" s="1"/>
  <c r="AG10" i="17" s="1"/>
  <c r="AF5" i="18"/>
  <c r="AF45" i="19"/>
  <c r="AG45" i="19" s="1"/>
  <c r="AF51" i="19"/>
  <c r="AG51" i="19" s="1"/>
  <c r="AF55" i="19"/>
  <c r="AG55" i="19" s="1"/>
  <c r="O139" i="19"/>
  <c r="N139" i="19"/>
  <c r="AA8" i="21"/>
  <c r="AB8" i="21" s="1"/>
  <c r="AF31" i="16"/>
  <c r="K28" i="18"/>
  <c r="AF37" i="19"/>
  <c r="AG37" i="19" s="1"/>
  <c r="AF41" i="19"/>
  <c r="AG41" i="19" s="1"/>
  <c r="AF70" i="19"/>
  <c r="AG70" i="19" s="1"/>
  <c r="O24" i="20"/>
  <c r="AF15" i="20"/>
  <c r="AG15" i="20" s="1"/>
  <c r="M150" i="9"/>
  <c r="N150" i="9"/>
  <c r="AF150" i="9" s="1"/>
  <c r="AG150" i="9" s="1"/>
  <c r="AG5" i="14"/>
  <c r="AG13" i="14" s="1"/>
  <c r="N17" i="15"/>
  <c r="N14" i="18"/>
  <c r="AF14" i="18" s="1"/>
  <c r="AG14" i="18" s="1"/>
  <c r="AF5" i="19"/>
  <c r="AF17" i="19"/>
  <c r="AG17" i="19" s="1"/>
  <c r="AF21" i="19"/>
  <c r="AG21" i="19" s="1"/>
  <c r="AF25" i="19"/>
  <c r="AG25" i="19" s="1"/>
  <c r="AF98" i="19"/>
  <c r="AG98" i="19" s="1"/>
  <c r="AF120" i="19"/>
  <c r="AG120" i="19" s="1"/>
  <c r="AF81" i="19"/>
  <c r="AG81" i="19" s="1"/>
  <c r="AF92" i="19"/>
  <c r="AG92" i="19" s="1"/>
  <c r="O111" i="19"/>
  <c r="O144" i="19" s="1"/>
  <c r="N111" i="19"/>
  <c r="AF18" i="20"/>
  <c r="AG18" i="20" s="1"/>
  <c r="O30" i="21"/>
  <c r="O46" i="21" s="1"/>
  <c r="N30" i="21"/>
  <c r="M30" i="21"/>
  <c r="M56" i="23"/>
  <c r="J27" i="17"/>
  <c r="O114" i="19"/>
  <c r="N114" i="19"/>
  <c r="AF114" i="19" s="1"/>
  <c r="AG114" i="19" s="1"/>
  <c r="O125" i="19"/>
  <c r="N125" i="19"/>
  <c r="M125" i="19"/>
  <c r="AB5" i="21"/>
  <c r="O30" i="22"/>
  <c r="N30" i="22"/>
  <c r="M30" i="22"/>
  <c r="M36" i="22" s="1"/>
  <c r="O86" i="19"/>
  <c r="N86" i="19"/>
  <c r="AF86" i="19" s="1"/>
  <c r="AG86" i="19" s="1"/>
  <c r="M114" i="19"/>
  <c r="M86" i="19"/>
  <c r="M24" i="20"/>
  <c r="AG5" i="23"/>
  <c r="N24" i="23"/>
  <c r="AF24" i="23" s="1"/>
  <c r="AG24" i="23" s="1"/>
  <c r="K56" i="23"/>
  <c r="M24" i="21"/>
  <c r="M46" i="21" s="1"/>
  <c r="O11" i="22"/>
  <c r="O36" i="22" s="1"/>
  <c r="K144" i="19"/>
  <c r="N24" i="21"/>
  <c r="AA24" i="21" s="1"/>
  <c r="AB24" i="21" s="1"/>
  <c r="AF5" i="22"/>
  <c r="N56" i="23"/>
  <c r="N93" i="19"/>
  <c r="AF93" i="19" s="1"/>
  <c r="AG93" i="19" s="1"/>
  <c r="N16" i="20"/>
  <c r="AF16" i="20" s="1"/>
  <c r="AG16" i="20" s="1"/>
  <c r="AG24" i="20" s="1"/>
  <c r="AF30" i="22" l="1"/>
  <c r="AG30" i="22" s="1"/>
  <c r="AF11" i="22"/>
  <c r="AG11" i="22" s="1"/>
  <c r="N46" i="21"/>
  <c r="M144" i="19"/>
  <c r="AF125" i="19"/>
  <c r="AG125" i="19" s="1"/>
  <c r="AF73" i="19"/>
  <c r="AG73" i="19" s="1"/>
  <c r="AF139" i="19"/>
  <c r="AG139" i="19" s="1"/>
  <c r="AF109" i="9"/>
  <c r="AG109" i="9" s="1"/>
  <c r="M154" i="9"/>
  <c r="AF137" i="9"/>
  <c r="AG137" i="9" s="1"/>
  <c r="O90" i="8"/>
  <c r="N90" i="8"/>
  <c r="M137" i="7"/>
  <c r="AF18" i="6"/>
  <c r="N18" i="5"/>
  <c r="L95" i="4"/>
  <c r="AE71" i="4"/>
  <c r="AF71" i="4" s="1"/>
  <c r="N95" i="4"/>
  <c r="M176" i="3"/>
  <c r="M128" i="1"/>
  <c r="AG52" i="8"/>
  <c r="AG90" i="8" s="1"/>
  <c r="AF90" i="8"/>
  <c r="AG5" i="3"/>
  <c r="O27" i="17"/>
  <c r="AF154" i="9"/>
  <c r="AG5" i="9"/>
  <c r="AF90" i="7"/>
  <c r="AG90" i="7" s="1"/>
  <c r="AG128" i="1"/>
  <c r="AF28" i="18"/>
  <c r="AG5" i="18"/>
  <c r="AG28" i="18" s="1"/>
  <c r="AG5" i="11"/>
  <c r="AG16" i="11" s="1"/>
  <c r="AF16" i="11"/>
  <c r="AG5" i="19"/>
  <c r="AG5" i="22"/>
  <c r="AG56" i="23"/>
  <c r="AF56" i="23"/>
  <c r="AA30" i="21"/>
  <c r="N144" i="19"/>
  <c r="N154" i="9"/>
  <c r="AF27" i="17"/>
  <c r="N137" i="7"/>
  <c r="AF80" i="9"/>
  <c r="AG80" i="9" s="1"/>
  <c r="AF114" i="3"/>
  <c r="AG114" i="3" s="1"/>
  <c r="AG5" i="7"/>
  <c r="AF46" i="7"/>
  <c r="AG46" i="7" s="1"/>
  <c r="AH117" i="2"/>
  <c r="N128" i="1"/>
  <c r="O137" i="7"/>
  <c r="N117" i="2"/>
  <c r="N24" i="20"/>
  <c r="AG5" i="13"/>
  <c r="AG15" i="13" s="1"/>
  <c r="AF15" i="13"/>
  <c r="AG27" i="17"/>
  <c r="AF34" i="10"/>
  <c r="AG5" i="10"/>
  <c r="AG34" i="10" s="1"/>
  <c r="AE34" i="4"/>
  <c r="AF34" i="4" s="1"/>
  <c r="AF95" i="4" s="1"/>
  <c r="AF31" i="7"/>
  <c r="AG31" i="7" s="1"/>
  <c r="AF24" i="20"/>
  <c r="AF111" i="19"/>
  <c r="AG111" i="19" s="1"/>
  <c r="N36" i="22"/>
  <c r="AF17" i="15"/>
  <c r="M95" i="4"/>
  <c r="N176" i="3"/>
  <c r="AG117" i="2"/>
  <c r="AF36" i="22" l="1"/>
  <c r="AG36" i="22"/>
  <c r="AG154" i="9"/>
  <c r="AE95" i="4"/>
  <c r="AG144" i="19"/>
  <c r="AF144" i="19"/>
  <c r="AG137" i="7"/>
  <c r="AB30" i="21"/>
  <c r="AB46" i="21" s="1"/>
  <c r="AA46" i="21"/>
  <c r="AF176" i="3"/>
  <c r="AF137" i="7"/>
  <c r="AG176" i="3"/>
</calcChain>
</file>

<file path=xl/sharedStrings.xml><?xml version="1.0" encoding="utf-8"?>
<sst xmlns="http://schemas.openxmlformats.org/spreadsheetml/2006/main" count="5217" uniqueCount="1127">
  <si>
    <t>CO. NAME: TOSHCO INC</t>
  </si>
  <si>
    <t xml:space="preserve">Petty Cash </t>
  </si>
  <si>
    <t>For the Month Ended: January 2019</t>
  </si>
  <si>
    <t>6223-2</t>
  </si>
  <si>
    <t>6102-3</t>
  </si>
  <si>
    <t>Date</t>
  </si>
  <si>
    <t>PCV Number</t>
  </si>
  <si>
    <t>Payee</t>
  </si>
  <si>
    <t>TIN</t>
  </si>
  <si>
    <t>Address</t>
  </si>
  <si>
    <t>Invoice Number</t>
  </si>
  <si>
    <t>Particulars</t>
  </si>
  <si>
    <t>Invalid</t>
  </si>
  <si>
    <t>VAT Zero-Rated</t>
  </si>
  <si>
    <t>VAT Exempt</t>
  </si>
  <si>
    <t>VAT 12%</t>
  </si>
  <si>
    <t>EWT Rate</t>
  </si>
  <si>
    <t>Net of VAT</t>
  </si>
  <si>
    <t>Input VAT</t>
  </si>
  <si>
    <t>EWT</t>
  </si>
  <si>
    <t>RAW MATS FOOD</t>
  </si>
  <si>
    <t>RAW MATS BEVERAGES</t>
  </si>
  <si>
    <t xml:space="preserve">CLEANING </t>
  </si>
  <si>
    <t>PACKAGING</t>
  </si>
  <si>
    <t>OFFICE SUPPLIES</t>
  </si>
  <si>
    <t>GUEST SUPPLIES</t>
  </si>
  <si>
    <t>DECORS</t>
  </si>
  <si>
    <t>MEDICAL SUPPLIES</t>
  </si>
  <si>
    <t>WARES AND UTENSILS</t>
  </si>
  <si>
    <t>REPAIRS AND MAINTENANCE</t>
  </si>
  <si>
    <t>PHOTOCOPY</t>
  </si>
  <si>
    <t>TRANSPO</t>
  </si>
  <si>
    <t>SALARIES AND WAGES</t>
  </si>
  <si>
    <t>MARKETING</t>
  </si>
  <si>
    <t>MISC</t>
  </si>
  <si>
    <t>EMP MEAL</t>
  </si>
  <si>
    <t>Petty Cash</t>
  </si>
  <si>
    <t>Rustans Supercenters Inc</t>
  </si>
  <si>
    <t>201-160-401-002</t>
  </si>
  <si>
    <t>Valero St Makati City</t>
  </si>
  <si>
    <t>Fresh Milk,Cream Cheese</t>
  </si>
  <si>
    <t>ASC Enterprises Inc</t>
  </si>
  <si>
    <t>000-080-595-000</t>
  </si>
  <si>
    <t>Sta Mesa Manila</t>
  </si>
  <si>
    <t>Tube Ice</t>
  </si>
  <si>
    <t>The Landmark Corporation</t>
  </si>
  <si>
    <t>000-148-285-000</t>
  </si>
  <si>
    <t>Makati City</t>
  </si>
  <si>
    <t>Anchovies,Sardines,Baking Powder</t>
  </si>
  <si>
    <t>Camote</t>
  </si>
  <si>
    <t>Earles Delicatessen</t>
  </si>
  <si>
    <t>213-575-918-005</t>
  </si>
  <si>
    <t>Gil Puyat Makati</t>
  </si>
  <si>
    <t>BF Ham,Smoke Bavarian</t>
  </si>
  <si>
    <t>Evarlies Meatshop</t>
  </si>
  <si>
    <t>139-599-310-000</t>
  </si>
  <si>
    <t>Marikina City</t>
  </si>
  <si>
    <t>Pork Ribs,Hungarian Sausage,Bacon</t>
  </si>
  <si>
    <t>Angelo Sanchez</t>
  </si>
  <si>
    <t>Transpo purchased kitchen stocks</t>
  </si>
  <si>
    <t>Makati Public Market</t>
  </si>
  <si>
    <t>Rice</t>
  </si>
  <si>
    <t>Glenn Biarcal</t>
  </si>
  <si>
    <t>Transpo purchased Rice</t>
  </si>
  <si>
    <t>Chicken Breast Fillet</t>
  </si>
  <si>
    <t>Abmarac Corporation</t>
  </si>
  <si>
    <t>006-748-072-000</t>
  </si>
  <si>
    <t>Quezon City</t>
  </si>
  <si>
    <t>Hot Sauce</t>
  </si>
  <si>
    <t>Lettuce</t>
  </si>
  <si>
    <t>Molo Wrapper,Chream Cheese,Cheddar Cheese</t>
  </si>
  <si>
    <t>Cucumber</t>
  </si>
  <si>
    <t>Parmesan Cheese,Garlic Longganiza,Cream Cheese</t>
  </si>
  <si>
    <t>Tomato,Dill</t>
  </si>
  <si>
    <t>Tosh Cafe</t>
  </si>
  <si>
    <t>Cakes</t>
  </si>
  <si>
    <t xml:space="preserve">Transpo pick up cakes </t>
  </si>
  <si>
    <t>Corn Oil,Tidbits,Green Peas</t>
  </si>
  <si>
    <t>Lettuce,Camote</t>
  </si>
  <si>
    <t xml:space="preserve">BBQ Stick </t>
  </si>
  <si>
    <t>Sozo Exousia Inc</t>
  </si>
  <si>
    <t>0006-801-328-000</t>
  </si>
  <si>
    <t>Bagumbayan Quezon City</t>
  </si>
  <si>
    <t>Brioche Bread</t>
  </si>
  <si>
    <t>Ideal spag., bread crumbs,cheese powder, black olives &amp; etc</t>
  </si>
  <si>
    <t>Pear &amp; onions</t>
  </si>
  <si>
    <t>Egg</t>
  </si>
  <si>
    <t>Cucumber &amp; tomato</t>
  </si>
  <si>
    <t>Cream cheese, corn oil, flour, wanton, &amp; etc</t>
  </si>
  <si>
    <t>Cocoa Powder,Sugar</t>
  </si>
  <si>
    <t>Pork Ribs,Bacon bits</t>
  </si>
  <si>
    <t>Grenadine syrup</t>
  </si>
  <si>
    <t>Fresh milk, hot cake mix, bread flour &amp; etc.</t>
  </si>
  <si>
    <t>Magnolia flour &amp; buter</t>
  </si>
  <si>
    <t>White onions, beans &amp; tomato</t>
  </si>
  <si>
    <t>Sardines, bread crumbs, spag sauce &amp; etc.</t>
  </si>
  <si>
    <t>White sugar</t>
  </si>
  <si>
    <t>Food Zone Inc.</t>
  </si>
  <si>
    <t>004-846-011-000</t>
  </si>
  <si>
    <t>Mandaluyong City</t>
  </si>
  <si>
    <t>Pizza cheese</t>
  </si>
  <si>
    <t>Spaghetti, penne &amp; angel hair pasta</t>
  </si>
  <si>
    <t>Tosh Cafe Katipunan</t>
  </si>
  <si>
    <t>Katipunan, Q.C.</t>
  </si>
  <si>
    <t>Choco Caramel &amp; Peacan Cheesecake</t>
  </si>
  <si>
    <t>Office Warehouse, Inc</t>
  </si>
  <si>
    <t>200-492-462-008</t>
  </si>
  <si>
    <t>GF2 Paseo Center, Paseo de Roxas</t>
  </si>
  <si>
    <t>Celo tape &amp; correction tape</t>
  </si>
  <si>
    <t>Photocopy of doc for business permit</t>
  </si>
  <si>
    <t>Vicente Carag</t>
  </si>
  <si>
    <t xml:space="preserve">Tranpo c/o Lalamove delivey </t>
  </si>
  <si>
    <t>Transpo going to M'Kathys office</t>
  </si>
  <si>
    <t>Transpo going to Marikina</t>
  </si>
  <si>
    <t xml:space="preserve">SM Hypermarket </t>
  </si>
  <si>
    <t>209-609-185-000</t>
  </si>
  <si>
    <t>SM Jazz Nicanor Garcia cor Jupiter</t>
  </si>
  <si>
    <t>Plastic Canister</t>
  </si>
  <si>
    <t>Transpo going to katipunan</t>
  </si>
  <si>
    <t>Spaghetti,Tokwa</t>
  </si>
  <si>
    <t>Baby Back Ribs,Mango</t>
  </si>
  <si>
    <t>Makati City Hall</t>
  </si>
  <si>
    <t>Extra Fund for Business Permit Renewal</t>
  </si>
  <si>
    <t>Smoked Bavarian</t>
  </si>
  <si>
    <t>Gabriel Atienza</t>
  </si>
  <si>
    <t>Extra Kitchen Staff</t>
  </si>
  <si>
    <t>Scissors</t>
  </si>
  <si>
    <t>Sugar, Baguette Bread</t>
  </si>
  <si>
    <t>Iodized Salt,Butter</t>
  </si>
  <si>
    <t>Trash Bag</t>
  </si>
  <si>
    <t>Transpo purchased Kitchen Stocks in Marikina</t>
  </si>
  <si>
    <t>Baby Back Ribs,Bacon,Hungarian Sausage</t>
  </si>
  <si>
    <t>Spaghetti,Pepperoni,Raisins,Choco Fudge,Chorizo</t>
  </si>
  <si>
    <t>Squash,Cabbage,Tomato,Sesame Seed</t>
  </si>
  <si>
    <t>Innovatronix Inc</t>
  </si>
  <si>
    <t>000-097-447-029</t>
  </si>
  <si>
    <t>Ayala Makati</t>
  </si>
  <si>
    <t>Photo Printing of Table Topper</t>
  </si>
  <si>
    <t>Spaghetti,Siomai Wrapper</t>
  </si>
  <si>
    <t>Camote,Potato</t>
  </si>
  <si>
    <t>Coffee Beans</t>
  </si>
  <si>
    <t>Transpo going to Guadalupe &amp; KCC Office</t>
  </si>
  <si>
    <t>Shah Bonn Jadd</t>
  </si>
  <si>
    <t>106-226-027-000</t>
  </si>
  <si>
    <t>Pizza Box,Paper Straw</t>
  </si>
  <si>
    <t>Grenadine,Calamansi Juice</t>
  </si>
  <si>
    <t>Abacus Book &amp; Card Corp</t>
  </si>
  <si>
    <t>000-299-299-136</t>
  </si>
  <si>
    <t>Ballpen Refill, Ribbon for POS Printer</t>
  </si>
  <si>
    <t>Joyc Dino</t>
  </si>
  <si>
    <t>Transpo &amp; Snack (Amaphil Seminar)</t>
  </si>
  <si>
    <t>Garlic Longaniza</t>
  </si>
  <si>
    <t>HDMF</t>
  </si>
  <si>
    <t>Pag-ibig Penalty</t>
  </si>
  <si>
    <t>Marie Sosa</t>
  </si>
  <si>
    <t>Transpo going to Pag-ibig Branch</t>
  </si>
  <si>
    <t>Spaghetti</t>
  </si>
  <si>
    <t>Joyce Dino</t>
  </si>
  <si>
    <t>Transpo going to Divisoria</t>
  </si>
  <si>
    <t>Chuan Hong Glassware</t>
  </si>
  <si>
    <t>106-268-748-000</t>
  </si>
  <si>
    <t>San Nicolas Manila</t>
  </si>
  <si>
    <t>Food Keeper</t>
  </si>
  <si>
    <t>Foodzone Inc</t>
  </si>
  <si>
    <t>004-746-011-000</t>
  </si>
  <si>
    <t>Pizza Cheese</t>
  </si>
  <si>
    <t>201-160-401-050</t>
  </si>
  <si>
    <t>Century Tuna</t>
  </si>
  <si>
    <t>Transpo going to Food Garage</t>
  </si>
  <si>
    <t>Bread Commissary Inc</t>
  </si>
  <si>
    <t>009-335-457-000</t>
  </si>
  <si>
    <t>Baguette Bread,Focaccia Bread,Broche Loaf</t>
  </si>
  <si>
    <t>Alaska Condensed,Graham</t>
  </si>
  <si>
    <t>Chicken</t>
  </si>
  <si>
    <t>Super Shopping Market Inc</t>
  </si>
  <si>
    <t>209-609-185-0039</t>
  </si>
  <si>
    <t>Annie Delos Reyes</t>
  </si>
  <si>
    <t>Extra Dining Staff</t>
  </si>
  <si>
    <t>Spaghetti,Elbow Macaroni,Penne</t>
  </si>
  <si>
    <t>Tosh Caffee</t>
  </si>
  <si>
    <t>Transpo purchased Cakes in Katipunan</t>
  </si>
  <si>
    <t>006-801-328-000</t>
  </si>
  <si>
    <t>Buffalo Sauce,Ceasar Dressing,Pesto Mix,Vinaigrette,ABS</t>
  </si>
  <si>
    <t>Baguette Bread</t>
  </si>
  <si>
    <t xml:space="preserve">Transpo purchased Kitchen Stocks </t>
  </si>
  <si>
    <t>Office Warehouse Inc</t>
  </si>
  <si>
    <t>Valero St Makati</t>
  </si>
  <si>
    <t>Scotch Tape,Inkcartridge,PCV</t>
  </si>
  <si>
    <t>Mackim Prints Inc</t>
  </si>
  <si>
    <t>210-972-656-002</t>
  </si>
  <si>
    <t>Tarpaulin Printing</t>
  </si>
  <si>
    <t>Transpo going to Advertisign for Tarpaulin Printing</t>
  </si>
  <si>
    <t>Spaghetti,Spaghetti Sauce,Cream Cheese,chorizo</t>
  </si>
  <si>
    <t>Sugar Beets</t>
  </si>
  <si>
    <t>For the Month Ended: February 2019</t>
  </si>
  <si>
    <t>Pork Ribs,Bacon</t>
  </si>
  <si>
    <t>Newtech Pest Control</t>
  </si>
  <si>
    <t>230-403-792-000</t>
  </si>
  <si>
    <t>Taguig City</t>
  </si>
  <si>
    <t>Pest Control Services</t>
  </si>
  <si>
    <t>Spaghetti,Onion White</t>
  </si>
  <si>
    <t>Transpo going to KCC office for check signing</t>
  </si>
  <si>
    <t>Spaghetti,Elbow Macaroni,Chooey Choco</t>
  </si>
  <si>
    <t>Ripe Mango</t>
  </si>
  <si>
    <t>Capri Diced Tomato,Sardines,Cream Cheese</t>
  </si>
  <si>
    <t>6 days Extra Dining Staff</t>
  </si>
  <si>
    <t>Dimax Distribution Enterprise</t>
  </si>
  <si>
    <t>104-194-467-001</t>
  </si>
  <si>
    <t>Liguine Pasta,Garlic Longaniza,Siomai Wrapper</t>
  </si>
  <si>
    <t>Transpo purchased kitchen stock in Marikina</t>
  </si>
  <si>
    <t>213-575-918-000</t>
  </si>
  <si>
    <t>Black Forest Ham</t>
  </si>
  <si>
    <t>Transpo purchased Cake</t>
  </si>
  <si>
    <t>Assumpta Textile</t>
  </si>
  <si>
    <t>205-082-731-000</t>
  </si>
  <si>
    <t>Tondo Manila</t>
  </si>
  <si>
    <t>Table Cloth for Skirting</t>
  </si>
  <si>
    <t>Chary Siony Gen Merch</t>
  </si>
  <si>
    <t>103-890-574-001</t>
  </si>
  <si>
    <t>Towel</t>
  </si>
  <si>
    <t>Chef Agui</t>
  </si>
  <si>
    <t>Micro Green</t>
  </si>
  <si>
    <t>Del Monte Tidbits,Grenadine</t>
  </si>
  <si>
    <t>Transpo going to KCC office</t>
  </si>
  <si>
    <t>Broas,Spaghetti,Graham,Penne</t>
  </si>
  <si>
    <t>Cabbage,Ginger,Tomato,Camote</t>
  </si>
  <si>
    <t>Pineapple Tidbits</t>
  </si>
  <si>
    <t>Brown Tissue</t>
  </si>
  <si>
    <t>Lambprint Advertising Services</t>
  </si>
  <si>
    <t>189-049-864-000</t>
  </si>
  <si>
    <t>Sintra Board</t>
  </si>
  <si>
    <t>Bond Paper</t>
  </si>
  <si>
    <t>Transpo going to Guadalupe</t>
  </si>
  <si>
    <t>Transpo going to Harrys</t>
  </si>
  <si>
    <t>Super 8 Grocery Warehouse</t>
  </si>
  <si>
    <t>221-693-893-017</t>
  </si>
  <si>
    <t>Table Napkin</t>
  </si>
  <si>
    <t>Shah-Bonn Jadd</t>
  </si>
  <si>
    <t>Canester</t>
  </si>
  <si>
    <t>Harrys Liquor Mart</t>
  </si>
  <si>
    <t>101-703-221-000</t>
  </si>
  <si>
    <t>Pasay City</t>
  </si>
  <si>
    <t>Wine</t>
  </si>
  <si>
    <t>Lettuce,Tanglad</t>
  </si>
  <si>
    <t>Baguette Bread,Molo Wrapper</t>
  </si>
  <si>
    <t>Genberz Select Food Inc</t>
  </si>
  <si>
    <t>009-493-920-000</t>
  </si>
  <si>
    <t>Pork Ribs</t>
  </si>
  <si>
    <t>Brown Sugar,Cherry Tomato</t>
  </si>
  <si>
    <t>Transpo purchased kitchen stocks in Commissary</t>
  </si>
  <si>
    <t>Fresh Milk</t>
  </si>
  <si>
    <t>Bigasan Talipapa</t>
  </si>
  <si>
    <t>301-456-854-000</t>
  </si>
  <si>
    <t>Novaliches Quezon City</t>
  </si>
  <si>
    <t>Canester CP750</t>
  </si>
  <si>
    <t>Crepe Paper,Inkcartridge</t>
  </si>
  <si>
    <t>SM Supercenter</t>
  </si>
  <si>
    <t>006-324-896-032</t>
  </si>
  <si>
    <t>Bacoor Cavite</t>
  </si>
  <si>
    <t>Scented Candle</t>
  </si>
  <si>
    <t>Extra Dining Staff (1day)</t>
  </si>
  <si>
    <t>Dona Elena,Liver Spread,White Oinion</t>
  </si>
  <si>
    <t>District 2 Quezon City</t>
  </si>
  <si>
    <t>Hi Ball Glass</t>
  </si>
  <si>
    <t>Pin Silver,Thumbtacks</t>
  </si>
  <si>
    <t>Transpo from Landmark to Valero</t>
  </si>
  <si>
    <t>Transpo going to Commissary</t>
  </si>
  <si>
    <t>Espresso Blend</t>
  </si>
  <si>
    <t>Jeff Villanueva</t>
  </si>
  <si>
    <t>Extra Kitchen Staff (2days)</t>
  </si>
  <si>
    <t>Fresh Eggs,Ripe Mango</t>
  </si>
  <si>
    <t>Molo Wrapper</t>
  </si>
  <si>
    <t>Lemonada</t>
  </si>
  <si>
    <t>Creamer</t>
  </si>
  <si>
    <t>Ketchup,Parsley</t>
  </si>
  <si>
    <t>Bagumbayan QC</t>
  </si>
  <si>
    <t>Foccacia Bread</t>
  </si>
  <si>
    <t>Camille Espinosa</t>
  </si>
  <si>
    <t>Transportify</t>
  </si>
  <si>
    <t>Catering Transpo</t>
  </si>
  <si>
    <t>Tol Gate</t>
  </si>
  <si>
    <t>2 way tol gate (for catering services)</t>
  </si>
  <si>
    <t>Parking Fee for Catering Services</t>
  </si>
  <si>
    <t>Transpo purchased Cakes</t>
  </si>
  <si>
    <t>Penne Pasta,Liguine,Spag Sauce</t>
  </si>
  <si>
    <t>Cherry Tomato,Parsley</t>
  </si>
  <si>
    <t>Ayala Center</t>
  </si>
  <si>
    <t>Photocopy of POP's</t>
  </si>
  <si>
    <t>Plastic Labo</t>
  </si>
  <si>
    <t>J.Co Donuts</t>
  </si>
  <si>
    <t>008-043-737-027</t>
  </si>
  <si>
    <t>Complimentary Food for TOSHCO Staff (Noted by VCC)</t>
  </si>
  <si>
    <t>Black Forest Ham.Bavarian Sausage</t>
  </si>
  <si>
    <t>Bacon,Baby back Ribs</t>
  </si>
  <si>
    <t>Transpo purchased kitchen stocks in Marikina</t>
  </si>
  <si>
    <t>SM Hypermarket</t>
  </si>
  <si>
    <t>209-609-182-039</t>
  </si>
  <si>
    <t>Spaghetti Pasta</t>
  </si>
  <si>
    <t>Rustan Supermarket Fresh</t>
  </si>
  <si>
    <t>Spaghetti Sauce,Heritage Cheese</t>
  </si>
  <si>
    <t>Black Pepper,Breadcrumbs</t>
  </si>
  <si>
    <t>Micro Greens</t>
  </si>
  <si>
    <t>Chorizo,Linguine Pasta,Penne,Elbow Macaroni,Angel Hair</t>
  </si>
  <si>
    <t>Potato,Camote,Arugula</t>
  </si>
  <si>
    <t>Green Peas,Garlic Longaniza,Bacon,Pomace,Olives</t>
  </si>
  <si>
    <t>Cherry Tomato, Cabbage</t>
  </si>
  <si>
    <t>For the Month Ended: March 2019</t>
  </si>
  <si>
    <t>Breadcrumbs</t>
  </si>
  <si>
    <t>Almas Cold Cuts Store</t>
  </si>
  <si>
    <t>235-048-461-000</t>
  </si>
  <si>
    <t>Mozzarella Cheese</t>
  </si>
  <si>
    <t>Transpo purchased cheese in Marikina</t>
  </si>
  <si>
    <t>Scotch Tape,Ink Cartridge</t>
  </si>
  <si>
    <t>Ripe Mango, Tomato</t>
  </si>
  <si>
    <t>BR-Tri Sweets Inc</t>
  </si>
  <si>
    <t>008-385-248-000</t>
  </si>
  <si>
    <t>Ciabatta Bread</t>
  </si>
  <si>
    <t>Garlic Longaniza,Spaghetti,</t>
  </si>
  <si>
    <t>Cabbage,Cucumber,Sugar Beets</t>
  </si>
  <si>
    <t>Eco Bag</t>
  </si>
  <si>
    <t>Taxi fare from Landmark to Valero</t>
  </si>
  <si>
    <t>Ministop</t>
  </si>
  <si>
    <t>477-928-673-004</t>
  </si>
  <si>
    <t>Valero Makati</t>
  </si>
  <si>
    <t>Tang Mango Juice for Picasso Catering</t>
  </si>
  <si>
    <t>209-809-185-000</t>
  </si>
  <si>
    <t>Quezo City</t>
  </si>
  <si>
    <t>Mozza Cheese</t>
  </si>
  <si>
    <t>Penne &amp; Linguine Pasta</t>
  </si>
  <si>
    <t>Mercury Drug Store</t>
  </si>
  <si>
    <t>00-388-474-486</t>
  </si>
  <si>
    <t>209-609-185-005</t>
  </si>
  <si>
    <t>Fresh Milk,Cream Dory,All Purpose Cream,Pineapple Tidbits &amp; others</t>
  </si>
  <si>
    <t>Transpo pick up kitchen stocks in Commissary</t>
  </si>
  <si>
    <t>Transpo going to MOA purchased kitchen stocks</t>
  </si>
  <si>
    <t>ACE Hardware Phil Inc</t>
  </si>
  <si>
    <t>200-035-311-017</t>
  </si>
  <si>
    <t>Ayal Center Makati City</t>
  </si>
  <si>
    <t>Expandable Tie</t>
  </si>
  <si>
    <t>Condensed Milk,Graham,Linguine Pasta,Nestle Cream</t>
  </si>
  <si>
    <t>Red &amp; Green Bellpepper</t>
  </si>
  <si>
    <t>Belong Enterprise</t>
  </si>
  <si>
    <t>180-192-125-001</t>
  </si>
  <si>
    <t>Tang Mango Juice</t>
  </si>
  <si>
    <t>Mango Juice</t>
  </si>
  <si>
    <t>Cornstarch,American Heritage</t>
  </si>
  <si>
    <t>White Onion,Dory Fish</t>
  </si>
  <si>
    <t>Rosette Alcoy</t>
  </si>
  <si>
    <t>Extra Dining Staff (1day w/ OT)</t>
  </si>
  <si>
    <t>Mark Angelo Gan</t>
  </si>
  <si>
    <t>ECVLS Foods</t>
  </si>
  <si>
    <t>137-518-914-000</t>
  </si>
  <si>
    <t>Meals c/o Joyce Dino</t>
  </si>
  <si>
    <t>Ground Black Pepper</t>
  </si>
  <si>
    <t>Sardines,Tofu</t>
  </si>
  <si>
    <t>Native Tomato,Lettuce,Smoked Bangus</t>
  </si>
  <si>
    <t>Extra Dining Staff (1day w/ 2 hrs OT)</t>
  </si>
  <si>
    <t>Extra Dining Staff (1day w/ 3 hrs OT)</t>
  </si>
  <si>
    <t>Extra Dining Staff (1 day)</t>
  </si>
  <si>
    <t>Sardines</t>
  </si>
  <si>
    <t>Transpo going to Tosh Moa returned Hanging Tender</t>
  </si>
  <si>
    <t>Spaghetti Pasta, Bacon</t>
  </si>
  <si>
    <t>Fettu Pasta,Fresh milk,Heritage Cheese</t>
  </si>
  <si>
    <t>Transpo going to Tosh Cafe</t>
  </si>
  <si>
    <t>Energizer Battery</t>
  </si>
  <si>
    <t>Fudge Cream,Paprika,Cury Powder,Spaghetti</t>
  </si>
  <si>
    <t>Tomato, Oregano Powder</t>
  </si>
  <si>
    <t>Baguette Bread,Heritage Cheese</t>
  </si>
  <si>
    <t>San Roque Marikina</t>
  </si>
  <si>
    <t>Bacon</t>
  </si>
  <si>
    <t>Basil,Arugula</t>
  </si>
  <si>
    <t>Cherry Tmato &amp; Camote</t>
  </si>
  <si>
    <t>Spaghetti &amp; Chicken</t>
  </si>
  <si>
    <t>Transpo going to KCC office for Check signing</t>
  </si>
  <si>
    <t>Innovatronix Incorporated</t>
  </si>
  <si>
    <t>Printing of Table Topper</t>
  </si>
  <si>
    <t>Chef Irene Enriquez</t>
  </si>
  <si>
    <t>3 days Duty (Basic Rate &amp; SC)</t>
  </si>
  <si>
    <t>3 days Transpo Allowance</t>
  </si>
  <si>
    <t>Linguine Pasta,Penne,Chicken Thigh,Garlic Powder</t>
  </si>
  <si>
    <t>Pepperoni</t>
  </si>
  <si>
    <t>Niyog for EM</t>
  </si>
  <si>
    <t xml:space="preserve">Ripe Mango </t>
  </si>
  <si>
    <t>MK Kitchen Equipment</t>
  </si>
  <si>
    <t>222-810-003-005</t>
  </si>
  <si>
    <t>Cartimar Pasay City</t>
  </si>
  <si>
    <t>Kitchen Mask,Tray,Strainer,Ketchup Bottle</t>
  </si>
  <si>
    <t>Transpo going to MK Kitchen purchased  Kitchenwares</t>
  </si>
  <si>
    <t>Vic &amp; Baby Vegetable Dealer</t>
  </si>
  <si>
    <t>212-868-741-000</t>
  </si>
  <si>
    <t>Guadalupe Makati</t>
  </si>
  <si>
    <t>Extra Kitceh Staff (2days-Mar 14-15)</t>
  </si>
  <si>
    <t>French Baguette,Sour Dough,Focassia</t>
  </si>
  <si>
    <t>Transpo purchased Bread in Marikina</t>
  </si>
  <si>
    <t>Spaghetti,Mushroom,Graham,Sardines</t>
  </si>
  <si>
    <t>Banana Lacatan</t>
  </si>
  <si>
    <t>Malaya Lumber &amp; Construction Supply</t>
  </si>
  <si>
    <t>000-164-259-000</t>
  </si>
  <si>
    <t>Poblacion Makati</t>
  </si>
  <si>
    <t>Sand Papper, Elastoseal</t>
  </si>
  <si>
    <t>200-492-482-008</t>
  </si>
  <si>
    <t>Permanent Marker</t>
  </si>
  <si>
    <t>Shah-Bonn Jadd Gen Merchandise</t>
  </si>
  <si>
    <t>Paper Straw,Canester,Hand Gloves</t>
  </si>
  <si>
    <t xml:space="preserve">Glenn Biarcal </t>
  </si>
  <si>
    <t>Transpo going to KCC</t>
  </si>
  <si>
    <t>Potato (purchased @ dry market)</t>
  </si>
  <si>
    <t>Cake</t>
  </si>
  <si>
    <t>Transpo going to Tosh Katipunan</t>
  </si>
  <si>
    <t>Tang Mango</t>
  </si>
  <si>
    <t>Carbon Paper</t>
  </si>
  <si>
    <t>WaterJug</t>
  </si>
  <si>
    <t>Dory Fish,Chicken Fillet,Lettuce,Cucumber,Cherry Tomato</t>
  </si>
  <si>
    <t>Cream Cheese,Oreo Vanilla, Broas</t>
  </si>
  <si>
    <t>Transpo going to Harrys Liquor Mart</t>
  </si>
  <si>
    <t>Harry's Liquor Mart</t>
  </si>
  <si>
    <t>Grenadine</t>
  </si>
  <si>
    <t>Elbow Macaroni,Cheddar Cheese</t>
  </si>
  <si>
    <t>Extra Dining Staff (2days)</t>
  </si>
  <si>
    <t>Molo Wrapper,Condensed Milk</t>
  </si>
  <si>
    <t>Ink Cartridge,Masking Tape,Ballpen</t>
  </si>
  <si>
    <t>Red &amp; Green Bell Pepper</t>
  </si>
  <si>
    <t>Cheese,Loaf Bread</t>
  </si>
  <si>
    <t>Extra Kitchen Staff (2 days)</t>
  </si>
  <si>
    <t>Jeffrey Villanueva</t>
  </si>
  <si>
    <t>Tokwa</t>
  </si>
  <si>
    <t>Tomato</t>
  </si>
  <si>
    <t>Newtech Pest Control Trading</t>
  </si>
  <si>
    <t>Central Signal Village Taguig City</t>
  </si>
  <si>
    <t>White Onion</t>
  </si>
  <si>
    <t>Pepperoni,molo Wrapper</t>
  </si>
  <si>
    <t>Mocro Green</t>
  </si>
  <si>
    <t>Transpo going to Marikina purchased Bacon</t>
  </si>
  <si>
    <t>Black Forest Ham, Smoked Bavarian</t>
  </si>
  <si>
    <t>Extra Kitchen Helper</t>
  </si>
  <si>
    <t>Black Pepper,APC,Condensed Milk</t>
  </si>
  <si>
    <t>Trasnpo purchased cakes</t>
  </si>
  <si>
    <t>Ace Hardware Philippines</t>
  </si>
  <si>
    <t>Flourescent Light,Flexible Hose</t>
  </si>
  <si>
    <t>Broas,Cream Cheese,Graham</t>
  </si>
  <si>
    <t>National Book Store inc</t>
  </si>
  <si>
    <t>000-325-972-048</t>
  </si>
  <si>
    <t>Ayala Makati City</t>
  </si>
  <si>
    <t>Ribbon &amp; Number Balloon</t>
  </si>
  <si>
    <t>Celebration Party Central</t>
  </si>
  <si>
    <t>007-313-203-005</t>
  </si>
  <si>
    <t>Metalic Balloon</t>
  </si>
  <si>
    <t>Transpo going to Landmark</t>
  </si>
  <si>
    <t>00-097-447-029</t>
  </si>
  <si>
    <t>Photo printing of POP's</t>
  </si>
  <si>
    <t>Extra Dining Staff w/ 1 hr OT</t>
  </si>
  <si>
    <t xml:space="preserve">Extra Dining Staff </t>
  </si>
  <si>
    <t>All Purpose Flour</t>
  </si>
  <si>
    <t>Sardines,Demi Glace</t>
  </si>
  <si>
    <t>Consolidated Global Imports Inc</t>
  </si>
  <si>
    <t>219-294-991-331</t>
  </si>
  <si>
    <t>Tube ice</t>
  </si>
  <si>
    <t>Grenadine,Island Mixer</t>
  </si>
  <si>
    <t>Glade Scents</t>
  </si>
  <si>
    <t>Cheese,Bread Flour,Mayonnaise</t>
  </si>
  <si>
    <t>Scotch Tape</t>
  </si>
  <si>
    <t>Alcohol</t>
  </si>
  <si>
    <t>Crispy Fry,Breadcrumbs</t>
  </si>
  <si>
    <t>For the Month Ended:April 2019</t>
  </si>
  <si>
    <t xml:space="preserve">Black Olives </t>
  </si>
  <si>
    <t>White Wine</t>
  </si>
  <si>
    <t>Transpo purchased wine</t>
  </si>
  <si>
    <t>Taxi Fare going to Mam Aimee</t>
  </si>
  <si>
    <t>Penne Pasta,Elbow Macaroni,Century Tuna,Tomato Paste,APC</t>
  </si>
  <si>
    <t>Pepperoni,Vinegar,Chorizo,Cranberies,Raisin</t>
  </si>
  <si>
    <t>French Beans,Tomato,Dill</t>
  </si>
  <si>
    <t>Check Voucher,Ballpen,Folder</t>
  </si>
  <si>
    <t>Bread Flour,Pinepple Tidbits</t>
  </si>
  <si>
    <t>BBQ Stick</t>
  </si>
  <si>
    <t>Condura Express Service Inc</t>
  </si>
  <si>
    <t>002-284-007-000</t>
  </si>
  <si>
    <t>ACU Cleaning</t>
  </si>
  <si>
    <t>Sugar,Cream Cheese</t>
  </si>
  <si>
    <t>Pag-ibig Fund</t>
  </si>
  <si>
    <t>Photocopy of HDMF Specimen Signiture</t>
  </si>
  <si>
    <t>Rana Bodega Sales Center</t>
  </si>
  <si>
    <t>100-065-841-000</t>
  </si>
  <si>
    <t>Makati Ave,Makati City</t>
  </si>
  <si>
    <t>Notary Fee of Secretary Cert.</t>
  </si>
  <si>
    <t>Photocopy of Articles of Inc.</t>
  </si>
  <si>
    <t xml:space="preserve">Transpo going to Pag-ibig Branch </t>
  </si>
  <si>
    <t>Bel Air Makati City</t>
  </si>
  <si>
    <t>Mountain Dew c/o Foodpanda order</t>
  </si>
  <si>
    <t>Easwest Bank</t>
  </si>
  <si>
    <t>Fake Money</t>
  </si>
  <si>
    <t>San Roque Marikina City</t>
  </si>
  <si>
    <t>Pork Ribs &amp; Bacon</t>
  </si>
  <si>
    <t>Paprika,Cinnamon,Molo Wrapper,Sardines</t>
  </si>
  <si>
    <t>Cherry Tomato,Orefano Powder</t>
  </si>
  <si>
    <t>1 day duty (March 21,2019)</t>
  </si>
  <si>
    <t>Transpo Allowance</t>
  </si>
  <si>
    <t>Camille Esponosa</t>
  </si>
  <si>
    <t>Transpo going to H.O &amp; Katipunan</t>
  </si>
  <si>
    <t>Lalamove</t>
  </si>
  <si>
    <t>ITR Document transfered by Alvin Cruz</t>
  </si>
  <si>
    <t>Smoked Bangus,Tomato</t>
  </si>
  <si>
    <t>Baking Powder,Confectionet Sugar</t>
  </si>
  <si>
    <t>Transpo going to Commissary to bring check payment</t>
  </si>
  <si>
    <t>VMZ Business Centre</t>
  </si>
  <si>
    <t>0050-650-153-000</t>
  </si>
  <si>
    <t>Guadalupe Makati City</t>
  </si>
  <si>
    <t>Ballpen Refill</t>
  </si>
  <si>
    <t>BF Ham &amp; Smoked Bavarian</t>
  </si>
  <si>
    <t>Continental Glassware</t>
  </si>
  <si>
    <t>109-002-563-000</t>
  </si>
  <si>
    <t>Transpo going to Makati City for for Business Permit 2nd Q Payment</t>
  </si>
  <si>
    <t>JB Mendoza</t>
  </si>
  <si>
    <t>Jeffrey Villnueva</t>
  </si>
  <si>
    <t>Extra Kitchen Staff (3days)</t>
  </si>
  <si>
    <t>Ace Hardware</t>
  </si>
  <si>
    <t>Switch,Electrical Tape</t>
  </si>
  <si>
    <t>Pepperoni,Garlic Longganiza</t>
  </si>
  <si>
    <t>POS Ribbon</t>
  </si>
  <si>
    <t>Penne &amp; Macaroni Pasta</t>
  </si>
  <si>
    <t>Rey Custodio</t>
  </si>
  <si>
    <t>Rewiring of Power Supply</t>
  </si>
  <si>
    <t>Transpo going to Marikina purchased kitchen stocks</t>
  </si>
  <si>
    <t>French Beans</t>
  </si>
  <si>
    <t>Capri Olives,Angel Hair,Spaghetti</t>
  </si>
  <si>
    <t>Pork Ribs,Bacon Bits</t>
  </si>
  <si>
    <t>Sinigang Mix (EM)</t>
  </si>
  <si>
    <t>Ace Hardware Phils., Inc</t>
  </si>
  <si>
    <t>200-035-311-021</t>
  </si>
  <si>
    <t>Bulb</t>
  </si>
  <si>
    <t>Solewater Marketing</t>
  </si>
  <si>
    <t>147-183-753-000</t>
  </si>
  <si>
    <t>Filter Housing</t>
  </si>
  <si>
    <t>Cayenne Powder,Pepperoni,Hotdog</t>
  </si>
  <si>
    <t>Cgeddar Cheese</t>
  </si>
  <si>
    <t>Camille Espinos</t>
  </si>
  <si>
    <t>Mr Quickie</t>
  </si>
  <si>
    <t>005-693-898-102</t>
  </si>
  <si>
    <t>Key Duplicate</t>
  </si>
  <si>
    <t>Elbow Macaroni</t>
  </si>
  <si>
    <t>Spaghetti,Garlic Longganiza,Vinegar,Soysauce</t>
  </si>
  <si>
    <t>For the Month Ended:May 2019</t>
  </si>
  <si>
    <t>Photocopy of P.O.</t>
  </si>
  <si>
    <t>139-599-310-00</t>
  </si>
  <si>
    <t>Transpo going going to Marikina</t>
  </si>
  <si>
    <t>Copy Paper,Scotch Tape,PCV</t>
  </si>
  <si>
    <t>Cranberries,Raisin,Molo Wrapper</t>
  </si>
  <si>
    <t>Smoked Bangus</t>
  </si>
  <si>
    <t>Plastic Twine</t>
  </si>
  <si>
    <t>Camote,White Onion</t>
  </si>
  <si>
    <t>Papperoni,Sardines</t>
  </si>
  <si>
    <t>Photocopy of Cashiers Report</t>
  </si>
  <si>
    <t>Garlic Longaniza,Curry powder,Tokwa,Oreo Vanilla</t>
  </si>
  <si>
    <t>Cherry Tomato</t>
  </si>
  <si>
    <t>Broas,Condensed Milk,Graham,Pepperoni</t>
  </si>
  <si>
    <t>Banana Lakatan</t>
  </si>
  <si>
    <t>Transpo going  to Marikina</t>
  </si>
  <si>
    <t>Smoked bavarian,Black Forest Ham</t>
  </si>
  <si>
    <t>Mercury Drug Corporation</t>
  </si>
  <si>
    <t>000-388-474-486</t>
  </si>
  <si>
    <t>White Sugar</t>
  </si>
  <si>
    <t>Sugar,Cheddar Cheese,Heritage Cheese</t>
  </si>
  <si>
    <t>Disposable Fork</t>
  </si>
  <si>
    <t>Molo Wrapper,Tokwa</t>
  </si>
  <si>
    <t>Transpo going to KCC office picked up Charlex Docs</t>
  </si>
  <si>
    <t xml:space="preserve">Transpo going to Charlex </t>
  </si>
  <si>
    <t>Tomato,Breadcrums,APC,Heritage Cheese</t>
  </si>
  <si>
    <t>Transpo charged for Documents transfered to Alvin Cruz</t>
  </si>
  <si>
    <t>Heritage Cheese</t>
  </si>
  <si>
    <t>Heritage Cheese,APC,Black Olives</t>
  </si>
  <si>
    <t>Ace Hardware Phil Inc</t>
  </si>
  <si>
    <t>National Bookstore Inc</t>
  </si>
  <si>
    <t>000-025-972-048</t>
  </si>
  <si>
    <t>Stock Cert. Plastic Envelope,Highlighter</t>
  </si>
  <si>
    <t>Ruel Hayagan</t>
  </si>
  <si>
    <t>Broas,Pepperoni,Condensed Milk</t>
  </si>
  <si>
    <t>Ink Cartridge</t>
  </si>
  <si>
    <t>Tang Orange for Picasso Catering</t>
  </si>
  <si>
    <t>Macan Printshop</t>
  </si>
  <si>
    <t>908-260-302-000</t>
  </si>
  <si>
    <t>Photocopy of GIS,Articles &amp; By Laws,FS</t>
  </si>
  <si>
    <t>Transpo going to Carag Law Office</t>
  </si>
  <si>
    <t>Spaghetti Pasta,Datu Puti,Kikoman,APC</t>
  </si>
  <si>
    <t>Cucumber,Sugar Beets</t>
  </si>
  <si>
    <t>Transpo going to Tosh MOA</t>
  </si>
  <si>
    <t>Banana Lakatan (Purchased @ Public Market)</t>
  </si>
  <si>
    <t>Lettuce &amp; Tomato</t>
  </si>
  <si>
    <t>Reinan Ref &amp; Aircon Services</t>
  </si>
  <si>
    <t>San Rafael Pasay City</t>
  </si>
  <si>
    <t>ACU Cleaning (3 toner Kolin)</t>
  </si>
  <si>
    <t>Transpo going to Marikina purchased kitchen stock</t>
  </si>
  <si>
    <t xml:space="preserve">Bacon </t>
  </si>
  <si>
    <t>Rubberband,Binderclip,Fastener,Correction Tape</t>
  </si>
  <si>
    <t>Parsley,Tomato,Cabbage</t>
  </si>
  <si>
    <t>Cream Cheese,Cheddar Cheese</t>
  </si>
  <si>
    <t>Jundry Dizon Aircon Repair Services</t>
  </si>
  <si>
    <t>302-918-005-000</t>
  </si>
  <si>
    <t>Gen Trias Cavite</t>
  </si>
  <si>
    <t>ACU Cleaning (5 toner Condura)</t>
  </si>
  <si>
    <t>AAB Baking Goods &amp; Sipplies Inc</t>
  </si>
  <si>
    <t>008-196-741-005</t>
  </si>
  <si>
    <t>Corn Meal</t>
  </si>
  <si>
    <t>Grenadine &amp; Wine</t>
  </si>
  <si>
    <t>Transpo purchased wine &amp; others</t>
  </si>
  <si>
    <t>Babyback Ribs</t>
  </si>
  <si>
    <t>Angel Hair Pasta,Molo Wrapper</t>
  </si>
  <si>
    <t xml:space="preserve">Arugula </t>
  </si>
  <si>
    <t>Vinegar &amp; Soysauce</t>
  </si>
  <si>
    <t>Transpo going to Katipunan purchased cakes</t>
  </si>
  <si>
    <t>Cocoa Powder</t>
  </si>
  <si>
    <t>Flourescent Light</t>
  </si>
  <si>
    <t>Sardines,Pepperoni,Chorizo</t>
  </si>
  <si>
    <t>Transpo going to Harry's</t>
  </si>
  <si>
    <t>Mega MB Printing Services</t>
  </si>
  <si>
    <t>466-194-215-000</t>
  </si>
  <si>
    <t>San Antonio Pasig City</t>
  </si>
  <si>
    <t>Riso Copy of Cashiers Report</t>
  </si>
  <si>
    <t>Packaging Tape</t>
  </si>
  <si>
    <t>Newtech Pest Control Services</t>
  </si>
  <si>
    <t>230-403-792.000</t>
  </si>
  <si>
    <t>Cheese Powder,Mashed Potato</t>
  </si>
  <si>
    <t>Documents Delivery Charge c/o Alvin Cruz-AFS</t>
  </si>
  <si>
    <t>Wine Glass,Chopping Board,Knife</t>
  </si>
  <si>
    <t>Azcor Lighting System Inc</t>
  </si>
  <si>
    <t>000-846-888-002</t>
  </si>
  <si>
    <t xml:space="preserve">Bulb </t>
  </si>
  <si>
    <t>Guadalupe Public Market</t>
  </si>
  <si>
    <t>Bacon Bits</t>
  </si>
  <si>
    <t>Broas,Lee Kum Kee,Century Tuna</t>
  </si>
  <si>
    <t>Cherry Tomato,French Beans,Camote</t>
  </si>
  <si>
    <t>Gata</t>
  </si>
  <si>
    <t>Super Glue</t>
  </si>
  <si>
    <t>Elbow Macaroni,Black Olives,Fresh Milk</t>
  </si>
  <si>
    <t>Transpo going to Shopwise purchased Fresh Milk</t>
  </si>
  <si>
    <t>Pepperoni,Cranberri,Capri,Tokwa</t>
  </si>
  <si>
    <t>Keyboard</t>
  </si>
  <si>
    <t>Cooks Exchange Inc</t>
  </si>
  <si>
    <t>001-925-221-002</t>
  </si>
  <si>
    <t>Ayala Center Makati</t>
  </si>
  <si>
    <t>Glacine Paper</t>
  </si>
  <si>
    <t>For the Month Ended:June 2019</t>
  </si>
  <si>
    <t>Transpo purchased Wine</t>
  </si>
  <si>
    <t>Mayonnaise</t>
  </si>
  <si>
    <t>Lulubee Corporation</t>
  </si>
  <si>
    <t>008-191-206-000</t>
  </si>
  <si>
    <t>Pasig City</t>
  </si>
  <si>
    <t>Coconut Oil</t>
  </si>
  <si>
    <t>Sardines,Broas,Macaroni,</t>
  </si>
  <si>
    <t>Cheery Tomato</t>
  </si>
  <si>
    <t>Abmabarac Corporation</t>
  </si>
  <si>
    <t>QC</t>
  </si>
  <si>
    <t>Zonrox,Liquid Sosa</t>
  </si>
  <si>
    <t>Elbow Macaroni,Black Olives</t>
  </si>
  <si>
    <t>Broas,Chooey Choco,Fudge Cream,Oreo Vanilla</t>
  </si>
  <si>
    <t>Paseo Admin</t>
  </si>
  <si>
    <t>Car Sticker c/o VCC</t>
  </si>
  <si>
    <t xml:space="preserve">Cleaning Material </t>
  </si>
  <si>
    <t>Packing Tape</t>
  </si>
  <si>
    <t>Power Land Trading</t>
  </si>
  <si>
    <t>719-559-451-000</t>
  </si>
  <si>
    <t>Foodkeeper</t>
  </si>
  <si>
    <t>Basil &amp; Camote</t>
  </si>
  <si>
    <t>Pepperoni,Soimai Wrapper</t>
  </si>
  <si>
    <t>Extra Staff</t>
  </si>
  <si>
    <t>Red Wine</t>
  </si>
  <si>
    <t>Zonrox,Toilet Plunger,Rubber Force cup,Glade</t>
  </si>
  <si>
    <t>Penne Pasta</t>
  </si>
  <si>
    <t>Pork Ribs &amp; Bacon Bits</t>
  </si>
  <si>
    <t>Transpo purchased Kitchen stocks</t>
  </si>
  <si>
    <t>Hotdog,Demi Glace,Garlic Longaniza</t>
  </si>
  <si>
    <t>Cabbage,French Beans</t>
  </si>
  <si>
    <t>Blackk Olives,Button Mushroom,Cheddar Cheese</t>
  </si>
  <si>
    <t>Tanglad</t>
  </si>
  <si>
    <t>Spaghetti,Kikkoman,Chorizo</t>
  </si>
  <si>
    <t>Condura Express Service Makati</t>
  </si>
  <si>
    <t>Glaccine Paper</t>
  </si>
  <si>
    <t>Cheddar Cheese,Black Pepper</t>
  </si>
  <si>
    <t>Basil</t>
  </si>
  <si>
    <t>Calamansi Puree</t>
  </si>
  <si>
    <t>Ideal Spaghetti</t>
  </si>
  <si>
    <t>Pepperoni,Broas,Cranberri</t>
  </si>
  <si>
    <t>Eggs</t>
  </si>
  <si>
    <t>Shah Bonn Hadd</t>
  </si>
  <si>
    <t>Sauce Cup,Plastic Labo</t>
  </si>
  <si>
    <t>Transpo purchased packaging Materials</t>
  </si>
  <si>
    <t>Bacon Bits, Honeycured Bacon</t>
  </si>
  <si>
    <t>Transpo purchased Kitchen Stocks</t>
  </si>
  <si>
    <t>Sauce Cup</t>
  </si>
  <si>
    <t>Cabbage,Cheese</t>
  </si>
  <si>
    <t>Chorizo,Raisins</t>
  </si>
  <si>
    <t>Ground Pork</t>
  </si>
  <si>
    <t>Fuji Apple</t>
  </si>
  <si>
    <t>Calamnsi Puree</t>
  </si>
  <si>
    <t>Benzen Cahilig</t>
  </si>
  <si>
    <t>Half Day VL Payment (June 15) not included in Payroll</t>
  </si>
  <si>
    <t>Christian Briones</t>
  </si>
  <si>
    <t>1 day VL Payment (June 18) not included in Payroll</t>
  </si>
  <si>
    <t>Anchovies,Elbow Macaroni,Ground Pepper</t>
  </si>
  <si>
    <t>Tomato,Banana Saba</t>
  </si>
  <si>
    <t>For the Month Ended:July 2019</t>
  </si>
  <si>
    <t>POS Ribbon,Scotch Tape,Scissors,USB</t>
  </si>
  <si>
    <t>Cream Cheese,Oreo Vanilla, Angel Hair Pasta,Lipton Tea</t>
  </si>
  <si>
    <t>Black Forest Ham,Smoked Bavarian Sausage</t>
  </si>
  <si>
    <t>Datu Puti Vinegar</t>
  </si>
  <si>
    <t>Tofu</t>
  </si>
  <si>
    <t>Smoked Bangus,Cucumber</t>
  </si>
  <si>
    <t>Garlic Longaniza,Pepperoni,Sardines</t>
  </si>
  <si>
    <t>Dorado Fish</t>
  </si>
  <si>
    <t>DM Tidbits,Ground Pepper,Cheddar Cheese</t>
  </si>
  <si>
    <t>Bread Crums,Spaghetti,Anchovies,Salt,Cranberries</t>
  </si>
  <si>
    <t>Onion White,Tomato</t>
  </si>
  <si>
    <t>Extra Dining Staff (July 6)</t>
  </si>
  <si>
    <t>Valero Makati City</t>
  </si>
  <si>
    <t>Extra Dining Staff (July 8)</t>
  </si>
  <si>
    <t>Ace Hardware Phil Inc.</t>
  </si>
  <si>
    <t xml:space="preserve">DS Audio Cable </t>
  </si>
  <si>
    <t>000-390-189-000</t>
  </si>
  <si>
    <t>ABS,Lasagna</t>
  </si>
  <si>
    <t>Spaghetti.Splenda,Molo Wrapper</t>
  </si>
  <si>
    <t>Green Peas,Camote</t>
  </si>
  <si>
    <t>Extra Dining Staff (July9)</t>
  </si>
  <si>
    <t>Transpo going to TOSH Head office</t>
  </si>
  <si>
    <t>Knorr Cubes,Kikoman</t>
  </si>
  <si>
    <t>Extra Dining Staff (July10)</t>
  </si>
  <si>
    <t>Photocopy</t>
  </si>
  <si>
    <t>Envelope</t>
  </si>
  <si>
    <t>Chicken Cube,Pepperoni,Hotdog</t>
  </si>
  <si>
    <t>Bagumbayan</t>
  </si>
  <si>
    <t>Tomato Sauce</t>
  </si>
  <si>
    <t>Soysauce,All Purpose Cream</t>
  </si>
  <si>
    <t>Transpo going to MACEA</t>
  </si>
  <si>
    <t>Transpo going to KCC office for check signature</t>
  </si>
  <si>
    <t>Bacon,Back Ribs</t>
  </si>
  <si>
    <t>Transpo purchased kitchen stocks in marikina</t>
  </si>
  <si>
    <t>BBQ Sauce</t>
  </si>
  <si>
    <t>San Miguel Brewery  Inc</t>
  </si>
  <si>
    <t>Penalty c/o Late Payment</t>
  </si>
  <si>
    <t>Anchovies,Iodized Salt,Oreo Vanilla,Bread Crumbs,Milk Magic,Cream Cheese</t>
  </si>
  <si>
    <t>Manggahan Pasig City</t>
  </si>
  <si>
    <t>Oyster Sauce,Fresh Milk,All Purpose Cream</t>
  </si>
  <si>
    <t>National Book Store Inc</t>
  </si>
  <si>
    <t>000-325-972-010</t>
  </si>
  <si>
    <t>Photocopy of MACEA Documents</t>
  </si>
  <si>
    <t>Wenphil Corporation</t>
  </si>
  <si>
    <t>001-096-949-030</t>
  </si>
  <si>
    <t>Meal c/o Joyce Dino</t>
  </si>
  <si>
    <t>Transpo going to TOSH MOA purchased parmesan cheese</t>
  </si>
  <si>
    <t>Calamansi Concentrated</t>
  </si>
  <si>
    <t>Transpo going to Commissary &amp; Head Office</t>
  </si>
  <si>
    <t>Spaghetti,Ground Pepper,Milk Magic,Pepperoni</t>
  </si>
  <si>
    <t>Raspberry Vinaigrette</t>
  </si>
  <si>
    <t>Milk Magic,APC,Macaroni,Bread Crumbs</t>
  </si>
  <si>
    <t>White Onion,Tomato,Cabbage</t>
  </si>
  <si>
    <t>Paseo Parkview Suites Condo Assoc Inc</t>
  </si>
  <si>
    <t>227-293-501-000</t>
  </si>
  <si>
    <t>Balance Payment for Utility Bill (June 2019)</t>
  </si>
  <si>
    <t>Transpo going to Makati City Hall for Business Permit Payment</t>
  </si>
  <si>
    <t xml:space="preserve">Transpo going to Commissary </t>
  </si>
  <si>
    <t>Datu Puti &amp; BBQ Sauce</t>
  </si>
  <si>
    <t>Black Forest Ham,Smoked Bavarian</t>
  </si>
  <si>
    <t>Spaghetti,Cream Cheese,Garlic Longaniza,APC</t>
  </si>
  <si>
    <t>Green Peas,Carrots,Squash</t>
  </si>
  <si>
    <t>Tosh Moa</t>
  </si>
  <si>
    <t>Parmesan Cheese</t>
  </si>
  <si>
    <t>200-492-462-000</t>
  </si>
  <si>
    <t>Inkcartridge</t>
  </si>
  <si>
    <t>Century Tuna,Fresh Milk,APC</t>
  </si>
  <si>
    <t>Fresh Milk,APC</t>
  </si>
  <si>
    <t>Ripe Mango,Potato</t>
  </si>
  <si>
    <t>Baby Back Ribs &amp; Bacon Bits</t>
  </si>
  <si>
    <t>Transpo purchased Kitchen stocks in Marikina</t>
  </si>
  <si>
    <t>French Baker</t>
  </si>
  <si>
    <t>000-380-226-001</t>
  </si>
  <si>
    <t>Anso Emporium Corp</t>
  </si>
  <si>
    <t>000-106-840-001</t>
  </si>
  <si>
    <t>Electric Kettle</t>
  </si>
  <si>
    <t>Pepperoni,Broas,Corn Oil,Iodized Salt</t>
  </si>
  <si>
    <t>Cooks Exchange</t>
  </si>
  <si>
    <t>Wax Paper</t>
  </si>
  <si>
    <t>j</t>
  </si>
  <si>
    <t>Mozzarella</t>
  </si>
  <si>
    <t>Pesto Mix,Buffalo,ABS,Meatballs</t>
  </si>
  <si>
    <t>APC,Cream Cheese</t>
  </si>
  <si>
    <t>Transpo going to Machuca Tiles</t>
  </si>
  <si>
    <t>Knorr,Milk Magic,Butter,APC,Oreo Vanilla</t>
  </si>
  <si>
    <t>Anchovies</t>
  </si>
  <si>
    <t>Bel Air Makati</t>
  </si>
  <si>
    <t>Hunts BBQ Sauce,Oyster Sauce</t>
  </si>
  <si>
    <t>Carrots &amp; Squash</t>
  </si>
  <si>
    <t>Babyback Ribs,Bacon Bits</t>
  </si>
  <si>
    <t>American Baked Spareribs</t>
  </si>
  <si>
    <t>Transpo purchased Parmesan Cheese</t>
  </si>
  <si>
    <t>APC,Sugar</t>
  </si>
  <si>
    <t>Black Forrest Ham</t>
  </si>
  <si>
    <t>Potato</t>
  </si>
  <si>
    <t>Bread Flour,Knorr,Penne Pasta,AP Flour</t>
  </si>
  <si>
    <t>Ripe Mango,Century Tuna,Baguette Bread</t>
  </si>
  <si>
    <t>Corn Oil,Spaghetti,Butter,Anchovies</t>
  </si>
  <si>
    <t>Pesto Mix,Raspberry Vinaigrette</t>
  </si>
  <si>
    <t>Hanging Tender</t>
  </si>
  <si>
    <t>Cooking Oil &amp; Century Tuna</t>
  </si>
  <si>
    <t>Cabbage for EM</t>
  </si>
  <si>
    <t>Chicken Fillet,Lettuce</t>
  </si>
  <si>
    <t>Anchovies,Butter,Macaroni</t>
  </si>
  <si>
    <t>For the Month Ended:August 2019</t>
  </si>
  <si>
    <t>EM (Aug 29 &amp; 31)</t>
  </si>
  <si>
    <t xml:space="preserve">EM </t>
  </si>
  <si>
    <t>Transpo going toKCC office</t>
  </si>
  <si>
    <t>EM</t>
  </si>
  <si>
    <t>Em</t>
  </si>
  <si>
    <t>EM (Aug 17-19)</t>
  </si>
  <si>
    <t>EM (Sept 10-11)</t>
  </si>
  <si>
    <t>Head Cook Meeting Allowance</t>
  </si>
  <si>
    <t>For the Month Ended:Sept 2019</t>
  </si>
  <si>
    <t>Green Leaf &amp; Kitchen Apron</t>
  </si>
  <si>
    <t>Jed Dry Goods</t>
  </si>
  <si>
    <t>109-012-390-000</t>
  </si>
  <si>
    <t>Black Pants (Kitchen Staff)</t>
  </si>
  <si>
    <t>Gravitee Sales Corp.</t>
  </si>
  <si>
    <t>007-428-973-001</t>
  </si>
  <si>
    <t>Binondo Manila</t>
  </si>
  <si>
    <t>Polo Shirt for Kitche Helper</t>
  </si>
  <si>
    <t>Bench Boutique</t>
  </si>
  <si>
    <t>000-844-246-157</t>
  </si>
  <si>
    <t>Uniform</t>
  </si>
  <si>
    <t>Libbey Houseware</t>
  </si>
  <si>
    <t>111-643-099-000</t>
  </si>
  <si>
    <t>Soydish</t>
  </si>
  <si>
    <t>Cherry-Siony Gen MDSG</t>
  </si>
  <si>
    <t>103-890-574-000</t>
  </si>
  <si>
    <t>White Towel</t>
  </si>
  <si>
    <t>MCSY Food Center</t>
  </si>
  <si>
    <t>233-154-683-000</t>
  </si>
  <si>
    <t>Meals</t>
  </si>
  <si>
    <t>Transpo purchased Grease Trap</t>
  </si>
  <si>
    <t>JKA16 Stainless &amp; Metal Fabrication Inc</t>
  </si>
  <si>
    <t>008-754-133-000</t>
  </si>
  <si>
    <t>Bacoor City</t>
  </si>
  <si>
    <t>Grease Trap</t>
  </si>
  <si>
    <t>Toshco Staff</t>
  </si>
  <si>
    <t>EM-Barista Training Allowance</t>
  </si>
  <si>
    <t>Transpo going to Ct Concept Shop for Barista Training</t>
  </si>
  <si>
    <t>Transpo going to Choco Lovers (QC)</t>
  </si>
  <si>
    <t>Mark Atienza</t>
  </si>
  <si>
    <t>1 Day Duty for Barista Training</t>
  </si>
  <si>
    <t>003-941-445-000</t>
  </si>
  <si>
    <t>Cubao QC</t>
  </si>
  <si>
    <t>Beryl Dark Chocolate</t>
  </si>
  <si>
    <t>000-148-295-000</t>
  </si>
  <si>
    <t>Fresh  Milk &amp; Himalayan Salt</t>
  </si>
  <si>
    <t>Full Cream Milk &amp; Carnation Evap</t>
  </si>
  <si>
    <t>Bean &amp; Barley Manila Corp</t>
  </si>
  <si>
    <t>009-117-802-000</t>
  </si>
  <si>
    <t>Joyce/Marie/Glenn/Angelo</t>
  </si>
  <si>
    <t>Worlflex Trading Co.</t>
  </si>
  <si>
    <t>008-771-238-000</t>
  </si>
  <si>
    <t>Delivery Charge of Rotisserie</t>
  </si>
  <si>
    <t>Parking Fee</t>
  </si>
  <si>
    <t>Plates</t>
  </si>
  <si>
    <t>Oval Plates</t>
  </si>
  <si>
    <t>Marie/Glenn/Angelo</t>
  </si>
  <si>
    <t>Transpo going to Landmark Alabang</t>
  </si>
  <si>
    <t>Transpo going to Quiapo</t>
  </si>
  <si>
    <t>EM (Sept 10 &amp; 12)</t>
  </si>
  <si>
    <t>Marie &amp; Glenn</t>
  </si>
  <si>
    <t>Marie / Glenn/Angelo</t>
  </si>
  <si>
    <t>Face Mask</t>
  </si>
  <si>
    <t>Transpo purchased Coffee Cups</t>
  </si>
  <si>
    <t xml:space="preserve">MK Kitchen Equipment </t>
  </si>
  <si>
    <t>222-910-003-014</t>
  </si>
  <si>
    <t>Espresso Cup,Spoon Holder,Coffee Cups</t>
  </si>
  <si>
    <t>Glenn &amp; Marie</t>
  </si>
  <si>
    <t>Blue Wonder Coffee &amp; Bean Roastery Co.</t>
  </si>
  <si>
    <t>009-431-048-001</t>
  </si>
  <si>
    <t>Coffee Cups</t>
  </si>
  <si>
    <t>Butain &amp; Torch</t>
  </si>
  <si>
    <t>Bottled Water</t>
  </si>
  <si>
    <t>Bottled Water &amp; Coffee</t>
  </si>
  <si>
    <t>Kitchen Knife</t>
  </si>
  <si>
    <t>Softdrinks</t>
  </si>
  <si>
    <t>Knife,Ketchup Bottle &amp; others</t>
  </si>
  <si>
    <t>Additional Payment for 1 day duty (537)</t>
  </si>
  <si>
    <t>Sm Supermarket</t>
  </si>
  <si>
    <t>Hershey's Chocolate</t>
  </si>
  <si>
    <t>Black Forrest Ham &amp; Smoked Bavarian</t>
  </si>
  <si>
    <t>Chocolate Lover Inc</t>
  </si>
  <si>
    <t>Callets White Couvertur</t>
  </si>
  <si>
    <t>For the Month Ended:Oct  2019</t>
  </si>
  <si>
    <t>Basil,Spinach</t>
  </si>
  <si>
    <t>Black Pepper,Garlic Powder,Chili Sauce,Bacon</t>
  </si>
  <si>
    <t>Alaska Condensed, Mccormick Powder</t>
  </si>
  <si>
    <t>Sugar</t>
  </si>
  <si>
    <t>Transpo going to Makati City Hall</t>
  </si>
  <si>
    <t>Potato,Sweet Corn</t>
  </si>
  <si>
    <t>Transpo</t>
  </si>
  <si>
    <t>Sweet Corn</t>
  </si>
  <si>
    <t>Ever Plug Superstore Inc</t>
  </si>
  <si>
    <t>005-695-791-000</t>
  </si>
  <si>
    <t>Marvys Bread</t>
  </si>
  <si>
    <t>Farmery,Cheddar Cheese,Lumpia Wrapper</t>
  </si>
  <si>
    <t>PCV.Cielo Tape,Timecard</t>
  </si>
  <si>
    <t>French Baguette</t>
  </si>
  <si>
    <t>Almas Cold Cuts</t>
  </si>
  <si>
    <t>French Fries</t>
  </si>
  <si>
    <t>Santis Delicatessen</t>
  </si>
  <si>
    <t>206-925-584-008</t>
  </si>
  <si>
    <t>Parmesan Whole</t>
  </si>
  <si>
    <t xml:space="preserve">Transpo </t>
  </si>
  <si>
    <t>Native Tomato</t>
  </si>
  <si>
    <t>AAB Baking Goods &amp; Supplies Inc</t>
  </si>
  <si>
    <t>008-196-741-007</t>
  </si>
  <si>
    <t>Cakeboard.Cake Box,Cello Sheet</t>
  </si>
  <si>
    <t>For the Month Ended:Oct 2019</t>
  </si>
  <si>
    <t>Hilltop Custom Tailor</t>
  </si>
  <si>
    <t>100-115-233-000</t>
  </si>
  <si>
    <t>San Juan City</t>
  </si>
  <si>
    <t>Tosh Uniform</t>
  </si>
  <si>
    <t>Smoked Hot Paprika,Hollandise</t>
  </si>
  <si>
    <t>Joyce.Angelo &amp; Jeff</t>
  </si>
  <si>
    <t>Paper Cup w/ Lid</t>
  </si>
  <si>
    <t>Glenn &amp; Angelo</t>
  </si>
  <si>
    <t>Parking &amp; Gas</t>
  </si>
  <si>
    <t>Salt &amp; Sugar</t>
  </si>
  <si>
    <t>French Beans,Potato,Molo Wrapper</t>
  </si>
  <si>
    <t>Garlic Longganiza,Pancake,Macaroni</t>
  </si>
  <si>
    <t>Kangs Grocery</t>
  </si>
  <si>
    <t>135-085-763-000</t>
  </si>
  <si>
    <t>Sea Salt</t>
  </si>
  <si>
    <t>Black Pepper,Strawberry</t>
  </si>
  <si>
    <t>Pork Ribs,Bacon Bits,Hotdog</t>
  </si>
  <si>
    <t>Bacon,Fries,Sausage</t>
  </si>
  <si>
    <t>Corn Meal,Cocoa Powder, Oats</t>
  </si>
  <si>
    <t>For the Month Ended:  November  2019</t>
  </si>
  <si>
    <t>Hot Cake Mix, DM Tidbits, French Baguette Bread</t>
  </si>
  <si>
    <t>Judith Meat Products</t>
  </si>
  <si>
    <t>241-803-874-000</t>
  </si>
  <si>
    <t>Matikina City</t>
  </si>
  <si>
    <t>Rey Todio</t>
  </si>
  <si>
    <t xml:space="preserve"> Advance Labor Fee c/o ACU Repair</t>
  </si>
  <si>
    <t>Brown Sugar,Tofu,Spinach</t>
  </si>
  <si>
    <t>Vinegar,Diced Tomato</t>
  </si>
  <si>
    <t>Transpo going to head Office bring Commissary Payment</t>
  </si>
  <si>
    <t>Cheese &amp; Kasubha</t>
  </si>
  <si>
    <t>Additional Labor Fee c/o ACU Repair</t>
  </si>
  <si>
    <t>Magic Sarap,Fresh Milk,Bellpepper</t>
  </si>
  <si>
    <t xml:space="preserve">Transpo purchased kitchen stocks </t>
  </si>
  <si>
    <t xml:space="preserve"> Super Shopping Market Inc</t>
  </si>
  <si>
    <t>Real Mayonaise</t>
  </si>
  <si>
    <t>Tosh Head Office</t>
  </si>
  <si>
    <t>Payment for Loyalty Shirt c/o Joyce,Glenn &amp; Marie</t>
  </si>
  <si>
    <t>Ballpen</t>
  </si>
  <si>
    <t>Parfait Glass, Milk Container,Small Plate</t>
  </si>
  <si>
    <t>Chicken Breast Fillet,Linguine Pasta,Green Bellpepper,</t>
  </si>
  <si>
    <t>Pineapple Juice,Fresh Egg</t>
  </si>
  <si>
    <t>Fresh Eggs</t>
  </si>
  <si>
    <t>Transpo pick up cakes in Tosh Katipunan</t>
  </si>
  <si>
    <t>Ace Hardware Philippines Inc</t>
  </si>
  <si>
    <t>Water Filter</t>
  </si>
  <si>
    <t>Canester (750ml)</t>
  </si>
  <si>
    <t>French Fries &amp; Sausage</t>
  </si>
  <si>
    <t>Sweet Chili Sauce</t>
  </si>
  <si>
    <t>Sardines,Magic Sarap,Spaghetti Pasta</t>
  </si>
  <si>
    <t>Microgreen</t>
  </si>
  <si>
    <t>Cooking Oil</t>
  </si>
  <si>
    <t>Bacon,Elbow Macaroni,Spaghetti,Lumpia Wrapper</t>
  </si>
  <si>
    <t>Brisket Boneless,Ground Pork,Cherry Tomato</t>
  </si>
  <si>
    <t>Cheddar Cheese</t>
  </si>
  <si>
    <t>Cooking Oil, DM Tidbits</t>
  </si>
  <si>
    <t>Lettuce,Basil,Tomato</t>
  </si>
  <si>
    <t>Payment for Pot Painting</t>
  </si>
  <si>
    <t>Cheddar Cheese,Kasuba,Patis</t>
  </si>
  <si>
    <t>Lumpia Wrapper</t>
  </si>
  <si>
    <t>Lettuce,Arugula,Tomato</t>
  </si>
  <si>
    <t>Sweet Corn,Sili Finger</t>
  </si>
  <si>
    <t>196-741-005-000</t>
  </si>
  <si>
    <t>Crushed Graham,Dark Chocolate,White Chocolate,Chocolate Chips</t>
  </si>
  <si>
    <t>Spatula,Baking Paper,Foil,Rectangular Pan</t>
  </si>
  <si>
    <t>CP 750 (Canester)</t>
  </si>
  <si>
    <t>Cash &amp; Carry Supermarket</t>
  </si>
  <si>
    <t>000-150-640-000</t>
  </si>
  <si>
    <t>Peanut Butter,Brown Sugar</t>
  </si>
  <si>
    <t>Parking Fee (purchase kitchen stocks)</t>
  </si>
  <si>
    <t>Carrots &amp; Ginger</t>
  </si>
  <si>
    <t>Biscuit,Sour Cream,Bacon,Chorizo</t>
  </si>
  <si>
    <t>Chicken Whole</t>
  </si>
  <si>
    <t>Baking Pan,Silicon Brush,Wire Wisk</t>
  </si>
  <si>
    <t>Oreo Cookie,Queesland Cheese,Cocoa Powder,Vanilla Extract</t>
  </si>
  <si>
    <t>Transpo pick up cakes</t>
  </si>
  <si>
    <t>Gil Puyat Ave Makati City</t>
  </si>
  <si>
    <t>Sausage,Black Forest Ham</t>
  </si>
  <si>
    <t>Brisket Boneless,Ground Pork,Sweet Peas</t>
  </si>
  <si>
    <t>Sardines,Chorizo,Lumpia Wrapper</t>
  </si>
  <si>
    <t>222-810-003-014</t>
  </si>
  <si>
    <t>Butane Gas</t>
  </si>
  <si>
    <t>Photocopy of Solicitation Letter for Supplier</t>
  </si>
  <si>
    <t>Tissue</t>
  </si>
  <si>
    <t>Raspberry</t>
  </si>
  <si>
    <t>Cake Molder</t>
  </si>
  <si>
    <t>Transpo purchased cake molder</t>
  </si>
  <si>
    <t>Vanilla Ice Cream</t>
  </si>
  <si>
    <t>Additional Payment for changed item (cake pan)</t>
  </si>
  <si>
    <t>Lettuce,Beef Brisket,Tomato &amp; Onion</t>
  </si>
  <si>
    <t>Cranberries,Raisins,Burger Bun</t>
  </si>
  <si>
    <t>Chikos Sintra Board</t>
  </si>
  <si>
    <t>Bacon,Knorr Sinigang Mix,Bacon</t>
  </si>
  <si>
    <t>Lychee</t>
  </si>
  <si>
    <t>Pork Tenderloin,Lettuce,Arugula,Tomato</t>
  </si>
  <si>
    <t>3M Mounting Tape,Drill  Bit Masonry,Tox</t>
  </si>
  <si>
    <t>Transpo going to MOA pick up Beef Shortplate</t>
  </si>
  <si>
    <t>Almas Meat Shop</t>
  </si>
  <si>
    <t>Basil,Baguette Bread,Pasta</t>
  </si>
  <si>
    <t>San Remo Penne Pasta</t>
  </si>
  <si>
    <t>Cakes Delivery c/o Tosh Katipunan</t>
  </si>
  <si>
    <t>Scotch Tape,Folder,Correction Tape,PCV</t>
  </si>
  <si>
    <t>Garlic</t>
  </si>
  <si>
    <t>Milkmaid &amp; Alaska Condensed Milk</t>
  </si>
  <si>
    <t>Extension Cord</t>
  </si>
  <si>
    <t>Supervalue Inc</t>
  </si>
  <si>
    <t>000-144-976-005</t>
  </si>
  <si>
    <t>Mustard</t>
  </si>
  <si>
    <t>Hotcake Mix,Penne Pasta,Elbow Macaroni,Che Vital Cheese</t>
  </si>
  <si>
    <t>Basil Leaves</t>
  </si>
  <si>
    <t>Transpo going to Tosh Katips returned cake pan</t>
  </si>
  <si>
    <t>Mandaluyong city</t>
  </si>
  <si>
    <t>Pagibig Fund</t>
  </si>
  <si>
    <t>Short Term Penalty</t>
  </si>
  <si>
    <t>Transpo going to Foodzone</t>
  </si>
  <si>
    <t>Cheese Powder</t>
  </si>
  <si>
    <t>Tomato, Basil,Sweet Chili Sauce</t>
  </si>
  <si>
    <t>Magic Sarap,San Remo Angel Hair,Tofu</t>
  </si>
  <si>
    <t>Lettuce,Basil</t>
  </si>
  <si>
    <t>Sticker Paper, Ink Cartidge</t>
  </si>
  <si>
    <t>Judith Meat Product</t>
  </si>
  <si>
    <t>Sole Fish</t>
  </si>
  <si>
    <t>Demi Glace,Hershey Chocolate</t>
  </si>
  <si>
    <t>Eggs,Ripe Mango,Potato</t>
  </si>
  <si>
    <t>Burger Buns</t>
  </si>
  <si>
    <t>For the Month Ended: December  2019</t>
  </si>
  <si>
    <t>LulubeeCorporation</t>
  </si>
  <si>
    <t>Pork Ribs,French Fries,Bacon Bits</t>
  </si>
  <si>
    <t>Beef Brisket</t>
  </si>
  <si>
    <t>Elbow Macaroni,Penne,Linguine,Angel Hair,Cheese powder</t>
  </si>
  <si>
    <t>Transpo going to KCC office (Check Signing)</t>
  </si>
  <si>
    <t>Cake Delivery</t>
  </si>
  <si>
    <t>Powdered Sugar,Dark Chocolate,Cocoa Powder,Almond Extract</t>
  </si>
  <si>
    <t>Transpo going to AAB Baking</t>
  </si>
  <si>
    <t>Sardines,Chorizo,Cheesedog,Kikkoman,Magic Sarap</t>
  </si>
  <si>
    <t>Cherry Tomato,Bbrisket Boneless,Basil Leave</t>
  </si>
  <si>
    <t>Taxi Fare Returned Microwave to Landmark</t>
  </si>
  <si>
    <t>Microgreens</t>
  </si>
  <si>
    <t>Sole Fish, French Beans</t>
  </si>
  <si>
    <t>Datu Puti,Molo Wrapper,Tofu</t>
  </si>
  <si>
    <t>Battery</t>
  </si>
  <si>
    <t>DelMonte Pineapple Juice</t>
  </si>
  <si>
    <t>All Purpose Cream,Eggs</t>
  </si>
  <si>
    <t>Trashbag</t>
  </si>
  <si>
    <t>Bread Flour,AP Flour,,Elbow Macaroni</t>
  </si>
  <si>
    <t>Sugar Beets,Cherry Tomato</t>
  </si>
  <si>
    <t>Transpo bring check payment for Tosh Katipunan</t>
  </si>
  <si>
    <t>Christmas Donation</t>
  </si>
  <si>
    <t>Managers Meeting</t>
  </si>
  <si>
    <t>Brown Sugar Sachet</t>
  </si>
  <si>
    <t>Lambprint Adverting Services</t>
  </si>
  <si>
    <t>Chikos Poster</t>
  </si>
  <si>
    <t>Pork Ribs,Fries,Bacon</t>
  </si>
  <si>
    <t>Chorizo</t>
  </si>
  <si>
    <t>Chorizo,squash,White Onion</t>
  </si>
  <si>
    <t>Ground Beef,Cranberries,Broas</t>
  </si>
  <si>
    <t>Transpo going to Katipunan pick up kitchen stocks</t>
  </si>
  <si>
    <t>Transpo pick up kitchen stocks in tosh katipunan</t>
  </si>
  <si>
    <t>Molo Wrapper,Magic Sarap</t>
  </si>
  <si>
    <t>Cherry Tomato,White Onion, Mix Vegetable</t>
  </si>
  <si>
    <t>Emental Cheese</t>
  </si>
  <si>
    <t>Quiapo Manila</t>
  </si>
  <si>
    <t>Food Keeper for Party Pans</t>
  </si>
  <si>
    <t>Maxipoly Sales Corp</t>
  </si>
  <si>
    <t>Cake Canester</t>
  </si>
  <si>
    <t>Bar Tray</t>
  </si>
  <si>
    <t>Lettuce,Mixed veggies,Cherry Tomato</t>
  </si>
  <si>
    <t>Paper Last Gen Merch.</t>
  </si>
  <si>
    <t>157-730-559-000</t>
  </si>
  <si>
    <t>16oz Plastic Cup</t>
  </si>
  <si>
    <t>Elbow Macaroni,Penne Pasta</t>
  </si>
  <si>
    <t>Sili Sigang,Red &amp; Green Bellpepper</t>
  </si>
  <si>
    <t>San Miguel Brewery Inc</t>
  </si>
  <si>
    <t>006-007-251-028</t>
  </si>
  <si>
    <t>Sta Ana Manila</t>
  </si>
  <si>
    <t>Penalty Charges for Late Payment</t>
  </si>
  <si>
    <t>Softdrinks for Employee</t>
  </si>
  <si>
    <t>Conaprole Diced Tomato</t>
  </si>
  <si>
    <t>Fresh Milk &amp; Baguette Bread</t>
  </si>
  <si>
    <t>Hungarian</t>
  </si>
  <si>
    <t>Foodzone inc</t>
  </si>
  <si>
    <t>004-846-011-00</t>
  </si>
  <si>
    <t>Delivery Charge c/o Cake Delivery</t>
  </si>
  <si>
    <t>Sapanish Paprika,Cheese Powder,Linguine Pasta</t>
  </si>
  <si>
    <t>Basil Leaves,Cherry Tomato</t>
  </si>
  <si>
    <t xml:space="preserve">Omni </t>
  </si>
  <si>
    <t xml:space="preserve"> </t>
  </si>
  <si>
    <t>Pepperoni,Breadcrumbs,Che Vital Cheese,Baking Powder</t>
  </si>
  <si>
    <t>Tomato &amp; Wansoy</t>
  </si>
  <si>
    <t>Vanilla Ice Cream &amp; Splenda</t>
  </si>
  <si>
    <t>Pork Ribs &amp; Fries</t>
  </si>
  <si>
    <t>Transpo c/o Food Delivery @ Carag Law Office</t>
  </si>
  <si>
    <t>Garlic,Wansoy,Cucumber,Herbs</t>
  </si>
  <si>
    <t>Penne Pasta,Mozza Cheese,Cheese powder,Buns</t>
  </si>
  <si>
    <t>Raymond Ruiz</t>
  </si>
  <si>
    <t>Pamaskong Handog (BDO Check Delivery Boy) noted by VCC</t>
  </si>
  <si>
    <t>Brown Sugar</t>
  </si>
  <si>
    <t>Ribbon for POS Printer</t>
  </si>
  <si>
    <t>Magic Sarap,Sardines,Chicken Cubes</t>
  </si>
  <si>
    <t xml:space="preserve">Transpo going to Carag Law Ofice </t>
  </si>
  <si>
    <t>Ministop Corporation</t>
  </si>
  <si>
    <t>Breadcrumbs,Paprila,Penne Pasta,Fettucine,Macaroni</t>
  </si>
  <si>
    <t>Potato,Sweetcorn,,Pears,Magic Sarap,Baguette Bread</t>
  </si>
  <si>
    <t>Sweetcorn</t>
  </si>
  <si>
    <t>Peeled Tomato,Breadcrumbs</t>
  </si>
  <si>
    <t>Onion Red,Basil,potato,Brisket Boneless</t>
  </si>
  <si>
    <t>Garlic,Basil,Lettuce</t>
  </si>
  <si>
    <t>Leguine Pasta,Macaroni,Craberries</t>
  </si>
  <si>
    <t>Transpo purchased fries in Marikina</t>
  </si>
  <si>
    <t>Cornstarch,Bacon,Breadcrumbs,Magic Sarap</t>
  </si>
  <si>
    <t>Diced Tomato,Penne Pasta,Macaroni</t>
  </si>
  <si>
    <t>Basil,Sili Sigang,Wansoy</t>
  </si>
  <si>
    <t>Butter &amp; Bread Flour</t>
  </si>
  <si>
    <t>Pan De Manila Food Co Inc</t>
  </si>
  <si>
    <t>203-120-687-108</t>
  </si>
  <si>
    <t>Sardines,Fresh Milk,Rice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</si>
</sst>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mm;@"/>
    <numFmt numFmtId="165" formatCode="d/mmm/yy;@"/>
    <numFmt numFmtId="166" formatCode="_(* #,##0.00_);_(* \(#,##0.00\);_(* \-??_);_(@_)"/>
    <numFmt numFmtId="167" formatCode="d/mmm"/>
    <numFmt numFmtId="168" formatCode="yyyy/mm/dd"/>
  </numFmts>
  <fonts count="6" x14ac:knownFonts="1">
    <font>
      <sz val="10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166" fontId="4" fillId="0" borderId="0" applyBorder="0" applyProtection="0"/>
    <xf numFmtId="9" fontId="4" fillId="0" borderId="0" applyBorder="0" applyProtection="0"/>
  </cellStyleXfs>
  <cellXfs count="12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 applyProtection="1"/>
    <xf numFmtId="0" fontId="1" fillId="0" borderId="0" xfId="0" applyFont="1" applyBorder="1" applyAlignment="1" applyProtection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3" fillId="0" borderId="0" xfId="0" applyFont="1" applyBorder="1" applyAlignment="1" applyProtection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1" fillId="0" borderId="0" xfId="0" applyFont="1" applyAlignment="1">
      <alignment vertical="center" wrapText="1"/>
    </xf>
    <xf numFmtId="165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6" fontId="1" fillId="2" borderId="3" xfId="1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/>
    <xf numFmtId="0" fontId="1" fillId="2" borderId="6" xfId="0" applyFont="1" applyFill="1" applyBorder="1" applyAlignment="1" applyProtection="1"/>
    <xf numFmtId="166" fontId="1" fillId="2" borderId="0" xfId="0" applyNumberFormat="1" applyFont="1" applyFill="1" applyAlignment="1">
      <alignment wrapText="1"/>
    </xf>
    <xf numFmtId="0" fontId="1" fillId="2" borderId="0" xfId="0" applyFont="1" applyFill="1"/>
    <xf numFmtId="165" fontId="1" fillId="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66" fontId="1" fillId="3" borderId="3" xfId="1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wrapText="1"/>
    </xf>
    <xf numFmtId="0" fontId="1" fillId="3" borderId="3" xfId="0" applyFont="1" applyFill="1" applyBorder="1" applyAlignment="1" applyProtection="1"/>
    <xf numFmtId="0" fontId="1" fillId="3" borderId="6" xfId="0" applyFont="1" applyFill="1" applyBorder="1" applyAlignment="1" applyProtection="1"/>
    <xf numFmtId="166" fontId="1" fillId="3" borderId="0" xfId="0" applyNumberFormat="1" applyFont="1" applyFill="1" applyAlignment="1">
      <alignment wrapText="1"/>
    </xf>
    <xf numFmtId="0" fontId="1" fillId="3" borderId="0" xfId="0" applyFont="1" applyFill="1"/>
    <xf numFmtId="0" fontId="1" fillId="0" borderId="1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 applyProtection="1"/>
    <xf numFmtId="0" fontId="2" fillId="2" borderId="3" xfId="0" applyFont="1" applyFill="1" applyBorder="1" applyAlignment="1" applyProtection="1"/>
    <xf numFmtId="0" fontId="1" fillId="2" borderId="7" xfId="0" applyFont="1" applyFill="1" applyBorder="1" applyAlignment="1" applyProtection="1"/>
    <xf numFmtId="164" fontId="2" fillId="0" borderId="8" xfId="0" applyNumberFormat="1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left"/>
      <protection locked="0"/>
    </xf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166" fontId="2" fillId="0" borderId="8" xfId="1" applyFont="1" applyBorder="1" applyAlignment="1" applyProtection="1"/>
    <xf numFmtId="166" fontId="2" fillId="3" borderId="8" xfId="1" applyFont="1" applyFill="1" applyBorder="1" applyAlignment="1" applyProtection="1"/>
    <xf numFmtId="166" fontId="2" fillId="0" borderId="3" xfId="1" applyFont="1" applyBorder="1" applyAlignment="1" applyProtection="1"/>
    <xf numFmtId="0" fontId="2" fillId="0" borderId="0" xfId="0" applyFont="1"/>
    <xf numFmtId="0" fontId="1" fillId="0" borderId="2" xfId="0" applyFont="1" applyBorder="1" applyAlignment="1" applyProtection="1">
      <alignment horizontal="center" vertical="center" wrapText="1"/>
    </xf>
    <xf numFmtId="167" fontId="1" fillId="2" borderId="3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168" fontId="1" fillId="0" borderId="0" xfId="0" applyNumberFormat="1" applyFont="1" applyAlignment="1">
      <alignment horizontal="center"/>
    </xf>
    <xf numFmtId="2" fontId="1" fillId="0" borderId="0" xfId="0" applyNumberFormat="1" applyFont="1" applyBorder="1" applyAlignment="1" applyProtection="1"/>
    <xf numFmtId="168" fontId="2" fillId="0" borderId="0" xfId="0" applyNumberFormat="1" applyFont="1" applyAlignment="1">
      <alignment horizontal="left"/>
    </xf>
    <xf numFmtId="168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68" fontId="1" fillId="2" borderId="3" xfId="0" applyNumberFormat="1" applyFont="1" applyFill="1" applyBorder="1" applyAlignment="1">
      <alignment horizontal="center" vertical="center"/>
    </xf>
    <xf numFmtId="2" fontId="1" fillId="2" borderId="3" xfId="1" applyNumberFormat="1" applyFont="1" applyFill="1" applyBorder="1" applyAlignment="1" applyProtection="1">
      <alignment horizontal="center"/>
    </xf>
    <xf numFmtId="168" fontId="1" fillId="3" borderId="3" xfId="0" applyNumberFormat="1" applyFont="1" applyFill="1" applyBorder="1" applyAlignment="1">
      <alignment horizontal="center" vertical="center"/>
    </xf>
    <xf numFmtId="2" fontId="1" fillId="3" borderId="3" xfId="1" applyNumberFormat="1" applyFont="1" applyFill="1" applyBorder="1" applyAlignment="1" applyProtection="1">
      <alignment horizontal="center"/>
    </xf>
    <xf numFmtId="0" fontId="1" fillId="2" borderId="3" xfId="0" applyFont="1" applyFill="1" applyBorder="1" applyAlignment="1">
      <alignment horizontal="right"/>
    </xf>
    <xf numFmtId="168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2" fontId="1" fillId="0" borderId="3" xfId="1" applyNumberFormat="1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wrapText="1"/>
    </xf>
    <xf numFmtId="0" fontId="1" fillId="0" borderId="6" xfId="0" applyFont="1" applyBorder="1" applyAlignment="1" applyProtection="1"/>
    <xf numFmtId="166" fontId="1" fillId="0" borderId="0" xfId="0" applyNumberFormat="1" applyFont="1" applyAlignment="1">
      <alignment wrapText="1"/>
    </xf>
    <xf numFmtId="168" fontId="2" fillId="0" borderId="8" xfId="0" applyNumberFormat="1" applyFont="1" applyBorder="1" applyAlignment="1" applyProtection="1">
      <alignment horizontal="center"/>
      <protection locked="0"/>
    </xf>
    <xf numFmtId="2" fontId="2" fillId="0" borderId="8" xfId="1" applyNumberFormat="1" applyFont="1" applyBorder="1" applyAlignment="1" applyProtection="1"/>
    <xf numFmtId="164" fontId="1" fillId="0" borderId="0" xfId="2" applyNumberFormat="1" applyFont="1" applyBorder="1" applyAlignment="1" applyProtection="1">
      <alignment horizontal="center"/>
    </xf>
    <xf numFmtId="0" fontId="1" fillId="0" borderId="0" xfId="2" applyNumberFormat="1" applyFont="1" applyBorder="1" applyAlignment="1" applyProtection="1">
      <alignment horizontal="center"/>
    </xf>
    <xf numFmtId="0" fontId="1" fillId="0" borderId="0" xfId="2" applyNumberFormat="1" applyFont="1" applyBorder="1" applyProtection="1"/>
    <xf numFmtId="0" fontId="1" fillId="0" borderId="0" xfId="2" applyNumberFormat="1" applyFont="1" applyBorder="1" applyAlignment="1" applyProtection="1">
      <alignment horizontal="left"/>
    </xf>
    <xf numFmtId="166" fontId="1" fillId="0" borderId="0" xfId="2" applyNumberFormat="1" applyFont="1" applyBorder="1" applyProtection="1"/>
    <xf numFmtId="9" fontId="1" fillId="0" borderId="0" xfId="2" applyFont="1" applyBorder="1" applyAlignment="1" applyProtection="1">
      <alignment horizontal="center"/>
    </xf>
    <xf numFmtId="164" fontId="2" fillId="0" borderId="0" xfId="2" applyNumberFormat="1" applyFont="1" applyBorder="1" applyAlignment="1" applyProtection="1">
      <alignment horizontal="left"/>
    </xf>
    <xf numFmtId="0" fontId="2" fillId="0" borderId="0" xfId="2" applyNumberFormat="1" applyFont="1" applyBorder="1" applyAlignment="1" applyProtection="1">
      <alignment horizontal="left"/>
    </xf>
    <xf numFmtId="49" fontId="2" fillId="0" borderId="0" xfId="2" applyNumberFormat="1" applyFont="1" applyBorder="1" applyProtection="1"/>
    <xf numFmtId="0" fontId="3" fillId="0" borderId="0" xfId="2" applyNumberFormat="1" applyFont="1" applyBorder="1" applyAlignment="1" applyProtection="1">
      <alignment horizontal="center"/>
    </xf>
    <xf numFmtId="164" fontId="2" fillId="0" borderId="1" xfId="2" applyNumberFormat="1" applyFont="1" applyBorder="1" applyAlignment="1" applyProtection="1">
      <alignment horizontal="center" vertical="center" wrapText="1"/>
    </xf>
    <xf numFmtId="0" fontId="2" fillId="0" borderId="1" xfId="2" applyNumberFormat="1" applyFont="1" applyBorder="1" applyAlignment="1" applyProtection="1">
      <alignment horizontal="center" vertical="center" wrapText="1"/>
    </xf>
    <xf numFmtId="9" fontId="2" fillId="0" borderId="1" xfId="2" applyFont="1" applyBorder="1" applyAlignment="1" applyProtection="1">
      <alignment horizontal="center" vertical="center" wrapText="1"/>
    </xf>
    <xf numFmtId="166" fontId="2" fillId="0" borderId="1" xfId="2" applyNumberFormat="1" applyFont="1" applyBorder="1" applyAlignment="1" applyProtection="1">
      <alignment horizontal="center" vertical="center" wrapText="1"/>
    </xf>
    <xf numFmtId="166" fontId="2" fillId="0" borderId="2" xfId="2" applyNumberFormat="1" applyFont="1" applyBorder="1" applyAlignment="1" applyProtection="1">
      <alignment horizontal="center" vertical="center" wrapText="1"/>
    </xf>
    <xf numFmtId="166" fontId="2" fillId="0" borderId="3" xfId="2" applyNumberFormat="1" applyFont="1" applyBorder="1" applyAlignment="1" applyProtection="1">
      <alignment horizontal="center" vertical="center" wrapText="1"/>
    </xf>
    <xf numFmtId="166" fontId="2" fillId="0" borderId="4" xfId="2" applyNumberFormat="1" applyFont="1" applyBorder="1" applyAlignment="1" applyProtection="1">
      <alignment horizontal="center" vertical="center" wrapText="1"/>
    </xf>
    <xf numFmtId="0" fontId="1" fillId="0" borderId="0" xfId="2" applyNumberFormat="1" applyFont="1" applyBorder="1" applyAlignment="1" applyProtection="1">
      <alignment vertical="center" wrapText="1"/>
    </xf>
    <xf numFmtId="49" fontId="1" fillId="2" borderId="3" xfId="2" applyNumberFormat="1" applyFont="1" applyFill="1" applyBorder="1" applyAlignment="1" applyProtection="1">
      <alignment horizontal="center" vertical="center"/>
    </xf>
    <xf numFmtId="0" fontId="1" fillId="2" borderId="3" xfId="2" applyNumberFormat="1" applyFont="1" applyFill="1" applyBorder="1" applyAlignment="1" applyProtection="1">
      <alignment horizontal="center" vertical="center" wrapText="1"/>
    </xf>
    <xf numFmtId="0" fontId="1" fillId="2" borderId="5" xfId="2" applyNumberFormat="1" applyFont="1" applyFill="1" applyBorder="1" applyAlignment="1" applyProtection="1">
      <alignment horizontal="center" vertical="center" wrapText="1"/>
    </xf>
    <xf numFmtId="9" fontId="1" fillId="2" borderId="3" xfId="2" applyFont="1" applyFill="1" applyBorder="1" applyAlignment="1" applyProtection="1">
      <alignment horizontal="center"/>
    </xf>
    <xf numFmtId="166" fontId="1" fillId="2" borderId="3" xfId="2" applyNumberFormat="1" applyFont="1" applyFill="1" applyBorder="1" applyAlignment="1" applyProtection="1">
      <alignment wrapText="1"/>
    </xf>
    <xf numFmtId="166" fontId="1" fillId="2" borderId="3" xfId="2" applyNumberFormat="1" applyFont="1" applyFill="1" applyBorder="1" applyProtection="1"/>
    <xf numFmtId="166" fontId="1" fillId="2" borderId="6" xfId="2" applyNumberFormat="1" applyFont="1" applyFill="1" applyBorder="1" applyProtection="1"/>
    <xf numFmtId="166" fontId="1" fillId="2" borderId="0" xfId="2" applyNumberFormat="1" applyFont="1" applyFill="1" applyBorder="1" applyAlignment="1" applyProtection="1">
      <alignment wrapText="1"/>
    </xf>
    <xf numFmtId="0" fontId="1" fillId="2" borderId="0" xfId="2" applyNumberFormat="1" applyFont="1" applyFill="1" applyBorder="1" applyProtection="1"/>
    <xf numFmtId="167" fontId="1" fillId="2" borderId="3" xfId="2" applyNumberFormat="1" applyFont="1" applyFill="1" applyBorder="1" applyAlignment="1" applyProtection="1">
      <alignment horizontal="center" vertical="center" wrapText="1"/>
    </xf>
    <xf numFmtId="0" fontId="1" fillId="0" borderId="5" xfId="2" applyNumberFormat="1" applyFont="1" applyBorder="1" applyAlignment="1" applyProtection="1">
      <alignment horizontal="center" vertical="center" wrapText="1"/>
    </xf>
    <xf numFmtId="166" fontId="1" fillId="0" borderId="3" xfId="2" applyNumberFormat="1" applyFont="1" applyBorder="1" applyProtection="1"/>
    <xf numFmtId="166" fontId="2" fillId="2" borderId="3" xfId="2" applyNumberFormat="1" applyFont="1" applyFill="1" applyBorder="1" applyProtection="1"/>
    <xf numFmtId="164" fontId="2" fillId="0" borderId="8" xfId="2" applyNumberFormat="1" applyFont="1" applyBorder="1" applyAlignment="1" applyProtection="1">
      <alignment horizontal="center"/>
      <protection locked="0"/>
    </xf>
    <xf numFmtId="0" fontId="2" fillId="0" borderId="8" xfId="2" applyNumberFormat="1" applyFont="1" applyBorder="1" applyAlignment="1" applyProtection="1">
      <alignment horizontal="left"/>
      <protection locked="0"/>
    </xf>
    <xf numFmtId="0" fontId="2" fillId="0" borderId="8" xfId="2" applyNumberFormat="1" applyFont="1" applyBorder="1" applyProtection="1"/>
    <xf numFmtId="0" fontId="2" fillId="0" borderId="8" xfId="2" applyNumberFormat="1" applyFont="1" applyBorder="1" applyAlignment="1" applyProtection="1">
      <alignment horizontal="left"/>
    </xf>
    <xf numFmtId="0" fontId="2" fillId="0" borderId="8" xfId="2" applyNumberFormat="1" applyFont="1" applyBorder="1" applyAlignment="1" applyProtection="1">
      <alignment horizontal="center"/>
    </xf>
    <xf numFmtId="0" fontId="2" fillId="0" borderId="0" xfId="2" applyNumberFormat="1" applyFont="1" applyBorder="1" applyProtection="1"/>
    <xf numFmtId="0" fontId="1" fillId="3" borderId="3" xfId="2" applyNumberFormat="1" applyFont="1" applyFill="1" applyBorder="1" applyAlignment="1" applyProtection="1">
      <alignment horizontal="center" vertical="center" wrapText="1"/>
    </xf>
    <xf numFmtId="166" fontId="1" fillId="2" borderId="3" xfId="1" applyFont="1" applyFill="1" applyBorder="1" applyAlignment="1" applyProtection="1">
      <alignment horizontal="center" vertical="center" wrapText="1"/>
    </xf>
    <xf numFmtId="0" fontId="5" fillId="0" borderId="0" xfId="0" applyFont="1"/>
    <xf numFmtId="9" fontId="1" fillId="3" borderId="3" xfId="2" applyFont="1" applyFill="1" applyBorder="1" applyAlignment="1" applyProtection="1">
      <alignment horizont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y-su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-sum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36"/>
  <sheetViews>
    <sheetView topLeftCell="A127" zoomScale="90" zoomScaleNormal="90" workbookViewId="0">
      <selection activeCell="E130" sqref="A130:XFD135"/>
    </sheetView>
  </sheetViews>
  <sheetFormatPr defaultRowHeight="13.2" x14ac:dyDescent="0.25"/>
  <cols>
    <col min="1" max="1" width="10.21875" style="1" customWidth="1"/>
    <col min="2" max="2" width="9.21875" style="2" hidden="1" customWidth="1"/>
    <col min="3" max="3" width="30.21875" style="3" customWidth="1"/>
    <col min="4" max="4" width="17.6640625" style="4" customWidth="1"/>
    <col min="5" max="5" width="35.33203125" style="4" customWidth="1"/>
    <col min="6" max="6" width="9.88671875" style="2" customWidth="1"/>
    <col min="7" max="7" width="39.77734375" style="3" customWidth="1"/>
    <col min="8" max="8" width="13.88671875" style="5" customWidth="1"/>
    <col min="9" max="9" width="10.6640625" style="5" customWidth="1"/>
    <col min="10" max="10" width="12.21875" style="5" customWidth="1"/>
    <col min="11" max="11" width="13.109375" style="5" customWidth="1"/>
    <col min="12" max="12" width="9.88671875" style="6" customWidth="1"/>
    <col min="13" max="13" width="12.21875" style="5" customWidth="1"/>
    <col min="14" max="14" width="10.77734375" style="5" customWidth="1"/>
    <col min="15" max="15" width="11.33203125" style="5" customWidth="1"/>
    <col min="16" max="16" width="12.44140625" style="5" customWidth="1"/>
    <col min="17" max="17" width="9.88671875" style="5" customWidth="1"/>
    <col min="18" max="18" width="13.44140625" style="5" customWidth="1"/>
    <col min="19" max="19" width="10.21875" style="5" customWidth="1"/>
    <col min="20" max="21" width="11.5546875" style="5"/>
    <col min="22" max="22" width="13.33203125" style="5" customWidth="1"/>
    <col min="23" max="23" width="8.6640625" style="5" customWidth="1"/>
    <col min="24" max="24" width="12.44140625" style="5" customWidth="1"/>
    <col min="25" max="25" width="11.6640625" style="5" customWidth="1"/>
    <col min="26" max="26" width="10.44140625" style="5" customWidth="1"/>
    <col min="27" max="27" width="11" style="5" customWidth="1"/>
    <col min="28" max="28" width="12.109375" style="5" customWidth="1"/>
    <col min="29" max="30" width="10.109375" style="5" customWidth="1"/>
    <col min="31" max="31" width="12.77734375" style="5" customWidth="1"/>
    <col min="32" max="32" width="0.21875" style="5" customWidth="1"/>
    <col min="33" max="33" width="13.44140625" style="5" customWidth="1"/>
    <col min="34" max="34" width="13.44140625" style="3" customWidth="1"/>
    <col min="35" max="1025" width="11.5546875" style="3"/>
  </cols>
  <sheetData>
    <row r="1" spans="1:34" ht="12" customHeight="1" x14ac:dyDescent="0.25">
      <c r="A1" s="7" t="s">
        <v>0</v>
      </c>
      <c r="C1" s="8"/>
    </row>
    <row r="2" spans="1:34" ht="12" customHeight="1" x14ac:dyDescent="0.25">
      <c r="A2" s="7" t="s">
        <v>1</v>
      </c>
    </row>
    <row r="3" spans="1:34" ht="12" customHeight="1" x14ac:dyDescent="0.25">
      <c r="A3" s="7" t="s">
        <v>2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/>
      <c r="W3" s="10"/>
      <c r="X3" s="10"/>
      <c r="Y3" s="10" t="s">
        <v>3</v>
      </c>
      <c r="Z3" s="10"/>
      <c r="AA3" s="10">
        <v>6230</v>
      </c>
      <c r="AB3" s="10" t="s">
        <v>4</v>
      </c>
      <c r="AC3" s="10">
        <v>6202</v>
      </c>
      <c r="AD3" s="10"/>
      <c r="AE3" s="10">
        <v>6109</v>
      </c>
      <c r="AF3" s="10">
        <v>6236</v>
      </c>
      <c r="AG3" s="10">
        <v>1002</v>
      </c>
    </row>
    <row r="4" spans="1:34" s="17" customFormat="1" ht="43.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5" t="s">
        <v>34</v>
      </c>
      <c r="AG4" s="16" t="s">
        <v>36</v>
      </c>
    </row>
    <row r="5" spans="1:34" s="29" customFormat="1" ht="21.75" customHeight="1" x14ac:dyDescent="0.2">
      <c r="A5" s="18">
        <v>43467</v>
      </c>
      <c r="B5" s="19"/>
      <c r="C5" s="20" t="s">
        <v>37</v>
      </c>
      <c r="D5" s="20" t="s">
        <v>38</v>
      </c>
      <c r="E5" s="20" t="s">
        <v>39</v>
      </c>
      <c r="F5" s="21">
        <v>33580</v>
      </c>
      <c r="G5" s="22" t="s">
        <v>40</v>
      </c>
      <c r="H5" s="23"/>
      <c r="I5" s="23"/>
      <c r="J5" s="23"/>
      <c r="K5" s="23">
        <v>376</v>
      </c>
      <c r="L5" s="24"/>
      <c r="M5" s="25">
        <f t="shared" ref="M5:M36" si="0">SUM(H5:J5,K5/1.12)</f>
        <v>335.71428571428567</v>
      </c>
      <c r="N5" s="25">
        <f t="shared" ref="N5:N36" si="1">K5/1.12*0.12</f>
        <v>40.285714285714278</v>
      </c>
      <c r="O5" s="25">
        <f t="shared" ref="O5:O32" si="2">-SUM(I5:J5,K5/1.12)*L5</f>
        <v>0</v>
      </c>
      <c r="P5" s="25">
        <v>335.71</v>
      </c>
      <c r="Q5" s="26"/>
      <c r="R5" s="26"/>
      <c r="S5" s="26"/>
      <c r="T5" s="27"/>
      <c r="U5" s="27"/>
      <c r="V5" s="27"/>
      <c r="W5" s="27"/>
      <c r="X5" s="27"/>
      <c r="Y5" s="26"/>
      <c r="Z5" s="26"/>
      <c r="AA5" s="26"/>
      <c r="AB5" s="26"/>
      <c r="AC5" s="27"/>
      <c r="AD5" s="27"/>
      <c r="AE5" s="26"/>
      <c r="AF5" s="26"/>
      <c r="AG5" s="25">
        <f t="shared" ref="AG5:AG36" si="3">-SUM(N5:AF5)</f>
        <v>-375.99571428571426</v>
      </c>
      <c r="AH5" s="28">
        <f t="shared" ref="AH5:AH36" si="4">SUM(H5:K5)+AG5+O5</f>
        <v>4.2857142857428698E-3</v>
      </c>
    </row>
    <row r="6" spans="1:34" s="29" customFormat="1" ht="21.75" customHeight="1" x14ac:dyDescent="0.2">
      <c r="A6" s="18">
        <v>43467</v>
      </c>
      <c r="B6" s="19"/>
      <c r="C6" s="20" t="s">
        <v>41</v>
      </c>
      <c r="D6" s="20" t="s">
        <v>42</v>
      </c>
      <c r="E6" s="20" t="s">
        <v>43</v>
      </c>
      <c r="F6" s="21">
        <v>106464</v>
      </c>
      <c r="G6" s="22" t="s">
        <v>44</v>
      </c>
      <c r="H6" s="23"/>
      <c r="I6" s="23"/>
      <c r="J6" s="23"/>
      <c r="K6" s="23">
        <v>180</v>
      </c>
      <c r="L6" s="24"/>
      <c r="M6" s="25">
        <f t="shared" si="0"/>
        <v>160.71428571428569</v>
      </c>
      <c r="N6" s="25">
        <f t="shared" si="1"/>
        <v>19.285714285714281</v>
      </c>
      <c r="O6" s="25">
        <f t="shared" si="2"/>
        <v>0</v>
      </c>
      <c r="P6" s="25"/>
      <c r="Q6" s="26">
        <v>160.71</v>
      </c>
      <c r="R6" s="26"/>
      <c r="S6" s="26"/>
      <c r="T6" s="27"/>
      <c r="U6" s="27"/>
      <c r="V6" s="27"/>
      <c r="W6" s="27"/>
      <c r="X6" s="27"/>
      <c r="Y6" s="26"/>
      <c r="Z6" s="26"/>
      <c r="AA6" s="26"/>
      <c r="AB6" s="26"/>
      <c r="AC6" s="27"/>
      <c r="AD6" s="27"/>
      <c r="AE6" s="26"/>
      <c r="AF6" s="26"/>
      <c r="AG6" s="25">
        <f t="shared" si="3"/>
        <v>-179.99571428571429</v>
      </c>
      <c r="AH6" s="28">
        <f t="shared" si="4"/>
        <v>4.2857142857144481E-3</v>
      </c>
    </row>
    <row r="7" spans="1:34" s="29" customFormat="1" ht="21.75" customHeight="1" x14ac:dyDescent="0.2">
      <c r="A7" s="18">
        <v>43468</v>
      </c>
      <c r="B7" s="19"/>
      <c r="C7" s="20" t="s">
        <v>45</v>
      </c>
      <c r="D7" s="20" t="s">
        <v>46</v>
      </c>
      <c r="E7" s="20" t="s">
        <v>47</v>
      </c>
      <c r="F7" s="21">
        <v>172996</v>
      </c>
      <c r="G7" s="22" t="s">
        <v>48</v>
      </c>
      <c r="H7" s="23"/>
      <c r="I7" s="23"/>
      <c r="J7" s="23"/>
      <c r="K7" s="23">
        <f>802.1+96.25</f>
        <v>898.35</v>
      </c>
      <c r="L7" s="24"/>
      <c r="M7" s="25">
        <f t="shared" si="0"/>
        <v>802.09821428571422</v>
      </c>
      <c r="N7" s="25">
        <f t="shared" si="1"/>
        <v>96.251785714285703</v>
      </c>
      <c r="O7" s="25">
        <f t="shared" si="2"/>
        <v>0</v>
      </c>
      <c r="P7" s="25">
        <v>802.1</v>
      </c>
      <c r="Q7" s="26"/>
      <c r="R7" s="26"/>
      <c r="S7" s="26"/>
      <c r="T7" s="27"/>
      <c r="U7" s="27"/>
      <c r="V7" s="27"/>
      <c r="W7" s="27"/>
      <c r="X7" s="27"/>
      <c r="Y7" s="26"/>
      <c r="Z7" s="26"/>
      <c r="AA7" s="26"/>
      <c r="AB7" s="26"/>
      <c r="AC7" s="27"/>
      <c r="AD7" s="27"/>
      <c r="AE7" s="26"/>
      <c r="AF7" s="26"/>
      <c r="AG7" s="25">
        <f t="shared" si="3"/>
        <v>-898.35178571428571</v>
      </c>
      <c r="AH7" s="28">
        <f t="shared" si="4"/>
        <v>-1.7857142856883002E-3</v>
      </c>
    </row>
    <row r="8" spans="1:34" s="29" customFormat="1" ht="21.75" customHeight="1" x14ac:dyDescent="0.2">
      <c r="A8" s="18">
        <v>43468</v>
      </c>
      <c r="B8" s="19"/>
      <c r="C8" s="20" t="s">
        <v>45</v>
      </c>
      <c r="D8" s="20" t="s">
        <v>46</v>
      </c>
      <c r="E8" s="20" t="s">
        <v>47</v>
      </c>
      <c r="F8" s="21">
        <v>172996</v>
      </c>
      <c r="G8" s="22" t="s">
        <v>49</v>
      </c>
      <c r="H8" s="23"/>
      <c r="I8" s="23"/>
      <c r="J8" s="23">
        <v>31.95</v>
      </c>
      <c r="K8" s="23"/>
      <c r="L8" s="24"/>
      <c r="M8" s="25">
        <f t="shared" si="0"/>
        <v>31.95</v>
      </c>
      <c r="N8" s="25">
        <f t="shared" si="1"/>
        <v>0</v>
      </c>
      <c r="O8" s="25">
        <f t="shared" si="2"/>
        <v>0</v>
      </c>
      <c r="P8" s="25">
        <v>31.95</v>
      </c>
      <c r="Q8" s="26"/>
      <c r="R8" s="26"/>
      <c r="S8" s="26"/>
      <c r="T8" s="27"/>
      <c r="U8" s="27"/>
      <c r="V8" s="27"/>
      <c r="W8" s="27"/>
      <c r="X8" s="27"/>
      <c r="Y8" s="26"/>
      <c r="Z8" s="26"/>
      <c r="AA8" s="26"/>
      <c r="AB8" s="26"/>
      <c r="AC8" s="27"/>
      <c r="AD8" s="27"/>
      <c r="AE8" s="26"/>
      <c r="AF8" s="26"/>
      <c r="AG8" s="25">
        <f t="shared" si="3"/>
        <v>-31.95</v>
      </c>
      <c r="AH8" s="28">
        <f t="shared" si="4"/>
        <v>0</v>
      </c>
    </row>
    <row r="9" spans="1:34" s="29" customFormat="1" ht="21.75" customHeight="1" x14ac:dyDescent="0.2">
      <c r="A9" s="18">
        <v>43468</v>
      </c>
      <c r="B9" s="19"/>
      <c r="C9" s="20" t="s">
        <v>41</v>
      </c>
      <c r="D9" s="20" t="s">
        <v>42</v>
      </c>
      <c r="E9" s="20" t="s">
        <v>43</v>
      </c>
      <c r="F9" s="21">
        <v>106508</v>
      </c>
      <c r="G9" s="22" t="s">
        <v>44</v>
      </c>
      <c r="H9" s="23"/>
      <c r="I9" s="23"/>
      <c r="J9" s="23"/>
      <c r="K9" s="23">
        <v>180</v>
      </c>
      <c r="L9" s="24"/>
      <c r="M9" s="25">
        <f t="shared" si="0"/>
        <v>160.71428571428569</v>
      </c>
      <c r="N9" s="25">
        <f t="shared" si="1"/>
        <v>19.285714285714281</v>
      </c>
      <c r="O9" s="25">
        <f t="shared" si="2"/>
        <v>0</v>
      </c>
      <c r="P9" s="25"/>
      <c r="Q9" s="26">
        <v>160.71</v>
      </c>
      <c r="R9" s="26"/>
      <c r="S9" s="26"/>
      <c r="T9" s="27"/>
      <c r="U9" s="27"/>
      <c r="V9" s="27"/>
      <c r="W9" s="27"/>
      <c r="X9" s="27"/>
      <c r="Y9" s="26"/>
      <c r="Z9" s="26"/>
      <c r="AA9" s="26"/>
      <c r="AB9" s="26"/>
      <c r="AC9" s="27"/>
      <c r="AD9" s="27"/>
      <c r="AE9" s="26"/>
      <c r="AF9" s="26"/>
      <c r="AG9" s="25">
        <f t="shared" si="3"/>
        <v>-179.99571428571429</v>
      </c>
      <c r="AH9" s="28">
        <f t="shared" si="4"/>
        <v>4.2857142857144481E-3</v>
      </c>
    </row>
    <row r="10" spans="1:34" s="29" customFormat="1" ht="21.75" customHeight="1" x14ac:dyDescent="0.2">
      <c r="A10" s="18">
        <v>43468</v>
      </c>
      <c r="B10" s="19"/>
      <c r="C10" s="20" t="s">
        <v>50</v>
      </c>
      <c r="D10" s="20" t="s">
        <v>51</v>
      </c>
      <c r="E10" s="20" t="s">
        <v>52</v>
      </c>
      <c r="F10" s="21">
        <v>56165</v>
      </c>
      <c r="G10" s="22" t="s">
        <v>53</v>
      </c>
      <c r="H10" s="23"/>
      <c r="I10" s="23"/>
      <c r="J10" s="23"/>
      <c r="K10" s="23">
        <v>1176.54</v>
      </c>
      <c r="L10" s="24"/>
      <c r="M10" s="25">
        <f t="shared" si="0"/>
        <v>1050.4821428571427</v>
      </c>
      <c r="N10" s="25">
        <f t="shared" si="1"/>
        <v>126.05785714285712</v>
      </c>
      <c r="O10" s="25">
        <f t="shared" si="2"/>
        <v>0</v>
      </c>
      <c r="P10" s="25">
        <v>1050.48</v>
      </c>
      <c r="Q10" s="26"/>
      <c r="R10" s="26"/>
      <c r="S10" s="26"/>
      <c r="T10" s="27"/>
      <c r="U10" s="27"/>
      <c r="V10" s="27"/>
      <c r="W10" s="27"/>
      <c r="X10" s="27"/>
      <c r="Y10" s="26"/>
      <c r="Z10" s="26"/>
      <c r="AA10" s="26"/>
      <c r="AB10" s="26"/>
      <c r="AC10" s="27"/>
      <c r="AD10" s="27"/>
      <c r="AE10" s="26"/>
      <c r="AF10" s="26"/>
      <c r="AG10" s="25">
        <f t="shared" si="3"/>
        <v>-1176.5378571428571</v>
      </c>
      <c r="AH10" s="28">
        <f t="shared" si="4"/>
        <v>2.1428571428714349E-3</v>
      </c>
    </row>
    <row r="11" spans="1:34" s="29" customFormat="1" ht="21.75" customHeight="1" x14ac:dyDescent="0.2">
      <c r="A11" s="18">
        <v>43469</v>
      </c>
      <c r="B11" s="19"/>
      <c r="C11" s="20" t="s">
        <v>54</v>
      </c>
      <c r="D11" s="20" t="s">
        <v>55</v>
      </c>
      <c r="E11" s="20" t="s">
        <v>56</v>
      </c>
      <c r="F11" s="21">
        <v>2845</v>
      </c>
      <c r="G11" s="22" t="s">
        <v>57</v>
      </c>
      <c r="H11" s="23"/>
      <c r="I11" s="23"/>
      <c r="J11" s="23">
        <v>2240</v>
      </c>
      <c r="K11" s="23"/>
      <c r="L11" s="24"/>
      <c r="M11" s="25">
        <f t="shared" si="0"/>
        <v>2240</v>
      </c>
      <c r="N11" s="25">
        <f t="shared" si="1"/>
        <v>0</v>
      </c>
      <c r="O11" s="25">
        <f t="shared" si="2"/>
        <v>0</v>
      </c>
      <c r="P11" s="25">
        <v>2240</v>
      </c>
      <c r="Q11" s="26"/>
      <c r="R11" s="26"/>
      <c r="S11" s="26"/>
      <c r="T11" s="27"/>
      <c r="U11" s="27"/>
      <c r="V11" s="27"/>
      <c r="W11" s="27"/>
      <c r="X11" s="27"/>
      <c r="Y11" s="26"/>
      <c r="Z11" s="26"/>
      <c r="AA11" s="26"/>
      <c r="AB11" s="26"/>
      <c r="AC11" s="27"/>
      <c r="AD11" s="27"/>
      <c r="AE11" s="26"/>
      <c r="AF11" s="26"/>
      <c r="AG11" s="25">
        <f t="shared" si="3"/>
        <v>-2240</v>
      </c>
      <c r="AH11" s="28">
        <f t="shared" si="4"/>
        <v>0</v>
      </c>
    </row>
    <row r="12" spans="1:34" s="29" customFormat="1" ht="21.75" customHeight="1" x14ac:dyDescent="0.2">
      <c r="A12" s="18">
        <v>43469</v>
      </c>
      <c r="B12" s="19"/>
      <c r="C12" s="20" t="s">
        <v>58</v>
      </c>
      <c r="D12" s="20"/>
      <c r="E12" s="20"/>
      <c r="F12" s="21"/>
      <c r="G12" s="22" t="s">
        <v>59</v>
      </c>
      <c r="H12" s="23">
        <v>100</v>
      </c>
      <c r="I12" s="23"/>
      <c r="J12" s="23"/>
      <c r="K12" s="23"/>
      <c r="L12" s="24"/>
      <c r="M12" s="25">
        <f t="shared" si="0"/>
        <v>100</v>
      </c>
      <c r="N12" s="25">
        <f t="shared" si="1"/>
        <v>0</v>
      </c>
      <c r="O12" s="25">
        <f t="shared" si="2"/>
        <v>0</v>
      </c>
      <c r="P12" s="25"/>
      <c r="Q12" s="26"/>
      <c r="R12" s="26"/>
      <c r="S12" s="26"/>
      <c r="T12" s="27"/>
      <c r="U12" s="27"/>
      <c r="V12" s="27"/>
      <c r="W12" s="27"/>
      <c r="X12" s="27"/>
      <c r="Y12" s="26"/>
      <c r="Z12" s="26"/>
      <c r="AA12" s="26">
        <v>100</v>
      </c>
      <c r="AB12" s="26"/>
      <c r="AC12" s="27"/>
      <c r="AD12" s="27"/>
      <c r="AE12" s="26"/>
      <c r="AF12" s="26"/>
      <c r="AG12" s="25">
        <f t="shared" si="3"/>
        <v>-100</v>
      </c>
      <c r="AH12" s="28">
        <f t="shared" si="4"/>
        <v>0</v>
      </c>
    </row>
    <row r="13" spans="1:34" s="29" customFormat="1" ht="21.75" customHeight="1" x14ac:dyDescent="0.2">
      <c r="A13" s="18">
        <v>43469</v>
      </c>
      <c r="B13" s="19"/>
      <c r="C13" s="20" t="s">
        <v>60</v>
      </c>
      <c r="D13" s="20"/>
      <c r="E13" s="20"/>
      <c r="F13" s="21"/>
      <c r="G13" s="22" t="s">
        <v>61</v>
      </c>
      <c r="H13" s="23"/>
      <c r="I13" s="23"/>
      <c r="J13" s="23">
        <v>1150</v>
      </c>
      <c r="K13" s="23"/>
      <c r="L13" s="24"/>
      <c r="M13" s="25">
        <f t="shared" si="0"/>
        <v>1150</v>
      </c>
      <c r="N13" s="25">
        <f t="shared" si="1"/>
        <v>0</v>
      </c>
      <c r="O13" s="25">
        <f t="shared" si="2"/>
        <v>0</v>
      </c>
      <c r="P13" s="25">
        <v>1150</v>
      </c>
      <c r="Q13" s="26"/>
      <c r="R13" s="26"/>
      <c r="S13" s="26"/>
      <c r="T13" s="27"/>
      <c r="U13" s="27"/>
      <c r="V13" s="27"/>
      <c r="W13" s="27"/>
      <c r="X13" s="27"/>
      <c r="Y13" s="26"/>
      <c r="Z13" s="26"/>
      <c r="AA13" s="26"/>
      <c r="AB13" s="26"/>
      <c r="AC13" s="27"/>
      <c r="AD13" s="27"/>
      <c r="AE13" s="26"/>
      <c r="AF13" s="26"/>
      <c r="AG13" s="25">
        <f t="shared" si="3"/>
        <v>-1150</v>
      </c>
      <c r="AH13" s="28">
        <f t="shared" si="4"/>
        <v>0</v>
      </c>
    </row>
    <row r="14" spans="1:34" s="29" customFormat="1" ht="21.75" customHeight="1" x14ac:dyDescent="0.2">
      <c r="A14" s="18">
        <v>43469</v>
      </c>
      <c r="B14" s="19"/>
      <c r="C14" s="20" t="s">
        <v>41</v>
      </c>
      <c r="D14" s="20" t="s">
        <v>42</v>
      </c>
      <c r="E14" s="20" t="s">
        <v>43</v>
      </c>
      <c r="F14" s="21">
        <v>111202</v>
      </c>
      <c r="G14" s="22" t="s">
        <v>44</v>
      </c>
      <c r="H14" s="23"/>
      <c r="I14" s="23"/>
      <c r="J14" s="23"/>
      <c r="K14" s="23">
        <v>180</v>
      </c>
      <c r="L14" s="24"/>
      <c r="M14" s="25">
        <f t="shared" si="0"/>
        <v>160.71428571428569</v>
      </c>
      <c r="N14" s="25">
        <f t="shared" si="1"/>
        <v>19.285714285714281</v>
      </c>
      <c r="O14" s="25">
        <f t="shared" si="2"/>
        <v>0</v>
      </c>
      <c r="P14" s="25"/>
      <c r="Q14" s="26">
        <v>160.71</v>
      </c>
      <c r="R14" s="26"/>
      <c r="S14" s="26"/>
      <c r="T14" s="27"/>
      <c r="U14" s="27"/>
      <c r="V14" s="27"/>
      <c r="W14" s="27"/>
      <c r="X14" s="27"/>
      <c r="Y14" s="26"/>
      <c r="Z14" s="26"/>
      <c r="AA14" s="26"/>
      <c r="AB14" s="26"/>
      <c r="AC14" s="27"/>
      <c r="AD14" s="27"/>
      <c r="AE14" s="26"/>
      <c r="AF14" s="26"/>
      <c r="AG14" s="25">
        <f t="shared" si="3"/>
        <v>-179.99571428571429</v>
      </c>
      <c r="AH14" s="28">
        <f t="shared" si="4"/>
        <v>4.2857142857144481E-3</v>
      </c>
    </row>
    <row r="15" spans="1:34" s="29" customFormat="1" ht="21.75" customHeight="1" x14ac:dyDescent="0.2">
      <c r="A15" s="18">
        <v>43469</v>
      </c>
      <c r="B15" s="19"/>
      <c r="C15" s="20" t="s">
        <v>62</v>
      </c>
      <c r="D15" s="20"/>
      <c r="E15" s="20"/>
      <c r="F15" s="21"/>
      <c r="G15" s="22" t="s">
        <v>63</v>
      </c>
      <c r="H15" s="23">
        <v>60</v>
      </c>
      <c r="I15" s="23"/>
      <c r="J15" s="23"/>
      <c r="K15" s="23"/>
      <c r="L15" s="24"/>
      <c r="M15" s="25">
        <f t="shared" si="0"/>
        <v>60</v>
      </c>
      <c r="N15" s="25">
        <f t="shared" si="1"/>
        <v>0</v>
      </c>
      <c r="O15" s="25">
        <f t="shared" si="2"/>
        <v>0</v>
      </c>
      <c r="P15" s="25"/>
      <c r="Q15" s="26"/>
      <c r="R15" s="26"/>
      <c r="S15" s="26"/>
      <c r="T15" s="27"/>
      <c r="U15" s="27"/>
      <c r="V15" s="27"/>
      <c r="W15" s="27"/>
      <c r="X15" s="27"/>
      <c r="Y15" s="26"/>
      <c r="Z15" s="26"/>
      <c r="AA15" s="26">
        <v>60</v>
      </c>
      <c r="AB15" s="26"/>
      <c r="AC15" s="27"/>
      <c r="AD15" s="27"/>
      <c r="AE15" s="26"/>
      <c r="AF15" s="26"/>
      <c r="AG15" s="25">
        <f t="shared" si="3"/>
        <v>-60</v>
      </c>
      <c r="AH15" s="28">
        <f t="shared" si="4"/>
        <v>0</v>
      </c>
    </row>
    <row r="16" spans="1:34" s="29" customFormat="1" ht="21.75" customHeight="1" x14ac:dyDescent="0.2">
      <c r="A16" s="18">
        <v>43469</v>
      </c>
      <c r="B16" s="19"/>
      <c r="C16" s="20" t="s">
        <v>37</v>
      </c>
      <c r="D16" s="20" t="s">
        <v>38</v>
      </c>
      <c r="E16" s="20" t="s">
        <v>39</v>
      </c>
      <c r="F16" s="21">
        <v>33573</v>
      </c>
      <c r="G16" s="22" t="s">
        <v>64</v>
      </c>
      <c r="H16" s="23"/>
      <c r="I16" s="23"/>
      <c r="J16" s="23"/>
      <c r="K16" s="23">
        <v>532.89</v>
      </c>
      <c r="L16" s="24"/>
      <c r="M16" s="25">
        <f t="shared" si="0"/>
        <v>475.79464285714278</v>
      </c>
      <c r="N16" s="25">
        <f t="shared" si="1"/>
        <v>57.095357142857132</v>
      </c>
      <c r="O16" s="25">
        <f t="shared" si="2"/>
        <v>0</v>
      </c>
      <c r="P16" s="25">
        <v>475.79</v>
      </c>
      <c r="Q16" s="26"/>
      <c r="R16" s="26"/>
      <c r="S16" s="26"/>
      <c r="T16" s="27"/>
      <c r="U16" s="27"/>
      <c r="V16" s="27"/>
      <c r="W16" s="27"/>
      <c r="X16" s="27"/>
      <c r="Y16" s="26"/>
      <c r="Z16" s="26"/>
      <c r="AA16" s="26"/>
      <c r="AB16" s="26"/>
      <c r="AC16" s="27"/>
      <c r="AD16" s="27"/>
      <c r="AE16" s="26"/>
      <c r="AF16" s="26"/>
      <c r="AG16" s="25">
        <f t="shared" si="3"/>
        <v>-532.88535714285717</v>
      </c>
      <c r="AH16" s="28">
        <f t="shared" si="4"/>
        <v>4.6428571428123178E-3</v>
      </c>
    </row>
    <row r="17" spans="1:36" s="29" customFormat="1" ht="21.75" customHeight="1" x14ac:dyDescent="0.2">
      <c r="A17" s="18">
        <v>43469</v>
      </c>
      <c r="B17" s="19"/>
      <c r="C17" s="20" t="s">
        <v>65</v>
      </c>
      <c r="D17" s="20" t="s">
        <v>66</v>
      </c>
      <c r="E17" s="20" t="s">
        <v>67</v>
      </c>
      <c r="F17" s="21">
        <v>2023</v>
      </c>
      <c r="G17" s="22" t="s">
        <v>68</v>
      </c>
      <c r="H17" s="23"/>
      <c r="I17" s="23"/>
      <c r="J17" s="23"/>
      <c r="K17" s="23">
        <v>1320</v>
      </c>
      <c r="L17" s="24">
        <v>0.01</v>
      </c>
      <c r="M17" s="25">
        <f t="shared" si="0"/>
        <v>1178.5714285714284</v>
      </c>
      <c r="N17" s="25">
        <f t="shared" si="1"/>
        <v>141.42857142857142</v>
      </c>
      <c r="O17" s="25">
        <f t="shared" si="2"/>
        <v>-11.785714285714285</v>
      </c>
      <c r="P17" s="25">
        <v>1178.57</v>
      </c>
      <c r="Q17" s="26"/>
      <c r="R17" s="26"/>
      <c r="S17" s="26"/>
      <c r="T17" s="27"/>
      <c r="U17" s="27"/>
      <c r="V17" s="27"/>
      <c r="W17" s="27"/>
      <c r="X17" s="27"/>
      <c r="Y17" s="26"/>
      <c r="Z17" s="26"/>
      <c r="AA17" s="26"/>
      <c r="AB17" s="26"/>
      <c r="AC17" s="27"/>
      <c r="AD17" s="27"/>
      <c r="AE17" s="26"/>
      <c r="AF17" s="26"/>
      <c r="AG17" s="25">
        <f t="shared" si="3"/>
        <v>-1308.212857142857</v>
      </c>
      <c r="AH17" s="28">
        <f t="shared" si="4"/>
        <v>1.4285714286685902E-3</v>
      </c>
    </row>
    <row r="18" spans="1:36" s="29" customFormat="1" ht="21.75" customHeight="1" x14ac:dyDescent="0.2">
      <c r="A18" s="18">
        <v>43470</v>
      </c>
      <c r="B18" s="19"/>
      <c r="C18" s="20" t="s">
        <v>41</v>
      </c>
      <c r="D18" s="20" t="s">
        <v>42</v>
      </c>
      <c r="E18" s="20" t="s">
        <v>43</v>
      </c>
      <c r="F18" s="21">
        <v>113867</v>
      </c>
      <c r="G18" s="22" t="s">
        <v>44</v>
      </c>
      <c r="H18" s="23"/>
      <c r="I18" s="23"/>
      <c r="J18" s="23"/>
      <c r="K18" s="23">
        <v>90</v>
      </c>
      <c r="L18" s="24"/>
      <c r="M18" s="25">
        <f t="shared" si="0"/>
        <v>80.357142857142847</v>
      </c>
      <c r="N18" s="25">
        <f t="shared" si="1"/>
        <v>9.6428571428571406</v>
      </c>
      <c r="O18" s="25">
        <f t="shared" si="2"/>
        <v>0</v>
      </c>
      <c r="P18" s="25"/>
      <c r="Q18" s="26">
        <v>80.36</v>
      </c>
      <c r="R18" s="26"/>
      <c r="S18" s="26"/>
      <c r="T18" s="27"/>
      <c r="U18" s="27"/>
      <c r="V18" s="27"/>
      <c r="W18" s="27"/>
      <c r="X18" s="27"/>
      <c r="Y18" s="26"/>
      <c r="Z18" s="26"/>
      <c r="AA18" s="26"/>
      <c r="AB18" s="26"/>
      <c r="AC18" s="27"/>
      <c r="AD18" s="27"/>
      <c r="AE18" s="26"/>
      <c r="AF18" s="26"/>
      <c r="AG18" s="25">
        <f t="shared" si="3"/>
        <v>-90.002857142857138</v>
      </c>
      <c r="AH18" s="28">
        <f t="shared" si="4"/>
        <v>-2.8571428571382285E-3</v>
      </c>
    </row>
    <row r="19" spans="1:36" s="29" customFormat="1" ht="21.75" customHeight="1" x14ac:dyDescent="0.2">
      <c r="A19" s="18">
        <v>43470</v>
      </c>
      <c r="B19" s="19"/>
      <c r="C19" s="20" t="s">
        <v>45</v>
      </c>
      <c r="D19" s="20" t="s">
        <v>46</v>
      </c>
      <c r="E19" s="20" t="s">
        <v>47</v>
      </c>
      <c r="F19" s="21">
        <v>167302</v>
      </c>
      <c r="G19" s="22" t="s">
        <v>69</v>
      </c>
      <c r="H19" s="23"/>
      <c r="I19" s="23"/>
      <c r="J19" s="23">
        <v>143.75</v>
      </c>
      <c r="K19" s="23"/>
      <c r="L19" s="24"/>
      <c r="M19" s="25">
        <f t="shared" si="0"/>
        <v>143.75</v>
      </c>
      <c r="N19" s="25">
        <f t="shared" si="1"/>
        <v>0</v>
      </c>
      <c r="O19" s="25">
        <f t="shared" si="2"/>
        <v>0</v>
      </c>
      <c r="P19" s="25">
        <v>143.75</v>
      </c>
      <c r="Q19" s="26"/>
      <c r="R19" s="26"/>
      <c r="S19" s="26"/>
      <c r="T19" s="27"/>
      <c r="U19" s="27"/>
      <c r="V19" s="27"/>
      <c r="W19" s="27"/>
      <c r="X19" s="27"/>
      <c r="Y19" s="26"/>
      <c r="Z19" s="26"/>
      <c r="AA19" s="26"/>
      <c r="AB19" s="26"/>
      <c r="AC19" s="27"/>
      <c r="AD19" s="27"/>
      <c r="AE19" s="26"/>
      <c r="AF19" s="26"/>
      <c r="AG19" s="25">
        <f t="shared" si="3"/>
        <v>-143.75</v>
      </c>
      <c r="AH19" s="28">
        <f t="shared" si="4"/>
        <v>0</v>
      </c>
    </row>
    <row r="20" spans="1:36" s="29" customFormat="1" ht="21.75" customHeight="1" x14ac:dyDescent="0.2">
      <c r="A20" s="18">
        <v>43470</v>
      </c>
      <c r="B20" s="19"/>
      <c r="C20" s="20" t="s">
        <v>45</v>
      </c>
      <c r="D20" s="20" t="s">
        <v>46</v>
      </c>
      <c r="E20" s="20" t="s">
        <v>47</v>
      </c>
      <c r="F20" s="21">
        <v>167302</v>
      </c>
      <c r="G20" s="22" t="s">
        <v>70</v>
      </c>
      <c r="H20" s="23"/>
      <c r="I20" s="23"/>
      <c r="J20" s="23"/>
      <c r="K20" s="23">
        <f>472.01+56.64</f>
        <v>528.65</v>
      </c>
      <c r="L20" s="24"/>
      <c r="M20" s="25">
        <f t="shared" si="0"/>
        <v>472.0089285714285</v>
      </c>
      <c r="N20" s="25">
        <f t="shared" si="1"/>
        <v>56.641071428571415</v>
      </c>
      <c r="O20" s="25">
        <f t="shared" si="2"/>
        <v>0</v>
      </c>
      <c r="P20" s="25">
        <v>472.01</v>
      </c>
      <c r="Q20" s="26"/>
      <c r="R20" s="26"/>
      <c r="S20" s="26"/>
      <c r="T20" s="27"/>
      <c r="U20" s="27"/>
      <c r="V20" s="27"/>
      <c r="W20" s="27"/>
      <c r="X20" s="27"/>
      <c r="Y20" s="26"/>
      <c r="Z20" s="26"/>
      <c r="AA20" s="26"/>
      <c r="AB20" s="26"/>
      <c r="AC20" s="27"/>
      <c r="AD20" s="27"/>
      <c r="AE20" s="26"/>
      <c r="AF20" s="26"/>
      <c r="AG20" s="25">
        <f t="shared" si="3"/>
        <v>-528.65107142857141</v>
      </c>
      <c r="AH20" s="28">
        <f t="shared" si="4"/>
        <v>-1.0714285714357175E-3</v>
      </c>
    </row>
    <row r="21" spans="1:36" s="29" customFormat="1" ht="21.75" customHeight="1" x14ac:dyDescent="0.2">
      <c r="A21" s="18">
        <v>43470</v>
      </c>
      <c r="B21" s="19"/>
      <c r="C21" s="20" t="s">
        <v>37</v>
      </c>
      <c r="D21" s="20" t="s">
        <v>38</v>
      </c>
      <c r="E21" s="20" t="s">
        <v>39</v>
      </c>
      <c r="F21" s="21">
        <v>1033652</v>
      </c>
      <c r="G21" s="22" t="s">
        <v>71</v>
      </c>
      <c r="H21" s="23"/>
      <c r="I21" s="23"/>
      <c r="J21" s="23"/>
      <c r="K21" s="23">
        <v>74.66</v>
      </c>
      <c r="L21" s="24"/>
      <c r="M21" s="25">
        <f t="shared" si="0"/>
        <v>66.660714285714278</v>
      </c>
      <c r="N21" s="25">
        <f t="shared" si="1"/>
        <v>7.9992857142857128</v>
      </c>
      <c r="O21" s="25">
        <f t="shared" si="2"/>
        <v>0</v>
      </c>
      <c r="P21" s="25">
        <v>66.66</v>
      </c>
      <c r="Q21" s="26"/>
      <c r="R21" s="26"/>
      <c r="S21" s="26"/>
      <c r="T21" s="27"/>
      <c r="U21" s="27"/>
      <c r="V21" s="27"/>
      <c r="W21" s="27"/>
      <c r="X21" s="27"/>
      <c r="Y21" s="26"/>
      <c r="Z21" s="26"/>
      <c r="AA21" s="26"/>
      <c r="AB21" s="26"/>
      <c r="AC21" s="27"/>
      <c r="AD21" s="27"/>
      <c r="AE21" s="26"/>
      <c r="AF21" s="26"/>
      <c r="AG21" s="25">
        <f t="shared" si="3"/>
        <v>-74.659285714285716</v>
      </c>
      <c r="AH21" s="28">
        <f t="shared" si="4"/>
        <v>7.142857142810044E-4</v>
      </c>
    </row>
    <row r="22" spans="1:36" s="29" customFormat="1" ht="21.75" customHeight="1" x14ac:dyDescent="0.2">
      <c r="A22" s="18">
        <v>43472</v>
      </c>
      <c r="B22" s="19"/>
      <c r="C22" s="20" t="s">
        <v>41</v>
      </c>
      <c r="D22" s="20" t="s">
        <v>42</v>
      </c>
      <c r="E22" s="20" t="s">
        <v>43</v>
      </c>
      <c r="F22" s="21">
        <v>111286</v>
      </c>
      <c r="G22" s="22" t="s">
        <v>44</v>
      </c>
      <c r="H22" s="23"/>
      <c r="I22" s="23"/>
      <c r="J22" s="23"/>
      <c r="K22" s="23">
        <v>180</v>
      </c>
      <c r="L22" s="24"/>
      <c r="M22" s="25">
        <f t="shared" si="0"/>
        <v>160.71428571428569</v>
      </c>
      <c r="N22" s="25">
        <f t="shared" si="1"/>
        <v>19.285714285714281</v>
      </c>
      <c r="O22" s="25">
        <f t="shared" si="2"/>
        <v>0</v>
      </c>
      <c r="P22" s="25">
        <v>160.71</v>
      </c>
      <c r="Q22" s="26"/>
      <c r="R22" s="26"/>
      <c r="S22" s="26"/>
      <c r="T22" s="27"/>
      <c r="U22" s="27"/>
      <c r="V22" s="27"/>
      <c r="W22" s="27"/>
      <c r="X22" s="27"/>
      <c r="Y22" s="26"/>
      <c r="Z22" s="26"/>
      <c r="AA22" s="26"/>
      <c r="AB22" s="26"/>
      <c r="AC22" s="27"/>
      <c r="AD22" s="27"/>
      <c r="AE22" s="26"/>
      <c r="AF22" s="26"/>
      <c r="AG22" s="25">
        <f t="shared" si="3"/>
        <v>-179.99571428571429</v>
      </c>
      <c r="AH22" s="28">
        <f t="shared" si="4"/>
        <v>4.2857142857144481E-3</v>
      </c>
    </row>
    <row r="23" spans="1:36" s="29" customFormat="1" ht="21.75" customHeight="1" x14ac:dyDescent="0.2">
      <c r="A23" s="18">
        <v>43472</v>
      </c>
      <c r="B23" s="19"/>
      <c r="C23" s="20" t="s">
        <v>45</v>
      </c>
      <c r="D23" s="20" t="s">
        <v>46</v>
      </c>
      <c r="E23" s="20" t="s">
        <v>47</v>
      </c>
      <c r="F23" s="21">
        <v>142794</v>
      </c>
      <c r="G23" s="22" t="s">
        <v>72</v>
      </c>
      <c r="H23" s="23"/>
      <c r="I23" s="23"/>
      <c r="J23" s="23"/>
      <c r="K23" s="23">
        <f>1591.79+191.01</f>
        <v>1782.8</v>
      </c>
      <c r="L23" s="24"/>
      <c r="M23" s="25">
        <f t="shared" si="0"/>
        <v>1591.785714285714</v>
      </c>
      <c r="N23" s="25">
        <f t="shared" si="1"/>
        <v>191.01428571428568</v>
      </c>
      <c r="O23" s="25">
        <f t="shared" si="2"/>
        <v>0</v>
      </c>
      <c r="P23" s="25">
        <v>1591.79</v>
      </c>
      <c r="Q23" s="26"/>
      <c r="R23" s="26"/>
      <c r="S23" s="26"/>
      <c r="T23" s="27"/>
      <c r="U23" s="27"/>
      <c r="V23" s="27"/>
      <c r="W23" s="27"/>
      <c r="X23" s="27"/>
      <c r="Y23" s="26"/>
      <c r="Z23" s="26"/>
      <c r="AA23" s="26"/>
      <c r="AB23" s="26"/>
      <c r="AC23" s="27"/>
      <c r="AD23" s="27"/>
      <c r="AE23" s="26"/>
      <c r="AF23" s="26"/>
      <c r="AG23" s="25">
        <f t="shared" si="3"/>
        <v>-1782.8042857142857</v>
      </c>
      <c r="AH23" s="28">
        <f t="shared" si="4"/>
        <v>-4.2857142857428698E-3</v>
      </c>
    </row>
    <row r="24" spans="1:36" s="29" customFormat="1" ht="21.75" customHeight="1" x14ac:dyDescent="0.2">
      <c r="A24" s="18">
        <v>43472</v>
      </c>
      <c r="B24" s="19"/>
      <c r="C24" s="20" t="s">
        <v>45</v>
      </c>
      <c r="D24" s="20" t="s">
        <v>46</v>
      </c>
      <c r="E24" s="20" t="s">
        <v>47</v>
      </c>
      <c r="F24" s="21">
        <v>142794</v>
      </c>
      <c r="G24" s="22" t="s">
        <v>73</v>
      </c>
      <c r="H24" s="23"/>
      <c r="I24" s="23"/>
      <c r="J24" s="23">
        <v>176.1</v>
      </c>
      <c r="K24" s="23"/>
      <c r="L24" s="24"/>
      <c r="M24" s="25">
        <f t="shared" si="0"/>
        <v>176.1</v>
      </c>
      <c r="N24" s="25">
        <f t="shared" si="1"/>
        <v>0</v>
      </c>
      <c r="O24" s="25">
        <f t="shared" si="2"/>
        <v>0</v>
      </c>
      <c r="P24" s="25">
        <v>176.1</v>
      </c>
      <c r="Q24" s="26"/>
      <c r="R24" s="26"/>
      <c r="S24" s="26"/>
      <c r="T24" s="27"/>
      <c r="U24" s="27"/>
      <c r="V24" s="27"/>
      <c r="W24" s="27"/>
      <c r="X24" s="27"/>
      <c r="Y24" s="26"/>
      <c r="Z24" s="26"/>
      <c r="AA24" s="26"/>
      <c r="AB24" s="26"/>
      <c r="AC24" s="27"/>
      <c r="AD24" s="27"/>
      <c r="AE24" s="26"/>
      <c r="AF24" s="26"/>
      <c r="AG24" s="25">
        <f t="shared" si="3"/>
        <v>-176.1</v>
      </c>
      <c r="AH24" s="28">
        <f t="shared" si="4"/>
        <v>0</v>
      </c>
    </row>
    <row r="25" spans="1:36" s="29" customFormat="1" ht="21.75" customHeight="1" x14ac:dyDescent="0.2">
      <c r="A25" s="18">
        <v>43473</v>
      </c>
      <c r="B25" s="19"/>
      <c r="C25" s="20" t="s">
        <v>74</v>
      </c>
      <c r="D25" s="20"/>
      <c r="E25" s="20"/>
      <c r="F25" s="21"/>
      <c r="G25" s="22" t="s">
        <v>75</v>
      </c>
      <c r="H25" s="23"/>
      <c r="I25" s="23"/>
      <c r="J25" s="23">
        <v>1123</v>
      </c>
      <c r="K25" s="23"/>
      <c r="L25" s="24"/>
      <c r="M25" s="25">
        <f t="shared" si="0"/>
        <v>1123</v>
      </c>
      <c r="N25" s="25">
        <f t="shared" si="1"/>
        <v>0</v>
      </c>
      <c r="O25" s="25">
        <f t="shared" si="2"/>
        <v>0</v>
      </c>
      <c r="P25" s="25">
        <v>1123</v>
      </c>
      <c r="Q25" s="26"/>
      <c r="R25" s="26"/>
      <c r="S25" s="26"/>
      <c r="T25" s="27"/>
      <c r="U25" s="27"/>
      <c r="V25" s="27"/>
      <c r="W25" s="27"/>
      <c r="X25" s="27"/>
      <c r="Y25" s="26"/>
      <c r="Z25" s="26"/>
      <c r="AA25" s="26"/>
      <c r="AB25" s="26"/>
      <c r="AC25" s="27"/>
      <c r="AD25" s="27"/>
      <c r="AE25" s="26"/>
      <c r="AF25" s="26"/>
      <c r="AG25" s="25">
        <f t="shared" si="3"/>
        <v>-1123</v>
      </c>
      <c r="AH25" s="28">
        <f t="shared" si="4"/>
        <v>0</v>
      </c>
    </row>
    <row r="26" spans="1:36" s="29" customFormat="1" ht="21.75" customHeight="1" x14ac:dyDescent="0.2">
      <c r="A26" s="18">
        <v>43473</v>
      </c>
      <c r="B26" s="19"/>
      <c r="C26" s="20" t="s">
        <v>58</v>
      </c>
      <c r="D26" s="20"/>
      <c r="E26" s="20"/>
      <c r="F26" s="21"/>
      <c r="G26" s="22" t="s">
        <v>76</v>
      </c>
      <c r="H26" s="23">
        <v>50</v>
      </c>
      <c r="I26" s="23"/>
      <c r="J26" s="23"/>
      <c r="K26" s="23"/>
      <c r="L26" s="24"/>
      <c r="M26" s="25">
        <f t="shared" si="0"/>
        <v>50</v>
      </c>
      <c r="N26" s="25">
        <f t="shared" si="1"/>
        <v>0</v>
      </c>
      <c r="O26" s="25">
        <f t="shared" si="2"/>
        <v>0</v>
      </c>
      <c r="P26" s="25"/>
      <c r="Q26" s="26"/>
      <c r="R26" s="26"/>
      <c r="S26" s="26"/>
      <c r="T26" s="27"/>
      <c r="U26" s="27"/>
      <c r="V26" s="27"/>
      <c r="W26" s="27"/>
      <c r="X26" s="27"/>
      <c r="Y26" s="26"/>
      <c r="Z26" s="26"/>
      <c r="AA26" s="26">
        <v>50</v>
      </c>
      <c r="AB26" s="26"/>
      <c r="AC26" s="27"/>
      <c r="AD26" s="27"/>
      <c r="AE26" s="26"/>
      <c r="AF26" s="26"/>
      <c r="AG26" s="25">
        <f t="shared" si="3"/>
        <v>-50</v>
      </c>
      <c r="AH26" s="28">
        <f t="shared" si="4"/>
        <v>0</v>
      </c>
    </row>
    <row r="27" spans="1:36" s="29" customFormat="1" ht="21.75" customHeight="1" x14ac:dyDescent="0.2">
      <c r="A27" s="18">
        <v>43473</v>
      </c>
      <c r="B27" s="19"/>
      <c r="C27" s="20" t="s">
        <v>41</v>
      </c>
      <c r="D27" s="20" t="s">
        <v>42</v>
      </c>
      <c r="E27" s="20" t="s">
        <v>43</v>
      </c>
      <c r="F27" s="21">
        <v>123531</v>
      </c>
      <c r="G27" s="22" t="s">
        <v>44</v>
      </c>
      <c r="H27" s="23"/>
      <c r="I27" s="23"/>
      <c r="J27" s="23"/>
      <c r="K27" s="23">
        <v>180</v>
      </c>
      <c r="L27" s="24"/>
      <c r="M27" s="25">
        <f t="shared" si="0"/>
        <v>160.71428571428569</v>
      </c>
      <c r="N27" s="25">
        <f t="shared" si="1"/>
        <v>19.285714285714281</v>
      </c>
      <c r="O27" s="25">
        <f t="shared" si="2"/>
        <v>0</v>
      </c>
      <c r="P27" s="25"/>
      <c r="Q27" s="26">
        <v>160.71</v>
      </c>
      <c r="R27" s="26"/>
      <c r="S27" s="26"/>
      <c r="T27" s="27"/>
      <c r="U27" s="27"/>
      <c r="V27" s="27"/>
      <c r="W27" s="27"/>
      <c r="X27" s="27"/>
      <c r="Y27" s="26"/>
      <c r="Z27" s="26"/>
      <c r="AA27" s="26"/>
      <c r="AB27" s="26"/>
      <c r="AC27" s="27"/>
      <c r="AD27" s="27"/>
      <c r="AE27" s="26"/>
      <c r="AF27" s="26"/>
      <c r="AG27" s="25">
        <f t="shared" si="3"/>
        <v>-179.99571428571429</v>
      </c>
      <c r="AH27" s="28">
        <f t="shared" si="4"/>
        <v>4.2857142857144481E-3</v>
      </c>
    </row>
    <row r="28" spans="1:36" s="29" customFormat="1" ht="21.75" customHeight="1" x14ac:dyDescent="0.2">
      <c r="A28" s="18">
        <v>43474</v>
      </c>
      <c r="B28" s="19"/>
      <c r="C28" s="20" t="s">
        <v>45</v>
      </c>
      <c r="D28" s="20" t="s">
        <v>46</v>
      </c>
      <c r="E28" s="20" t="s">
        <v>47</v>
      </c>
      <c r="F28" s="21">
        <v>125974</v>
      </c>
      <c r="G28" s="22" t="s">
        <v>77</v>
      </c>
      <c r="H28" s="23"/>
      <c r="I28" s="23"/>
      <c r="J28" s="23"/>
      <c r="K28" s="23">
        <f>858.21+102.99</f>
        <v>961.2</v>
      </c>
      <c r="L28" s="24"/>
      <c r="M28" s="25">
        <f t="shared" si="0"/>
        <v>858.21428571428567</v>
      </c>
      <c r="N28" s="25">
        <f t="shared" si="1"/>
        <v>102.98571428571428</v>
      </c>
      <c r="O28" s="25">
        <f t="shared" si="2"/>
        <v>0</v>
      </c>
      <c r="P28" s="25">
        <v>858.21</v>
      </c>
      <c r="Q28" s="26"/>
      <c r="R28" s="26"/>
      <c r="S28" s="26"/>
      <c r="T28" s="27"/>
      <c r="U28" s="27"/>
      <c r="V28" s="27"/>
      <c r="W28" s="27"/>
      <c r="X28" s="27"/>
      <c r="Y28" s="26"/>
      <c r="Z28" s="26"/>
      <c r="AA28" s="26"/>
      <c r="AB28" s="26"/>
      <c r="AC28" s="27"/>
      <c r="AD28" s="27"/>
      <c r="AE28" s="26"/>
      <c r="AF28" s="26"/>
      <c r="AG28" s="25">
        <f t="shared" si="3"/>
        <v>-961.1957142857143</v>
      </c>
      <c r="AH28" s="28">
        <f t="shared" si="4"/>
        <v>4.2857142857428698E-3</v>
      </c>
    </row>
    <row r="29" spans="1:36" s="29" customFormat="1" ht="21.75" customHeight="1" x14ac:dyDescent="0.2">
      <c r="A29" s="18">
        <v>43474</v>
      </c>
      <c r="B29" s="19"/>
      <c r="C29" s="20" t="s">
        <v>45</v>
      </c>
      <c r="D29" s="20" t="s">
        <v>46</v>
      </c>
      <c r="E29" s="20" t="s">
        <v>47</v>
      </c>
      <c r="F29" s="21">
        <v>125974</v>
      </c>
      <c r="G29" s="22" t="s">
        <v>78</v>
      </c>
      <c r="H29" s="23"/>
      <c r="I29" s="23"/>
      <c r="J29" s="23">
        <v>399.9</v>
      </c>
      <c r="K29" s="23"/>
      <c r="L29" s="24"/>
      <c r="M29" s="25">
        <f t="shared" si="0"/>
        <v>399.9</v>
      </c>
      <c r="N29" s="25">
        <f t="shared" si="1"/>
        <v>0</v>
      </c>
      <c r="O29" s="25">
        <f t="shared" si="2"/>
        <v>0</v>
      </c>
      <c r="P29" s="25">
        <v>399.9</v>
      </c>
      <c r="Q29" s="26"/>
      <c r="R29" s="26"/>
      <c r="S29" s="26"/>
      <c r="T29" s="27"/>
      <c r="U29" s="27"/>
      <c r="V29" s="27"/>
      <c r="W29" s="27"/>
      <c r="X29" s="27"/>
      <c r="Y29" s="26"/>
      <c r="Z29" s="26"/>
      <c r="AA29" s="26"/>
      <c r="AB29" s="26"/>
      <c r="AC29" s="27"/>
      <c r="AD29" s="27"/>
      <c r="AE29" s="26"/>
      <c r="AF29" s="26"/>
      <c r="AG29" s="25">
        <f t="shared" si="3"/>
        <v>-399.9</v>
      </c>
      <c r="AH29" s="28">
        <f t="shared" si="4"/>
        <v>0</v>
      </c>
    </row>
    <row r="30" spans="1:36" s="29" customFormat="1" ht="21.75" customHeight="1" x14ac:dyDescent="0.2">
      <c r="A30" s="18">
        <v>43474</v>
      </c>
      <c r="B30" s="19"/>
      <c r="C30" s="20" t="s">
        <v>41</v>
      </c>
      <c r="D30" s="20" t="s">
        <v>42</v>
      </c>
      <c r="E30" s="20" t="s">
        <v>43</v>
      </c>
      <c r="F30" s="21">
        <v>111327</v>
      </c>
      <c r="G30" s="22" t="s">
        <v>44</v>
      </c>
      <c r="H30" s="23"/>
      <c r="I30" s="23"/>
      <c r="J30" s="23"/>
      <c r="K30" s="23">
        <v>180</v>
      </c>
      <c r="L30" s="24"/>
      <c r="M30" s="25">
        <f t="shared" si="0"/>
        <v>160.71428571428569</v>
      </c>
      <c r="N30" s="25">
        <f t="shared" si="1"/>
        <v>19.285714285714281</v>
      </c>
      <c r="O30" s="25">
        <f t="shared" si="2"/>
        <v>0</v>
      </c>
      <c r="P30" s="25"/>
      <c r="Q30" s="26">
        <v>160.71</v>
      </c>
      <c r="R30" s="26"/>
      <c r="S30" s="26"/>
      <c r="T30" s="27"/>
      <c r="U30" s="27"/>
      <c r="V30" s="27"/>
      <c r="W30" s="27"/>
      <c r="X30" s="27"/>
      <c r="Y30" s="26"/>
      <c r="Z30" s="26"/>
      <c r="AA30" s="26"/>
      <c r="AB30" s="26"/>
      <c r="AC30" s="27"/>
      <c r="AD30" s="27"/>
      <c r="AE30" s="26"/>
      <c r="AF30" s="26"/>
      <c r="AG30" s="25">
        <f t="shared" si="3"/>
        <v>-179.99571428571429</v>
      </c>
      <c r="AH30" s="28">
        <f t="shared" si="4"/>
        <v>4.2857142857144481E-3</v>
      </c>
    </row>
    <row r="31" spans="1:36" s="29" customFormat="1" ht="21.75" customHeight="1" x14ac:dyDescent="0.2">
      <c r="A31" s="18">
        <v>43474</v>
      </c>
      <c r="B31" s="19"/>
      <c r="C31" s="20" t="s">
        <v>37</v>
      </c>
      <c r="D31" s="20" t="s">
        <v>38</v>
      </c>
      <c r="E31" s="20" t="s">
        <v>39</v>
      </c>
      <c r="F31" s="21">
        <v>28772</v>
      </c>
      <c r="G31" s="22" t="s">
        <v>79</v>
      </c>
      <c r="H31" s="23"/>
      <c r="I31" s="23"/>
      <c r="J31" s="23"/>
      <c r="K31" s="23">
        <v>30</v>
      </c>
      <c r="L31" s="24"/>
      <c r="M31" s="25">
        <f t="shared" si="0"/>
        <v>26.785714285714285</v>
      </c>
      <c r="N31" s="25">
        <f t="shared" si="1"/>
        <v>3.214285714285714</v>
      </c>
      <c r="O31" s="25">
        <f t="shared" si="2"/>
        <v>0</v>
      </c>
      <c r="P31" s="25"/>
      <c r="Q31" s="26"/>
      <c r="R31" s="26"/>
      <c r="S31" s="26">
        <v>26.79</v>
      </c>
      <c r="T31" s="27"/>
      <c r="U31" s="27"/>
      <c r="V31" s="27"/>
      <c r="W31" s="27"/>
      <c r="X31" s="27"/>
      <c r="Y31" s="26"/>
      <c r="Z31" s="26"/>
      <c r="AA31" s="26"/>
      <c r="AB31" s="26"/>
      <c r="AC31" s="27"/>
      <c r="AD31" s="27"/>
      <c r="AE31" s="26"/>
      <c r="AF31" s="26"/>
      <c r="AG31" s="25">
        <f t="shared" si="3"/>
        <v>-30.004285714285714</v>
      </c>
      <c r="AH31" s="28">
        <f t="shared" si="4"/>
        <v>-4.2857142857144481E-3</v>
      </c>
    </row>
    <row r="32" spans="1:36" s="41" customFormat="1" ht="21.75" customHeight="1" x14ac:dyDescent="0.2">
      <c r="A32" s="30">
        <v>43475</v>
      </c>
      <c r="B32" s="31"/>
      <c r="C32" s="32" t="s">
        <v>41</v>
      </c>
      <c r="D32" s="32" t="s">
        <v>42</v>
      </c>
      <c r="E32" s="32" t="s">
        <v>43</v>
      </c>
      <c r="F32" s="33">
        <v>111372</v>
      </c>
      <c r="G32" s="34" t="s">
        <v>44</v>
      </c>
      <c r="H32" s="35"/>
      <c r="I32" s="35"/>
      <c r="J32" s="35"/>
      <c r="K32" s="35">
        <v>180</v>
      </c>
      <c r="L32" s="36"/>
      <c r="M32" s="37">
        <f t="shared" si="0"/>
        <v>160.71428571428569</v>
      </c>
      <c r="N32" s="37">
        <f t="shared" si="1"/>
        <v>19.285714285714281</v>
      </c>
      <c r="O32" s="37">
        <f t="shared" si="2"/>
        <v>0</v>
      </c>
      <c r="P32" s="37"/>
      <c r="Q32" s="38">
        <v>160.71</v>
      </c>
      <c r="R32" s="38"/>
      <c r="S32" s="38"/>
      <c r="T32" s="39"/>
      <c r="U32" s="39"/>
      <c r="V32" s="39"/>
      <c r="W32" s="39"/>
      <c r="X32" s="39"/>
      <c r="Y32" s="38"/>
      <c r="Z32" s="38"/>
      <c r="AA32" s="38"/>
      <c r="AB32" s="38"/>
      <c r="AC32" s="39"/>
      <c r="AD32" s="39"/>
      <c r="AE32" s="38"/>
      <c r="AF32" s="38"/>
      <c r="AG32" s="37">
        <f t="shared" si="3"/>
        <v>-179.99571428571429</v>
      </c>
      <c r="AH32" s="40">
        <f t="shared" si="4"/>
        <v>4.2857142857144481E-3</v>
      </c>
      <c r="AJ32" s="29"/>
    </row>
    <row r="33" spans="1:36" s="17" customFormat="1" ht="21.75" customHeight="1" x14ac:dyDescent="0.2">
      <c r="A33" s="18">
        <v>43475</v>
      </c>
      <c r="B33" s="12"/>
      <c r="C33" s="20" t="s">
        <v>80</v>
      </c>
      <c r="D33" s="20" t="s">
        <v>81</v>
      </c>
      <c r="E33" s="20" t="s">
        <v>82</v>
      </c>
      <c r="F33" s="21">
        <v>21845</v>
      </c>
      <c r="G33" s="22" t="s">
        <v>83</v>
      </c>
      <c r="H33" s="23"/>
      <c r="I33" s="23"/>
      <c r="J33" s="23"/>
      <c r="K33" s="23">
        <v>178.39</v>
      </c>
      <c r="L33" s="24"/>
      <c r="M33" s="25">
        <f t="shared" si="0"/>
        <v>159.27678571428569</v>
      </c>
      <c r="N33" s="25">
        <f t="shared" si="1"/>
        <v>19.113214285714282</v>
      </c>
      <c r="O33" s="25"/>
      <c r="P33" s="25">
        <v>159.28</v>
      </c>
      <c r="Q33" s="26"/>
      <c r="R33" s="26"/>
      <c r="S33" s="26"/>
      <c r="T33" s="27"/>
      <c r="U33" s="27"/>
      <c r="V33" s="27"/>
      <c r="W33" s="27"/>
      <c r="X33" s="27"/>
      <c r="Y33" s="26"/>
      <c r="Z33" s="26"/>
      <c r="AA33" s="26"/>
      <c r="AB33" s="26"/>
      <c r="AC33" s="14"/>
      <c r="AD33" s="14"/>
      <c r="AE33" s="15"/>
      <c r="AF33" s="15"/>
      <c r="AG33" s="25">
        <f t="shared" si="3"/>
        <v>-178.39321428571429</v>
      </c>
      <c r="AH33" s="28">
        <f t="shared" si="4"/>
        <v>-3.2142857143071524E-3</v>
      </c>
      <c r="AJ33" s="29"/>
    </row>
    <row r="34" spans="1:36" s="17" customFormat="1" ht="21.75" customHeight="1" x14ac:dyDescent="0.2">
      <c r="A34" s="18">
        <v>43475</v>
      </c>
      <c r="B34" s="12"/>
      <c r="C34" s="20" t="s">
        <v>45</v>
      </c>
      <c r="D34" s="20" t="s">
        <v>46</v>
      </c>
      <c r="E34" s="20" t="s">
        <v>47</v>
      </c>
      <c r="F34" s="21">
        <v>108541</v>
      </c>
      <c r="G34" s="22" t="s">
        <v>84</v>
      </c>
      <c r="H34" s="12"/>
      <c r="I34" s="12"/>
      <c r="J34" s="23"/>
      <c r="K34" s="23">
        <v>1709.8</v>
      </c>
      <c r="L34" s="13"/>
      <c r="M34" s="25">
        <f t="shared" si="0"/>
        <v>1526.6071428571427</v>
      </c>
      <c r="N34" s="25">
        <f t="shared" si="1"/>
        <v>183.19285714285712</v>
      </c>
      <c r="O34" s="13"/>
      <c r="P34" s="25">
        <v>1526.61</v>
      </c>
      <c r="Q34" s="42"/>
      <c r="R34" s="13"/>
      <c r="S34" s="13"/>
      <c r="T34" s="14"/>
      <c r="U34" s="14"/>
      <c r="V34" s="14"/>
      <c r="W34" s="14"/>
      <c r="X34" s="14"/>
      <c r="Y34" s="13"/>
      <c r="Z34" s="13"/>
      <c r="AA34" s="13"/>
      <c r="AB34" s="13"/>
      <c r="AC34" s="14"/>
      <c r="AD34" s="14"/>
      <c r="AE34" s="15"/>
      <c r="AF34" s="15"/>
      <c r="AG34" s="25">
        <f t="shared" si="3"/>
        <v>-1709.802857142857</v>
      </c>
      <c r="AH34" s="28">
        <f t="shared" si="4"/>
        <v>-2.8571428570103308E-3</v>
      </c>
      <c r="AJ34" s="29"/>
    </row>
    <row r="35" spans="1:36" s="17" customFormat="1" ht="21.75" customHeight="1" x14ac:dyDescent="0.2">
      <c r="A35" s="18">
        <v>43475</v>
      </c>
      <c r="B35" s="12"/>
      <c r="C35" s="20" t="s">
        <v>45</v>
      </c>
      <c r="D35" s="20" t="s">
        <v>46</v>
      </c>
      <c r="E35" s="20" t="s">
        <v>47</v>
      </c>
      <c r="F35" s="21">
        <v>108541</v>
      </c>
      <c r="G35" s="22" t="s">
        <v>85</v>
      </c>
      <c r="H35" s="12"/>
      <c r="I35" s="12"/>
      <c r="J35" s="23">
        <f>31.75+65.3+65.65</f>
        <v>162.69999999999999</v>
      </c>
      <c r="K35" s="23"/>
      <c r="L35" s="13"/>
      <c r="M35" s="25">
        <f t="shared" si="0"/>
        <v>162.69999999999999</v>
      </c>
      <c r="N35" s="25">
        <f t="shared" si="1"/>
        <v>0</v>
      </c>
      <c r="O35" s="13"/>
      <c r="P35" s="25">
        <v>162.69999999999999</v>
      </c>
      <c r="Q35" s="42"/>
      <c r="R35" s="13"/>
      <c r="S35" s="13"/>
      <c r="T35" s="14"/>
      <c r="U35" s="14"/>
      <c r="V35" s="14"/>
      <c r="W35" s="14"/>
      <c r="X35" s="14"/>
      <c r="Y35" s="13"/>
      <c r="Z35" s="13"/>
      <c r="AA35" s="13"/>
      <c r="AB35" s="13"/>
      <c r="AC35" s="14"/>
      <c r="AD35" s="14"/>
      <c r="AE35" s="15"/>
      <c r="AF35" s="15"/>
      <c r="AG35" s="25">
        <f t="shared" si="3"/>
        <v>-162.69999999999999</v>
      </c>
      <c r="AH35" s="28">
        <f t="shared" si="4"/>
        <v>0</v>
      </c>
      <c r="AJ35" s="29"/>
    </row>
    <row r="36" spans="1:36" s="17" customFormat="1" ht="21.75" customHeight="1" x14ac:dyDescent="0.2">
      <c r="A36" s="18">
        <v>43476</v>
      </c>
      <c r="B36" s="12"/>
      <c r="C36" s="20" t="s">
        <v>41</v>
      </c>
      <c r="D36" s="20" t="s">
        <v>42</v>
      </c>
      <c r="E36" s="20" t="s">
        <v>43</v>
      </c>
      <c r="F36" s="21">
        <v>113917</v>
      </c>
      <c r="G36" s="22" t="s">
        <v>44</v>
      </c>
      <c r="H36" s="12"/>
      <c r="I36" s="12"/>
      <c r="J36" s="23"/>
      <c r="K36" s="23">
        <v>180</v>
      </c>
      <c r="L36" s="13"/>
      <c r="M36" s="25">
        <f t="shared" si="0"/>
        <v>160.71428571428569</v>
      </c>
      <c r="N36" s="25">
        <f t="shared" si="1"/>
        <v>19.285714285714281</v>
      </c>
      <c r="O36" s="13"/>
      <c r="P36" s="25"/>
      <c r="Q36" s="42">
        <v>160.71</v>
      </c>
      <c r="R36" s="13"/>
      <c r="S36" s="13"/>
      <c r="T36" s="14"/>
      <c r="U36" s="14"/>
      <c r="V36" s="14"/>
      <c r="W36" s="14"/>
      <c r="X36" s="14"/>
      <c r="Y36" s="13"/>
      <c r="Z36" s="13"/>
      <c r="AA36" s="13"/>
      <c r="AB36" s="13"/>
      <c r="AC36" s="14"/>
      <c r="AD36" s="14"/>
      <c r="AE36" s="15"/>
      <c r="AF36" s="15"/>
      <c r="AG36" s="25">
        <f t="shared" si="3"/>
        <v>-179.99571428571429</v>
      </c>
      <c r="AH36" s="28">
        <f t="shared" si="4"/>
        <v>4.2857142857144481E-3</v>
      </c>
      <c r="AJ36" s="29"/>
    </row>
    <row r="37" spans="1:36" s="17" customFormat="1" ht="21.75" customHeight="1" x14ac:dyDescent="0.2">
      <c r="A37" s="18">
        <v>43476</v>
      </c>
      <c r="B37" s="12"/>
      <c r="C37" s="20" t="s">
        <v>37</v>
      </c>
      <c r="D37" s="20" t="s">
        <v>38</v>
      </c>
      <c r="E37" s="20" t="s">
        <v>39</v>
      </c>
      <c r="F37" s="21">
        <v>33765</v>
      </c>
      <c r="G37" s="22" t="s">
        <v>86</v>
      </c>
      <c r="H37" s="12"/>
      <c r="I37" s="12"/>
      <c r="J37" s="23">
        <v>79</v>
      </c>
      <c r="K37" s="23"/>
      <c r="L37" s="13"/>
      <c r="M37" s="25">
        <f t="shared" ref="M37:M68" si="5">SUM(H37:J37,K37/1.12)</f>
        <v>79</v>
      </c>
      <c r="N37" s="25">
        <f t="shared" ref="N37:N68" si="6">K37/1.12*0.12</f>
        <v>0</v>
      </c>
      <c r="O37" s="13"/>
      <c r="P37" s="25">
        <v>79</v>
      </c>
      <c r="Q37" s="42"/>
      <c r="R37" s="13"/>
      <c r="S37" s="13"/>
      <c r="T37" s="14"/>
      <c r="U37" s="14"/>
      <c r="V37" s="14"/>
      <c r="W37" s="14"/>
      <c r="X37" s="14"/>
      <c r="Y37" s="13"/>
      <c r="Z37" s="13"/>
      <c r="AA37" s="13"/>
      <c r="AB37" s="13"/>
      <c r="AC37" s="14"/>
      <c r="AD37" s="14"/>
      <c r="AE37" s="15"/>
      <c r="AF37" s="15"/>
      <c r="AG37" s="25">
        <f t="shared" ref="AG37:AG68" si="7">-SUM(N37:AF37)</f>
        <v>-79</v>
      </c>
      <c r="AH37" s="28">
        <f t="shared" ref="AH37:AH68" si="8">SUM(H37:K37)+AG37+O37</f>
        <v>0</v>
      </c>
      <c r="AJ37" s="29"/>
    </row>
    <row r="38" spans="1:36" s="17" customFormat="1" ht="21.75" customHeight="1" x14ac:dyDescent="0.2">
      <c r="A38" s="18">
        <v>43476</v>
      </c>
      <c r="B38" s="12"/>
      <c r="C38" s="20" t="s">
        <v>41</v>
      </c>
      <c r="D38" s="20" t="s">
        <v>42</v>
      </c>
      <c r="E38" s="20" t="s">
        <v>43</v>
      </c>
      <c r="F38" s="21">
        <v>113981</v>
      </c>
      <c r="G38" s="22" t="s">
        <v>44</v>
      </c>
      <c r="H38" s="12"/>
      <c r="I38" s="12"/>
      <c r="J38" s="23"/>
      <c r="K38" s="23">
        <v>90</v>
      </c>
      <c r="L38" s="13"/>
      <c r="M38" s="25">
        <f t="shared" si="5"/>
        <v>80.357142857142847</v>
      </c>
      <c r="N38" s="25">
        <f t="shared" si="6"/>
        <v>9.6428571428571406</v>
      </c>
      <c r="O38" s="13"/>
      <c r="P38" s="25"/>
      <c r="Q38" s="42">
        <v>80.36</v>
      </c>
      <c r="R38" s="13"/>
      <c r="S38" s="13"/>
      <c r="T38" s="14"/>
      <c r="U38" s="14"/>
      <c r="V38" s="14"/>
      <c r="W38" s="14"/>
      <c r="X38" s="14"/>
      <c r="Y38" s="13"/>
      <c r="Z38" s="13"/>
      <c r="AA38" s="13"/>
      <c r="AB38" s="13"/>
      <c r="AC38" s="14"/>
      <c r="AD38" s="14"/>
      <c r="AE38" s="15"/>
      <c r="AF38" s="15"/>
      <c r="AG38" s="25">
        <f t="shared" si="7"/>
        <v>-90.002857142857138</v>
      </c>
      <c r="AH38" s="28">
        <f t="shared" si="8"/>
        <v>-2.8571428571382285E-3</v>
      </c>
      <c r="AJ38" s="29"/>
    </row>
    <row r="39" spans="1:36" s="17" customFormat="1" ht="21.75" customHeight="1" x14ac:dyDescent="0.2">
      <c r="A39" s="18">
        <v>43477</v>
      </c>
      <c r="B39" s="12"/>
      <c r="C39" s="20" t="s">
        <v>45</v>
      </c>
      <c r="D39" s="20" t="s">
        <v>46</v>
      </c>
      <c r="E39" s="20" t="s">
        <v>47</v>
      </c>
      <c r="F39" s="21">
        <v>129711</v>
      </c>
      <c r="G39" s="22" t="s">
        <v>87</v>
      </c>
      <c r="H39" s="12"/>
      <c r="I39" s="12"/>
      <c r="J39" s="23">
        <f>44.2+34.3</f>
        <v>78.5</v>
      </c>
      <c r="K39" s="23"/>
      <c r="L39" s="13"/>
      <c r="M39" s="25">
        <f t="shared" si="5"/>
        <v>78.5</v>
      </c>
      <c r="N39" s="25">
        <f t="shared" si="6"/>
        <v>0</v>
      </c>
      <c r="O39" s="13"/>
      <c r="P39" s="25">
        <v>78.5</v>
      </c>
      <c r="Q39" s="42"/>
      <c r="R39" s="13"/>
      <c r="S39" s="13"/>
      <c r="T39" s="14"/>
      <c r="U39" s="14"/>
      <c r="V39" s="14"/>
      <c r="W39" s="14"/>
      <c r="X39" s="14"/>
      <c r="Y39" s="13"/>
      <c r="Z39" s="13"/>
      <c r="AA39" s="13"/>
      <c r="AB39" s="13"/>
      <c r="AC39" s="14"/>
      <c r="AD39" s="14"/>
      <c r="AE39" s="15"/>
      <c r="AF39" s="15"/>
      <c r="AG39" s="25">
        <f t="shared" si="7"/>
        <v>-78.5</v>
      </c>
      <c r="AH39" s="28">
        <f t="shared" si="8"/>
        <v>0</v>
      </c>
      <c r="AJ39" s="29"/>
    </row>
    <row r="40" spans="1:36" s="17" customFormat="1" ht="21.75" customHeight="1" x14ac:dyDescent="0.2">
      <c r="A40" s="18">
        <v>43477</v>
      </c>
      <c r="B40" s="12"/>
      <c r="C40" s="20" t="s">
        <v>45</v>
      </c>
      <c r="D40" s="20" t="s">
        <v>46</v>
      </c>
      <c r="E40" s="20" t="s">
        <v>47</v>
      </c>
      <c r="F40" s="21">
        <v>129711</v>
      </c>
      <c r="G40" s="22" t="s">
        <v>88</v>
      </c>
      <c r="H40" s="12"/>
      <c r="I40" s="12"/>
      <c r="J40" s="23"/>
      <c r="K40" s="23">
        <v>1730.1</v>
      </c>
      <c r="L40" s="13"/>
      <c r="M40" s="25">
        <f t="shared" si="5"/>
        <v>1544.7321428571427</v>
      </c>
      <c r="N40" s="25">
        <f t="shared" si="6"/>
        <v>185.3678571428571</v>
      </c>
      <c r="O40" s="13"/>
      <c r="P40" s="25">
        <v>1544.73</v>
      </c>
      <c r="Q40" s="42"/>
      <c r="R40" s="13"/>
      <c r="S40" s="13"/>
      <c r="T40" s="14"/>
      <c r="U40" s="14"/>
      <c r="V40" s="14"/>
      <c r="W40" s="14"/>
      <c r="X40" s="14"/>
      <c r="Y40" s="13"/>
      <c r="Z40" s="13"/>
      <c r="AA40" s="13"/>
      <c r="AB40" s="13"/>
      <c r="AC40" s="14"/>
      <c r="AD40" s="14"/>
      <c r="AE40" s="15"/>
      <c r="AF40" s="15"/>
      <c r="AG40" s="25">
        <f t="shared" si="7"/>
        <v>-1730.097857142857</v>
      </c>
      <c r="AH40" s="28">
        <f t="shared" si="8"/>
        <v>2.1428571428714349E-3</v>
      </c>
      <c r="AJ40" s="29"/>
    </row>
    <row r="41" spans="1:36" s="17" customFormat="1" ht="21.75" customHeight="1" x14ac:dyDescent="0.2">
      <c r="A41" s="18">
        <v>43477</v>
      </c>
      <c r="B41" s="12"/>
      <c r="C41" s="20" t="s">
        <v>37</v>
      </c>
      <c r="D41" s="20" t="s">
        <v>38</v>
      </c>
      <c r="E41" s="20" t="s">
        <v>39</v>
      </c>
      <c r="F41" s="21">
        <v>33776</v>
      </c>
      <c r="G41" s="22" t="s">
        <v>89</v>
      </c>
      <c r="H41" s="12"/>
      <c r="I41" s="12"/>
      <c r="J41" s="23"/>
      <c r="K41" s="23">
        <v>312.25</v>
      </c>
      <c r="L41" s="13"/>
      <c r="M41" s="25">
        <f t="shared" si="5"/>
        <v>278.79464285714283</v>
      </c>
      <c r="N41" s="25">
        <f t="shared" si="6"/>
        <v>33.455357142857139</v>
      </c>
      <c r="O41" s="13"/>
      <c r="P41" s="25"/>
      <c r="Q41" s="42">
        <v>278.79000000000002</v>
      </c>
      <c r="R41" s="13"/>
      <c r="S41" s="13"/>
      <c r="T41" s="14"/>
      <c r="U41" s="14"/>
      <c r="V41" s="14"/>
      <c r="W41" s="14"/>
      <c r="X41" s="14"/>
      <c r="Y41" s="13"/>
      <c r="Z41" s="13"/>
      <c r="AA41" s="13"/>
      <c r="AB41" s="13"/>
      <c r="AC41" s="14"/>
      <c r="AD41" s="14"/>
      <c r="AE41" s="15"/>
      <c r="AF41" s="15"/>
      <c r="AG41" s="25">
        <f t="shared" si="7"/>
        <v>-312.24535714285719</v>
      </c>
      <c r="AH41" s="28">
        <f t="shared" si="8"/>
        <v>4.6428571428123178E-3</v>
      </c>
      <c r="AJ41" s="29"/>
    </row>
    <row r="42" spans="1:36" s="17" customFormat="1" ht="21.75" customHeight="1" x14ac:dyDescent="0.2">
      <c r="A42" s="18">
        <v>43479</v>
      </c>
      <c r="B42" s="12"/>
      <c r="C42" s="20" t="s">
        <v>54</v>
      </c>
      <c r="D42" s="20" t="s">
        <v>55</v>
      </c>
      <c r="E42" s="20" t="s">
        <v>56</v>
      </c>
      <c r="F42" s="21">
        <v>2868</v>
      </c>
      <c r="G42" s="22" t="s">
        <v>90</v>
      </c>
      <c r="H42" s="12"/>
      <c r="I42" s="12"/>
      <c r="J42" s="23">
        <v>1730</v>
      </c>
      <c r="K42" s="23"/>
      <c r="L42" s="13"/>
      <c r="M42" s="25">
        <f t="shared" si="5"/>
        <v>1730</v>
      </c>
      <c r="N42" s="25">
        <f t="shared" si="6"/>
        <v>0</v>
      </c>
      <c r="O42" s="13"/>
      <c r="P42" s="25">
        <v>1730</v>
      </c>
      <c r="Q42" s="42"/>
      <c r="R42" s="13"/>
      <c r="S42" s="13"/>
      <c r="T42" s="14"/>
      <c r="U42" s="14"/>
      <c r="V42" s="14"/>
      <c r="W42" s="14"/>
      <c r="X42" s="14"/>
      <c r="Y42" s="13"/>
      <c r="Z42" s="13"/>
      <c r="AA42" s="13"/>
      <c r="AB42" s="13"/>
      <c r="AC42" s="14"/>
      <c r="AD42" s="14"/>
      <c r="AE42" s="15"/>
      <c r="AF42" s="15"/>
      <c r="AG42" s="25">
        <f t="shared" si="7"/>
        <v>-1730</v>
      </c>
      <c r="AH42" s="28">
        <f t="shared" si="8"/>
        <v>0</v>
      </c>
      <c r="AJ42" s="29"/>
    </row>
    <row r="43" spans="1:36" s="17" customFormat="1" ht="21.75" customHeight="1" x14ac:dyDescent="0.2">
      <c r="A43" s="18">
        <v>43479</v>
      </c>
      <c r="B43" s="12"/>
      <c r="C43" s="20" t="s">
        <v>41</v>
      </c>
      <c r="D43" s="20" t="s">
        <v>42</v>
      </c>
      <c r="E43" s="20" t="s">
        <v>43</v>
      </c>
      <c r="F43" s="21">
        <v>114049</v>
      </c>
      <c r="G43" s="22" t="s">
        <v>44</v>
      </c>
      <c r="H43" s="12"/>
      <c r="I43" s="12"/>
      <c r="J43" s="23"/>
      <c r="K43" s="23">
        <v>180</v>
      </c>
      <c r="L43" s="13"/>
      <c r="M43" s="25">
        <f t="shared" si="5"/>
        <v>160.71428571428569</v>
      </c>
      <c r="N43" s="25">
        <f t="shared" si="6"/>
        <v>19.285714285714281</v>
      </c>
      <c r="O43" s="13"/>
      <c r="P43" s="25"/>
      <c r="Q43" s="42">
        <v>160.71</v>
      </c>
      <c r="R43" s="13"/>
      <c r="S43" s="13"/>
      <c r="T43" s="14"/>
      <c r="U43" s="14"/>
      <c r="V43" s="14"/>
      <c r="W43" s="14"/>
      <c r="X43" s="14"/>
      <c r="Y43" s="13"/>
      <c r="Z43" s="13"/>
      <c r="AA43" s="13"/>
      <c r="AB43" s="13"/>
      <c r="AC43" s="14"/>
      <c r="AD43" s="14"/>
      <c r="AE43" s="15"/>
      <c r="AF43" s="15"/>
      <c r="AG43" s="25">
        <f t="shared" si="7"/>
        <v>-179.99571428571429</v>
      </c>
      <c r="AH43" s="28">
        <f t="shared" si="8"/>
        <v>4.2857142857144481E-3</v>
      </c>
      <c r="AJ43" s="29"/>
    </row>
    <row r="44" spans="1:36" s="17" customFormat="1" ht="21.75" customHeight="1" x14ac:dyDescent="0.2">
      <c r="A44" s="18">
        <v>43479</v>
      </c>
      <c r="B44" s="12"/>
      <c r="C44" s="20" t="s">
        <v>37</v>
      </c>
      <c r="D44" s="20" t="s">
        <v>38</v>
      </c>
      <c r="E44" s="20" t="s">
        <v>39</v>
      </c>
      <c r="F44" s="21">
        <v>33777</v>
      </c>
      <c r="G44" s="22" t="s">
        <v>91</v>
      </c>
      <c r="H44" s="12"/>
      <c r="I44" s="12"/>
      <c r="J44" s="23"/>
      <c r="K44" s="23">
        <v>207</v>
      </c>
      <c r="L44" s="13"/>
      <c r="M44" s="25">
        <f t="shared" si="5"/>
        <v>184.82142857142856</v>
      </c>
      <c r="N44" s="25">
        <f t="shared" si="6"/>
        <v>22.178571428571427</v>
      </c>
      <c r="O44" s="13"/>
      <c r="P44" s="25"/>
      <c r="Q44" s="42">
        <v>184.82</v>
      </c>
      <c r="R44" s="13"/>
      <c r="S44" s="13"/>
      <c r="T44" s="14"/>
      <c r="U44" s="14"/>
      <c r="V44" s="14"/>
      <c r="W44" s="14"/>
      <c r="X44" s="14"/>
      <c r="Y44" s="13"/>
      <c r="Z44" s="13"/>
      <c r="AA44" s="13"/>
      <c r="AB44" s="13"/>
      <c r="AC44" s="14"/>
      <c r="AD44" s="14"/>
      <c r="AE44" s="15"/>
      <c r="AF44" s="15"/>
      <c r="AG44" s="25">
        <f t="shared" si="7"/>
        <v>-206.99857142857141</v>
      </c>
      <c r="AH44" s="28">
        <f t="shared" si="8"/>
        <v>1.4285714285904305E-3</v>
      </c>
      <c r="AJ44" s="29"/>
    </row>
    <row r="45" spans="1:36" s="17" customFormat="1" ht="21.75" customHeight="1" x14ac:dyDescent="0.2">
      <c r="A45" s="18">
        <v>43479</v>
      </c>
      <c r="B45" s="12"/>
      <c r="C45" s="20" t="s">
        <v>45</v>
      </c>
      <c r="D45" s="20" t="s">
        <v>46</v>
      </c>
      <c r="E45" s="20" t="s">
        <v>47</v>
      </c>
      <c r="F45" s="21">
        <v>159133</v>
      </c>
      <c r="G45" s="22" t="s">
        <v>92</v>
      </c>
      <c r="H45" s="12"/>
      <c r="I45" s="12"/>
      <c r="J45" s="23"/>
      <c r="K45" s="23">
        <v>822.55</v>
      </c>
      <c r="L45" s="13"/>
      <c r="M45" s="25">
        <f t="shared" si="5"/>
        <v>734.41964285714278</v>
      </c>
      <c r="N45" s="25">
        <f t="shared" si="6"/>
        <v>88.130357142857136</v>
      </c>
      <c r="O45" s="13"/>
      <c r="P45" s="25">
        <v>734.42</v>
      </c>
      <c r="Q45" s="42"/>
      <c r="R45" s="13"/>
      <c r="S45" s="13"/>
      <c r="T45" s="14"/>
      <c r="U45" s="14"/>
      <c r="V45" s="14"/>
      <c r="W45" s="14"/>
      <c r="X45" s="14"/>
      <c r="Y45" s="13"/>
      <c r="Z45" s="13"/>
      <c r="AA45" s="13"/>
      <c r="AB45" s="13"/>
      <c r="AC45" s="14"/>
      <c r="AD45" s="14"/>
      <c r="AE45" s="15"/>
      <c r="AF45" s="15"/>
      <c r="AG45" s="25">
        <f t="shared" si="7"/>
        <v>-822.55035714285714</v>
      </c>
      <c r="AH45" s="28">
        <f t="shared" si="8"/>
        <v>-3.5714285718313477E-4</v>
      </c>
      <c r="AJ45" s="29"/>
    </row>
    <row r="46" spans="1:36" s="17" customFormat="1" ht="21.75" customHeight="1" x14ac:dyDescent="0.2">
      <c r="A46" s="18">
        <v>43479</v>
      </c>
      <c r="B46" s="12"/>
      <c r="C46" s="20" t="s">
        <v>37</v>
      </c>
      <c r="D46" s="20" t="s">
        <v>38</v>
      </c>
      <c r="E46" s="20" t="s">
        <v>39</v>
      </c>
      <c r="F46" s="21">
        <v>33794</v>
      </c>
      <c r="G46" s="22" t="s">
        <v>93</v>
      </c>
      <c r="H46" s="12"/>
      <c r="I46" s="12"/>
      <c r="J46" s="23"/>
      <c r="K46" s="23">
        <v>911.25</v>
      </c>
      <c r="L46" s="13"/>
      <c r="M46" s="25">
        <f t="shared" si="5"/>
        <v>813.61607142857133</v>
      </c>
      <c r="N46" s="25">
        <f t="shared" si="6"/>
        <v>97.633928571428555</v>
      </c>
      <c r="O46" s="13"/>
      <c r="P46" s="25">
        <v>813.62</v>
      </c>
      <c r="Q46" s="42"/>
      <c r="R46" s="13"/>
      <c r="S46" s="13"/>
      <c r="T46" s="14"/>
      <c r="U46" s="14"/>
      <c r="V46" s="14"/>
      <c r="W46" s="14"/>
      <c r="X46" s="14"/>
      <c r="Y46" s="13"/>
      <c r="Z46" s="13"/>
      <c r="AA46" s="13"/>
      <c r="AB46" s="13"/>
      <c r="AC46" s="14"/>
      <c r="AD46" s="14"/>
      <c r="AE46" s="15"/>
      <c r="AF46" s="15"/>
      <c r="AG46" s="25">
        <f t="shared" si="7"/>
        <v>-911.25392857142856</v>
      </c>
      <c r="AH46" s="28">
        <f t="shared" si="8"/>
        <v>-3.9285714285597351E-3</v>
      </c>
      <c r="AJ46" s="29"/>
    </row>
    <row r="47" spans="1:36" s="17" customFormat="1" ht="21.75" customHeight="1" x14ac:dyDescent="0.2">
      <c r="A47" s="18">
        <v>43480</v>
      </c>
      <c r="B47" s="12"/>
      <c r="C47" s="20" t="s">
        <v>41</v>
      </c>
      <c r="D47" s="20" t="s">
        <v>42</v>
      </c>
      <c r="E47" s="20" t="s">
        <v>43</v>
      </c>
      <c r="F47" s="21">
        <v>115696</v>
      </c>
      <c r="G47" s="22" t="s">
        <v>44</v>
      </c>
      <c r="H47" s="12"/>
      <c r="I47" s="12"/>
      <c r="J47" s="23"/>
      <c r="K47" s="23">
        <v>180</v>
      </c>
      <c r="L47" s="13"/>
      <c r="M47" s="25">
        <f t="shared" si="5"/>
        <v>160.71428571428569</v>
      </c>
      <c r="N47" s="25">
        <f t="shared" si="6"/>
        <v>19.285714285714281</v>
      </c>
      <c r="O47" s="13"/>
      <c r="P47" s="25"/>
      <c r="Q47" s="42">
        <v>160.71</v>
      </c>
      <c r="R47" s="13"/>
      <c r="S47" s="13"/>
      <c r="T47" s="14"/>
      <c r="U47" s="14"/>
      <c r="V47" s="14"/>
      <c r="W47" s="14"/>
      <c r="X47" s="14"/>
      <c r="Y47" s="13"/>
      <c r="Z47" s="13"/>
      <c r="AA47" s="13"/>
      <c r="AB47" s="13"/>
      <c r="AC47" s="14"/>
      <c r="AD47" s="14"/>
      <c r="AE47" s="15"/>
      <c r="AF47" s="15"/>
      <c r="AG47" s="25">
        <f t="shared" si="7"/>
        <v>-179.99571428571429</v>
      </c>
      <c r="AH47" s="28">
        <f t="shared" si="8"/>
        <v>4.2857142857144481E-3</v>
      </c>
      <c r="AJ47" s="29"/>
    </row>
    <row r="48" spans="1:36" s="17" customFormat="1" ht="21.75" customHeight="1" x14ac:dyDescent="0.2">
      <c r="A48" s="18">
        <v>43481</v>
      </c>
      <c r="B48" s="12"/>
      <c r="C48" s="20" t="s">
        <v>41</v>
      </c>
      <c r="D48" s="20" t="s">
        <v>42</v>
      </c>
      <c r="E48" s="20" t="s">
        <v>43</v>
      </c>
      <c r="F48" s="21">
        <v>115739</v>
      </c>
      <c r="G48" s="22" t="s">
        <v>44</v>
      </c>
      <c r="H48" s="12"/>
      <c r="I48" s="12"/>
      <c r="J48" s="23"/>
      <c r="K48" s="23">
        <v>180</v>
      </c>
      <c r="L48" s="13"/>
      <c r="M48" s="25">
        <f t="shared" si="5"/>
        <v>160.71428571428569</v>
      </c>
      <c r="N48" s="25">
        <f t="shared" si="6"/>
        <v>19.285714285714281</v>
      </c>
      <c r="O48" s="13"/>
      <c r="P48" s="25"/>
      <c r="Q48" s="42">
        <v>160.71</v>
      </c>
      <c r="R48" s="13"/>
      <c r="S48" s="13"/>
      <c r="T48" s="14"/>
      <c r="U48" s="14"/>
      <c r="V48" s="14"/>
      <c r="W48" s="14"/>
      <c r="X48" s="14"/>
      <c r="Y48" s="13"/>
      <c r="Z48" s="13"/>
      <c r="AA48" s="13"/>
      <c r="AB48" s="13"/>
      <c r="AC48" s="14"/>
      <c r="AD48" s="14"/>
      <c r="AE48" s="15"/>
      <c r="AF48" s="15"/>
      <c r="AG48" s="25">
        <f t="shared" si="7"/>
        <v>-179.99571428571429</v>
      </c>
      <c r="AH48" s="28">
        <f t="shared" si="8"/>
        <v>4.2857142857144481E-3</v>
      </c>
      <c r="AJ48" s="29"/>
    </row>
    <row r="49" spans="1:36" s="17" customFormat="1" ht="21.75" customHeight="1" x14ac:dyDescent="0.2">
      <c r="A49" s="18">
        <v>43481</v>
      </c>
      <c r="B49" s="12"/>
      <c r="C49" s="20" t="s">
        <v>45</v>
      </c>
      <c r="D49" s="20" t="s">
        <v>46</v>
      </c>
      <c r="E49" s="20" t="s">
        <v>47</v>
      </c>
      <c r="F49" s="21">
        <v>152492</v>
      </c>
      <c r="G49" s="22" t="s">
        <v>94</v>
      </c>
      <c r="H49" s="12"/>
      <c r="I49" s="12"/>
      <c r="J49" s="23">
        <f>54.45+57.95+56.25+45+45</f>
        <v>258.64999999999998</v>
      </c>
      <c r="K49" s="23"/>
      <c r="L49" s="13"/>
      <c r="M49" s="25">
        <f t="shared" si="5"/>
        <v>258.64999999999998</v>
      </c>
      <c r="N49" s="25">
        <f t="shared" si="6"/>
        <v>0</v>
      </c>
      <c r="O49" s="13"/>
      <c r="P49" s="25">
        <v>258.64999999999998</v>
      </c>
      <c r="Q49" s="42"/>
      <c r="R49" s="13"/>
      <c r="S49" s="13"/>
      <c r="T49" s="14"/>
      <c r="U49" s="14"/>
      <c r="V49" s="14"/>
      <c r="W49" s="14"/>
      <c r="X49" s="14"/>
      <c r="Y49" s="13"/>
      <c r="Z49" s="13"/>
      <c r="AA49" s="13"/>
      <c r="AB49" s="13"/>
      <c r="AC49" s="14"/>
      <c r="AD49" s="14"/>
      <c r="AE49" s="15"/>
      <c r="AF49" s="15"/>
      <c r="AG49" s="25">
        <f t="shared" si="7"/>
        <v>-258.64999999999998</v>
      </c>
      <c r="AH49" s="28">
        <f t="shared" si="8"/>
        <v>0</v>
      </c>
      <c r="AJ49" s="29"/>
    </row>
    <row r="50" spans="1:36" s="17" customFormat="1" ht="21.75" customHeight="1" x14ac:dyDescent="0.2">
      <c r="A50" s="18">
        <v>43481</v>
      </c>
      <c r="B50" s="12"/>
      <c r="C50" s="20" t="s">
        <v>45</v>
      </c>
      <c r="D50" s="20" t="s">
        <v>46</v>
      </c>
      <c r="E50" s="20" t="s">
        <v>47</v>
      </c>
      <c r="F50" s="21">
        <v>152492</v>
      </c>
      <c r="G50" s="22" t="s">
        <v>95</v>
      </c>
      <c r="H50" s="12"/>
      <c r="I50" s="12"/>
      <c r="J50" s="23"/>
      <c r="K50" s="23">
        <f>2076.85-258.65</f>
        <v>1818.1999999999998</v>
      </c>
      <c r="L50" s="13"/>
      <c r="M50" s="25">
        <f t="shared" si="5"/>
        <v>1623.3928571428569</v>
      </c>
      <c r="N50" s="25">
        <f t="shared" si="6"/>
        <v>194.80714285714282</v>
      </c>
      <c r="O50" s="13"/>
      <c r="P50" s="25">
        <v>1623.39</v>
      </c>
      <c r="Q50" s="42"/>
      <c r="R50" s="13"/>
      <c r="S50" s="13"/>
      <c r="T50" s="14"/>
      <c r="U50" s="14"/>
      <c r="V50" s="14"/>
      <c r="W50" s="14"/>
      <c r="X50" s="14"/>
      <c r="Y50" s="13"/>
      <c r="Z50" s="13"/>
      <c r="AA50" s="13"/>
      <c r="AB50" s="13"/>
      <c r="AC50" s="14"/>
      <c r="AD50" s="14"/>
      <c r="AE50" s="15"/>
      <c r="AF50" s="15"/>
      <c r="AG50" s="25">
        <f t="shared" si="7"/>
        <v>-1818.1971428571428</v>
      </c>
      <c r="AH50" s="28">
        <f t="shared" si="8"/>
        <v>2.8571428570103308E-3</v>
      </c>
      <c r="AJ50" s="29"/>
    </row>
    <row r="51" spans="1:36" s="17" customFormat="1" ht="21.75" customHeight="1" x14ac:dyDescent="0.2">
      <c r="A51" s="18">
        <v>43481</v>
      </c>
      <c r="B51" s="12"/>
      <c r="C51" s="20" t="s">
        <v>37</v>
      </c>
      <c r="D51" s="20" t="s">
        <v>38</v>
      </c>
      <c r="E51" s="20" t="s">
        <v>39</v>
      </c>
      <c r="F51" s="21">
        <v>33688</v>
      </c>
      <c r="G51" s="22" t="s">
        <v>96</v>
      </c>
      <c r="H51" s="12"/>
      <c r="I51" s="12"/>
      <c r="J51" s="23"/>
      <c r="K51" s="23">
        <v>132</v>
      </c>
      <c r="L51" s="13"/>
      <c r="M51" s="25">
        <f t="shared" si="5"/>
        <v>117.85714285714285</v>
      </c>
      <c r="N51" s="25">
        <f t="shared" si="6"/>
        <v>14.142857142857141</v>
      </c>
      <c r="O51" s="13"/>
      <c r="P51" s="25">
        <v>117.86</v>
      </c>
      <c r="Q51" s="42"/>
      <c r="R51" s="13"/>
      <c r="S51" s="13"/>
      <c r="T51" s="14"/>
      <c r="U51" s="14"/>
      <c r="V51" s="14"/>
      <c r="W51" s="14"/>
      <c r="X51" s="14"/>
      <c r="Y51" s="13"/>
      <c r="Z51" s="13"/>
      <c r="AA51" s="13"/>
      <c r="AB51" s="13"/>
      <c r="AC51" s="14"/>
      <c r="AD51" s="14"/>
      <c r="AE51" s="15"/>
      <c r="AF51" s="15"/>
      <c r="AG51" s="25">
        <f t="shared" si="7"/>
        <v>-132.00285714285715</v>
      </c>
      <c r="AH51" s="28">
        <f t="shared" si="8"/>
        <v>-2.8571428571524393E-3</v>
      </c>
      <c r="AJ51" s="29"/>
    </row>
    <row r="52" spans="1:36" s="17" customFormat="1" ht="21.75" customHeight="1" x14ac:dyDescent="0.2">
      <c r="A52" s="18">
        <v>43481</v>
      </c>
      <c r="B52" s="12"/>
      <c r="C52" s="43" t="s">
        <v>97</v>
      </c>
      <c r="D52" s="43" t="s">
        <v>98</v>
      </c>
      <c r="E52" s="43" t="s">
        <v>99</v>
      </c>
      <c r="F52" s="21">
        <v>218785</v>
      </c>
      <c r="G52" s="22" t="s">
        <v>100</v>
      </c>
      <c r="H52" s="12"/>
      <c r="I52" s="12"/>
      <c r="J52" s="23"/>
      <c r="K52" s="23">
        <v>1329.54</v>
      </c>
      <c r="L52" s="13"/>
      <c r="M52" s="25">
        <f t="shared" si="5"/>
        <v>1187.0892857142856</v>
      </c>
      <c r="N52" s="25">
        <f t="shared" si="6"/>
        <v>142.45071428571427</v>
      </c>
      <c r="O52" s="13"/>
      <c r="P52" s="25">
        <v>1187.0899999999999</v>
      </c>
      <c r="Q52" s="42"/>
      <c r="R52" s="13"/>
      <c r="S52" s="13"/>
      <c r="T52" s="14"/>
      <c r="U52" s="14"/>
      <c r="V52" s="14"/>
      <c r="W52" s="14"/>
      <c r="X52" s="14"/>
      <c r="Y52" s="13"/>
      <c r="Z52" s="13"/>
      <c r="AA52" s="13"/>
      <c r="AB52" s="13"/>
      <c r="AC52" s="14"/>
      <c r="AD52" s="14"/>
      <c r="AE52" s="15"/>
      <c r="AF52" s="15"/>
      <c r="AG52" s="25">
        <f t="shared" si="7"/>
        <v>-1329.5407142857141</v>
      </c>
      <c r="AH52" s="28">
        <f t="shared" si="8"/>
        <v>-7.1428571413889586E-4</v>
      </c>
      <c r="AJ52" s="29"/>
    </row>
    <row r="53" spans="1:36" s="17" customFormat="1" ht="21.75" customHeight="1" x14ac:dyDescent="0.2">
      <c r="A53" s="18">
        <v>43481</v>
      </c>
      <c r="B53" s="12"/>
      <c r="C53" s="20" t="s">
        <v>37</v>
      </c>
      <c r="D53" s="20" t="s">
        <v>38</v>
      </c>
      <c r="E53" s="20" t="s">
        <v>39</v>
      </c>
      <c r="F53" s="21">
        <v>33671</v>
      </c>
      <c r="G53" s="22" t="s">
        <v>101</v>
      </c>
      <c r="H53" s="12"/>
      <c r="I53" s="12"/>
      <c r="J53" s="23"/>
      <c r="K53" s="23">
        <v>828.75</v>
      </c>
      <c r="L53" s="13"/>
      <c r="M53" s="25">
        <f t="shared" si="5"/>
        <v>739.95535714285711</v>
      </c>
      <c r="N53" s="25">
        <f t="shared" si="6"/>
        <v>88.794642857142847</v>
      </c>
      <c r="O53" s="13"/>
      <c r="P53" s="25">
        <v>739.96</v>
      </c>
      <c r="Q53" s="42"/>
      <c r="R53" s="13"/>
      <c r="S53" s="13"/>
      <c r="T53" s="14"/>
      <c r="U53" s="14"/>
      <c r="V53" s="14"/>
      <c r="W53" s="14"/>
      <c r="X53" s="14"/>
      <c r="Y53" s="13"/>
      <c r="Z53" s="13"/>
      <c r="AA53" s="13"/>
      <c r="AB53" s="13"/>
      <c r="AC53" s="14"/>
      <c r="AD53" s="14"/>
      <c r="AE53" s="15"/>
      <c r="AF53" s="15"/>
      <c r="AG53" s="25">
        <f t="shared" si="7"/>
        <v>-828.75464285714293</v>
      </c>
      <c r="AH53" s="28">
        <f t="shared" si="8"/>
        <v>-4.6428571429260046E-3</v>
      </c>
      <c r="AJ53" s="29"/>
    </row>
    <row r="54" spans="1:36" s="41" customFormat="1" ht="21.75" customHeight="1" x14ac:dyDescent="0.2">
      <c r="A54" s="30">
        <v>43481</v>
      </c>
      <c r="B54" s="31"/>
      <c r="C54" s="32" t="s">
        <v>102</v>
      </c>
      <c r="D54" s="32"/>
      <c r="E54" s="32" t="s">
        <v>103</v>
      </c>
      <c r="F54" s="33"/>
      <c r="G54" s="34" t="s">
        <v>104</v>
      </c>
      <c r="H54" s="35">
        <v>1123</v>
      </c>
      <c r="I54" s="35"/>
      <c r="J54" s="35"/>
      <c r="K54" s="35"/>
      <c r="L54" s="36"/>
      <c r="M54" s="37">
        <f t="shared" si="5"/>
        <v>1123</v>
      </c>
      <c r="N54" s="37">
        <f t="shared" si="6"/>
        <v>0</v>
      </c>
      <c r="O54" s="37">
        <f t="shared" ref="O54:O85" si="9">-SUM(I54:J54,K54/1.12)*L54</f>
        <v>0</v>
      </c>
      <c r="P54" s="37">
        <v>1123</v>
      </c>
      <c r="Q54" s="38"/>
      <c r="R54" s="38"/>
      <c r="S54" s="38"/>
      <c r="T54" s="39"/>
      <c r="U54" s="39"/>
      <c r="V54" s="39"/>
      <c r="W54" s="39"/>
      <c r="X54" s="39"/>
      <c r="Y54" s="38"/>
      <c r="Z54" s="38"/>
      <c r="AA54" s="38"/>
      <c r="AB54" s="38"/>
      <c r="AC54" s="39"/>
      <c r="AD54" s="39"/>
      <c r="AE54" s="38"/>
      <c r="AF54" s="38"/>
      <c r="AG54" s="25">
        <f t="shared" si="7"/>
        <v>-1123</v>
      </c>
      <c r="AH54" s="28">
        <f t="shared" si="8"/>
        <v>0</v>
      </c>
      <c r="AJ54" s="29"/>
    </row>
    <row r="55" spans="1:36" s="29" customFormat="1" ht="21.75" customHeight="1" x14ac:dyDescent="0.2">
      <c r="A55" s="18">
        <v>43476</v>
      </c>
      <c r="B55" s="19"/>
      <c r="C55" s="20" t="s">
        <v>105</v>
      </c>
      <c r="D55" s="20" t="s">
        <v>106</v>
      </c>
      <c r="E55" s="20" t="s">
        <v>107</v>
      </c>
      <c r="F55" s="21"/>
      <c r="G55" s="44" t="s">
        <v>108</v>
      </c>
      <c r="H55" s="23"/>
      <c r="I55" s="23"/>
      <c r="J55" s="23"/>
      <c r="K55" s="23">
        <f>34+33+135.5</f>
        <v>202.5</v>
      </c>
      <c r="L55" s="24"/>
      <c r="M55" s="25">
        <f t="shared" si="5"/>
        <v>180.80357142857142</v>
      </c>
      <c r="N55" s="25">
        <f t="shared" si="6"/>
        <v>21.696428571428569</v>
      </c>
      <c r="O55" s="25">
        <f t="shared" si="9"/>
        <v>0</v>
      </c>
      <c r="P55" s="25"/>
      <c r="Q55" s="26"/>
      <c r="R55" s="26"/>
      <c r="S55" s="26"/>
      <c r="T55" s="27">
        <v>180.8</v>
      </c>
      <c r="U55" s="27"/>
      <c r="V55" s="27"/>
      <c r="W55" s="27"/>
      <c r="X55" s="27"/>
      <c r="Y55" s="26"/>
      <c r="Z55" s="26"/>
      <c r="AA55" s="26"/>
      <c r="AB55" s="26"/>
      <c r="AC55" s="27"/>
      <c r="AD55" s="27"/>
      <c r="AE55" s="26"/>
      <c r="AF55" s="26"/>
      <c r="AG55" s="25">
        <f t="shared" si="7"/>
        <v>-202.49642857142857</v>
      </c>
      <c r="AH55" s="28">
        <f t="shared" si="8"/>
        <v>3.5714285714334437E-3</v>
      </c>
    </row>
    <row r="56" spans="1:36" s="29" customFormat="1" ht="21.75" customHeight="1" x14ac:dyDescent="0.2">
      <c r="A56" s="18">
        <v>43476</v>
      </c>
      <c r="B56" s="19"/>
      <c r="C56" s="20" t="s">
        <v>105</v>
      </c>
      <c r="D56" s="20" t="s">
        <v>106</v>
      </c>
      <c r="E56" s="20" t="s">
        <v>107</v>
      </c>
      <c r="F56" s="21"/>
      <c r="G56" s="44" t="s">
        <v>109</v>
      </c>
      <c r="H56" s="23"/>
      <c r="I56" s="23"/>
      <c r="J56" s="23"/>
      <c r="K56" s="23">
        <f>19.25+42</f>
        <v>61.25</v>
      </c>
      <c r="L56" s="24"/>
      <c r="M56" s="25">
        <f t="shared" si="5"/>
        <v>54.687499999999993</v>
      </c>
      <c r="N56" s="25">
        <f t="shared" si="6"/>
        <v>6.5624999999999991</v>
      </c>
      <c r="O56" s="25">
        <f t="shared" si="9"/>
        <v>0</v>
      </c>
      <c r="P56" s="25"/>
      <c r="Q56" s="26"/>
      <c r="R56" s="26">
        <v>54.69</v>
      </c>
      <c r="S56" s="26"/>
      <c r="T56" s="27"/>
      <c r="U56" s="27"/>
      <c r="V56" s="27"/>
      <c r="W56" s="27"/>
      <c r="X56" s="27"/>
      <c r="Y56" s="26"/>
      <c r="Z56" s="26"/>
      <c r="AA56" s="26"/>
      <c r="AB56" s="26"/>
      <c r="AC56" s="27"/>
      <c r="AD56" s="27"/>
      <c r="AE56" s="26"/>
      <c r="AF56" s="26"/>
      <c r="AG56" s="25">
        <f t="shared" si="7"/>
        <v>-61.252499999999998</v>
      </c>
      <c r="AH56" s="28">
        <f t="shared" si="8"/>
        <v>-2.4999999999977263E-3</v>
      </c>
    </row>
    <row r="57" spans="1:36" s="29" customFormat="1" ht="21.75" customHeight="1" x14ac:dyDescent="0.2">
      <c r="A57" s="18">
        <v>43477</v>
      </c>
      <c r="B57" s="19"/>
      <c r="C57" s="20" t="s">
        <v>110</v>
      </c>
      <c r="D57" s="20"/>
      <c r="E57" s="20"/>
      <c r="F57" s="21"/>
      <c r="G57" s="44" t="s">
        <v>111</v>
      </c>
      <c r="H57" s="23">
        <v>200</v>
      </c>
      <c r="I57" s="23"/>
      <c r="J57" s="23"/>
      <c r="K57" s="23"/>
      <c r="L57" s="24"/>
      <c r="M57" s="25">
        <f t="shared" si="5"/>
        <v>200</v>
      </c>
      <c r="N57" s="25">
        <f t="shared" si="6"/>
        <v>0</v>
      </c>
      <c r="O57" s="25">
        <f t="shared" si="9"/>
        <v>0</v>
      </c>
      <c r="P57" s="25"/>
      <c r="Q57" s="26"/>
      <c r="R57" s="26"/>
      <c r="S57" s="26"/>
      <c r="T57" s="27"/>
      <c r="U57" s="27"/>
      <c r="V57" s="27"/>
      <c r="W57" s="27"/>
      <c r="X57" s="27"/>
      <c r="Y57" s="26"/>
      <c r="Z57" s="26"/>
      <c r="AA57" s="26">
        <v>200</v>
      </c>
      <c r="AB57" s="26"/>
      <c r="AC57" s="27"/>
      <c r="AD57" s="27"/>
      <c r="AE57" s="26"/>
      <c r="AF57" s="26"/>
      <c r="AG57" s="25">
        <f t="shared" si="7"/>
        <v>-200</v>
      </c>
      <c r="AH57" s="28">
        <f t="shared" si="8"/>
        <v>0</v>
      </c>
    </row>
    <row r="58" spans="1:36" s="29" customFormat="1" ht="21.75" customHeight="1" x14ac:dyDescent="0.2">
      <c r="A58" s="18">
        <v>43479</v>
      </c>
      <c r="B58" s="19"/>
      <c r="C58" s="20" t="s">
        <v>62</v>
      </c>
      <c r="D58" s="20"/>
      <c r="E58" s="20"/>
      <c r="F58" s="21"/>
      <c r="G58" s="44" t="s">
        <v>112</v>
      </c>
      <c r="H58" s="23">
        <v>40</v>
      </c>
      <c r="I58" s="23"/>
      <c r="J58" s="23"/>
      <c r="K58" s="23"/>
      <c r="L58" s="24"/>
      <c r="M58" s="25">
        <f t="shared" si="5"/>
        <v>40</v>
      </c>
      <c r="N58" s="25">
        <f t="shared" si="6"/>
        <v>0</v>
      </c>
      <c r="O58" s="25">
        <f t="shared" si="9"/>
        <v>0</v>
      </c>
      <c r="P58" s="25"/>
      <c r="Q58" s="26"/>
      <c r="R58" s="26"/>
      <c r="S58" s="26"/>
      <c r="T58" s="27"/>
      <c r="U58" s="27"/>
      <c r="V58" s="27"/>
      <c r="W58" s="27"/>
      <c r="X58" s="27"/>
      <c r="Y58" s="26"/>
      <c r="Z58" s="26"/>
      <c r="AA58" s="26">
        <v>40</v>
      </c>
      <c r="AB58" s="26"/>
      <c r="AC58" s="27"/>
      <c r="AD58" s="27"/>
      <c r="AE58" s="26"/>
      <c r="AF58" s="26"/>
      <c r="AG58" s="25">
        <f t="shared" si="7"/>
        <v>-40</v>
      </c>
      <c r="AH58" s="28">
        <f t="shared" si="8"/>
        <v>0</v>
      </c>
    </row>
    <row r="59" spans="1:36" s="29" customFormat="1" ht="21.75" customHeight="1" x14ac:dyDescent="0.2">
      <c r="A59" s="18">
        <v>43479</v>
      </c>
      <c r="B59" s="19"/>
      <c r="C59" s="20" t="s">
        <v>58</v>
      </c>
      <c r="D59" s="20"/>
      <c r="E59" s="20"/>
      <c r="F59" s="21"/>
      <c r="G59" s="44" t="s">
        <v>113</v>
      </c>
      <c r="H59" s="23">
        <v>100</v>
      </c>
      <c r="I59" s="23"/>
      <c r="J59" s="23"/>
      <c r="K59" s="23"/>
      <c r="L59" s="24"/>
      <c r="M59" s="25">
        <f t="shared" si="5"/>
        <v>100</v>
      </c>
      <c r="N59" s="25">
        <f t="shared" si="6"/>
        <v>0</v>
      </c>
      <c r="O59" s="25">
        <f t="shared" si="9"/>
        <v>0</v>
      </c>
      <c r="P59" s="25"/>
      <c r="Q59" s="26"/>
      <c r="R59" s="26"/>
      <c r="S59" s="26"/>
      <c r="T59" s="27"/>
      <c r="U59" s="27"/>
      <c r="V59" s="27"/>
      <c r="W59" s="27"/>
      <c r="X59" s="27"/>
      <c r="Y59" s="26"/>
      <c r="Z59" s="26"/>
      <c r="AA59" s="26">
        <v>100</v>
      </c>
      <c r="AB59" s="26"/>
      <c r="AC59" s="27"/>
      <c r="AD59" s="27"/>
      <c r="AE59" s="26"/>
      <c r="AF59" s="26"/>
      <c r="AG59" s="25">
        <f t="shared" si="7"/>
        <v>-100</v>
      </c>
      <c r="AH59" s="28">
        <f t="shared" si="8"/>
        <v>0</v>
      </c>
    </row>
    <row r="60" spans="1:36" s="29" customFormat="1" ht="21.75" customHeight="1" x14ac:dyDescent="0.2">
      <c r="A60" s="18">
        <v>43481</v>
      </c>
      <c r="B60" s="19"/>
      <c r="C60" s="20" t="s">
        <v>114</v>
      </c>
      <c r="D60" s="20" t="s">
        <v>115</v>
      </c>
      <c r="E60" s="20" t="s">
        <v>116</v>
      </c>
      <c r="F60" s="21"/>
      <c r="G60" s="44" t="s">
        <v>117</v>
      </c>
      <c r="H60" s="23"/>
      <c r="I60" s="23"/>
      <c r="J60" s="23"/>
      <c r="K60" s="23">
        <v>163</v>
      </c>
      <c r="L60" s="24"/>
      <c r="M60" s="25">
        <f t="shared" si="5"/>
        <v>145.53571428571428</v>
      </c>
      <c r="N60" s="25">
        <f t="shared" si="6"/>
        <v>17.464285714285712</v>
      </c>
      <c r="O60" s="25">
        <f t="shared" si="9"/>
        <v>0</v>
      </c>
      <c r="P60" s="25"/>
      <c r="Q60" s="26"/>
      <c r="R60" s="26"/>
      <c r="S60" s="26">
        <v>145.54</v>
      </c>
      <c r="T60" s="27"/>
      <c r="U60" s="27"/>
      <c r="V60" s="27"/>
      <c r="W60" s="27"/>
      <c r="X60" s="27"/>
      <c r="Y60" s="26"/>
      <c r="Z60" s="26"/>
      <c r="AA60" s="26"/>
      <c r="AB60" s="26"/>
      <c r="AC60" s="27"/>
      <c r="AD60" s="27"/>
      <c r="AE60" s="26"/>
      <c r="AF60" s="26"/>
      <c r="AG60" s="25">
        <f t="shared" si="7"/>
        <v>-163.00428571428571</v>
      </c>
      <c r="AH60" s="28">
        <f t="shared" si="8"/>
        <v>-4.2857142857144481E-3</v>
      </c>
    </row>
    <row r="61" spans="1:36" s="29" customFormat="1" ht="21.75" customHeight="1" x14ac:dyDescent="0.2">
      <c r="A61" s="18">
        <v>43481</v>
      </c>
      <c r="B61" s="19"/>
      <c r="C61" s="20" t="s">
        <v>58</v>
      </c>
      <c r="D61" s="20"/>
      <c r="E61" s="20"/>
      <c r="F61" s="21"/>
      <c r="G61" s="44" t="s">
        <v>118</v>
      </c>
      <c r="H61" s="23">
        <v>50</v>
      </c>
      <c r="I61" s="23"/>
      <c r="J61" s="23"/>
      <c r="K61" s="23"/>
      <c r="L61" s="24"/>
      <c r="M61" s="25">
        <f t="shared" si="5"/>
        <v>50</v>
      </c>
      <c r="N61" s="25">
        <f t="shared" si="6"/>
        <v>0</v>
      </c>
      <c r="O61" s="25">
        <f t="shared" si="9"/>
        <v>0</v>
      </c>
      <c r="P61" s="25"/>
      <c r="Q61" s="26"/>
      <c r="R61" s="26"/>
      <c r="S61" s="26"/>
      <c r="T61" s="27"/>
      <c r="U61" s="27"/>
      <c r="V61" s="27"/>
      <c r="W61" s="27"/>
      <c r="X61" s="27"/>
      <c r="Y61" s="26"/>
      <c r="Z61" s="26"/>
      <c r="AA61" s="26">
        <v>50</v>
      </c>
      <c r="AB61" s="26"/>
      <c r="AC61" s="27"/>
      <c r="AD61" s="27"/>
      <c r="AE61" s="26"/>
      <c r="AF61" s="26"/>
      <c r="AG61" s="25">
        <f t="shared" si="7"/>
        <v>-50</v>
      </c>
      <c r="AH61" s="28">
        <f t="shared" si="8"/>
        <v>0</v>
      </c>
    </row>
    <row r="62" spans="1:36" s="29" customFormat="1" ht="21.75" customHeight="1" x14ac:dyDescent="0.2">
      <c r="A62" s="18">
        <v>43481</v>
      </c>
      <c r="B62" s="19"/>
      <c r="C62" s="20" t="s">
        <v>114</v>
      </c>
      <c r="D62" s="20" t="s">
        <v>115</v>
      </c>
      <c r="E62" s="20" t="s">
        <v>116</v>
      </c>
      <c r="F62" s="21"/>
      <c r="G62" s="44" t="s">
        <v>117</v>
      </c>
      <c r="H62" s="23"/>
      <c r="I62" s="23"/>
      <c r="J62" s="23"/>
      <c r="K62" s="23">
        <v>372.25</v>
      </c>
      <c r="L62" s="24"/>
      <c r="M62" s="25">
        <f t="shared" si="5"/>
        <v>332.36607142857139</v>
      </c>
      <c r="N62" s="25">
        <f t="shared" si="6"/>
        <v>39.883928571428562</v>
      </c>
      <c r="O62" s="25">
        <f t="shared" si="9"/>
        <v>0</v>
      </c>
      <c r="P62" s="25"/>
      <c r="Q62" s="26"/>
      <c r="R62" s="26"/>
      <c r="S62" s="26">
        <v>332.37</v>
      </c>
      <c r="T62" s="27"/>
      <c r="U62" s="27"/>
      <c r="V62" s="27"/>
      <c r="W62" s="27"/>
      <c r="X62" s="27"/>
      <c r="Y62" s="26"/>
      <c r="Z62" s="26"/>
      <c r="AA62" s="26"/>
      <c r="AB62" s="26"/>
      <c r="AC62" s="27"/>
      <c r="AD62" s="27"/>
      <c r="AE62" s="26"/>
      <c r="AF62" s="26"/>
      <c r="AG62" s="25">
        <f t="shared" si="7"/>
        <v>-372.25392857142856</v>
      </c>
      <c r="AH62" s="28">
        <f t="shared" si="8"/>
        <v>-3.9285714285597351E-3</v>
      </c>
    </row>
    <row r="63" spans="1:36" s="29" customFormat="1" ht="21.75" customHeight="1" x14ac:dyDescent="0.2">
      <c r="A63" s="18">
        <v>43482</v>
      </c>
      <c r="B63" s="19"/>
      <c r="C63" s="20" t="s">
        <v>41</v>
      </c>
      <c r="D63" s="20" t="s">
        <v>42</v>
      </c>
      <c r="E63" s="20" t="s">
        <v>43</v>
      </c>
      <c r="F63" s="21">
        <v>115790</v>
      </c>
      <c r="G63" s="44" t="s">
        <v>44</v>
      </c>
      <c r="H63" s="23"/>
      <c r="I63" s="23"/>
      <c r="J63" s="23"/>
      <c r="K63" s="23">
        <v>180</v>
      </c>
      <c r="L63" s="24"/>
      <c r="M63" s="25">
        <f t="shared" si="5"/>
        <v>160.71428571428569</v>
      </c>
      <c r="N63" s="25">
        <f t="shared" si="6"/>
        <v>19.285714285714281</v>
      </c>
      <c r="O63" s="25">
        <f t="shared" si="9"/>
        <v>0</v>
      </c>
      <c r="P63" s="25"/>
      <c r="Q63" s="26">
        <v>160.71</v>
      </c>
      <c r="R63" s="26"/>
      <c r="S63" s="26"/>
      <c r="T63" s="27"/>
      <c r="U63" s="27"/>
      <c r="V63" s="27"/>
      <c r="W63" s="27"/>
      <c r="X63" s="27"/>
      <c r="Y63" s="26"/>
      <c r="Z63" s="26"/>
      <c r="AA63" s="26"/>
      <c r="AB63" s="26"/>
      <c r="AC63" s="27"/>
      <c r="AD63" s="27"/>
      <c r="AE63" s="26"/>
      <c r="AF63" s="26"/>
      <c r="AG63" s="25">
        <f t="shared" si="7"/>
        <v>-179.99571428571429</v>
      </c>
      <c r="AH63" s="28">
        <f t="shared" si="8"/>
        <v>4.2857142857144481E-3</v>
      </c>
    </row>
    <row r="64" spans="1:36" s="29" customFormat="1" ht="21.75" customHeight="1" x14ac:dyDescent="0.2">
      <c r="A64" s="18">
        <v>43482</v>
      </c>
      <c r="B64" s="19"/>
      <c r="C64" s="20" t="s">
        <v>45</v>
      </c>
      <c r="D64" s="20" t="s">
        <v>46</v>
      </c>
      <c r="E64" s="20" t="s">
        <v>47</v>
      </c>
      <c r="F64" s="21">
        <v>200911</v>
      </c>
      <c r="G64" s="44" t="s">
        <v>119</v>
      </c>
      <c r="H64" s="23"/>
      <c r="I64" s="23"/>
      <c r="J64" s="23"/>
      <c r="K64" s="23">
        <f>1094.6+131.35</f>
        <v>1225.9499999999998</v>
      </c>
      <c r="L64" s="24"/>
      <c r="M64" s="25">
        <f t="shared" si="5"/>
        <v>1094.598214285714</v>
      </c>
      <c r="N64" s="25">
        <f t="shared" si="6"/>
        <v>131.35178571428568</v>
      </c>
      <c r="O64" s="25">
        <f t="shared" si="9"/>
        <v>0</v>
      </c>
      <c r="P64" s="25">
        <v>1094.5999999999999</v>
      </c>
      <c r="Q64" s="26"/>
      <c r="R64" s="26"/>
      <c r="S64" s="26"/>
      <c r="T64" s="27"/>
      <c r="U64" s="27"/>
      <c r="V64" s="27"/>
      <c r="W64" s="27"/>
      <c r="X64" s="27"/>
      <c r="Y64" s="26"/>
      <c r="Z64" s="26"/>
      <c r="AA64" s="26"/>
      <c r="AB64" s="26"/>
      <c r="AC64" s="27"/>
      <c r="AD64" s="27"/>
      <c r="AE64" s="26"/>
      <c r="AF64" s="26"/>
      <c r="AG64" s="25">
        <f t="shared" si="7"/>
        <v>-1225.9517857142855</v>
      </c>
      <c r="AH64" s="28">
        <f t="shared" si="8"/>
        <v>-1.7857142856883002E-3</v>
      </c>
    </row>
    <row r="65" spans="1:34" s="29" customFormat="1" ht="21.75" customHeight="1" x14ac:dyDescent="0.2">
      <c r="A65" s="18">
        <v>43482</v>
      </c>
      <c r="B65" s="19"/>
      <c r="C65" s="20" t="s">
        <v>45</v>
      </c>
      <c r="D65" s="20" t="s">
        <v>46</v>
      </c>
      <c r="E65" s="20" t="s">
        <v>47</v>
      </c>
      <c r="F65" s="21">
        <v>200911</v>
      </c>
      <c r="G65" s="44" t="s">
        <v>120</v>
      </c>
      <c r="H65" s="23"/>
      <c r="I65" s="23"/>
      <c r="J65" s="23">
        <v>1555.7</v>
      </c>
      <c r="K65" s="23"/>
      <c r="L65" s="24"/>
      <c r="M65" s="25">
        <f t="shared" si="5"/>
        <v>1555.7</v>
      </c>
      <c r="N65" s="25">
        <f t="shared" si="6"/>
        <v>0</v>
      </c>
      <c r="O65" s="25">
        <f t="shared" si="9"/>
        <v>0</v>
      </c>
      <c r="P65" s="25">
        <v>1555.7</v>
      </c>
      <c r="Q65" s="26"/>
      <c r="R65" s="26"/>
      <c r="S65" s="26"/>
      <c r="T65" s="27"/>
      <c r="U65" s="27"/>
      <c r="V65" s="27"/>
      <c r="W65" s="27"/>
      <c r="X65" s="27"/>
      <c r="Y65" s="26"/>
      <c r="Z65" s="26"/>
      <c r="AA65" s="26"/>
      <c r="AB65" s="26"/>
      <c r="AC65" s="27"/>
      <c r="AD65" s="27"/>
      <c r="AE65" s="26"/>
      <c r="AF65" s="26"/>
      <c r="AG65" s="25">
        <f t="shared" si="7"/>
        <v>-1555.7</v>
      </c>
      <c r="AH65" s="28">
        <f t="shared" si="8"/>
        <v>0</v>
      </c>
    </row>
    <row r="66" spans="1:34" s="29" customFormat="1" ht="21.75" customHeight="1" x14ac:dyDescent="0.2">
      <c r="A66" s="18">
        <v>43482</v>
      </c>
      <c r="B66" s="19"/>
      <c r="C66" s="20" t="s">
        <v>121</v>
      </c>
      <c r="D66" s="20"/>
      <c r="E66" s="20"/>
      <c r="F66" s="21"/>
      <c r="G66" s="44" t="s">
        <v>122</v>
      </c>
      <c r="H66" s="23">
        <v>2000</v>
      </c>
      <c r="I66" s="23"/>
      <c r="J66" s="23"/>
      <c r="K66" s="23"/>
      <c r="L66" s="24"/>
      <c r="M66" s="25">
        <f t="shared" si="5"/>
        <v>2000</v>
      </c>
      <c r="N66" s="25">
        <f t="shared" si="6"/>
        <v>0</v>
      </c>
      <c r="O66" s="25">
        <f t="shared" si="9"/>
        <v>0</v>
      </c>
      <c r="P66" s="25"/>
      <c r="Q66" s="26"/>
      <c r="R66" s="26"/>
      <c r="S66" s="26"/>
      <c r="T66" s="27"/>
      <c r="U66" s="27"/>
      <c r="V66" s="27"/>
      <c r="W66" s="27"/>
      <c r="X66" s="27"/>
      <c r="Y66" s="26"/>
      <c r="Z66" s="26"/>
      <c r="AA66" s="26"/>
      <c r="AB66" s="26"/>
      <c r="AC66" s="27"/>
      <c r="AD66" s="27">
        <v>2000</v>
      </c>
      <c r="AE66" s="26"/>
      <c r="AF66" s="26"/>
      <c r="AG66" s="25">
        <f t="shared" si="7"/>
        <v>-2000</v>
      </c>
      <c r="AH66" s="28">
        <f t="shared" si="8"/>
        <v>0</v>
      </c>
    </row>
    <row r="67" spans="1:34" s="29" customFormat="1" ht="21.75" customHeight="1" x14ac:dyDescent="0.2">
      <c r="A67" s="18">
        <v>43482</v>
      </c>
      <c r="B67" s="19"/>
      <c r="C67" s="20" t="s">
        <v>50</v>
      </c>
      <c r="D67" s="20" t="s">
        <v>51</v>
      </c>
      <c r="E67" s="20" t="s">
        <v>47</v>
      </c>
      <c r="F67" s="21">
        <v>11876</v>
      </c>
      <c r="G67" s="44" t="s">
        <v>123</v>
      </c>
      <c r="H67" s="23"/>
      <c r="I67" s="23"/>
      <c r="J67" s="23"/>
      <c r="K67" s="23">
        <v>414.84</v>
      </c>
      <c r="L67" s="24"/>
      <c r="M67" s="25">
        <f t="shared" si="5"/>
        <v>370.39285714285711</v>
      </c>
      <c r="N67" s="25">
        <f t="shared" si="6"/>
        <v>44.44714285714285</v>
      </c>
      <c r="O67" s="25">
        <f t="shared" si="9"/>
        <v>0</v>
      </c>
      <c r="P67" s="25">
        <v>370.39</v>
      </c>
      <c r="Q67" s="26"/>
      <c r="R67" s="26"/>
      <c r="S67" s="26"/>
      <c r="T67" s="27"/>
      <c r="U67" s="27"/>
      <c r="V67" s="27"/>
      <c r="W67" s="27"/>
      <c r="X67" s="27"/>
      <c r="Y67" s="26"/>
      <c r="Z67" s="26"/>
      <c r="AA67" s="26"/>
      <c r="AB67" s="26"/>
      <c r="AC67" s="27"/>
      <c r="AD67" s="27"/>
      <c r="AE67" s="26"/>
      <c r="AF67" s="26"/>
      <c r="AG67" s="25">
        <f t="shared" si="7"/>
        <v>-414.83714285714285</v>
      </c>
      <c r="AH67" s="28">
        <f t="shared" si="8"/>
        <v>2.8571428571240176E-3</v>
      </c>
    </row>
    <row r="68" spans="1:34" s="29" customFormat="1" ht="21.75" customHeight="1" x14ac:dyDescent="0.2">
      <c r="A68" s="18">
        <v>43483</v>
      </c>
      <c r="B68" s="19"/>
      <c r="C68" s="20" t="s">
        <v>124</v>
      </c>
      <c r="D68" s="20"/>
      <c r="E68" s="20"/>
      <c r="F68" s="21"/>
      <c r="G68" s="44" t="s">
        <v>125</v>
      </c>
      <c r="H68" s="23">
        <v>537</v>
      </c>
      <c r="I68" s="23"/>
      <c r="J68" s="23"/>
      <c r="K68" s="23"/>
      <c r="L68" s="24"/>
      <c r="M68" s="25">
        <f t="shared" si="5"/>
        <v>537</v>
      </c>
      <c r="N68" s="25">
        <f t="shared" si="6"/>
        <v>0</v>
      </c>
      <c r="O68" s="25">
        <f t="shared" si="9"/>
        <v>0</v>
      </c>
      <c r="P68" s="25"/>
      <c r="Q68" s="26"/>
      <c r="R68" s="26"/>
      <c r="S68" s="26"/>
      <c r="T68" s="27"/>
      <c r="U68" s="27"/>
      <c r="V68" s="27"/>
      <c r="W68" s="27"/>
      <c r="X68" s="27"/>
      <c r="Y68" s="26"/>
      <c r="Z68" s="26"/>
      <c r="AA68" s="26">
        <v>537</v>
      </c>
      <c r="AB68" s="26"/>
      <c r="AC68" s="27"/>
      <c r="AD68" s="27"/>
      <c r="AE68" s="26"/>
      <c r="AF68" s="26"/>
      <c r="AG68" s="25">
        <f t="shared" si="7"/>
        <v>-537</v>
      </c>
      <c r="AH68" s="28">
        <f t="shared" si="8"/>
        <v>0</v>
      </c>
    </row>
    <row r="69" spans="1:34" s="29" customFormat="1" ht="21.75" customHeight="1" x14ac:dyDescent="0.2">
      <c r="A69" s="18">
        <v>43484</v>
      </c>
      <c r="B69" s="19"/>
      <c r="C69" s="20" t="s">
        <v>105</v>
      </c>
      <c r="D69" s="20" t="s">
        <v>106</v>
      </c>
      <c r="E69" s="20" t="s">
        <v>47</v>
      </c>
      <c r="F69" s="21">
        <v>725850</v>
      </c>
      <c r="G69" s="44" t="s">
        <v>126</v>
      </c>
      <c r="H69" s="23"/>
      <c r="I69" s="23"/>
      <c r="J69" s="23"/>
      <c r="K69" s="23">
        <v>49.75</v>
      </c>
      <c r="L69" s="24"/>
      <c r="M69" s="25">
        <f t="shared" ref="M69:M100" si="10">SUM(H69:J69,K69/1.12)</f>
        <v>44.419642857142854</v>
      </c>
      <c r="N69" s="25">
        <f t="shared" ref="N69:N100" si="11">K69/1.12*0.12</f>
        <v>5.3303571428571423</v>
      </c>
      <c r="O69" s="25">
        <f t="shared" si="9"/>
        <v>0</v>
      </c>
      <c r="P69" s="25"/>
      <c r="Q69" s="26"/>
      <c r="R69" s="26"/>
      <c r="S69" s="26"/>
      <c r="T69" s="27">
        <v>44.42</v>
      </c>
      <c r="U69" s="27"/>
      <c r="V69" s="27"/>
      <c r="W69" s="27"/>
      <c r="X69" s="27"/>
      <c r="Y69" s="26"/>
      <c r="Z69" s="26"/>
      <c r="AA69" s="26"/>
      <c r="AB69" s="26"/>
      <c r="AC69" s="27"/>
      <c r="AD69" s="27"/>
      <c r="AE69" s="26"/>
      <c r="AF69" s="26"/>
      <c r="AG69" s="25">
        <f t="shared" ref="AG69:AG100" si="12">-SUM(N69:AF69)</f>
        <v>-49.750357142857141</v>
      </c>
      <c r="AH69" s="28">
        <f t="shared" ref="AH69:AH100" si="13">SUM(H69:K69)+AG69+O69</f>
        <v>-3.571428571405022E-4</v>
      </c>
    </row>
    <row r="70" spans="1:34" s="29" customFormat="1" ht="21.75" customHeight="1" x14ac:dyDescent="0.2">
      <c r="A70" s="18">
        <v>43483</v>
      </c>
      <c r="B70" s="19"/>
      <c r="C70" s="20" t="s">
        <v>41</v>
      </c>
      <c r="D70" s="20" t="s">
        <v>42</v>
      </c>
      <c r="E70" s="20" t="s">
        <v>43</v>
      </c>
      <c r="F70" s="21">
        <v>136633</v>
      </c>
      <c r="G70" s="44" t="s">
        <v>44</v>
      </c>
      <c r="H70" s="23"/>
      <c r="I70" s="23"/>
      <c r="J70" s="23"/>
      <c r="K70" s="23">
        <v>180</v>
      </c>
      <c r="L70" s="24"/>
      <c r="M70" s="25">
        <f t="shared" si="10"/>
        <v>160.71428571428569</v>
      </c>
      <c r="N70" s="25">
        <f t="shared" si="11"/>
        <v>19.285714285714281</v>
      </c>
      <c r="O70" s="25">
        <f t="shared" si="9"/>
        <v>0</v>
      </c>
      <c r="P70" s="25"/>
      <c r="Q70" s="26">
        <v>160.71</v>
      </c>
      <c r="R70" s="26"/>
      <c r="S70" s="26"/>
      <c r="T70" s="27"/>
      <c r="U70" s="27"/>
      <c r="V70" s="27"/>
      <c r="W70" s="27"/>
      <c r="X70" s="27"/>
      <c r="Y70" s="26"/>
      <c r="Z70" s="26"/>
      <c r="AA70" s="26"/>
      <c r="AB70" s="26"/>
      <c r="AC70" s="27"/>
      <c r="AD70" s="27"/>
      <c r="AE70" s="26"/>
      <c r="AF70" s="26"/>
      <c r="AG70" s="25">
        <f t="shared" si="12"/>
        <v>-179.99571428571429</v>
      </c>
      <c r="AH70" s="28">
        <f t="shared" si="13"/>
        <v>4.2857142857144481E-3</v>
      </c>
    </row>
    <row r="71" spans="1:34" s="29" customFormat="1" ht="21.75" customHeight="1" x14ac:dyDescent="0.2">
      <c r="A71" s="18">
        <v>43484</v>
      </c>
      <c r="B71" s="19"/>
      <c r="C71" s="20" t="s">
        <v>37</v>
      </c>
      <c r="D71" s="20" t="s">
        <v>38</v>
      </c>
      <c r="E71" s="20" t="s">
        <v>39</v>
      </c>
      <c r="F71" s="21">
        <v>33826</v>
      </c>
      <c r="G71" s="44" t="s">
        <v>127</v>
      </c>
      <c r="H71" s="23"/>
      <c r="I71" s="23"/>
      <c r="J71" s="23"/>
      <c r="K71" s="23">
        <v>238</v>
      </c>
      <c r="L71" s="24"/>
      <c r="M71" s="25">
        <f t="shared" si="10"/>
        <v>212.49999999999997</v>
      </c>
      <c r="N71" s="25">
        <f t="shared" si="11"/>
        <v>25.499999999999996</v>
      </c>
      <c r="O71" s="25">
        <f t="shared" si="9"/>
        <v>0</v>
      </c>
      <c r="P71" s="25">
        <v>212.5</v>
      </c>
      <c r="Q71" s="26"/>
      <c r="R71" s="26"/>
      <c r="S71" s="26"/>
      <c r="T71" s="27"/>
      <c r="U71" s="27"/>
      <c r="V71" s="27"/>
      <c r="W71" s="27"/>
      <c r="X71" s="27"/>
      <c r="Y71" s="26"/>
      <c r="Z71" s="26"/>
      <c r="AA71" s="26"/>
      <c r="AB71" s="26"/>
      <c r="AC71" s="27"/>
      <c r="AD71" s="27"/>
      <c r="AE71" s="26"/>
      <c r="AF71" s="26"/>
      <c r="AG71" s="25">
        <f t="shared" si="12"/>
        <v>-238</v>
      </c>
      <c r="AH71" s="28">
        <f t="shared" si="13"/>
        <v>0</v>
      </c>
    </row>
    <row r="72" spans="1:34" s="29" customFormat="1" ht="21.75" customHeight="1" x14ac:dyDescent="0.2">
      <c r="A72" s="18">
        <v>43484</v>
      </c>
      <c r="B72" s="19"/>
      <c r="C72" s="20" t="s">
        <v>37</v>
      </c>
      <c r="D72" s="20" t="s">
        <v>38</v>
      </c>
      <c r="E72" s="20" t="s">
        <v>39</v>
      </c>
      <c r="F72" s="21">
        <v>33827</v>
      </c>
      <c r="G72" s="44" t="s">
        <v>128</v>
      </c>
      <c r="H72" s="23"/>
      <c r="I72" s="23"/>
      <c r="J72" s="23"/>
      <c r="K72" s="23">
        <f>9.95+480</f>
        <v>489.95</v>
      </c>
      <c r="L72" s="24"/>
      <c r="M72" s="25">
        <f t="shared" si="10"/>
        <v>437.45535714285711</v>
      </c>
      <c r="N72" s="25">
        <f t="shared" si="11"/>
        <v>52.49464285714285</v>
      </c>
      <c r="O72" s="25">
        <f t="shared" si="9"/>
        <v>0</v>
      </c>
      <c r="P72" s="25">
        <v>437.46</v>
      </c>
      <c r="Q72" s="26"/>
      <c r="R72" s="26"/>
      <c r="S72" s="26"/>
      <c r="T72" s="27"/>
      <c r="U72" s="27"/>
      <c r="V72" s="27"/>
      <c r="W72" s="27"/>
      <c r="X72" s="27"/>
      <c r="Y72" s="26"/>
      <c r="Z72" s="26"/>
      <c r="AA72" s="26"/>
      <c r="AB72" s="26"/>
      <c r="AC72" s="27"/>
      <c r="AD72" s="27"/>
      <c r="AE72" s="26"/>
      <c r="AF72" s="26"/>
      <c r="AG72" s="25">
        <f t="shared" si="12"/>
        <v>-489.95464285714286</v>
      </c>
      <c r="AH72" s="28">
        <f t="shared" si="13"/>
        <v>-4.6428571428691612E-3</v>
      </c>
    </row>
    <row r="73" spans="1:34" s="29" customFormat="1" ht="21.75" customHeight="1" x14ac:dyDescent="0.2">
      <c r="A73" s="18">
        <v>43484</v>
      </c>
      <c r="B73" s="19"/>
      <c r="C73" s="20" t="s">
        <v>37</v>
      </c>
      <c r="D73" s="20" t="s">
        <v>38</v>
      </c>
      <c r="E73" s="20" t="s">
        <v>39</v>
      </c>
      <c r="F73" s="21">
        <v>33827</v>
      </c>
      <c r="G73" s="44" t="s">
        <v>129</v>
      </c>
      <c r="H73" s="23"/>
      <c r="I73" s="23"/>
      <c r="J73" s="23"/>
      <c r="K73" s="23">
        <v>69</v>
      </c>
      <c r="L73" s="24"/>
      <c r="M73" s="25">
        <f t="shared" si="10"/>
        <v>61.607142857142854</v>
      </c>
      <c r="N73" s="25">
        <f t="shared" si="11"/>
        <v>7.3928571428571423</v>
      </c>
      <c r="O73" s="25">
        <f t="shared" si="9"/>
        <v>0</v>
      </c>
      <c r="P73" s="25"/>
      <c r="Q73" s="26"/>
      <c r="R73" s="26"/>
      <c r="S73" s="26"/>
      <c r="T73" s="27"/>
      <c r="U73" s="27">
        <v>61.61</v>
      </c>
      <c r="V73" s="27"/>
      <c r="W73" s="27"/>
      <c r="X73" s="27"/>
      <c r="Y73" s="26"/>
      <c r="Z73" s="26"/>
      <c r="AA73" s="26"/>
      <c r="AB73" s="26"/>
      <c r="AC73" s="27"/>
      <c r="AD73" s="27"/>
      <c r="AE73" s="26"/>
      <c r="AF73" s="26"/>
      <c r="AG73" s="25">
        <f t="shared" si="12"/>
        <v>-69.002857142857138</v>
      </c>
      <c r="AH73" s="28">
        <f t="shared" si="13"/>
        <v>-2.8571428571382285E-3</v>
      </c>
    </row>
    <row r="74" spans="1:34" s="29" customFormat="1" ht="21.75" customHeight="1" x14ac:dyDescent="0.2">
      <c r="A74" s="18">
        <v>43486</v>
      </c>
      <c r="B74" s="19"/>
      <c r="C74" s="20" t="s">
        <v>41</v>
      </c>
      <c r="D74" s="20" t="s">
        <v>42</v>
      </c>
      <c r="E74" s="20" t="s">
        <v>43</v>
      </c>
      <c r="F74" s="21">
        <v>123567</v>
      </c>
      <c r="G74" s="44" t="s">
        <v>44</v>
      </c>
      <c r="H74" s="23"/>
      <c r="I74" s="23"/>
      <c r="J74" s="23"/>
      <c r="K74" s="23">
        <v>180</v>
      </c>
      <c r="L74" s="24"/>
      <c r="M74" s="25">
        <f t="shared" si="10"/>
        <v>160.71428571428569</v>
      </c>
      <c r="N74" s="25">
        <f t="shared" si="11"/>
        <v>19.285714285714281</v>
      </c>
      <c r="O74" s="25">
        <f t="shared" si="9"/>
        <v>0</v>
      </c>
      <c r="P74" s="25"/>
      <c r="Q74" s="26">
        <v>160.71</v>
      </c>
      <c r="R74" s="26"/>
      <c r="S74" s="26"/>
      <c r="T74" s="27"/>
      <c r="U74" s="27"/>
      <c r="V74" s="27"/>
      <c r="W74" s="27"/>
      <c r="X74" s="27"/>
      <c r="Y74" s="26"/>
      <c r="Z74" s="26"/>
      <c r="AA74" s="26"/>
      <c r="AB74" s="26"/>
      <c r="AC74" s="27"/>
      <c r="AD74" s="27"/>
      <c r="AE74" s="26"/>
      <c r="AF74" s="26"/>
      <c r="AG74" s="25">
        <f t="shared" si="12"/>
        <v>-179.99571428571429</v>
      </c>
      <c r="AH74" s="28">
        <f t="shared" si="13"/>
        <v>4.2857142857144481E-3</v>
      </c>
    </row>
    <row r="75" spans="1:34" s="29" customFormat="1" ht="21.75" customHeight="1" x14ac:dyDescent="0.2">
      <c r="A75" s="18">
        <v>43486</v>
      </c>
      <c r="B75" s="19"/>
      <c r="C75" s="20" t="s">
        <v>58</v>
      </c>
      <c r="D75" s="20"/>
      <c r="E75" s="20"/>
      <c r="F75" s="21"/>
      <c r="G75" s="44" t="s">
        <v>130</v>
      </c>
      <c r="H75" s="23">
        <v>100</v>
      </c>
      <c r="I75" s="23"/>
      <c r="J75" s="23"/>
      <c r="K75" s="23"/>
      <c r="L75" s="24"/>
      <c r="M75" s="25">
        <f t="shared" si="10"/>
        <v>100</v>
      </c>
      <c r="N75" s="25">
        <f t="shared" si="11"/>
        <v>0</v>
      </c>
      <c r="O75" s="25">
        <f t="shared" si="9"/>
        <v>0</v>
      </c>
      <c r="P75" s="25"/>
      <c r="Q75" s="26"/>
      <c r="R75" s="26"/>
      <c r="S75" s="26"/>
      <c r="T75" s="27"/>
      <c r="U75" s="27"/>
      <c r="V75" s="27"/>
      <c r="W75" s="27"/>
      <c r="X75" s="27"/>
      <c r="Y75" s="26"/>
      <c r="Z75" s="26"/>
      <c r="AA75" s="26">
        <v>100</v>
      </c>
      <c r="AB75" s="26"/>
      <c r="AC75" s="27"/>
      <c r="AD75" s="27"/>
      <c r="AE75" s="26"/>
      <c r="AF75" s="26"/>
      <c r="AG75" s="25">
        <f t="shared" si="12"/>
        <v>-100</v>
      </c>
      <c r="AH75" s="28">
        <f t="shared" si="13"/>
        <v>0</v>
      </c>
    </row>
    <row r="76" spans="1:34" s="29" customFormat="1" ht="21.75" customHeight="1" x14ac:dyDescent="0.2">
      <c r="A76" s="18">
        <v>43486</v>
      </c>
      <c r="B76" s="19"/>
      <c r="C76" s="20" t="s">
        <v>54</v>
      </c>
      <c r="D76" s="20" t="s">
        <v>55</v>
      </c>
      <c r="E76" s="20" t="s">
        <v>47</v>
      </c>
      <c r="F76" s="21">
        <v>2886</v>
      </c>
      <c r="G76" s="44" t="s">
        <v>131</v>
      </c>
      <c r="H76" s="23"/>
      <c r="I76" s="23"/>
      <c r="J76" s="23">
        <v>1750</v>
      </c>
      <c r="K76" s="23"/>
      <c r="L76" s="24"/>
      <c r="M76" s="25">
        <f t="shared" si="10"/>
        <v>1750</v>
      </c>
      <c r="N76" s="25">
        <f t="shared" si="11"/>
        <v>0</v>
      </c>
      <c r="O76" s="25">
        <f t="shared" si="9"/>
        <v>0</v>
      </c>
      <c r="P76" s="25">
        <v>1750</v>
      </c>
      <c r="Q76" s="26"/>
      <c r="R76" s="26"/>
      <c r="S76" s="26"/>
      <c r="T76" s="27"/>
      <c r="U76" s="27"/>
      <c r="V76" s="27"/>
      <c r="W76" s="27"/>
      <c r="X76" s="27"/>
      <c r="Y76" s="26"/>
      <c r="Z76" s="26"/>
      <c r="AA76" s="26"/>
      <c r="AB76" s="26"/>
      <c r="AC76" s="27"/>
      <c r="AD76" s="27"/>
      <c r="AE76" s="26"/>
      <c r="AF76" s="26"/>
      <c r="AG76" s="25">
        <f t="shared" si="12"/>
        <v>-1750</v>
      </c>
      <c r="AH76" s="28">
        <f t="shared" si="13"/>
        <v>0</v>
      </c>
    </row>
    <row r="77" spans="1:34" s="29" customFormat="1" ht="21.75" customHeight="1" x14ac:dyDescent="0.2">
      <c r="A77" s="18">
        <v>43486</v>
      </c>
      <c r="B77" s="19"/>
      <c r="C77" s="20" t="s">
        <v>45</v>
      </c>
      <c r="D77" s="20" t="s">
        <v>46</v>
      </c>
      <c r="E77" s="20" t="s">
        <v>47</v>
      </c>
      <c r="F77" s="21">
        <v>153225</v>
      </c>
      <c r="G77" s="44" t="s">
        <v>132</v>
      </c>
      <c r="H77" s="23"/>
      <c r="I77" s="23"/>
      <c r="J77" s="23"/>
      <c r="K77" s="23">
        <f>2436.92+292.43</f>
        <v>2729.35</v>
      </c>
      <c r="L77" s="24"/>
      <c r="M77" s="25">
        <f t="shared" si="10"/>
        <v>2436.9196428571427</v>
      </c>
      <c r="N77" s="25">
        <f t="shared" si="11"/>
        <v>292.43035714285713</v>
      </c>
      <c r="O77" s="25">
        <f t="shared" si="9"/>
        <v>0</v>
      </c>
      <c r="P77" s="25">
        <v>2436.92</v>
      </c>
      <c r="Q77" s="26"/>
      <c r="R77" s="26"/>
      <c r="S77" s="26"/>
      <c r="T77" s="27"/>
      <c r="U77" s="27"/>
      <c r="V77" s="27"/>
      <c r="W77" s="27"/>
      <c r="X77" s="27"/>
      <c r="Y77" s="26"/>
      <c r="Z77" s="26"/>
      <c r="AA77" s="26"/>
      <c r="AB77" s="26"/>
      <c r="AC77" s="27"/>
      <c r="AD77" s="27"/>
      <c r="AE77" s="26"/>
      <c r="AF77" s="26"/>
      <c r="AG77" s="25">
        <f t="shared" si="12"/>
        <v>-2729.3503571428573</v>
      </c>
      <c r="AH77" s="28">
        <f t="shared" si="13"/>
        <v>-3.5714285741050844E-4</v>
      </c>
    </row>
    <row r="78" spans="1:34" s="29" customFormat="1" ht="21.75" customHeight="1" x14ac:dyDescent="0.2">
      <c r="A78" s="18">
        <v>43486</v>
      </c>
      <c r="B78" s="19"/>
      <c r="C78" s="20" t="s">
        <v>45</v>
      </c>
      <c r="D78" s="20" t="s">
        <v>46</v>
      </c>
      <c r="E78" s="20" t="s">
        <v>47</v>
      </c>
      <c r="F78" s="21">
        <v>153225</v>
      </c>
      <c r="G78" s="44" t="s">
        <v>133</v>
      </c>
      <c r="H78" s="23"/>
      <c r="I78" s="23"/>
      <c r="J78" s="23">
        <v>268.95</v>
      </c>
      <c r="K78" s="23"/>
      <c r="L78" s="24"/>
      <c r="M78" s="25">
        <f t="shared" si="10"/>
        <v>268.95</v>
      </c>
      <c r="N78" s="25">
        <f t="shared" si="11"/>
        <v>0</v>
      </c>
      <c r="O78" s="25">
        <f t="shared" si="9"/>
        <v>0</v>
      </c>
      <c r="P78" s="25">
        <v>268.95</v>
      </c>
      <c r="Q78" s="26"/>
      <c r="R78" s="26"/>
      <c r="S78" s="26"/>
      <c r="T78" s="27"/>
      <c r="U78" s="27"/>
      <c r="V78" s="27"/>
      <c r="W78" s="27"/>
      <c r="X78" s="27"/>
      <c r="Y78" s="26"/>
      <c r="Z78" s="26"/>
      <c r="AA78" s="26"/>
      <c r="AB78" s="26"/>
      <c r="AC78" s="27"/>
      <c r="AD78" s="27"/>
      <c r="AE78" s="26"/>
      <c r="AF78" s="26"/>
      <c r="AG78" s="25">
        <f t="shared" si="12"/>
        <v>-268.95</v>
      </c>
      <c r="AH78" s="28">
        <f t="shared" si="13"/>
        <v>0</v>
      </c>
    </row>
    <row r="79" spans="1:34" s="29" customFormat="1" ht="21.75" customHeight="1" x14ac:dyDescent="0.2">
      <c r="A79" s="18">
        <v>43486</v>
      </c>
      <c r="B79" s="19"/>
      <c r="C79" s="20" t="s">
        <v>134</v>
      </c>
      <c r="D79" s="20" t="s">
        <v>135</v>
      </c>
      <c r="E79" s="20" t="s">
        <v>136</v>
      </c>
      <c r="F79" s="21">
        <v>163609</v>
      </c>
      <c r="G79" s="44" t="s">
        <v>137</v>
      </c>
      <c r="H79" s="23"/>
      <c r="I79" s="23"/>
      <c r="J79" s="23"/>
      <c r="K79" s="23">
        <v>150</v>
      </c>
      <c r="L79" s="24"/>
      <c r="M79" s="25">
        <f t="shared" si="10"/>
        <v>133.92857142857142</v>
      </c>
      <c r="N79" s="25">
        <f t="shared" si="11"/>
        <v>16.071428571428569</v>
      </c>
      <c r="O79" s="25">
        <f t="shared" si="9"/>
        <v>0</v>
      </c>
      <c r="P79" s="25"/>
      <c r="Q79" s="26"/>
      <c r="R79" s="26">
        <v>133.93</v>
      </c>
      <c r="S79" s="26"/>
      <c r="T79" s="27"/>
      <c r="U79" s="27"/>
      <c r="V79" s="27"/>
      <c r="W79" s="27"/>
      <c r="X79" s="27"/>
      <c r="Y79" s="26"/>
      <c r="Z79" s="26"/>
      <c r="AA79" s="26"/>
      <c r="AB79" s="26"/>
      <c r="AC79" s="27"/>
      <c r="AD79" s="27"/>
      <c r="AE79" s="26"/>
      <c r="AF79" s="26"/>
      <c r="AG79" s="25">
        <f t="shared" si="12"/>
        <v>-150.00142857142856</v>
      </c>
      <c r="AH79" s="28">
        <f t="shared" si="13"/>
        <v>-1.4285714285620088E-3</v>
      </c>
    </row>
    <row r="80" spans="1:34" s="29" customFormat="1" ht="21.75" customHeight="1" x14ac:dyDescent="0.2">
      <c r="A80" s="18">
        <v>43487</v>
      </c>
      <c r="B80" s="19"/>
      <c r="C80" s="20" t="s">
        <v>41</v>
      </c>
      <c r="D80" s="20" t="s">
        <v>42</v>
      </c>
      <c r="E80" s="20" t="s">
        <v>43</v>
      </c>
      <c r="F80" s="21">
        <v>123615</v>
      </c>
      <c r="G80" s="44" t="s">
        <v>44</v>
      </c>
      <c r="H80" s="23"/>
      <c r="I80" s="23"/>
      <c r="J80" s="23"/>
      <c r="K80" s="23">
        <v>180</v>
      </c>
      <c r="L80" s="24"/>
      <c r="M80" s="25">
        <f t="shared" si="10"/>
        <v>160.71428571428569</v>
      </c>
      <c r="N80" s="25">
        <f t="shared" si="11"/>
        <v>19.285714285714281</v>
      </c>
      <c r="O80" s="25">
        <f t="shared" si="9"/>
        <v>0</v>
      </c>
      <c r="P80" s="25"/>
      <c r="Q80" s="26">
        <v>160.71</v>
      </c>
      <c r="R80" s="26"/>
      <c r="S80" s="26"/>
      <c r="T80" s="27"/>
      <c r="U80" s="27"/>
      <c r="V80" s="27"/>
      <c r="W80" s="27"/>
      <c r="X80" s="27"/>
      <c r="Y80" s="26"/>
      <c r="Z80" s="26"/>
      <c r="AA80" s="26"/>
      <c r="AB80" s="26"/>
      <c r="AC80" s="27"/>
      <c r="AD80" s="27"/>
      <c r="AE80" s="26"/>
      <c r="AF80" s="26"/>
      <c r="AG80" s="25">
        <f t="shared" si="12"/>
        <v>-179.99571428571429</v>
      </c>
      <c r="AH80" s="28">
        <f t="shared" si="13"/>
        <v>4.2857142857144481E-3</v>
      </c>
    </row>
    <row r="81" spans="1:36" s="29" customFormat="1" ht="21.75" customHeight="1" x14ac:dyDescent="0.2">
      <c r="A81" s="18">
        <v>43488</v>
      </c>
      <c r="B81" s="19"/>
      <c r="C81" s="20" t="s">
        <v>45</v>
      </c>
      <c r="D81" s="20" t="s">
        <v>46</v>
      </c>
      <c r="E81" s="20" t="s">
        <v>47</v>
      </c>
      <c r="F81" s="21">
        <v>128758</v>
      </c>
      <c r="G81" s="44" t="s">
        <v>138</v>
      </c>
      <c r="H81" s="23"/>
      <c r="I81" s="23"/>
      <c r="J81" s="23"/>
      <c r="K81" s="23">
        <f>1057.59+126.91</f>
        <v>1184.5</v>
      </c>
      <c r="L81" s="24"/>
      <c r="M81" s="25">
        <f t="shared" si="10"/>
        <v>1057.5892857142856</v>
      </c>
      <c r="N81" s="25">
        <f t="shared" si="11"/>
        <v>126.91071428571426</v>
      </c>
      <c r="O81" s="25">
        <f t="shared" si="9"/>
        <v>0</v>
      </c>
      <c r="P81" s="25">
        <v>1057.5899999999999</v>
      </c>
      <c r="Q81" s="26"/>
      <c r="R81" s="26"/>
      <c r="S81" s="26"/>
      <c r="T81" s="27"/>
      <c r="U81" s="27"/>
      <c r="V81" s="27"/>
      <c r="W81" s="27"/>
      <c r="X81" s="27"/>
      <c r="Y81" s="26"/>
      <c r="Z81" s="26"/>
      <c r="AA81" s="26"/>
      <c r="AB81" s="26"/>
      <c r="AC81" s="27"/>
      <c r="AD81" s="27"/>
      <c r="AE81" s="26"/>
      <c r="AF81" s="26"/>
      <c r="AG81" s="25">
        <f t="shared" si="12"/>
        <v>-1184.5007142857141</v>
      </c>
      <c r="AH81" s="28">
        <f t="shared" si="13"/>
        <v>-7.1428571413889586E-4</v>
      </c>
    </row>
    <row r="82" spans="1:36" s="29" customFormat="1" ht="21.75" customHeight="1" x14ac:dyDescent="0.2">
      <c r="A82" s="18">
        <v>43488</v>
      </c>
      <c r="B82" s="19"/>
      <c r="C82" s="20" t="s">
        <v>45</v>
      </c>
      <c r="D82" s="20" t="s">
        <v>46</v>
      </c>
      <c r="E82" s="20" t="s">
        <v>47</v>
      </c>
      <c r="F82" s="21">
        <v>128758</v>
      </c>
      <c r="G82" s="44" t="s">
        <v>139</v>
      </c>
      <c r="H82" s="23"/>
      <c r="I82" s="23"/>
      <c r="J82" s="23">
        <v>98.55</v>
      </c>
      <c r="K82" s="23"/>
      <c r="L82" s="24"/>
      <c r="M82" s="25">
        <f t="shared" si="10"/>
        <v>98.55</v>
      </c>
      <c r="N82" s="25">
        <f t="shared" si="11"/>
        <v>0</v>
      </c>
      <c r="O82" s="25">
        <f t="shared" si="9"/>
        <v>0</v>
      </c>
      <c r="P82" s="25">
        <v>98.55</v>
      </c>
      <c r="Q82" s="26"/>
      <c r="R82" s="26"/>
      <c r="S82" s="26"/>
      <c r="T82" s="27"/>
      <c r="U82" s="27"/>
      <c r="V82" s="27"/>
      <c r="W82" s="27"/>
      <c r="X82" s="27"/>
      <c r="Y82" s="26"/>
      <c r="Z82" s="26"/>
      <c r="AA82" s="26"/>
      <c r="AB82" s="26"/>
      <c r="AC82" s="27"/>
      <c r="AD82" s="27"/>
      <c r="AE82" s="26"/>
      <c r="AF82" s="26"/>
      <c r="AG82" s="25">
        <f t="shared" si="12"/>
        <v>-98.55</v>
      </c>
      <c r="AH82" s="28">
        <f t="shared" si="13"/>
        <v>0</v>
      </c>
    </row>
    <row r="83" spans="1:36" s="29" customFormat="1" ht="21.75" customHeight="1" x14ac:dyDescent="0.2">
      <c r="A83" s="18">
        <v>43488</v>
      </c>
      <c r="B83" s="19"/>
      <c r="C83" s="20" t="s">
        <v>37</v>
      </c>
      <c r="D83" s="20" t="s">
        <v>38</v>
      </c>
      <c r="E83" s="20" t="s">
        <v>39</v>
      </c>
      <c r="F83" s="21">
        <v>36196</v>
      </c>
      <c r="G83" s="44" t="s">
        <v>140</v>
      </c>
      <c r="H83" s="23"/>
      <c r="I83" s="23"/>
      <c r="J83" s="23"/>
      <c r="K83" s="23">
        <v>175</v>
      </c>
      <c r="L83" s="24"/>
      <c r="M83" s="25">
        <f t="shared" si="10"/>
        <v>156.24999999999997</v>
      </c>
      <c r="N83" s="25">
        <f t="shared" si="11"/>
        <v>18.749999999999996</v>
      </c>
      <c r="O83" s="25">
        <f t="shared" si="9"/>
        <v>0</v>
      </c>
      <c r="P83" s="25"/>
      <c r="Q83" s="26">
        <v>156.25</v>
      </c>
      <c r="R83" s="26"/>
      <c r="S83" s="26"/>
      <c r="T83" s="27"/>
      <c r="U83" s="27"/>
      <c r="V83" s="27"/>
      <c r="W83" s="27"/>
      <c r="X83" s="27"/>
      <c r="Y83" s="26"/>
      <c r="Z83" s="26"/>
      <c r="AA83" s="26"/>
      <c r="AB83" s="26"/>
      <c r="AC83" s="27"/>
      <c r="AD83" s="27"/>
      <c r="AE83" s="26"/>
      <c r="AF83" s="26"/>
      <c r="AG83" s="25">
        <f t="shared" si="12"/>
        <v>-175</v>
      </c>
      <c r="AH83" s="28">
        <f t="shared" si="13"/>
        <v>0</v>
      </c>
    </row>
    <row r="84" spans="1:36" s="29" customFormat="1" ht="21.75" customHeight="1" x14ac:dyDescent="0.2">
      <c r="A84" s="18">
        <v>43488</v>
      </c>
      <c r="B84" s="19"/>
      <c r="C84" s="20" t="s">
        <v>37</v>
      </c>
      <c r="D84" s="20" t="s">
        <v>38</v>
      </c>
      <c r="E84" s="20" t="s">
        <v>39</v>
      </c>
      <c r="F84" s="21">
        <v>35324</v>
      </c>
      <c r="G84" s="44" t="s">
        <v>140</v>
      </c>
      <c r="H84" s="23"/>
      <c r="I84" s="23"/>
      <c r="J84" s="23"/>
      <c r="K84" s="23">
        <v>394</v>
      </c>
      <c r="L84" s="24"/>
      <c r="M84" s="25">
        <f t="shared" si="10"/>
        <v>351.78571428571428</v>
      </c>
      <c r="N84" s="25">
        <f t="shared" si="11"/>
        <v>42.214285714285708</v>
      </c>
      <c r="O84" s="25">
        <f t="shared" si="9"/>
        <v>0</v>
      </c>
      <c r="P84" s="25"/>
      <c r="Q84" s="26">
        <v>351.79</v>
      </c>
      <c r="R84" s="26"/>
      <c r="S84" s="26"/>
      <c r="T84" s="27"/>
      <c r="U84" s="27"/>
      <c r="V84" s="27"/>
      <c r="W84" s="27"/>
      <c r="X84" s="27"/>
      <c r="Y84" s="26"/>
      <c r="Z84" s="26"/>
      <c r="AA84" s="26"/>
      <c r="AB84" s="26"/>
      <c r="AC84" s="27"/>
      <c r="AD84" s="27"/>
      <c r="AE84" s="26"/>
      <c r="AF84" s="26"/>
      <c r="AG84" s="25">
        <f t="shared" si="12"/>
        <v>-394.00428571428574</v>
      </c>
      <c r="AH84" s="28">
        <f t="shared" si="13"/>
        <v>-4.2857142857428698E-3</v>
      </c>
    </row>
    <row r="85" spans="1:36" s="29" customFormat="1" ht="21.75" customHeight="1" x14ac:dyDescent="0.2">
      <c r="A85" s="18">
        <v>43488</v>
      </c>
      <c r="B85" s="19"/>
      <c r="C85" s="20" t="s">
        <v>41</v>
      </c>
      <c r="D85" s="20" t="s">
        <v>42</v>
      </c>
      <c r="E85" s="20" t="s">
        <v>43</v>
      </c>
      <c r="F85" s="21">
        <v>131857</v>
      </c>
      <c r="G85" s="44" t="s">
        <v>44</v>
      </c>
      <c r="H85" s="23"/>
      <c r="I85" s="23"/>
      <c r="J85" s="23"/>
      <c r="K85" s="23">
        <v>180</v>
      </c>
      <c r="L85" s="24"/>
      <c r="M85" s="25">
        <f t="shared" si="10"/>
        <v>160.71428571428569</v>
      </c>
      <c r="N85" s="25">
        <f t="shared" si="11"/>
        <v>19.285714285714281</v>
      </c>
      <c r="O85" s="25">
        <f t="shared" si="9"/>
        <v>0</v>
      </c>
      <c r="P85" s="25"/>
      <c r="Q85" s="26">
        <v>160.71</v>
      </c>
      <c r="R85" s="26"/>
      <c r="S85" s="26"/>
      <c r="T85" s="27"/>
      <c r="U85" s="27"/>
      <c r="V85" s="27"/>
      <c r="W85" s="27"/>
      <c r="X85" s="27"/>
      <c r="Y85" s="26"/>
      <c r="Z85" s="26"/>
      <c r="AA85" s="26"/>
      <c r="AB85" s="26"/>
      <c r="AC85" s="27"/>
      <c r="AD85" s="27"/>
      <c r="AE85" s="26"/>
      <c r="AF85" s="26"/>
      <c r="AG85" s="25">
        <f t="shared" si="12"/>
        <v>-179.99571428571429</v>
      </c>
      <c r="AH85" s="28">
        <f t="shared" si="13"/>
        <v>4.2857142857144481E-3</v>
      </c>
    </row>
    <row r="86" spans="1:36" s="29" customFormat="1" ht="21.75" customHeight="1" x14ac:dyDescent="0.2">
      <c r="A86" s="18">
        <v>43488</v>
      </c>
      <c r="B86" s="19"/>
      <c r="C86" s="20" t="s">
        <v>62</v>
      </c>
      <c r="D86" s="20"/>
      <c r="E86" s="20"/>
      <c r="F86" s="21"/>
      <c r="G86" s="44" t="s">
        <v>141</v>
      </c>
      <c r="H86" s="23">
        <v>55</v>
      </c>
      <c r="I86" s="23"/>
      <c r="J86" s="23"/>
      <c r="K86" s="23"/>
      <c r="L86" s="24"/>
      <c r="M86" s="25">
        <f t="shared" si="10"/>
        <v>55</v>
      </c>
      <c r="N86" s="25">
        <f t="shared" si="11"/>
        <v>0</v>
      </c>
      <c r="O86" s="25">
        <f t="shared" ref="O86:O115" si="14">-SUM(I86:J86,K86/1.12)*L86</f>
        <v>0</v>
      </c>
      <c r="P86" s="25"/>
      <c r="Q86" s="26"/>
      <c r="R86" s="26"/>
      <c r="S86" s="26"/>
      <c r="T86" s="27"/>
      <c r="U86" s="27"/>
      <c r="V86" s="27"/>
      <c r="W86" s="27"/>
      <c r="X86" s="27"/>
      <c r="Y86" s="26"/>
      <c r="Z86" s="26"/>
      <c r="AA86" s="26">
        <v>55</v>
      </c>
      <c r="AB86" s="26"/>
      <c r="AC86" s="27"/>
      <c r="AD86" s="27"/>
      <c r="AE86" s="26"/>
      <c r="AF86" s="26"/>
      <c r="AG86" s="25">
        <f t="shared" si="12"/>
        <v>-55</v>
      </c>
      <c r="AH86" s="28">
        <f t="shared" si="13"/>
        <v>0</v>
      </c>
    </row>
    <row r="87" spans="1:36" s="29" customFormat="1" ht="21.75" customHeight="1" x14ac:dyDescent="0.2">
      <c r="A87" s="18">
        <v>43488</v>
      </c>
      <c r="B87" s="19"/>
      <c r="C87" s="20" t="s">
        <v>142</v>
      </c>
      <c r="D87" s="20" t="s">
        <v>143</v>
      </c>
      <c r="E87" s="20" t="s">
        <v>47</v>
      </c>
      <c r="F87" s="21">
        <v>168514</v>
      </c>
      <c r="G87" s="44" t="s">
        <v>144</v>
      </c>
      <c r="H87" s="23"/>
      <c r="I87" s="23"/>
      <c r="J87" s="23"/>
      <c r="K87" s="23">
        <v>1610</v>
      </c>
      <c r="L87" s="24"/>
      <c r="M87" s="25">
        <f t="shared" si="10"/>
        <v>1437.4999999999998</v>
      </c>
      <c r="N87" s="25">
        <f t="shared" si="11"/>
        <v>172.49999999999997</v>
      </c>
      <c r="O87" s="25">
        <f t="shared" si="14"/>
        <v>0</v>
      </c>
      <c r="P87" s="25"/>
      <c r="Q87" s="26"/>
      <c r="R87" s="26"/>
      <c r="S87" s="26">
        <v>1437.5</v>
      </c>
      <c r="T87" s="27"/>
      <c r="U87" s="27"/>
      <c r="V87" s="27"/>
      <c r="W87" s="27"/>
      <c r="X87" s="27"/>
      <c r="Y87" s="26"/>
      <c r="Z87" s="26"/>
      <c r="AA87" s="26"/>
      <c r="AB87" s="26"/>
      <c r="AC87" s="27"/>
      <c r="AD87" s="27"/>
      <c r="AE87" s="26"/>
      <c r="AF87" s="26"/>
      <c r="AG87" s="25">
        <f t="shared" si="12"/>
        <v>-1610</v>
      </c>
      <c r="AH87" s="28">
        <f t="shared" si="13"/>
        <v>0</v>
      </c>
    </row>
    <row r="88" spans="1:36" s="29" customFormat="1" ht="21.75" customHeight="1" x14ac:dyDescent="0.2">
      <c r="A88" s="18">
        <v>43488</v>
      </c>
      <c r="B88" s="19"/>
      <c r="C88" s="20" t="s">
        <v>37</v>
      </c>
      <c r="D88" s="20" t="s">
        <v>38</v>
      </c>
      <c r="E88" s="20" t="s">
        <v>39</v>
      </c>
      <c r="F88" s="21">
        <v>33839</v>
      </c>
      <c r="G88" s="44" t="s">
        <v>145</v>
      </c>
      <c r="H88" s="23"/>
      <c r="I88" s="23"/>
      <c r="J88" s="23"/>
      <c r="K88" s="23">
        <v>425</v>
      </c>
      <c r="L88" s="24"/>
      <c r="M88" s="25">
        <f t="shared" si="10"/>
        <v>379.46428571428567</v>
      </c>
      <c r="N88" s="25">
        <f t="shared" si="11"/>
        <v>45.535714285714278</v>
      </c>
      <c r="O88" s="25">
        <f t="shared" si="14"/>
        <v>0</v>
      </c>
      <c r="P88" s="25"/>
      <c r="Q88" s="26">
        <v>379.46</v>
      </c>
      <c r="R88" s="26"/>
      <c r="S88" s="26"/>
      <c r="T88" s="27"/>
      <c r="U88" s="27"/>
      <c r="V88" s="27"/>
      <c r="W88" s="27"/>
      <c r="X88" s="27"/>
      <c r="Y88" s="26"/>
      <c r="Z88" s="26"/>
      <c r="AA88" s="26"/>
      <c r="AB88" s="26"/>
      <c r="AC88" s="27"/>
      <c r="AD88" s="27"/>
      <c r="AE88" s="26"/>
      <c r="AF88" s="26"/>
      <c r="AG88" s="25">
        <f t="shared" si="12"/>
        <v>-424.99571428571426</v>
      </c>
      <c r="AH88" s="28">
        <f t="shared" si="13"/>
        <v>4.2857142857428698E-3</v>
      </c>
    </row>
    <row r="89" spans="1:36" s="29" customFormat="1" ht="21.75" customHeight="1" x14ac:dyDescent="0.2">
      <c r="A89" s="18">
        <v>43488</v>
      </c>
      <c r="B89" s="19"/>
      <c r="C89" s="20" t="s">
        <v>146</v>
      </c>
      <c r="D89" s="20" t="s">
        <v>147</v>
      </c>
      <c r="E89" s="20" t="s">
        <v>47</v>
      </c>
      <c r="F89" s="21">
        <v>2212462</v>
      </c>
      <c r="G89" s="44" t="s">
        <v>148</v>
      </c>
      <c r="H89" s="23"/>
      <c r="I89" s="23"/>
      <c r="J89" s="23"/>
      <c r="K89" s="23">
        <v>610</v>
      </c>
      <c r="L89" s="24"/>
      <c r="M89" s="25">
        <f t="shared" si="10"/>
        <v>544.64285714285711</v>
      </c>
      <c r="N89" s="25">
        <f t="shared" si="11"/>
        <v>65.357142857142847</v>
      </c>
      <c r="O89" s="25">
        <f t="shared" si="14"/>
        <v>0</v>
      </c>
      <c r="P89" s="25"/>
      <c r="Q89" s="26"/>
      <c r="R89" s="26"/>
      <c r="S89" s="26"/>
      <c r="T89" s="27">
        <v>544.64</v>
      </c>
      <c r="U89" s="27"/>
      <c r="V89" s="27"/>
      <c r="W89" s="27"/>
      <c r="X89" s="27"/>
      <c r="Y89" s="26"/>
      <c r="Z89" s="26"/>
      <c r="AA89" s="26"/>
      <c r="AB89" s="26"/>
      <c r="AC89" s="27"/>
      <c r="AD89" s="27"/>
      <c r="AE89" s="26"/>
      <c r="AF89" s="26"/>
      <c r="AG89" s="25">
        <f t="shared" si="12"/>
        <v>-609.99714285714288</v>
      </c>
      <c r="AH89" s="28">
        <f t="shared" si="13"/>
        <v>2.8571428571240176E-3</v>
      </c>
    </row>
    <row r="90" spans="1:36" s="29" customFormat="1" ht="21.75" customHeight="1" x14ac:dyDescent="0.2">
      <c r="A90" s="18">
        <v>43488</v>
      </c>
      <c r="B90" s="19"/>
      <c r="C90" s="20" t="s">
        <v>149</v>
      </c>
      <c r="D90" s="20"/>
      <c r="E90" s="20"/>
      <c r="F90" s="21"/>
      <c r="G90" s="44" t="s">
        <v>150</v>
      </c>
      <c r="H90" s="23">
        <v>100</v>
      </c>
      <c r="I90" s="23"/>
      <c r="J90" s="23"/>
      <c r="K90" s="23"/>
      <c r="L90" s="24"/>
      <c r="M90" s="25">
        <f t="shared" si="10"/>
        <v>100</v>
      </c>
      <c r="N90" s="25">
        <f t="shared" si="11"/>
        <v>0</v>
      </c>
      <c r="O90" s="25">
        <f t="shared" si="14"/>
        <v>0</v>
      </c>
      <c r="P90" s="25"/>
      <c r="Q90" s="26"/>
      <c r="R90" s="26"/>
      <c r="S90" s="26"/>
      <c r="T90" s="27"/>
      <c r="U90" s="27"/>
      <c r="V90" s="27"/>
      <c r="W90" s="27"/>
      <c r="X90" s="27"/>
      <c r="Y90" s="26"/>
      <c r="Z90" s="26"/>
      <c r="AA90" s="26">
        <v>100</v>
      </c>
      <c r="AB90" s="26"/>
      <c r="AC90" s="27"/>
      <c r="AD90" s="27"/>
      <c r="AE90" s="26"/>
      <c r="AF90" s="26"/>
      <c r="AG90" s="25">
        <f t="shared" si="12"/>
        <v>-100</v>
      </c>
      <c r="AH90" s="28">
        <f t="shared" si="13"/>
        <v>0</v>
      </c>
    </row>
    <row r="91" spans="1:36" s="29" customFormat="1" ht="21.75" customHeight="1" x14ac:dyDescent="0.2">
      <c r="A91" s="18">
        <v>43489</v>
      </c>
      <c r="B91" s="19"/>
      <c r="C91" s="20" t="s">
        <v>45</v>
      </c>
      <c r="D91" s="20" t="s">
        <v>46</v>
      </c>
      <c r="E91" s="20" t="s">
        <v>47</v>
      </c>
      <c r="F91" s="21">
        <v>138054</v>
      </c>
      <c r="G91" s="44" t="s">
        <v>151</v>
      </c>
      <c r="H91" s="23"/>
      <c r="I91" s="23"/>
      <c r="J91" s="23"/>
      <c r="K91" s="23">
        <v>160.5</v>
      </c>
      <c r="L91" s="24"/>
      <c r="M91" s="25">
        <f t="shared" si="10"/>
        <v>143.30357142857142</v>
      </c>
      <c r="N91" s="25">
        <f t="shared" si="11"/>
        <v>17.196428571428569</v>
      </c>
      <c r="O91" s="25">
        <f t="shared" si="14"/>
        <v>0</v>
      </c>
      <c r="P91" s="25">
        <v>143.30000000000001</v>
      </c>
      <c r="Q91" s="26"/>
      <c r="R91" s="26"/>
      <c r="S91" s="26"/>
      <c r="T91" s="27"/>
      <c r="U91" s="27"/>
      <c r="V91" s="27"/>
      <c r="W91" s="27"/>
      <c r="X91" s="27"/>
      <c r="Y91" s="26"/>
      <c r="Z91" s="26"/>
      <c r="AA91" s="26"/>
      <c r="AB91" s="26"/>
      <c r="AC91" s="27"/>
      <c r="AD91" s="27"/>
      <c r="AE91" s="26"/>
      <c r="AF91" s="26"/>
      <c r="AG91" s="25">
        <f t="shared" si="12"/>
        <v>-160.49642857142857</v>
      </c>
      <c r="AH91" s="28">
        <f t="shared" si="13"/>
        <v>3.5714285714334437E-3</v>
      </c>
    </row>
    <row r="92" spans="1:36" s="29" customFormat="1" ht="21.75" customHeight="1" x14ac:dyDescent="0.2">
      <c r="A92" s="18">
        <v>43489</v>
      </c>
      <c r="B92" s="19"/>
      <c r="C92" s="20" t="s">
        <v>152</v>
      </c>
      <c r="D92" s="20"/>
      <c r="E92" s="20"/>
      <c r="F92" s="21"/>
      <c r="G92" s="44" t="s">
        <v>153</v>
      </c>
      <c r="H92" s="23">
        <v>37.270000000000003</v>
      </c>
      <c r="I92" s="23"/>
      <c r="J92" s="23"/>
      <c r="K92" s="23"/>
      <c r="L92" s="24"/>
      <c r="M92" s="25">
        <f t="shared" si="10"/>
        <v>37.270000000000003</v>
      </c>
      <c r="N92" s="25">
        <f t="shared" si="11"/>
        <v>0</v>
      </c>
      <c r="O92" s="25">
        <f t="shared" si="14"/>
        <v>0</v>
      </c>
      <c r="P92" s="25"/>
      <c r="Q92" s="26"/>
      <c r="R92" s="26"/>
      <c r="S92" s="26"/>
      <c r="T92" s="27"/>
      <c r="U92" s="27"/>
      <c r="V92" s="27"/>
      <c r="W92" s="27"/>
      <c r="X92" s="27"/>
      <c r="Y92" s="26"/>
      <c r="Z92" s="26"/>
      <c r="AA92" s="26"/>
      <c r="AB92" s="26"/>
      <c r="AC92" s="27"/>
      <c r="AD92" s="27">
        <v>37.270000000000003</v>
      </c>
      <c r="AE92" s="26"/>
      <c r="AF92" s="26"/>
      <c r="AG92" s="25">
        <f t="shared" si="12"/>
        <v>-37.270000000000003</v>
      </c>
      <c r="AH92" s="28">
        <f t="shared" si="13"/>
        <v>0</v>
      </c>
    </row>
    <row r="93" spans="1:36" s="41" customFormat="1" ht="21.75" customHeight="1" x14ac:dyDescent="0.2">
      <c r="A93" s="30">
        <v>43489</v>
      </c>
      <c r="B93" s="31"/>
      <c r="C93" s="32" t="s">
        <v>154</v>
      </c>
      <c r="D93" s="32"/>
      <c r="E93" s="32"/>
      <c r="F93" s="33"/>
      <c r="G93" s="34" t="s">
        <v>155</v>
      </c>
      <c r="H93" s="35">
        <v>9</v>
      </c>
      <c r="I93" s="35"/>
      <c r="J93" s="35"/>
      <c r="K93" s="35"/>
      <c r="L93" s="36"/>
      <c r="M93" s="37">
        <f t="shared" si="10"/>
        <v>9</v>
      </c>
      <c r="N93" s="37">
        <f t="shared" si="11"/>
        <v>0</v>
      </c>
      <c r="O93" s="37">
        <f t="shared" si="14"/>
        <v>0</v>
      </c>
      <c r="P93" s="37"/>
      <c r="Q93" s="38"/>
      <c r="R93" s="38"/>
      <c r="S93" s="38"/>
      <c r="T93" s="39"/>
      <c r="U93" s="39"/>
      <c r="V93" s="39"/>
      <c r="W93" s="39"/>
      <c r="X93" s="39"/>
      <c r="Y93" s="38"/>
      <c r="Z93" s="38"/>
      <c r="AA93" s="38">
        <v>9</v>
      </c>
      <c r="AB93" s="38"/>
      <c r="AC93" s="39"/>
      <c r="AD93" s="39"/>
      <c r="AE93" s="38"/>
      <c r="AF93" s="38"/>
      <c r="AG93" s="37">
        <f t="shared" si="12"/>
        <v>-9</v>
      </c>
      <c r="AH93" s="40">
        <f t="shared" si="13"/>
        <v>0</v>
      </c>
      <c r="AJ93" s="29"/>
    </row>
    <row r="94" spans="1:36" s="29" customFormat="1" ht="21.75" customHeight="1" x14ac:dyDescent="0.2">
      <c r="A94" s="18">
        <v>43489</v>
      </c>
      <c r="B94" s="19"/>
      <c r="C94" s="20" t="s">
        <v>41</v>
      </c>
      <c r="D94" s="20" t="s">
        <v>42</v>
      </c>
      <c r="E94" s="20" t="s">
        <v>43</v>
      </c>
      <c r="F94" s="21">
        <v>131804</v>
      </c>
      <c r="G94" s="44" t="s">
        <v>44</v>
      </c>
      <c r="H94" s="23"/>
      <c r="I94" s="23"/>
      <c r="J94" s="23"/>
      <c r="K94" s="23">
        <v>180</v>
      </c>
      <c r="L94" s="24"/>
      <c r="M94" s="25">
        <f t="shared" si="10"/>
        <v>160.71428571428569</v>
      </c>
      <c r="N94" s="25">
        <f t="shared" si="11"/>
        <v>19.285714285714281</v>
      </c>
      <c r="O94" s="25">
        <f t="shared" si="14"/>
        <v>0</v>
      </c>
      <c r="P94" s="25"/>
      <c r="Q94" s="26">
        <v>160.71</v>
      </c>
      <c r="R94" s="26"/>
      <c r="S94" s="26"/>
      <c r="T94" s="27"/>
      <c r="U94" s="27"/>
      <c r="V94" s="27"/>
      <c r="W94" s="27"/>
      <c r="X94" s="27"/>
      <c r="Y94" s="26"/>
      <c r="Z94" s="26"/>
      <c r="AA94" s="26"/>
      <c r="AB94" s="26"/>
      <c r="AC94" s="27"/>
      <c r="AD94" s="27"/>
      <c r="AE94" s="26"/>
      <c r="AF94" s="26"/>
      <c r="AG94" s="25">
        <f t="shared" si="12"/>
        <v>-179.99571428571429</v>
      </c>
      <c r="AH94" s="28">
        <f t="shared" si="13"/>
        <v>4.2857142857144481E-3</v>
      </c>
    </row>
    <row r="95" spans="1:36" s="29" customFormat="1" ht="21.75" customHeight="1" x14ac:dyDescent="0.2">
      <c r="A95" s="18">
        <v>43490</v>
      </c>
      <c r="B95" s="19"/>
      <c r="C95" s="20" t="s">
        <v>41</v>
      </c>
      <c r="D95" s="20" t="s">
        <v>42</v>
      </c>
      <c r="E95" s="20" t="s">
        <v>43</v>
      </c>
      <c r="F95" s="21">
        <v>131850</v>
      </c>
      <c r="G95" s="44" t="s">
        <v>44</v>
      </c>
      <c r="H95" s="23"/>
      <c r="I95" s="23"/>
      <c r="J95" s="23"/>
      <c r="K95" s="23">
        <v>180</v>
      </c>
      <c r="L95" s="24"/>
      <c r="M95" s="25">
        <f t="shared" si="10"/>
        <v>160.71428571428569</v>
      </c>
      <c r="N95" s="25">
        <f t="shared" si="11"/>
        <v>19.285714285714281</v>
      </c>
      <c r="O95" s="25">
        <f t="shared" si="14"/>
        <v>0</v>
      </c>
      <c r="P95" s="25"/>
      <c r="Q95" s="26">
        <v>160.71</v>
      </c>
      <c r="R95" s="26"/>
      <c r="S95" s="26"/>
      <c r="T95" s="27"/>
      <c r="U95" s="27"/>
      <c r="V95" s="27"/>
      <c r="W95" s="27"/>
      <c r="X95" s="27"/>
      <c r="Y95" s="26"/>
      <c r="Z95" s="26"/>
      <c r="AA95" s="26"/>
      <c r="AB95" s="26"/>
      <c r="AC95" s="27"/>
      <c r="AD95" s="27"/>
      <c r="AE95" s="26"/>
      <c r="AF95" s="26"/>
      <c r="AG95" s="25">
        <f t="shared" si="12"/>
        <v>-179.99571428571429</v>
      </c>
      <c r="AH95" s="28">
        <f t="shared" si="13"/>
        <v>4.2857142857144481E-3</v>
      </c>
    </row>
    <row r="96" spans="1:36" s="29" customFormat="1" ht="21.75" customHeight="1" x14ac:dyDescent="0.2">
      <c r="A96" s="18">
        <v>43490</v>
      </c>
      <c r="B96" s="19"/>
      <c r="C96" s="20" t="s">
        <v>45</v>
      </c>
      <c r="D96" s="20" t="s">
        <v>46</v>
      </c>
      <c r="E96" s="20" t="s">
        <v>47</v>
      </c>
      <c r="F96" s="21">
        <v>125976</v>
      </c>
      <c r="G96" s="44" t="s">
        <v>156</v>
      </c>
      <c r="H96" s="23"/>
      <c r="I96" s="23"/>
      <c r="J96" s="23"/>
      <c r="K96" s="23">
        <v>1014.7</v>
      </c>
      <c r="L96" s="24"/>
      <c r="M96" s="25">
        <f t="shared" si="10"/>
        <v>905.98214285714278</v>
      </c>
      <c r="N96" s="25">
        <f t="shared" si="11"/>
        <v>108.71785714285713</v>
      </c>
      <c r="O96" s="25">
        <f t="shared" si="14"/>
        <v>0</v>
      </c>
      <c r="P96" s="25">
        <v>905.98</v>
      </c>
      <c r="Q96" s="26"/>
      <c r="R96" s="26"/>
      <c r="S96" s="26"/>
      <c r="T96" s="27"/>
      <c r="U96" s="27"/>
      <c r="V96" s="27"/>
      <c r="W96" s="27"/>
      <c r="X96" s="27"/>
      <c r="Y96" s="26"/>
      <c r="Z96" s="26"/>
      <c r="AA96" s="26"/>
      <c r="AB96" s="26"/>
      <c r="AC96" s="27"/>
      <c r="AD96" s="27"/>
      <c r="AE96" s="26"/>
      <c r="AF96" s="26"/>
      <c r="AG96" s="25">
        <f t="shared" si="12"/>
        <v>-1014.6978571428572</v>
      </c>
      <c r="AH96" s="28">
        <f t="shared" si="13"/>
        <v>2.1428571428714349E-3</v>
      </c>
    </row>
    <row r="97" spans="1:36" s="29" customFormat="1" ht="21.75" customHeight="1" x14ac:dyDescent="0.2">
      <c r="A97" s="18">
        <v>43491</v>
      </c>
      <c r="B97" s="19"/>
      <c r="C97" s="20" t="s">
        <v>41</v>
      </c>
      <c r="D97" s="20" t="s">
        <v>42</v>
      </c>
      <c r="E97" s="20" t="s">
        <v>43</v>
      </c>
      <c r="F97" s="21">
        <v>145675</v>
      </c>
      <c r="G97" s="44" t="s">
        <v>44</v>
      </c>
      <c r="H97" s="23"/>
      <c r="I97" s="23"/>
      <c r="J97" s="23"/>
      <c r="K97" s="23">
        <v>90</v>
      </c>
      <c r="L97" s="24"/>
      <c r="M97" s="25">
        <f t="shared" si="10"/>
        <v>80.357142857142847</v>
      </c>
      <c r="N97" s="25">
        <f t="shared" si="11"/>
        <v>9.6428571428571406</v>
      </c>
      <c r="O97" s="25">
        <f t="shared" si="14"/>
        <v>0</v>
      </c>
      <c r="P97" s="25"/>
      <c r="Q97" s="26">
        <v>80.36</v>
      </c>
      <c r="R97" s="26"/>
      <c r="S97" s="26"/>
      <c r="T97" s="27"/>
      <c r="U97" s="27"/>
      <c r="V97" s="27"/>
      <c r="W97" s="27"/>
      <c r="X97" s="27"/>
      <c r="Y97" s="26"/>
      <c r="Z97" s="26"/>
      <c r="AA97" s="26"/>
      <c r="AB97" s="26"/>
      <c r="AC97" s="27"/>
      <c r="AD97" s="27"/>
      <c r="AE97" s="26"/>
      <c r="AF97" s="26"/>
      <c r="AG97" s="25">
        <f t="shared" si="12"/>
        <v>-90.002857142857138</v>
      </c>
      <c r="AH97" s="28">
        <f t="shared" si="13"/>
        <v>-2.8571428571382285E-3</v>
      </c>
    </row>
    <row r="98" spans="1:36" s="29" customFormat="1" ht="21.75" customHeight="1" x14ac:dyDescent="0.2">
      <c r="A98" s="18">
        <v>43491</v>
      </c>
      <c r="B98" s="19"/>
      <c r="C98" s="20" t="s">
        <v>157</v>
      </c>
      <c r="D98" s="20"/>
      <c r="E98" s="20"/>
      <c r="F98" s="21"/>
      <c r="G98" s="44" t="s">
        <v>158</v>
      </c>
      <c r="H98" s="23">
        <v>159</v>
      </c>
      <c r="I98" s="23"/>
      <c r="J98" s="23"/>
      <c r="K98" s="23"/>
      <c r="L98" s="24"/>
      <c r="M98" s="25">
        <f t="shared" si="10"/>
        <v>159</v>
      </c>
      <c r="N98" s="25">
        <f t="shared" si="11"/>
        <v>0</v>
      </c>
      <c r="O98" s="25">
        <f t="shared" si="14"/>
        <v>0</v>
      </c>
      <c r="P98" s="25"/>
      <c r="Q98" s="26"/>
      <c r="R98" s="26"/>
      <c r="S98" s="26"/>
      <c r="T98" s="27"/>
      <c r="U98" s="27"/>
      <c r="V98" s="27"/>
      <c r="W98" s="27"/>
      <c r="X98" s="27"/>
      <c r="Y98" s="26"/>
      <c r="Z98" s="26"/>
      <c r="AA98" s="26">
        <v>159</v>
      </c>
      <c r="AB98" s="26"/>
      <c r="AC98" s="27"/>
      <c r="AD98" s="27"/>
      <c r="AE98" s="26"/>
      <c r="AF98" s="26"/>
      <c r="AG98" s="25">
        <f t="shared" si="12"/>
        <v>-159</v>
      </c>
      <c r="AH98" s="28">
        <f t="shared" si="13"/>
        <v>0</v>
      </c>
    </row>
    <row r="99" spans="1:36" s="29" customFormat="1" ht="21.75" customHeight="1" x14ac:dyDescent="0.2">
      <c r="A99" s="18">
        <v>43491</v>
      </c>
      <c r="B99" s="19"/>
      <c r="C99" s="20" t="s">
        <v>159</v>
      </c>
      <c r="D99" s="20" t="s">
        <v>160</v>
      </c>
      <c r="E99" s="20" t="s">
        <v>161</v>
      </c>
      <c r="F99" s="21">
        <v>17024</v>
      </c>
      <c r="G99" s="44" t="s">
        <v>162</v>
      </c>
      <c r="H99" s="23"/>
      <c r="I99" s="23"/>
      <c r="J99" s="23"/>
      <c r="K99" s="23">
        <v>1075</v>
      </c>
      <c r="L99" s="24"/>
      <c r="M99" s="25">
        <f t="shared" si="10"/>
        <v>959.82142857142844</v>
      </c>
      <c r="N99" s="25">
        <f t="shared" si="11"/>
        <v>115.1785714285714</v>
      </c>
      <c r="O99" s="25">
        <f t="shared" si="14"/>
        <v>0</v>
      </c>
      <c r="P99" s="25"/>
      <c r="Q99" s="26"/>
      <c r="R99" s="26"/>
      <c r="S99" s="26">
        <v>959.82</v>
      </c>
      <c r="T99" s="27"/>
      <c r="U99" s="27"/>
      <c r="V99" s="27"/>
      <c r="W99" s="27"/>
      <c r="X99" s="27"/>
      <c r="Y99" s="26"/>
      <c r="Z99" s="26"/>
      <c r="AA99" s="26"/>
      <c r="AB99" s="26"/>
      <c r="AC99" s="27"/>
      <c r="AD99" s="27"/>
      <c r="AE99" s="26"/>
      <c r="AF99" s="26"/>
      <c r="AG99" s="25">
        <f t="shared" si="12"/>
        <v>-1074.9985714285715</v>
      </c>
      <c r="AH99" s="28">
        <f t="shared" si="13"/>
        <v>1.4285714285051654E-3</v>
      </c>
    </row>
    <row r="100" spans="1:36" s="29" customFormat="1" ht="21.75" customHeight="1" x14ac:dyDescent="0.2">
      <c r="A100" s="18">
        <v>43493</v>
      </c>
      <c r="B100" s="19"/>
      <c r="C100" s="20" t="s">
        <v>163</v>
      </c>
      <c r="D100" s="20" t="s">
        <v>164</v>
      </c>
      <c r="E100" s="20" t="s">
        <v>99</v>
      </c>
      <c r="F100" s="21">
        <v>219507</v>
      </c>
      <c r="G100" s="44" t="s">
        <v>165</v>
      </c>
      <c r="H100" s="23"/>
      <c r="I100" s="23"/>
      <c r="J100" s="23"/>
      <c r="K100" s="23">
        <v>1329.54</v>
      </c>
      <c r="L100" s="24"/>
      <c r="M100" s="25">
        <f t="shared" si="10"/>
        <v>1187.0892857142856</v>
      </c>
      <c r="N100" s="25">
        <f t="shared" si="11"/>
        <v>142.45071428571427</v>
      </c>
      <c r="O100" s="25">
        <f t="shared" si="14"/>
        <v>0</v>
      </c>
      <c r="P100" s="25">
        <v>1187.0899999999999</v>
      </c>
      <c r="Q100" s="26"/>
      <c r="R100" s="26"/>
      <c r="S100" s="26"/>
      <c r="T100" s="27"/>
      <c r="U100" s="27"/>
      <c r="V100" s="27"/>
      <c r="W100" s="27"/>
      <c r="X100" s="27"/>
      <c r="Y100" s="26"/>
      <c r="Z100" s="26"/>
      <c r="AA100" s="26"/>
      <c r="AB100" s="26"/>
      <c r="AC100" s="27"/>
      <c r="AD100" s="27"/>
      <c r="AE100" s="26"/>
      <c r="AF100" s="26"/>
      <c r="AG100" s="25">
        <f t="shared" si="12"/>
        <v>-1329.5407142857141</v>
      </c>
      <c r="AH100" s="28">
        <f t="shared" si="13"/>
        <v>-7.1428571413889586E-4</v>
      </c>
    </row>
    <row r="101" spans="1:36" s="29" customFormat="1" ht="21.75" customHeight="1" x14ac:dyDescent="0.2">
      <c r="A101" s="18">
        <v>43493</v>
      </c>
      <c r="B101" s="19"/>
      <c r="C101" s="20" t="s">
        <v>37</v>
      </c>
      <c r="D101" s="20" t="s">
        <v>166</v>
      </c>
      <c r="E101" s="20" t="s">
        <v>47</v>
      </c>
      <c r="F101" s="21">
        <v>3447</v>
      </c>
      <c r="G101" s="44" t="s">
        <v>167</v>
      </c>
      <c r="H101" s="23"/>
      <c r="I101" s="23"/>
      <c r="J101" s="23"/>
      <c r="K101" s="23">
        <v>324</v>
      </c>
      <c r="L101" s="24"/>
      <c r="M101" s="25">
        <f t="shared" ref="M101:M127" si="15">SUM(H101:J101,K101/1.12)</f>
        <v>289.28571428571428</v>
      </c>
      <c r="N101" s="25">
        <f t="shared" ref="N101:N127" si="16">K101/1.12*0.12</f>
        <v>34.714285714285715</v>
      </c>
      <c r="O101" s="25">
        <f t="shared" si="14"/>
        <v>0</v>
      </c>
      <c r="P101" s="25">
        <v>289.29000000000002</v>
      </c>
      <c r="Q101" s="26"/>
      <c r="R101" s="26"/>
      <c r="S101" s="26"/>
      <c r="T101" s="27"/>
      <c r="U101" s="27"/>
      <c r="V101" s="27"/>
      <c r="W101" s="27"/>
      <c r="X101" s="27"/>
      <c r="Y101" s="26"/>
      <c r="Z101" s="26"/>
      <c r="AA101" s="26"/>
      <c r="AB101" s="26"/>
      <c r="AC101" s="27"/>
      <c r="AD101" s="27"/>
      <c r="AE101" s="26"/>
      <c r="AF101" s="26"/>
      <c r="AG101" s="25">
        <f t="shared" ref="AG101:AG127" si="17">-SUM(N101:AF101)</f>
        <v>-324.00428571428574</v>
      </c>
      <c r="AH101" s="28">
        <f t="shared" ref="AH101:AH127" si="18">SUM(H101:K101)+AG101+O101</f>
        <v>-4.2857142857428698E-3</v>
      </c>
    </row>
    <row r="102" spans="1:36" s="29" customFormat="1" ht="21.75" customHeight="1" x14ac:dyDescent="0.2">
      <c r="A102" s="18">
        <v>43493</v>
      </c>
      <c r="B102" s="19"/>
      <c r="C102" s="20" t="s">
        <v>41</v>
      </c>
      <c r="D102" s="20" t="s">
        <v>42</v>
      </c>
      <c r="E102" s="20" t="s">
        <v>43</v>
      </c>
      <c r="F102" s="21">
        <v>123696</v>
      </c>
      <c r="G102" s="44" t="s">
        <v>44</v>
      </c>
      <c r="H102" s="23"/>
      <c r="I102" s="23"/>
      <c r="J102" s="23"/>
      <c r="K102" s="23">
        <v>180</v>
      </c>
      <c r="L102" s="24"/>
      <c r="M102" s="25">
        <f t="shared" si="15"/>
        <v>160.71428571428569</v>
      </c>
      <c r="N102" s="25">
        <f t="shared" si="16"/>
        <v>19.285714285714281</v>
      </c>
      <c r="O102" s="25">
        <f t="shared" si="14"/>
        <v>0</v>
      </c>
      <c r="P102" s="25"/>
      <c r="Q102" s="26">
        <v>160.71</v>
      </c>
      <c r="R102" s="26"/>
      <c r="S102" s="26"/>
      <c r="T102" s="27"/>
      <c r="U102" s="27"/>
      <c r="V102" s="27"/>
      <c r="W102" s="27"/>
      <c r="X102" s="27"/>
      <c r="Y102" s="26"/>
      <c r="Z102" s="26"/>
      <c r="AA102" s="26"/>
      <c r="AB102" s="26"/>
      <c r="AC102" s="27"/>
      <c r="AD102" s="27"/>
      <c r="AE102" s="26"/>
      <c r="AF102" s="26"/>
      <c r="AG102" s="25">
        <f t="shared" si="17"/>
        <v>-179.99571428571429</v>
      </c>
      <c r="AH102" s="28">
        <f t="shared" si="18"/>
        <v>4.2857142857144481E-3</v>
      </c>
    </row>
    <row r="103" spans="1:36" s="29" customFormat="1" ht="21.75" customHeight="1" x14ac:dyDescent="0.2">
      <c r="A103" s="18">
        <v>43493</v>
      </c>
      <c r="B103" s="19"/>
      <c r="C103" s="20" t="s">
        <v>157</v>
      </c>
      <c r="D103" s="20"/>
      <c r="E103" s="20"/>
      <c r="F103" s="21"/>
      <c r="G103" s="44" t="s">
        <v>168</v>
      </c>
      <c r="H103" s="23">
        <v>153</v>
      </c>
      <c r="I103" s="23"/>
      <c r="J103" s="23"/>
      <c r="K103" s="23"/>
      <c r="L103" s="24"/>
      <c r="M103" s="25">
        <f t="shared" si="15"/>
        <v>153</v>
      </c>
      <c r="N103" s="25">
        <f t="shared" si="16"/>
        <v>0</v>
      </c>
      <c r="O103" s="25">
        <f t="shared" si="14"/>
        <v>0</v>
      </c>
      <c r="P103" s="25"/>
      <c r="Q103" s="26"/>
      <c r="R103" s="26"/>
      <c r="S103" s="26"/>
      <c r="T103" s="27"/>
      <c r="U103" s="27"/>
      <c r="V103" s="27"/>
      <c r="W103" s="27"/>
      <c r="X103" s="27"/>
      <c r="Y103" s="26"/>
      <c r="Z103" s="26"/>
      <c r="AA103" s="26">
        <v>153</v>
      </c>
      <c r="AB103" s="26"/>
      <c r="AC103" s="27"/>
      <c r="AD103" s="27"/>
      <c r="AE103" s="26"/>
      <c r="AF103" s="26"/>
      <c r="AG103" s="25">
        <f t="shared" si="17"/>
        <v>-153</v>
      </c>
      <c r="AH103" s="28">
        <f t="shared" si="18"/>
        <v>0</v>
      </c>
    </row>
    <row r="104" spans="1:36" s="29" customFormat="1" ht="21.75" customHeight="1" x14ac:dyDescent="0.2">
      <c r="A104" s="18">
        <v>43493</v>
      </c>
      <c r="B104" s="19"/>
      <c r="C104" s="20" t="s">
        <v>169</v>
      </c>
      <c r="D104" s="20" t="s">
        <v>170</v>
      </c>
      <c r="E104" s="20" t="s">
        <v>47</v>
      </c>
      <c r="F104" s="21">
        <v>5900</v>
      </c>
      <c r="G104" s="44" t="s">
        <v>171</v>
      </c>
      <c r="H104" s="23"/>
      <c r="I104" s="23"/>
      <c r="J104" s="23"/>
      <c r="K104" s="23">
        <v>300</v>
      </c>
      <c r="L104" s="24"/>
      <c r="M104" s="25">
        <f t="shared" si="15"/>
        <v>267.85714285714283</v>
      </c>
      <c r="N104" s="25">
        <f t="shared" si="16"/>
        <v>32.142857142857139</v>
      </c>
      <c r="O104" s="25">
        <f t="shared" si="14"/>
        <v>0</v>
      </c>
      <c r="P104" s="25">
        <v>267.86</v>
      </c>
      <c r="Q104" s="26"/>
      <c r="R104" s="26"/>
      <c r="S104" s="26"/>
      <c r="T104" s="27"/>
      <c r="U104" s="27"/>
      <c r="V104" s="27"/>
      <c r="W104" s="27"/>
      <c r="X104" s="27"/>
      <c r="Y104" s="26"/>
      <c r="Z104" s="26"/>
      <c r="AA104" s="26"/>
      <c r="AB104" s="26"/>
      <c r="AC104" s="27"/>
      <c r="AD104" s="27"/>
      <c r="AE104" s="26"/>
      <c r="AF104" s="26"/>
      <c r="AG104" s="25">
        <f t="shared" si="17"/>
        <v>-300.00285714285712</v>
      </c>
      <c r="AH104" s="28">
        <f t="shared" si="18"/>
        <v>-2.8571428571240176E-3</v>
      </c>
    </row>
    <row r="105" spans="1:36" s="29" customFormat="1" ht="21.75" customHeight="1" x14ac:dyDescent="0.2">
      <c r="A105" s="18">
        <v>43493</v>
      </c>
      <c r="B105" s="19"/>
      <c r="C105" s="20" t="s">
        <v>45</v>
      </c>
      <c r="D105" s="20" t="s">
        <v>46</v>
      </c>
      <c r="E105" s="20" t="s">
        <v>47</v>
      </c>
      <c r="F105" s="21">
        <v>177140</v>
      </c>
      <c r="G105" s="44" t="s">
        <v>172</v>
      </c>
      <c r="H105" s="23"/>
      <c r="I105" s="23"/>
      <c r="J105" s="23"/>
      <c r="K105" s="23">
        <f>162.23+19.47</f>
        <v>181.7</v>
      </c>
      <c r="L105" s="24"/>
      <c r="M105" s="25">
        <f t="shared" si="15"/>
        <v>162.23214285714283</v>
      </c>
      <c r="N105" s="25">
        <f t="shared" si="16"/>
        <v>19.467857142857138</v>
      </c>
      <c r="O105" s="25">
        <f t="shared" si="14"/>
        <v>0</v>
      </c>
      <c r="P105" s="25">
        <v>162.22999999999999</v>
      </c>
      <c r="Q105" s="26"/>
      <c r="R105" s="26"/>
      <c r="S105" s="26"/>
      <c r="T105" s="27"/>
      <c r="U105" s="27"/>
      <c r="V105" s="27"/>
      <c r="W105" s="27"/>
      <c r="X105" s="27"/>
      <c r="Y105" s="26"/>
      <c r="Z105" s="26"/>
      <c r="AA105" s="26"/>
      <c r="AB105" s="26"/>
      <c r="AC105" s="27"/>
      <c r="AD105" s="27"/>
      <c r="AE105" s="26"/>
      <c r="AF105" s="26"/>
      <c r="AG105" s="25">
        <f t="shared" si="17"/>
        <v>-181.69785714285712</v>
      </c>
      <c r="AH105" s="28">
        <f t="shared" si="18"/>
        <v>2.1428571428714349E-3</v>
      </c>
    </row>
    <row r="106" spans="1:36" s="29" customFormat="1" ht="21.75" customHeight="1" x14ac:dyDescent="0.2">
      <c r="A106" s="18">
        <v>43493</v>
      </c>
      <c r="B106" s="19"/>
      <c r="C106" s="20" t="s">
        <v>45</v>
      </c>
      <c r="D106" s="20" t="s">
        <v>46</v>
      </c>
      <c r="E106" s="20" t="s">
        <v>47</v>
      </c>
      <c r="F106" s="21">
        <v>177140</v>
      </c>
      <c r="G106" s="44" t="s">
        <v>173</v>
      </c>
      <c r="H106" s="23"/>
      <c r="I106" s="23"/>
      <c r="J106" s="23">
        <v>1135.55</v>
      </c>
      <c r="K106" s="23"/>
      <c r="L106" s="24"/>
      <c r="M106" s="25">
        <f t="shared" si="15"/>
        <v>1135.55</v>
      </c>
      <c r="N106" s="25">
        <f t="shared" si="16"/>
        <v>0</v>
      </c>
      <c r="O106" s="25">
        <f t="shared" si="14"/>
        <v>0</v>
      </c>
      <c r="P106" s="25">
        <v>1135.55</v>
      </c>
      <c r="Q106" s="26"/>
      <c r="R106" s="26"/>
      <c r="S106" s="26"/>
      <c r="T106" s="27"/>
      <c r="U106" s="27"/>
      <c r="V106" s="27"/>
      <c r="W106" s="27"/>
      <c r="X106" s="27"/>
      <c r="Y106" s="26"/>
      <c r="Z106" s="26"/>
      <c r="AA106" s="26"/>
      <c r="AB106" s="26"/>
      <c r="AC106" s="27"/>
      <c r="AD106" s="27"/>
      <c r="AE106" s="26"/>
      <c r="AF106" s="26"/>
      <c r="AG106" s="25">
        <f t="shared" si="17"/>
        <v>-1135.55</v>
      </c>
      <c r="AH106" s="28">
        <f t="shared" si="18"/>
        <v>0</v>
      </c>
    </row>
    <row r="107" spans="1:36" s="29" customFormat="1" ht="21.75" customHeight="1" x14ac:dyDescent="0.2">
      <c r="A107" s="18">
        <v>43493</v>
      </c>
      <c r="B107" s="19"/>
      <c r="C107" s="20" t="s">
        <v>174</v>
      </c>
      <c r="D107" s="20" t="s">
        <v>175</v>
      </c>
      <c r="E107" s="20" t="s">
        <v>47</v>
      </c>
      <c r="F107" s="21">
        <v>117924</v>
      </c>
      <c r="G107" s="44" t="s">
        <v>173</v>
      </c>
      <c r="H107" s="23"/>
      <c r="I107" s="23"/>
      <c r="J107" s="23">
        <v>495.99</v>
      </c>
      <c r="K107" s="23"/>
      <c r="L107" s="24"/>
      <c r="M107" s="25">
        <f t="shared" si="15"/>
        <v>495.99</v>
      </c>
      <c r="N107" s="25">
        <f t="shared" si="16"/>
        <v>0</v>
      </c>
      <c r="O107" s="25">
        <f t="shared" si="14"/>
        <v>0</v>
      </c>
      <c r="P107" s="25">
        <v>495.99</v>
      </c>
      <c r="Q107" s="26"/>
      <c r="R107" s="26"/>
      <c r="S107" s="26"/>
      <c r="T107" s="27"/>
      <c r="U107" s="27"/>
      <c r="V107" s="27"/>
      <c r="W107" s="27"/>
      <c r="X107" s="27"/>
      <c r="Y107" s="26"/>
      <c r="Z107" s="26"/>
      <c r="AA107" s="26"/>
      <c r="AB107" s="26"/>
      <c r="AC107" s="27"/>
      <c r="AD107" s="27"/>
      <c r="AE107" s="26"/>
      <c r="AF107" s="26"/>
      <c r="AG107" s="25">
        <f t="shared" si="17"/>
        <v>-495.99</v>
      </c>
      <c r="AH107" s="28">
        <f t="shared" si="18"/>
        <v>0</v>
      </c>
    </row>
    <row r="108" spans="1:36" s="29" customFormat="1" ht="21.75" customHeight="1" x14ac:dyDescent="0.2">
      <c r="A108" s="18">
        <v>43494</v>
      </c>
      <c r="B108" s="19"/>
      <c r="C108" s="20" t="s">
        <v>41</v>
      </c>
      <c r="D108" s="20" t="s">
        <v>42</v>
      </c>
      <c r="E108" s="20" t="s">
        <v>43</v>
      </c>
      <c r="F108" s="21">
        <v>145747</v>
      </c>
      <c r="G108" s="44" t="s">
        <v>44</v>
      </c>
      <c r="H108" s="23"/>
      <c r="I108" s="23"/>
      <c r="J108" s="23"/>
      <c r="K108" s="23">
        <v>180</v>
      </c>
      <c r="L108" s="24"/>
      <c r="M108" s="25">
        <f t="shared" si="15"/>
        <v>160.71428571428569</v>
      </c>
      <c r="N108" s="25">
        <f t="shared" si="16"/>
        <v>19.285714285714281</v>
      </c>
      <c r="O108" s="25">
        <f t="shared" si="14"/>
        <v>0</v>
      </c>
      <c r="P108" s="25"/>
      <c r="Q108" s="26">
        <v>160.71</v>
      </c>
      <c r="R108" s="26"/>
      <c r="S108" s="26"/>
      <c r="T108" s="27"/>
      <c r="U108" s="27"/>
      <c r="V108" s="27"/>
      <c r="W108" s="27"/>
      <c r="X108" s="27"/>
      <c r="Y108" s="26"/>
      <c r="Z108" s="26"/>
      <c r="AA108" s="26"/>
      <c r="AB108" s="26"/>
      <c r="AC108" s="27"/>
      <c r="AD108" s="27"/>
      <c r="AE108" s="26"/>
      <c r="AF108" s="26"/>
      <c r="AG108" s="25">
        <f t="shared" si="17"/>
        <v>-179.99571428571429</v>
      </c>
      <c r="AH108" s="28">
        <f t="shared" si="18"/>
        <v>4.2857142857144481E-3</v>
      </c>
    </row>
    <row r="109" spans="1:36" s="29" customFormat="1" ht="21.75" customHeight="1" x14ac:dyDescent="0.2">
      <c r="A109" s="18">
        <v>43494</v>
      </c>
      <c r="B109" s="19"/>
      <c r="C109" s="20" t="s">
        <v>176</v>
      </c>
      <c r="D109" s="20"/>
      <c r="E109" s="20"/>
      <c r="F109" s="21"/>
      <c r="G109" s="44" t="s">
        <v>177</v>
      </c>
      <c r="H109" s="23">
        <v>537</v>
      </c>
      <c r="I109" s="23"/>
      <c r="J109" s="23"/>
      <c r="K109" s="23"/>
      <c r="L109" s="24"/>
      <c r="M109" s="25">
        <f t="shared" si="15"/>
        <v>537</v>
      </c>
      <c r="N109" s="25">
        <f t="shared" si="16"/>
        <v>0</v>
      </c>
      <c r="O109" s="25">
        <f t="shared" si="14"/>
        <v>0</v>
      </c>
      <c r="P109" s="25"/>
      <c r="Q109" s="26"/>
      <c r="R109" s="26"/>
      <c r="S109" s="26"/>
      <c r="T109" s="27"/>
      <c r="U109" s="27"/>
      <c r="V109" s="27"/>
      <c r="W109" s="27"/>
      <c r="X109" s="27"/>
      <c r="Y109" s="26"/>
      <c r="Z109" s="26"/>
      <c r="AA109" s="26"/>
      <c r="AB109" s="26">
        <v>537</v>
      </c>
      <c r="AC109" s="27"/>
      <c r="AD109" s="27"/>
      <c r="AE109" s="26"/>
      <c r="AF109" s="26"/>
      <c r="AG109" s="25">
        <f t="shared" si="17"/>
        <v>-537</v>
      </c>
      <c r="AH109" s="28">
        <f t="shared" si="18"/>
        <v>0</v>
      </c>
    </row>
    <row r="110" spans="1:36" s="29" customFormat="1" ht="21.75" customHeight="1" x14ac:dyDescent="0.2">
      <c r="A110" s="18">
        <v>43494</v>
      </c>
      <c r="B110" s="19"/>
      <c r="C110" s="20" t="s">
        <v>50</v>
      </c>
      <c r="D110" s="20" t="s">
        <v>51</v>
      </c>
      <c r="E110" s="20" t="s">
        <v>47</v>
      </c>
      <c r="F110" s="21">
        <v>12383</v>
      </c>
      <c r="G110" s="44" t="s">
        <v>123</v>
      </c>
      <c r="H110" s="23"/>
      <c r="I110" s="23"/>
      <c r="J110" s="23"/>
      <c r="K110" s="23">
        <v>414.84</v>
      </c>
      <c r="L110" s="24"/>
      <c r="M110" s="25">
        <f t="shared" si="15"/>
        <v>370.39285714285711</v>
      </c>
      <c r="N110" s="25">
        <f t="shared" si="16"/>
        <v>44.44714285714285</v>
      </c>
      <c r="O110" s="25">
        <f t="shared" si="14"/>
        <v>0</v>
      </c>
      <c r="P110" s="25">
        <v>370.39</v>
      </c>
      <c r="Q110" s="26"/>
      <c r="R110" s="26"/>
      <c r="S110" s="26"/>
      <c r="T110" s="27"/>
      <c r="U110" s="27"/>
      <c r="V110" s="27"/>
      <c r="W110" s="27"/>
      <c r="X110" s="27"/>
      <c r="Y110" s="26"/>
      <c r="Z110" s="26"/>
      <c r="AA110" s="26"/>
      <c r="AB110" s="26"/>
      <c r="AC110" s="27"/>
      <c r="AD110" s="27"/>
      <c r="AE110" s="26"/>
      <c r="AF110" s="26"/>
      <c r="AG110" s="25">
        <f t="shared" si="17"/>
        <v>-414.83714285714285</v>
      </c>
      <c r="AH110" s="28">
        <f t="shared" si="18"/>
        <v>2.8571428571240176E-3</v>
      </c>
    </row>
    <row r="111" spans="1:36" s="29" customFormat="1" ht="21.75" customHeight="1" x14ac:dyDescent="0.2">
      <c r="A111" s="18">
        <v>43494</v>
      </c>
      <c r="B111" s="19"/>
      <c r="C111" s="20" t="s">
        <v>45</v>
      </c>
      <c r="D111" s="20" t="s">
        <v>46</v>
      </c>
      <c r="E111" s="20" t="s">
        <v>47</v>
      </c>
      <c r="F111" s="21">
        <v>126674</v>
      </c>
      <c r="G111" s="44" t="s">
        <v>69</v>
      </c>
      <c r="H111" s="23"/>
      <c r="I111" s="23"/>
      <c r="J111" s="23">
        <v>260.10000000000002</v>
      </c>
      <c r="K111" s="23"/>
      <c r="L111" s="24"/>
      <c r="M111" s="25">
        <f t="shared" si="15"/>
        <v>260.10000000000002</v>
      </c>
      <c r="N111" s="25">
        <f t="shared" si="16"/>
        <v>0</v>
      </c>
      <c r="O111" s="25">
        <f t="shared" si="14"/>
        <v>0</v>
      </c>
      <c r="P111" s="25">
        <v>260.10000000000002</v>
      </c>
      <c r="Q111" s="26"/>
      <c r="R111" s="26"/>
      <c r="S111" s="26"/>
      <c r="T111" s="27"/>
      <c r="U111" s="27"/>
      <c r="V111" s="27"/>
      <c r="W111" s="27"/>
      <c r="X111" s="27"/>
      <c r="Y111" s="26"/>
      <c r="Z111" s="26"/>
      <c r="AA111" s="26"/>
      <c r="AB111" s="26"/>
      <c r="AC111" s="27"/>
      <c r="AD111" s="27"/>
      <c r="AE111" s="26"/>
      <c r="AF111" s="26"/>
      <c r="AG111" s="25">
        <f t="shared" si="17"/>
        <v>-260.10000000000002</v>
      </c>
      <c r="AH111" s="28">
        <f t="shared" si="18"/>
        <v>0</v>
      </c>
    </row>
    <row r="112" spans="1:36" s="41" customFormat="1" ht="21.75" customHeight="1" x14ac:dyDescent="0.2">
      <c r="A112" s="30">
        <v>43494</v>
      </c>
      <c r="B112" s="31"/>
      <c r="C112" s="32" t="s">
        <v>45</v>
      </c>
      <c r="D112" s="32" t="s">
        <v>46</v>
      </c>
      <c r="E112" s="32" t="s">
        <v>47</v>
      </c>
      <c r="F112" s="33">
        <v>126674</v>
      </c>
      <c r="G112" s="34" t="s">
        <v>178</v>
      </c>
      <c r="H112" s="35"/>
      <c r="I112" s="35"/>
      <c r="J112" s="35"/>
      <c r="K112" s="35">
        <f>1104.46+132.54</f>
        <v>1237</v>
      </c>
      <c r="L112" s="36"/>
      <c r="M112" s="37">
        <f t="shared" si="15"/>
        <v>1104.4642857142856</v>
      </c>
      <c r="N112" s="37">
        <f t="shared" si="16"/>
        <v>132.53571428571425</v>
      </c>
      <c r="O112" s="37">
        <f t="shared" si="14"/>
        <v>0</v>
      </c>
      <c r="P112" s="37">
        <v>1104.46</v>
      </c>
      <c r="Q112" s="38"/>
      <c r="R112" s="38"/>
      <c r="S112" s="38"/>
      <c r="T112" s="39"/>
      <c r="U112" s="39"/>
      <c r="V112" s="39"/>
      <c r="W112" s="39"/>
      <c r="X112" s="39"/>
      <c r="Y112" s="38"/>
      <c r="Z112" s="38"/>
      <c r="AA112" s="38"/>
      <c r="AB112" s="38"/>
      <c r="AC112" s="39"/>
      <c r="AD112" s="39"/>
      <c r="AE112" s="38"/>
      <c r="AF112" s="38"/>
      <c r="AG112" s="37">
        <f t="shared" si="17"/>
        <v>-1236.9957142857143</v>
      </c>
      <c r="AH112" s="40">
        <f t="shared" si="18"/>
        <v>4.2857142857428698E-3</v>
      </c>
      <c r="AJ112" s="29"/>
    </row>
    <row r="113" spans="1:34" s="29" customFormat="1" ht="21.75" customHeight="1" x14ac:dyDescent="0.2">
      <c r="A113" s="18">
        <v>43495</v>
      </c>
      <c r="B113" s="19"/>
      <c r="C113" s="20" t="s">
        <v>179</v>
      </c>
      <c r="D113" s="20"/>
      <c r="E113" s="20"/>
      <c r="F113" s="21"/>
      <c r="G113" s="44" t="s">
        <v>75</v>
      </c>
      <c r="H113" s="23"/>
      <c r="I113" s="23"/>
      <c r="J113" s="23">
        <v>1123</v>
      </c>
      <c r="K113" s="23"/>
      <c r="L113" s="24"/>
      <c r="M113" s="25">
        <f t="shared" si="15"/>
        <v>1123</v>
      </c>
      <c r="N113" s="25">
        <f t="shared" si="16"/>
        <v>0</v>
      </c>
      <c r="O113" s="25">
        <f t="shared" si="14"/>
        <v>0</v>
      </c>
      <c r="P113" s="25">
        <v>1123</v>
      </c>
      <c r="Q113" s="26"/>
      <c r="R113" s="26"/>
      <c r="S113" s="26"/>
      <c r="T113" s="27"/>
      <c r="U113" s="27"/>
      <c r="V113" s="27"/>
      <c r="W113" s="27"/>
      <c r="X113" s="27"/>
      <c r="Y113" s="26"/>
      <c r="Z113" s="26"/>
      <c r="AA113" s="26"/>
      <c r="AB113" s="26"/>
      <c r="AC113" s="27"/>
      <c r="AD113" s="27"/>
      <c r="AE113" s="26"/>
      <c r="AF113" s="26"/>
      <c r="AG113" s="25">
        <f t="shared" si="17"/>
        <v>-1123</v>
      </c>
      <c r="AH113" s="28">
        <f t="shared" si="18"/>
        <v>0</v>
      </c>
    </row>
    <row r="114" spans="1:34" s="29" customFormat="1" ht="21.75" customHeight="1" x14ac:dyDescent="0.2">
      <c r="A114" s="18">
        <v>43495</v>
      </c>
      <c r="B114" s="19"/>
      <c r="C114" s="20" t="s">
        <v>58</v>
      </c>
      <c r="D114" s="20"/>
      <c r="E114" s="20"/>
      <c r="F114" s="21"/>
      <c r="G114" s="44" t="s">
        <v>180</v>
      </c>
      <c r="H114" s="23">
        <v>50</v>
      </c>
      <c r="I114" s="23"/>
      <c r="J114" s="23"/>
      <c r="K114" s="23"/>
      <c r="L114" s="24"/>
      <c r="M114" s="25">
        <f t="shared" si="15"/>
        <v>50</v>
      </c>
      <c r="N114" s="25">
        <f t="shared" si="16"/>
        <v>0</v>
      </c>
      <c r="O114" s="25">
        <f t="shared" si="14"/>
        <v>0</v>
      </c>
      <c r="P114" s="25"/>
      <c r="Q114" s="26"/>
      <c r="R114" s="26"/>
      <c r="S114" s="26"/>
      <c r="T114" s="27"/>
      <c r="U114" s="27"/>
      <c r="V114" s="27"/>
      <c r="W114" s="27"/>
      <c r="X114" s="27"/>
      <c r="Y114" s="26"/>
      <c r="Z114" s="26"/>
      <c r="AA114" s="26">
        <v>50</v>
      </c>
      <c r="AB114" s="26"/>
      <c r="AC114" s="27"/>
      <c r="AD114" s="27"/>
      <c r="AE114" s="26"/>
      <c r="AF114" s="26"/>
      <c r="AG114" s="25">
        <f t="shared" si="17"/>
        <v>-50</v>
      </c>
      <c r="AH114" s="28">
        <f t="shared" si="18"/>
        <v>0</v>
      </c>
    </row>
    <row r="115" spans="1:34" s="29" customFormat="1" ht="21.75" customHeight="1" x14ac:dyDescent="0.2">
      <c r="A115" s="18">
        <v>43495</v>
      </c>
      <c r="B115" s="19"/>
      <c r="C115" s="20" t="s">
        <v>41</v>
      </c>
      <c r="D115" s="20" t="s">
        <v>42</v>
      </c>
      <c r="E115" s="20" t="s">
        <v>43</v>
      </c>
      <c r="F115" s="21">
        <v>131795</v>
      </c>
      <c r="G115" s="44" t="s">
        <v>44</v>
      </c>
      <c r="H115" s="23"/>
      <c r="I115" s="23"/>
      <c r="J115" s="23"/>
      <c r="K115" s="23">
        <v>180</v>
      </c>
      <c r="L115" s="24"/>
      <c r="M115" s="25">
        <f t="shared" si="15"/>
        <v>160.71428571428569</v>
      </c>
      <c r="N115" s="25">
        <f t="shared" si="16"/>
        <v>19.285714285714281</v>
      </c>
      <c r="O115" s="25">
        <f t="shared" si="14"/>
        <v>0</v>
      </c>
      <c r="P115" s="25"/>
      <c r="Q115" s="26">
        <v>160.71</v>
      </c>
      <c r="R115" s="26"/>
      <c r="S115" s="26"/>
      <c r="T115" s="27"/>
      <c r="U115" s="27"/>
      <c r="V115" s="27"/>
      <c r="W115" s="27"/>
      <c r="X115" s="27"/>
      <c r="Y115" s="26"/>
      <c r="Z115" s="26"/>
      <c r="AA115" s="26"/>
      <c r="AB115" s="26"/>
      <c r="AC115" s="27"/>
      <c r="AD115" s="27"/>
      <c r="AE115" s="26"/>
      <c r="AF115" s="26"/>
      <c r="AG115" s="25">
        <f t="shared" si="17"/>
        <v>-179.99571428571429</v>
      </c>
      <c r="AH115" s="28">
        <f t="shared" si="18"/>
        <v>4.2857142857144481E-3</v>
      </c>
    </row>
    <row r="116" spans="1:34" s="29" customFormat="1" ht="35.25" customHeight="1" x14ac:dyDescent="0.2">
      <c r="A116" s="18">
        <v>43496</v>
      </c>
      <c r="B116" s="19"/>
      <c r="C116" s="20" t="s">
        <v>80</v>
      </c>
      <c r="D116" s="20" t="s">
        <v>181</v>
      </c>
      <c r="E116" s="20" t="s">
        <v>82</v>
      </c>
      <c r="F116" s="21">
        <v>1726</v>
      </c>
      <c r="G116" s="44" t="s">
        <v>182</v>
      </c>
      <c r="H116" s="23"/>
      <c r="I116" s="23"/>
      <c r="J116" s="23"/>
      <c r="K116" s="23">
        <v>6652</v>
      </c>
      <c r="L116" s="24"/>
      <c r="M116" s="25">
        <f t="shared" si="15"/>
        <v>5939.2857142857138</v>
      </c>
      <c r="N116" s="25">
        <f t="shared" si="16"/>
        <v>712.71428571428567</v>
      </c>
      <c r="O116" s="25"/>
      <c r="P116" s="25">
        <v>5939.29</v>
      </c>
      <c r="Q116" s="26"/>
      <c r="R116" s="26"/>
      <c r="S116" s="26"/>
      <c r="T116" s="27"/>
      <c r="U116" s="27"/>
      <c r="V116" s="27"/>
      <c r="W116" s="27"/>
      <c r="X116" s="27"/>
      <c r="Y116" s="26"/>
      <c r="Z116" s="26"/>
      <c r="AA116" s="26"/>
      <c r="AB116" s="26"/>
      <c r="AC116" s="27"/>
      <c r="AD116" s="27"/>
      <c r="AE116" s="26"/>
      <c r="AF116" s="26"/>
      <c r="AG116" s="25">
        <f t="shared" si="17"/>
        <v>-6652.0042857142853</v>
      </c>
      <c r="AH116" s="28">
        <f t="shared" si="18"/>
        <v>-4.2857142852881225E-3</v>
      </c>
    </row>
    <row r="117" spans="1:34" s="29" customFormat="1" ht="23.25" customHeight="1" x14ac:dyDescent="0.2">
      <c r="A117" s="18">
        <v>43496</v>
      </c>
      <c r="B117" s="19"/>
      <c r="C117" s="20" t="s">
        <v>80</v>
      </c>
      <c r="D117" s="20" t="s">
        <v>181</v>
      </c>
      <c r="E117" s="20" t="s">
        <v>82</v>
      </c>
      <c r="F117" s="21">
        <v>1725</v>
      </c>
      <c r="G117" s="44" t="s">
        <v>183</v>
      </c>
      <c r="H117" s="23"/>
      <c r="I117" s="23"/>
      <c r="J117" s="23"/>
      <c r="K117" s="23">
        <v>390</v>
      </c>
      <c r="L117" s="24"/>
      <c r="M117" s="25">
        <f t="shared" si="15"/>
        <v>348.21428571428567</v>
      </c>
      <c r="N117" s="25">
        <f t="shared" si="16"/>
        <v>41.785714285714278</v>
      </c>
      <c r="O117" s="25"/>
      <c r="P117" s="25">
        <v>348.21</v>
      </c>
      <c r="Q117" s="26"/>
      <c r="R117" s="26"/>
      <c r="S117" s="26"/>
      <c r="T117" s="27"/>
      <c r="U117" s="27"/>
      <c r="V117" s="27"/>
      <c r="W117" s="27"/>
      <c r="X117" s="27"/>
      <c r="Y117" s="26"/>
      <c r="Z117" s="26"/>
      <c r="AA117" s="26"/>
      <c r="AB117" s="26"/>
      <c r="AC117" s="27"/>
      <c r="AD117" s="27"/>
      <c r="AE117" s="26"/>
      <c r="AF117" s="26"/>
      <c r="AG117" s="25">
        <f t="shared" si="17"/>
        <v>-389.99571428571426</v>
      </c>
      <c r="AH117" s="28">
        <f t="shared" si="18"/>
        <v>4.2857142857428698E-3</v>
      </c>
    </row>
    <row r="118" spans="1:34" s="29" customFormat="1" ht="21.75" customHeight="1" x14ac:dyDescent="0.2">
      <c r="A118" s="18">
        <v>43496</v>
      </c>
      <c r="B118" s="19"/>
      <c r="C118" s="20" t="s">
        <v>58</v>
      </c>
      <c r="D118" s="20"/>
      <c r="E118" s="20"/>
      <c r="F118" s="21"/>
      <c r="G118" s="44" t="s">
        <v>184</v>
      </c>
      <c r="H118" s="23">
        <v>50</v>
      </c>
      <c r="I118" s="23"/>
      <c r="J118" s="23"/>
      <c r="K118" s="23"/>
      <c r="L118" s="24"/>
      <c r="M118" s="25">
        <f t="shared" si="15"/>
        <v>50</v>
      </c>
      <c r="N118" s="25">
        <f t="shared" si="16"/>
        <v>0</v>
      </c>
      <c r="O118" s="25">
        <f>-SUM(I118:J118,K118/1.12)*L118</f>
        <v>0</v>
      </c>
      <c r="P118" s="25"/>
      <c r="Q118" s="26"/>
      <c r="R118" s="26"/>
      <c r="S118" s="26"/>
      <c r="T118" s="27"/>
      <c r="U118" s="27"/>
      <c r="V118" s="27"/>
      <c r="W118" s="27"/>
      <c r="X118" s="27"/>
      <c r="Y118" s="26"/>
      <c r="Z118" s="26"/>
      <c r="AA118" s="26">
        <v>50</v>
      </c>
      <c r="AB118" s="26"/>
      <c r="AC118" s="27"/>
      <c r="AD118" s="27"/>
      <c r="AE118" s="26"/>
      <c r="AF118" s="26"/>
      <c r="AG118" s="25">
        <f t="shared" si="17"/>
        <v>-50</v>
      </c>
      <c r="AH118" s="28">
        <f t="shared" si="18"/>
        <v>0</v>
      </c>
    </row>
    <row r="119" spans="1:34" s="29" customFormat="1" ht="21.75" customHeight="1" x14ac:dyDescent="0.2">
      <c r="A119" s="18">
        <v>43496</v>
      </c>
      <c r="B119" s="19"/>
      <c r="C119" s="20" t="s">
        <v>185</v>
      </c>
      <c r="D119" s="20" t="s">
        <v>106</v>
      </c>
      <c r="E119" s="20" t="s">
        <v>186</v>
      </c>
      <c r="F119" s="21">
        <v>728377</v>
      </c>
      <c r="G119" s="44" t="s">
        <v>187</v>
      </c>
      <c r="H119" s="23"/>
      <c r="I119" s="23"/>
      <c r="J119" s="23"/>
      <c r="K119" s="23">
        <v>679.26</v>
      </c>
      <c r="L119" s="24"/>
      <c r="M119" s="25">
        <f t="shared" si="15"/>
        <v>606.48214285714278</v>
      </c>
      <c r="N119" s="25">
        <f t="shared" si="16"/>
        <v>72.77785714285713</v>
      </c>
      <c r="O119" s="25">
        <f>-SUM(I119:J119,K119/1.12)*L119</f>
        <v>0</v>
      </c>
      <c r="P119" s="25"/>
      <c r="Q119" s="26"/>
      <c r="R119" s="26"/>
      <c r="S119" s="26"/>
      <c r="T119" s="27">
        <v>606.48</v>
      </c>
      <c r="U119" s="27"/>
      <c r="V119" s="27"/>
      <c r="W119" s="27"/>
      <c r="X119" s="27"/>
      <c r="Y119" s="26"/>
      <c r="Z119" s="26"/>
      <c r="AA119" s="26"/>
      <c r="AB119" s="26"/>
      <c r="AC119" s="27"/>
      <c r="AD119" s="27"/>
      <c r="AE119" s="26"/>
      <c r="AF119" s="26"/>
      <c r="AG119" s="25">
        <f t="shared" si="17"/>
        <v>-679.25785714285712</v>
      </c>
      <c r="AH119" s="28">
        <f t="shared" si="18"/>
        <v>2.1428571428714349E-3</v>
      </c>
    </row>
    <row r="120" spans="1:34" s="29" customFormat="1" ht="21.75" customHeight="1" x14ac:dyDescent="0.2">
      <c r="A120" s="18">
        <v>43496</v>
      </c>
      <c r="B120" s="19"/>
      <c r="C120" s="20" t="s">
        <v>41</v>
      </c>
      <c r="D120" s="20" t="s">
        <v>42</v>
      </c>
      <c r="E120" s="20" t="s">
        <v>43</v>
      </c>
      <c r="F120" s="21">
        <v>139793</v>
      </c>
      <c r="G120" s="44" t="s">
        <v>44</v>
      </c>
      <c r="H120" s="23"/>
      <c r="I120" s="23"/>
      <c r="J120" s="23"/>
      <c r="K120" s="23">
        <v>180</v>
      </c>
      <c r="L120" s="24"/>
      <c r="M120" s="25">
        <f t="shared" si="15"/>
        <v>160.71428571428569</v>
      </c>
      <c r="N120" s="25">
        <f t="shared" si="16"/>
        <v>19.285714285714281</v>
      </c>
      <c r="O120" s="25">
        <f>-SUM(I120:J120,K120/1.12)*L120</f>
        <v>0</v>
      </c>
      <c r="P120" s="25"/>
      <c r="Q120" s="26">
        <v>160.71</v>
      </c>
      <c r="R120" s="26"/>
      <c r="S120" s="26"/>
      <c r="T120" s="27"/>
      <c r="U120" s="27"/>
      <c r="V120" s="27"/>
      <c r="W120" s="27"/>
      <c r="X120" s="27"/>
      <c r="Y120" s="26"/>
      <c r="Z120" s="26"/>
      <c r="AA120" s="26"/>
      <c r="AB120" s="26"/>
      <c r="AC120" s="27"/>
      <c r="AD120" s="27"/>
      <c r="AE120" s="26"/>
      <c r="AF120" s="26"/>
      <c r="AG120" s="25">
        <f t="shared" si="17"/>
        <v>-179.99571428571429</v>
      </c>
      <c r="AH120" s="28">
        <f t="shared" si="18"/>
        <v>4.2857142857144481E-3</v>
      </c>
    </row>
    <row r="121" spans="1:34" s="29" customFormat="1" ht="21.75" customHeight="1" x14ac:dyDescent="0.2">
      <c r="A121" s="18">
        <v>43496</v>
      </c>
      <c r="B121" s="19"/>
      <c r="C121" s="20" t="s">
        <v>188</v>
      </c>
      <c r="D121" s="20" t="s">
        <v>189</v>
      </c>
      <c r="E121" s="20" t="s">
        <v>47</v>
      </c>
      <c r="F121" s="21">
        <v>32628</v>
      </c>
      <c r="G121" s="44" t="s">
        <v>190</v>
      </c>
      <c r="H121" s="23"/>
      <c r="I121" s="23"/>
      <c r="J121" s="23"/>
      <c r="K121" s="23">
        <v>450</v>
      </c>
      <c r="L121" s="24"/>
      <c r="M121" s="25">
        <f t="shared" si="15"/>
        <v>401.78571428571422</v>
      </c>
      <c r="N121" s="25">
        <f t="shared" si="16"/>
        <v>48.214285714285708</v>
      </c>
      <c r="O121" s="25"/>
      <c r="P121" s="25"/>
      <c r="Q121" s="26"/>
      <c r="R121" s="26">
        <v>401.79</v>
      </c>
      <c r="S121" s="26"/>
      <c r="T121" s="27"/>
      <c r="U121" s="27"/>
      <c r="V121" s="27"/>
      <c r="W121" s="27"/>
      <c r="X121" s="27"/>
      <c r="Y121" s="26"/>
      <c r="Z121" s="26"/>
      <c r="AA121" s="26"/>
      <c r="AB121" s="26"/>
      <c r="AC121" s="27"/>
      <c r="AD121" s="27"/>
      <c r="AE121" s="26"/>
      <c r="AF121" s="26"/>
      <c r="AG121" s="25">
        <f t="shared" si="17"/>
        <v>-450.00428571428574</v>
      </c>
      <c r="AH121" s="28">
        <f t="shared" si="18"/>
        <v>-4.2857142857428698E-3</v>
      </c>
    </row>
    <row r="122" spans="1:34" s="29" customFormat="1" ht="21.75" customHeight="1" x14ac:dyDescent="0.2">
      <c r="A122" s="18">
        <v>43496</v>
      </c>
      <c r="B122" s="19"/>
      <c r="C122" s="20" t="s">
        <v>157</v>
      </c>
      <c r="D122" s="20"/>
      <c r="E122" s="20"/>
      <c r="F122" s="21"/>
      <c r="G122" s="44" t="s">
        <v>191</v>
      </c>
      <c r="H122" s="23">
        <v>25</v>
      </c>
      <c r="I122" s="23"/>
      <c r="J122" s="23"/>
      <c r="K122" s="23"/>
      <c r="L122" s="24"/>
      <c r="M122" s="25">
        <f t="shared" si="15"/>
        <v>25</v>
      </c>
      <c r="N122" s="25">
        <f t="shared" si="16"/>
        <v>0</v>
      </c>
      <c r="O122" s="25"/>
      <c r="P122" s="25"/>
      <c r="Q122" s="26"/>
      <c r="R122" s="26"/>
      <c r="S122" s="26"/>
      <c r="T122" s="27"/>
      <c r="U122" s="27"/>
      <c r="V122" s="27"/>
      <c r="W122" s="27"/>
      <c r="X122" s="27"/>
      <c r="Y122" s="26"/>
      <c r="Z122" s="26"/>
      <c r="AA122" s="26">
        <v>25</v>
      </c>
      <c r="AB122" s="26"/>
      <c r="AC122" s="27"/>
      <c r="AD122" s="27"/>
      <c r="AE122" s="26"/>
      <c r="AF122" s="26"/>
      <c r="AG122" s="25">
        <f t="shared" si="17"/>
        <v>-25</v>
      </c>
      <c r="AH122" s="28">
        <f t="shared" si="18"/>
        <v>0</v>
      </c>
    </row>
    <row r="123" spans="1:34" s="29" customFormat="1" ht="21.75" customHeight="1" x14ac:dyDescent="0.2">
      <c r="A123" s="18">
        <v>43496</v>
      </c>
      <c r="B123" s="19"/>
      <c r="C123" s="20" t="s">
        <v>45</v>
      </c>
      <c r="D123" s="20" t="s">
        <v>46</v>
      </c>
      <c r="E123" s="20" t="s">
        <v>47</v>
      </c>
      <c r="F123" s="21">
        <v>130240</v>
      </c>
      <c r="G123" s="44" t="s">
        <v>192</v>
      </c>
      <c r="H123" s="23"/>
      <c r="I123" s="23"/>
      <c r="J123" s="23"/>
      <c r="K123" s="23">
        <f>1581.52+189.78</f>
        <v>1771.3</v>
      </c>
      <c r="L123" s="24"/>
      <c r="M123" s="25">
        <f t="shared" si="15"/>
        <v>1581.5178571428569</v>
      </c>
      <c r="N123" s="25">
        <f t="shared" si="16"/>
        <v>189.78214285714282</v>
      </c>
      <c r="O123" s="25">
        <f>-SUM(I123:J123,K123/1.12)*L123</f>
        <v>0</v>
      </c>
      <c r="P123" s="25">
        <v>1581.52</v>
      </c>
      <c r="Q123" s="26"/>
      <c r="R123" s="26"/>
      <c r="S123" s="26"/>
      <c r="T123" s="27"/>
      <c r="U123" s="27"/>
      <c r="V123" s="27"/>
      <c r="W123" s="27"/>
      <c r="X123" s="27"/>
      <c r="Y123" s="26"/>
      <c r="Z123" s="26"/>
      <c r="AA123" s="26"/>
      <c r="AB123" s="26"/>
      <c r="AC123" s="27"/>
      <c r="AD123" s="27"/>
      <c r="AE123" s="26"/>
      <c r="AF123" s="26"/>
      <c r="AG123" s="25">
        <f t="shared" si="17"/>
        <v>-1771.3021428571428</v>
      </c>
      <c r="AH123" s="28">
        <f t="shared" si="18"/>
        <v>-2.1428571428714349E-3</v>
      </c>
    </row>
    <row r="124" spans="1:34" s="29" customFormat="1" ht="21.75" customHeight="1" x14ac:dyDescent="0.2">
      <c r="A124" s="18">
        <v>43496</v>
      </c>
      <c r="B124" s="19"/>
      <c r="C124" s="20" t="s">
        <v>45</v>
      </c>
      <c r="D124" s="20" t="s">
        <v>46</v>
      </c>
      <c r="E124" s="20" t="s">
        <v>47</v>
      </c>
      <c r="F124" s="21">
        <v>130240</v>
      </c>
      <c r="G124" s="44" t="s">
        <v>193</v>
      </c>
      <c r="H124" s="23"/>
      <c r="I124" s="23"/>
      <c r="J124" s="23">
        <v>98.7</v>
      </c>
      <c r="K124" s="23"/>
      <c r="L124" s="24"/>
      <c r="M124" s="25">
        <f t="shared" si="15"/>
        <v>98.7</v>
      </c>
      <c r="N124" s="25">
        <f t="shared" si="16"/>
        <v>0</v>
      </c>
      <c r="O124" s="25">
        <f>-SUM(I124:J124,K124/1.12)*L124</f>
        <v>0</v>
      </c>
      <c r="P124" s="25">
        <v>98.7</v>
      </c>
      <c r="Q124" s="26"/>
      <c r="R124" s="26"/>
      <c r="S124" s="26"/>
      <c r="T124" s="27"/>
      <c r="U124" s="27"/>
      <c r="V124" s="27"/>
      <c r="W124" s="27"/>
      <c r="X124" s="27"/>
      <c r="Y124" s="26"/>
      <c r="Z124" s="26"/>
      <c r="AA124" s="26"/>
      <c r="AB124" s="26"/>
      <c r="AC124" s="27"/>
      <c r="AD124" s="27"/>
      <c r="AE124" s="26"/>
      <c r="AF124" s="26"/>
      <c r="AG124" s="25">
        <f t="shared" si="17"/>
        <v>-98.7</v>
      </c>
      <c r="AH124" s="28">
        <f t="shared" si="18"/>
        <v>0</v>
      </c>
    </row>
    <row r="125" spans="1:34" s="29" customFormat="1" ht="21.75" customHeight="1" x14ac:dyDescent="0.2">
      <c r="A125" s="18"/>
      <c r="B125" s="19"/>
      <c r="C125" s="20"/>
      <c r="D125" s="20"/>
      <c r="E125" s="20"/>
      <c r="F125" s="21"/>
      <c r="G125" s="22"/>
      <c r="H125" s="23"/>
      <c r="I125" s="23"/>
      <c r="J125" s="23"/>
      <c r="K125" s="23"/>
      <c r="L125" s="24"/>
      <c r="M125" s="25">
        <f t="shared" si="15"/>
        <v>0</v>
      </c>
      <c r="N125" s="25">
        <f t="shared" si="16"/>
        <v>0</v>
      </c>
      <c r="O125" s="25">
        <f>-SUM(I125:J125,K125/1.12)*L125</f>
        <v>0</v>
      </c>
      <c r="P125" s="25"/>
      <c r="Q125" s="26"/>
      <c r="R125" s="26"/>
      <c r="S125" s="26"/>
      <c r="T125" s="27"/>
      <c r="U125" s="27"/>
      <c r="V125" s="27"/>
      <c r="W125" s="27"/>
      <c r="X125" s="27"/>
      <c r="Y125" s="26"/>
      <c r="Z125" s="26"/>
      <c r="AA125" s="26"/>
      <c r="AB125" s="26"/>
      <c r="AC125" s="27"/>
      <c r="AD125" s="27"/>
      <c r="AE125" s="26"/>
      <c r="AF125" s="26"/>
      <c r="AG125" s="25">
        <f t="shared" si="17"/>
        <v>0</v>
      </c>
      <c r="AH125" s="28">
        <f t="shared" si="18"/>
        <v>0</v>
      </c>
    </row>
    <row r="126" spans="1:34" s="29" customFormat="1" ht="21.75" customHeight="1" x14ac:dyDescent="0.2">
      <c r="A126" s="18"/>
      <c r="B126" s="19"/>
      <c r="C126" s="20"/>
      <c r="D126" s="20"/>
      <c r="E126" s="20"/>
      <c r="F126" s="21"/>
      <c r="G126" s="22"/>
      <c r="H126" s="23"/>
      <c r="I126" s="23"/>
      <c r="J126" s="23"/>
      <c r="K126" s="23"/>
      <c r="L126" s="24"/>
      <c r="M126" s="25">
        <f t="shared" si="15"/>
        <v>0</v>
      </c>
      <c r="N126" s="25">
        <f t="shared" si="16"/>
        <v>0</v>
      </c>
      <c r="O126" s="25">
        <f>-SUM(I126:J126,K126/1.12)*L126</f>
        <v>0</v>
      </c>
      <c r="P126" s="25"/>
      <c r="Q126" s="26"/>
      <c r="R126" s="26"/>
      <c r="S126" s="26"/>
      <c r="T126" s="27"/>
      <c r="U126" s="27"/>
      <c r="V126" s="27"/>
      <c r="W126" s="27"/>
      <c r="X126" s="27"/>
      <c r="Y126" s="26"/>
      <c r="Z126" s="26"/>
      <c r="AA126" s="26"/>
      <c r="AB126" s="26"/>
      <c r="AC126" s="27"/>
      <c r="AD126" s="27"/>
      <c r="AE126" s="26"/>
      <c r="AF126" s="26"/>
      <c r="AG126" s="25">
        <f t="shared" si="17"/>
        <v>0</v>
      </c>
      <c r="AH126" s="28">
        <f t="shared" si="18"/>
        <v>0</v>
      </c>
    </row>
    <row r="127" spans="1:34" s="29" customFormat="1" ht="19.5" customHeight="1" x14ac:dyDescent="0.2">
      <c r="A127" s="18"/>
      <c r="B127" s="19"/>
      <c r="C127" s="45"/>
      <c r="D127" s="45"/>
      <c r="E127" s="45"/>
      <c r="F127" s="21"/>
      <c r="G127" s="22"/>
      <c r="H127" s="23"/>
      <c r="I127" s="23"/>
      <c r="J127" s="23"/>
      <c r="K127" s="23"/>
      <c r="L127" s="24"/>
      <c r="M127" s="26">
        <f t="shared" si="15"/>
        <v>0</v>
      </c>
      <c r="N127" s="26">
        <f t="shared" si="16"/>
        <v>0</v>
      </c>
      <c r="O127" s="26">
        <f>-SUM(I127:J127,K127/1.12)*L127</f>
        <v>0</v>
      </c>
      <c r="P127" s="26"/>
      <c r="Q127" s="26"/>
      <c r="R127" s="26"/>
      <c r="S127" s="26"/>
      <c r="T127" s="27"/>
      <c r="U127" s="27"/>
      <c r="V127" s="27"/>
      <c r="W127" s="27"/>
      <c r="X127" s="27"/>
      <c r="Y127" s="46"/>
      <c r="Z127" s="26"/>
      <c r="AA127" s="26"/>
      <c r="AB127" s="26"/>
      <c r="AC127" s="27"/>
      <c r="AD127" s="27"/>
      <c r="AE127" s="47"/>
      <c r="AF127" s="47"/>
      <c r="AG127" s="48">
        <f t="shared" si="17"/>
        <v>0</v>
      </c>
      <c r="AH127" s="28">
        <f t="shared" si="18"/>
        <v>0</v>
      </c>
    </row>
    <row r="128" spans="1:34" s="57" customFormat="1" ht="12" customHeight="1" x14ac:dyDescent="0.2">
      <c r="A128" s="49"/>
      <c r="B128" s="50"/>
      <c r="C128" s="51"/>
      <c r="D128" s="52"/>
      <c r="E128" s="52"/>
      <c r="F128" s="53"/>
      <c r="G128" s="51"/>
      <c r="H128" s="54">
        <f t="shared" ref="H128:AH128" si="19">SUM(H5:H127)</f>
        <v>5535.27</v>
      </c>
      <c r="I128" s="54">
        <f t="shared" si="19"/>
        <v>0</v>
      </c>
      <c r="J128" s="54">
        <f t="shared" si="19"/>
        <v>14360.089999999998</v>
      </c>
      <c r="K128" s="54">
        <f t="shared" si="19"/>
        <v>48435.1</v>
      </c>
      <c r="L128" s="54">
        <f t="shared" si="19"/>
        <v>0.01</v>
      </c>
      <c r="M128" s="54">
        <f t="shared" si="19"/>
        <v>63140.984999999979</v>
      </c>
      <c r="N128" s="55">
        <f t="shared" si="19"/>
        <v>5189.4749999999985</v>
      </c>
      <c r="O128" s="54">
        <f t="shared" si="19"/>
        <v>-11.785714285714285</v>
      </c>
      <c r="P128" s="54">
        <f t="shared" si="19"/>
        <v>48831.16</v>
      </c>
      <c r="Q128" s="54">
        <f t="shared" si="19"/>
        <v>4967.0999999999995</v>
      </c>
      <c r="R128" s="54">
        <f t="shared" si="19"/>
        <v>590.41000000000008</v>
      </c>
      <c r="S128" s="54">
        <f t="shared" si="19"/>
        <v>2902.02</v>
      </c>
      <c r="T128" s="54">
        <f t="shared" si="19"/>
        <v>1376.3400000000001</v>
      </c>
      <c r="U128" s="54">
        <f t="shared" si="19"/>
        <v>61.61</v>
      </c>
      <c r="V128" s="54">
        <f t="shared" si="19"/>
        <v>0</v>
      </c>
      <c r="W128" s="54">
        <f t="shared" si="19"/>
        <v>0</v>
      </c>
      <c r="X128" s="54">
        <f t="shared" si="19"/>
        <v>0</v>
      </c>
      <c r="Y128" s="54">
        <f t="shared" si="19"/>
        <v>0</v>
      </c>
      <c r="Z128" s="54">
        <f t="shared" si="19"/>
        <v>0</v>
      </c>
      <c r="AA128" s="54">
        <f t="shared" si="19"/>
        <v>1838</v>
      </c>
      <c r="AB128" s="54">
        <f t="shared" si="19"/>
        <v>537</v>
      </c>
      <c r="AC128" s="54">
        <f t="shared" si="19"/>
        <v>0</v>
      </c>
      <c r="AD128" s="54">
        <f t="shared" si="19"/>
        <v>2037.27</v>
      </c>
      <c r="AE128" s="54">
        <f t="shared" si="19"/>
        <v>0</v>
      </c>
      <c r="AF128" s="56">
        <f t="shared" si="19"/>
        <v>0</v>
      </c>
      <c r="AG128" s="54">
        <f t="shared" si="19"/>
        <v>-68318.599285714285</v>
      </c>
      <c r="AH128" s="54">
        <f t="shared" si="19"/>
        <v>7.5000000000564171E-2</v>
      </c>
    </row>
    <row r="129" spans="17:17" ht="12" customHeight="1" x14ac:dyDescent="0.25"/>
    <row r="136" spans="17:17" x14ac:dyDescent="0.25">
      <c r="Q136" s="5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23"/>
  <sheetViews>
    <sheetView topLeftCell="A106" zoomScale="90" zoomScaleNormal="90" workbookViewId="0">
      <selection activeCell="E118" sqref="A118:XFD125"/>
    </sheetView>
  </sheetViews>
  <sheetFormatPr defaultRowHeight="13.2" x14ac:dyDescent="0.25"/>
  <cols>
    <col min="1" max="1" width="10.21875" style="1" customWidth="1"/>
    <col min="2" max="2" width="9.21875" style="2" hidden="1" customWidth="1"/>
    <col min="3" max="3" width="30.21875" style="3" customWidth="1"/>
    <col min="4" max="4" width="17.6640625" style="4" customWidth="1"/>
    <col min="5" max="5" width="35.33203125" style="4" customWidth="1"/>
    <col min="6" max="6" width="9.88671875" style="2" customWidth="1"/>
    <col min="7" max="7" width="39.77734375" style="3" customWidth="1"/>
    <col min="8" max="8" width="13.88671875" style="5" customWidth="1"/>
    <col min="9" max="9" width="10.6640625" style="5" customWidth="1"/>
    <col min="10" max="10" width="12.21875" style="5" customWidth="1"/>
    <col min="11" max="11" width="13.109375" style="5" customWidth="1"/>
    <col min="12" max="12" width="9.88671875" style="6" customWidth="1"/>
    <col min="13" max="13" width="12.21875" style="5" customWidth="1"/>
    <col min="14" max="14" width="10.77734375" style="5" customWidth="1"/>
    <col min="15" max="15" width="11.33203125" style="5" customWidth="1"/>
    <col min="16" max="16" width="12.44140625" style="5" customWidth="1"/>
    <col min="17" max="17" width="9.88671875" style="5" customWidth="1"/>
    <col min="18" max="18" width="13.44140625" style="5" customWidth="1"/>
    <col min="19" max="19" width="10.21875" style="5" customWidth="1"/>
    <col min="20" max="21" width="11.5546875" style="5"/>
    <col min="22" max="22" width="13.33203125" style="5" customWidth="1"/>
    <col min="23" max="23" width="8.6640625" style="5" customWidth="1"/>
    <col min="24" max="24" width="12.44140625" style="5" customWidth="1"/>
    <col min="25" max="25" width="11.6640625" style="5" customWidth="1"/>
    <col min="26" max="26" width="10.44140625" style="5" customWidth="1"/>
    <col min="27" max="27" width="11" style="5" customWidth="1"/>
    <col min="28" max="28" width="12.109375" style="5" customWidth="1"/>
    <col min="29" max="30" width="10.109375" style="5" customWidth="1"/>
    <col min="31" max="31" width="12.77734375" style="5" customWidth="1"/>
    <col min="32" max="32" width="0.21875" style="5" customWidth="1"/>
    <col min="33" max="33" width="13.44140625" style="5" customWidth="1"/>
    <col min="34" max="34" width="13.44140625" style="3" customWidth="1"/>
    <col min="35" max="1025" width="11.5546875" style="3"/>
  </cols>
  <sheetData>
    <row r="1" spans="1:34" ht="12" customHeight="1" x14ac:dyDescent="0.25">
      <c r="A1" s="7" t="s">
        <v>0</v>
      </c>
      <c r="C1" s="8"/>
    </row>
    <row r="2" spans="1:34" ht="12" customHeight="1" x14ac:dyDescent="0.25">
      <c r="A2" s="7" t="s">
        <v>1</v>
      </c>
    </row>
    <row r="3" spans="1:34" ht="12" customHeight="1" x14ac:dyDescent="0.25">
      <c r="A3" s="7" t="s">
        <v>194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/>
      <c r="W3" s="10"/>
      <c r="X3" s="10"/>
      <c r="Y3" s="10" t="s">
        <v>3</v>
      </c>
      <c r="Z3" s="10"/>
      <c r="AA3" s="10">
        <v>6230</v>
      </c>
      <c r="AB3" s="10" t="s">
        <v>4</v>
      </c>
      <c r="AC3" s="10">
        <v>6202</v>
      </c>
      <c r="AD3" s="10"/>
      <c r="AE3" s="10">
        <v>6109</v>
      </c>
      <c r="AF3" s="10">
        <v>6236</v>
      </c>
      <c r="AG3" s="10">
        <v>1002</v>
      </c>
    </row>
    <row r="4" spans="1:34" s="17" customFormat="1" ht="43.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5" t="s">
        <v>34</v>
      </c>
      <c r="AG4" s="16" t="s">
        <v>36</v>
      </c>
    </row>
    <row r="5" spans="1:34" s="29" customFormat="1" ht="21.75" customHeight="1" x14ac:dyDescent="0.2">
      <c r="A5" s="18">
        <v>43497</v>
      </c>
      <c r="B5" s="19"/>
      <c r="C5" s="20" t="s">
        <v>41</v>
      </c>
      <c r="D5" s="20" t="s">
        <v>42</v>
      </c>
      <c r="E5" s="20" t="s">
        <v>43</v>
      </c>
      <c r="F5" s="21">
        <v>139842</v>
      </c>
      <c r="G5" s="44" t="s">
        <v>44</v>
      </c>
      <c r="H5" s="23"/>
      <c r="I5" s="23"/>
      <c r="J5" s="23"/>
      <c r="K5" s="23">
        <v>180</v>
      </c>
      <c r="L5" s="24"/>
      <c r="M5" s="25">
        <f t="shared" ref="M5:M36" si="0">SUM(H5:J5,K5/1.12)</f>
        <v>160.71428571428569</v>
      </c>
      <c r="N5" s="25">
        <f t="shared" ref="N5:N36" si="1">K5/1.12*0.12</f>
        <v>19.285714285714281</v>
      </c>
      <c r="O5" s="25">
        <f t="shared" ref="O5:O36" si="2">-SUM(I5:J5,K5/1.12)*L5</f>
        <v>0</v>
      </c>
      <c r="P5" s="25"/>
      <c r="Q5" s="26">
        <v>160.71</v>
      </c>
      <c r="R5" s="26"/>
      <c r="S5" s="26"/>
      <c r="T5" s="27"/>
      <c r="U5" s="27"/>
      <c r="V5" s="27"/>
      <c r="W5" s="27"/>
      <c r="X5" s="27"/>
      <c r="Y5" s="26"/>
      <c r="Z5" s="26"/>
      <c r="AA5" s="26"/>
      <c r="AB5" s="26"/>
      <c r="AC5" s="27"/>
      <c r="AD5" s="27"/>
      <c r="AE5" s="26"/>
      <c r="AF5" s="26"/>
      <c r="AG5" s="25">
        <f t="shared" ref="AG5:AG36" si="3">-SUM(N5:AF5)</f>
        <v>-179.99571428571429</v>
      </c>
      <c r="AH5" s="28">
        <f t="shared" ref="AH5:AH36" si="4">SUM(H5:K5)+AG5+O5</f>
        <v>4.2857142857144481E-3</v>
      </c>
    </row>
    <row r="6" spans="1:34" s="29" customFormat="1" ht="21.75" customHeight="1" x14ac:dyDescent="0.2">
      <c r="A6" s="18">
        <v>43497</v>
      </c>
      <c r="B6" s="19"/>
      <c r="C6" s="20" t="s">
        <v>54</v>
      </c>
      <c r="D6" s="20" t="s">
        <v>55</v>
      </c>
      <c r="E6" s="20" t="s">
        <v>56</v>
      </c>
      <c r="F6" s="21">
        <v>2903</v>
      </c>
      <c r="G6" s="44" t="s">
        <v>195</v>
      </c>
      <c r="H6" s="23"/>
      <c r="I6" s="23"/>
      <c r="J6" s="23">
        <v>1335</v>
      </c>
      <c r="K6" s="23"/>
      <c r="L6" s="24"/>
      <c r="M6" s="25">
        <f t="shared" si="0"/>
        <v>1335</v>
      </c>
      <c r="N6" s="25">
        <f t="shared" si="1"/>
        <v>0</v>
      </c>
      <c r="O6" s="25">
        <f t="shared" si="2"/>
        <v>0</v>
      </c>
      <c r="P6" s="25">
        <v>1335</v>
      </c>
      <c r="Q6" s="26"/>
      <c r="R6" s="26"/>
      <c r="S6" s="26"/>
      <c r="T6" s="27"/>
      <c r="U6" s="27"/>
      <c r="V6" s="27"/>
      <c r="W6" s="27"/>
      <c r="X6" s="27"/>
      <c r="Y6" s="26"/>
      <c r="Z6" s="26"/>
      <c r="AA6" s="26"/>
      <c r="AB6" s="26"/>
      <c r="AC6" s="27"/>
      <c r="AD6" s="27"/>
      <c r="AE6" s="26"/>
      <c r="AF6" s="26"/>
      <c r="AG6" s="25">
        <f t="shared" si="3"/>
        <v>-1335</v>
      </c>
      <c r="AH6" s="28">
        <f t="shared" si="4"/>
        <v>0</v>
      </c>
    </row>
    <row r="7" spans="1:34" s="29" customFormat="1" ht="21.75" customHeight="1" x14ac:dyDescent="0.2">
      <c r="A7" s="18">
        <v>43497</v>
      </c>
      <c r="B7" s="19"/>
      <c r="C7" s="20" t="s">
        <v>58</v>
      </c>
      <c r="D7" s="20"/>
      <c r="E7" s="20"/>
      <c r="F7" s="21"/>
      <c r="G7" s="44" t="s">
        <v>184</v>
      </c>
      <c r="H7" s="23">
        <v>100</v>
      </c>
      <c r="I7" s="23"/>
      <c r="J7" s="23"/>
      <c r="K7" s="23"/>
      <c r="L7" s="24"/>
      <c r="M7" s="25">
        <f t="shared" si="0"/>
        <v>100</v>
      </c>
      <c r="N7" s="25">
        <f t="shared" si="1"/>
        <v>0</v>
      </c>
      <c r="O7" s="25">
        <f t="shared" si="2"/>
        <v>0</v>
      </c>
      <c r="P7" s="25"/>
      <c r="Q7" s="26"/>
      <c r="R7" s="26"/>
      <c r="S7" s="26"/>
      <c r="T7" s="27"/>
      <c r="U7" s="27"/>
      <c r="V7" s="27"/>
      <c r="W7" s="27"/>
      <c r="X7" s="27"/>
      <c r="Y7" s="26"/>
      <c r="Z7" s="26"/>
      <c r="AA7" s="26">
        <v>100</v>
      </c>
      <c r="AB7" s="26"/>
      <c r="AC7" s="27"/>
      <c r="AD7" s="27"/>
      <c r="AE7" s="26"/>
      <c r="AF7" s="26"/>
      <c r="AG7" s="25">
        <f t="shared" si="3"/>
        <v>-100</v>
      </c>
      <c r="AH7" s="28">
        <f t="shared" si="4"/>
        <v>0</v>
      </c>
    </row>
    <row r="8" spans="1:34" s="29" customFormat="1" ht="21.75" customHeight="1" x14ac:dyDescent="0.2">
      <c r="A8" s="18">
        <v>43498</v>
      </c>
      <c r="B8" s="19"/>
      <c r="C8" s="20" t="s">
        <v>196</v>
      </c>
      <c r="D8" s="20" t="s">
        <v>197</v>
      </c>
      <c r="E8" s="20" t="s">
        <v>198</v>
      </c>
      <c r="F8" s="21">
        <v>3614</v>
      </c>
      <c r="G8" s="44" t="s">
        <v>199</v>
      </c>
      <c r="H8" s="23"/>
      <c r="I8" s="23"/>
      <c r="J8" s="23"/>
      <c r="K8" s="23">
        <v>1500</v>
      </c>
      <c r="L8" s="24"/>
      <c r="M8" s="25">
        <f t="shared" si="0"/>
        <v>1339.2857142857142</v>
      </c>
      <c r="N8" s="25">
        <f t="shared" si="1"/>
        <v>160.71428571428569</v>
      </c>
      <c r="O8" s="25">
        <f t="shared" si="2"/>
        <v>0</v>
      </c>
      <c r="P8" s="25"/>
      <c r="Q8" s="26"/>
      <c r="R8" s="26"/>
      <c r="S8" s="26"/>
      <c r="T8" s="27"/>
      <c r="U8" s="27"/>
      <c r="V8" s="27"/>
      <c r="W8" s="27"/>
      <c r="X8" s="27"/>
      <c r="Y8" s="26">
        <v>1339.29</v>
      </c>
      <c r="Z8" s="26"/>
      <c r="AA8" s="26"/>
      <c r="AB8" s="26"/>
      <c r="AC8" s="27"/>
      <c r="AD8" s="27"/>
      <c r="AE8" s="26"/>
      <c r="AF8" s="26"/>
      <c r="AG8" s="25">
        <f t="shared" si="3"/>
        <v>-1500.0042857142857</v>
      </c>
      <c r="AH8" s="28">
        <f t="shared" si="4"/>
        <v>-4.2857142857428698E-3</v>
      </c>
    </row>
    <row r="9" spans="1:34" s="29" customFormat="1" ht="21.75" customHeight="1" x14ac:dyDescent="0.2">
      <c r="A9" s="18">
        <v>43498</v>
      </c>
      <c r="B9" s="19"/>
      <c r="C9" s="20" t="s">
        <v>37</v>
      </c>
      <c r="D9" s="20" t="s">
        <v>38</v>
      </c>
      <c r="E9" s="20" t="s">
        <v>39</v>
      </c>
      <c r="F9" s="21">
        <v>34023</v>
      </c>
      <c r="G9" s="44" t="s">
        <v>200</v>
      </c>
      <c r="H9" s="23"/>
      <c r="I9" s="23"/>
      <c r="J9" s="23"/>
      <c r="K9" s="23">
        <v>353.84</v>
      </c>
      <c r="L9" s="24"/>
      <c r="M9" s="25">
        <f t="shared" si="0"/>
        <v>315.92857142857139</v>
      </c>
      <c r="N9" s="25">
        <f t="shared" si="1"/>
        <v>37.911428571428566</v>
      </c>
      <c r="O9" s="25">
        <f t="shared" si="2"/>
        <v>0</v>
      </c>
      <c r="P9" s="25">
        <v>315.93</v>
      </c>
      <c r="Q9" s="26"/>
      <c r="R9" s="26"/>
      <c r="S9" s="26"/>
      <c r="T9" s="27"/>
      <c r="U9" s="27"/>
      <c r="V9" s="27"/>
      <c r="W9" s="27"/>
      <c r="X9" s="27"/>
      <c r="Y9" s="26"/>
      <c r="Z9" s="26"/>
      <c r="AA9" s="26"/>
      <c r="AB9" s="26"/>
      <c r="AC9" s="27"/>
      <c r="AD9" s="27"/>
      <c r="AE9" s="26"/>
      <c r="AF9" s="26"/>
      <c r="AG9" s="25">
        <f t="shared" si="3"/>
        <v>-353.84142857142859</v>
      </c>
      <c r="AH9" s="28">
        <f t="shared" si="4"/>
        <v>-1.4285714286188522E-3</v>
      </c>
    </row>
    <row r="10" spans="1:34" s="29" customFormat="1" ht="21.75" customHeight="1" x14ac:dyDescent="0.2">
      <c r="A10" s="18">
        <v>43498</v>
      </c>
      <c r="B10" s="19"/>
      <c r="C10" s="20" t="s">
        <v>41</v>
      </c>
      <c r="D10" s="20" t="s">
        <v>42</v>
      </c>
      <c r="E10" s="20" t="s">
        <v>43</v>
      </c>
      <c r="F10" s="21">
        <v>145675</v>
      </c>
      <c r="G10" s="44" t="s">
        <v>44</v>
      </c>
      <c r="H10" s="23"/>
      <c r="I10" s="23"/>
      <c r="J10" s="23"/>
      <c r="K10" s="23">
        <v>90</v>
      </c>
      <c r="L10" s="24"/>
      <c r="M10" s="25">
        <f t="shared" si="0"/>
        <v>80.357142857142847</v>
      </c>
      <c r="N10" s="25">
        <f t="shared" si="1"/>
        <v>9.6428571428571406</v>
      </c>
      <c r="O10" s="25">
        <f t="shared" si="2"/>
        <v>0</v>
      </c>
      <c r="P10" s="25"/>
      <c r="Q10" s="26">
        <v>80.36</v>
      </c>
      <c r="R10" s="26"/>
      <c r="S10" s="26"/>
      <c r="T10" s="27"/>
      <c r="U10" s="27"/>
      <c r="V10" s="27"/>
      <c r="W10" s="27"/>
      <c r="X10" s="27"/>
      <c r="Y10" s="26"/>
      <c r="Z10" s="26"/>
      <c r="AA10" s="26"/>
      <c r="AB10" s="26"/>
      <c r="AC10" s="27"/>
      <c r="AD10" s="27"/>
      <c r="AE10" s="26"/>
      <c r="AF10" s="26"/>
      <c r="AG10" s="25">
        <f t="shared" si="3"/>
        <v>-90.002857142857138</v>
      </c>
      <c r="AH10" s="28">
        <f t="shared" si="4"/>
        <v>-2.8571428571382285E-3</v>
      </c>
    </row>
    <row r="11" spans="1:34" s="29" customFormat="1" ht="21.75" customHeight="1" x14ac:dyDescent="0.2">
      <c r="A11" s="18">
        <v>43500</v>
      </c>
      <c r="B11" s="19"/>
      <c r="C11" s="20" t="s">
        <v>62</v>
      </c>
      <c r="D11" s="20"/>
      <c r="E11" s="20"/>
      <c r="F11" s="21"/>
      <c r="G11" s="44" t="s">
        <v>201</v>
      </c>
      <c r="H11" s="23">
        <v>40</v>
      </c>
      <c r="I11" s="23"/>
      <c r="J11" s="23"/>
      <c r="K11" s="23"/>
      <c r="L11" s="24"/>
      <c r="M11" s="25">
        <f t="shared" si="0"/>
        <v>40</v>
      </c>
      <c r="N11" s="25">
        <f t="shared" si="1"/>
        <v>0</v>
      </c>
      <c r="O11" s="25">
        <f t="shared" si="2"/>
        <v>0</v>
      </c>
      <c r="P11" s="25"/>
      <c r="Q11" s="26"/>
      <c r="R11" s="26"/>
      <c r="S11" s="26"/>
      <c r="T11" s="27"/>
      <c r="U11" s="27"/>
      <c r="V11" s="27"/>
      <c r="W11" s="27"/>
      <c r="X11" s="27"/>
      <c r="Y11" s="26"/>
      <c r="Z11" s="26"/>
      <c r="AA11" s="26">
        <v>40</v>
      </c>
      <c r="AB11" s="26"/>
      <c r="AC11" s="27"/>
      <c r="AD11" s="27"/>
      <c r="AE11" s="26"/>
      <c r="AF11" s="26"/>
      <c r="AG11" s="25">
        <f t="shared" si="3"/>
        <v>-40</v>
      </c>
      <c r="AH11" s="28">
        <f t="shared" si="4"/>
        <v>0</v>
      </c>
    </row>
    <row r="12" spans="1:34" s="29" customFormat="1" ht="21.75" customHeight="1" x14ac:dyDescent="0.2">
      <c r="A12" s="18">
        <v>43500</v>
      </c>
      <c r="B12" s="19"/>
      <c r="C12" s="20" t="s">
        <v>41</v>
      </c>
      <c r="D12" s="20" t="s">
        <v>42</v>
      </c>
      <c r="E12" s="20" t="s">
        <v>43</v>
      </c>
      <c r="F12" s="21">
        <v>148536</v>
      </c>
      <c r="G12" s="44" t="s">
        <v>44</v>
      </c>
      <c r="H12" s="23"/>
      <c r="I12" s="23"/>
      <c r="J12" s="23"/>
      <c r="K12" s="23">
        <v>180</v>
      </c>
      <c r="L12" s="24"/>
      <c r="M12" s="25">
        <f t="shared" si="0"/>
        <v>160.71428571428569</v>
      </c>
      <c r="N12" s="25">
        <f t="shared" si="1"/>
        <v>19.285714285714281</v>
      </c>
      <c r="O12" s="25">
        <f t="shared" si="2"/>
        <v>0</v>
      </c>
      <c r="P12" s="25"/>
      <c r="Q12" s="26">
        <v>160.71</v>
      </c>
      <c r="R12" s="26"/>
      <c r="S12" s="26"/>
      <c r="T12" s="27"/>
      <c r="U12" s="27"/>
      <c r="V12" s="27"/>
      <c r="W12" s="27"/>
      <c r="X12" s="27"/>
      <c r="Y12" s="26"/>
      <c r="Z12" s="26"/>
      <c r="AA12" s="26"/>
      <c r="AB12" s="26"/>
      <c r="AC12" s="27"/>
      <c r="AD12" s="27"/>
      <c r="AE12" s="26"/>
      <c r="AF12" s="26"/>
      <c r="AG12" s="25">
        <f t="shared" si="3"/>
        <v>-179.99571428571429</v>
      </c>
      <c r="AH12" s="28">
        <f t="shared" si="4"/>
        <v>4.2857142857144481E-3</v>
      </c>
    </row>
    <row r="13" spans="1:34" s="29" customFormat="1" ht="21.75" customHeight="1" x14ac:dyDescent="0.2">
      <c r="A13" s="18">
        <v>43500</v>
      </c>
      <c r="B13" s="19"/>
      <c r="C13" s="20" t="s">
        <v>45</v>
      </c>
      <c r="D13" s="20" t="s">
        <v>46</v>
      </c>
      <c r="E13" s="20" t="s">
        <v>47</v>
      </c>
      <c r="F13" s="21">
        <v>136781</v>
      </c>
      <c r="G13" s="44" t="s">
        <v>202</v>
      </c>
      <c r="H13" s="23"/>
      <c r="I13" s="23"/>
      <c r="J13" s="23"/>
      <c r="K13" s="23">
        <f>1057.7+126.93</f>
        <v>1184.6300000000001</v>
      </c>
      <c r="L13" s="24"/>
      <c r="M13" s="25">
        <f t="shared" si="0"/>
        <v>1057.7053571428571</v>
      </c>
      <c r="N13" s="25">
        <f t="shared" si="1"/>
        <v>126.92464285714284</v>
      </c>
      <c r="O13" s="25">
        <f t="shared" si="2"/>
        <v>0</v>
      </c>
      <c r="P13" s="25">
        <v>1057.71</v>
      </c>
      <c r="Q13" s="26"/>
      <c r="R13" s="26"/>
      <c r="S13" s="26"/>
      <c r="T13" s="27"/>
      <c r="U13" s="27"/>
      <c r="V13" s="27"/>
      <c r="W13" s="27"/>
      <c r="X13" s="27"/>
      <c r="Y13" s="26"/>
      <c r="Z13" s="26"/>
      <c r="AA13" s="26"/>
      <c r="AB13" s="26"/>
      <c r="AC13" s="27"/>
      <c r="AD13" s="27"/>
      <c r="AE13" s="26"/>
      <c r="AF13" s="26"/>
      <c r="AG13" s="25">
        <f t="shared" si="3"/>
        <v>-1184.6346428571428</v>
      </c>
      <c r="AH13" s="28">
        <f t="shared" si="4"/>
        <v>-4.6428571426986309E-3</v>
      </c>
    </row>
    <row r="14" spans="1:34" s="29" customFormat="1" ht="21.75" customHeight="1" x14ac:dyDescent="0.2">
      <c r="A14" s="18">
        <v>43500</v>
      </c>
      <c r="B14" s="19"/>
      <c r="C14" s="20" t="s">
        <v>45</v>
      </c>
      <c r="D14" s="20" t="s">
        <v>46</v>
      </c>
      <c r="E14" s="20" t="s">
        <v>47</v>
      </c>
      <c r="F14" s="21">
        <v>136781</v>
      </c>
      <c r="G14" s="44" t="s">
        <v>203</v>
      </c>
      <c r="H14" s="23"/>
      <c r="I14" s="23"/>
      <c r="J14" s="23">
        <v>186.1</v>
      </c>
      <c r="K14" s="23"/>
      <c r="L14" s="24"/>
      <c r="M14" s="25">
        <f t="shared" si="0"/>
        <v>186.1</v>
      </c>
      <c r="N14" s="25">
        <f t="shared" si="1"/>
        <v>0</v>
      </c>
      <c r="O14" s="25">
        <f t="shared" si="2"/>
        <v>0</v>
      </c>
      <c r="P14" s="25">
        <v>186.1</v>
      </c>
      <c r="Q14" s="26"/>
      <c r="R14" s="26"/>
      <c r="S14" s="26"/>
      <c r="T14" s="27"/>
      <c r="U14" s="27"/>
      <c r="V14" s="27"/>
      <c r="W14" s="27"/>
      <c r="X14" s="27"/>
      <c r="Y14" s="26"/>
      <c r="Z14" s="26"/>
      <c r="AA14" s="26"/>
      <c r="AB14" s="26"/>
      <c r="AC14" s="27"/>
      <c r="AD14" s="27"/>
      <c r="AE14" s="26"/>
      <c r="AF14" s="26"/>
      <c r="AG14" s="25">
        <f t="shared" si="3"/>
        <v>-186.1</v>
      </c>
      <c r="AH14" s="28">
        <f t="shared" si="4"/>
        <v>0</v>
      </c>
    </row>
    <row r="15" spans="1:34" s="29" customFormat="1" ht="21.75" customHeight="1" x14ac:dyDescent="0.2">
      <c r="A15" s="18">
        <v>43500</v>
      </c>
      <c r="B15" s="19"/>
      <c r="C15" s="20" t="s">
        <v>45</v>
      </c>
      <c r="D15" s="20" t="s">
        <v>46</v>
      </c>
      <c r="E15" s="20" t="s">
        <v>47</v>
      </c>
      <c r="F15" s="21">
        <v>147975</v>
      </c>
      <c r="G15" s="44" t="s">
        <v>204</v>
      </c>
      <c r="H15" s="23"/>
      <c r="I15" s="23"/>
      <c r="J15" s="23"/>
      <c r="K15" s="23">
        <v>1719.65</v>
      </c>
      <c r="L15" s="24"/>
      <c r="M15" s="25">
        <f t="shared" si="0"/>
        <v>1535.4017857142856</v>
      </c>
      <c r="N15" s="25">
        <f t="shared" si="1"/>
        <v>184.24821428571425</v>
      </c>
      <c r="O15" s="25">
        <f t="shared" si="2"/>
        <v>0</v>
      </c>
      <c r="P15" s="25">
        <v>1535.4</v>
      </c>
      <c r="Q15" s="26"/>
      <c r="R15" s="26"/>
      <c r="S15" s="26"/>
      <c r="T15" s="27"/>
      <c r="U15" s="27"/>
      <c r="V15" s="27"/>
      <c r="W15" s="27"/>
      <c r="X15" s="27"/>
      <c r="Y15" s="26"/>
      <c r="Z15" s="26"/>
      <c r="AA15" s="26"/>
      <c r="AB15" s="26"/>
      <c r="AC15" s="27"/>
      <c r="AD15" s="27"/>
      <c r="AE15" s="26"/>
      <c r="AF15" s="26"/>
      <c r="AG15" s="25">
        <f t="shared" si="3"/>
        <v>-1719.6482142857144</v>
      </c>
      <c r="AH15" s="28">
        <f t="shared" si="4"/>
        <v>1.7857142856883002E-3</v>
      </c>
    </row>
    <row r="16" spans="1:34" s="29" customFormat="1" ht="21.75" customHeight="1" x14ac:dyDescent="0.2">
      <c r="A16" s="18">
        <v>43502</v>
      </c>
      <c r="B16" s="19"/>
      <c r="C16" s="20" t="s">
        <v>41</v>
      </c>
      <c r="D16" s="20" t="s">
        <v>42</v>
      </c>
      <c r="E16" s="20" t="s">
        <v>43</v>
      </c>
      <c r="F16" s="21">
        <v>130020</v>
      </c>
      <c r="G16" s="44" t="s">
        <v>44</v>
      </c>
      <c r="H16" s="23"/>
      <c r="I16" s="23"/>
      <c r="J16" s="23"/>
      <c r="K16" s="23">
        <v>180</v>
      </c>
      <c r="L16" s="24"/>
      <c r="M16" s="25">
        <f t="shared" si="0"/>
        <v>160.71428571428569</v>
      </c>
      <c r="N16" s="25">
        <f t="shared" si="1"/>
        <v>19.285714285714281</v>
      </c>
      <c r="O16" s="25">
        <f t="shared" si="2"/>
        <v>0</v>
      </c>
      <c r="P16" s="25"/>
      <c r="Q16" s="26">
        <v>160.71</v>
      </c>
      <c r="R16" s="26"/>
      <c r="S16" s="26"/>
      <c r="T16" s="27"/>
      <c r="U16" s="27"/>
      <c r="V16" s="27"/>
      <c r="W16" s="27"/>
      <c r="X16" s="27"/>
      <c r="Y16" s="26"/>
      <c r="Z16" s="26"/>
      <c r="AA16" s="26"/>
      <c r="AB16" s="26"/>
      <c r="AC16" s="27"/>
      <c r="AD16" s="27"/>
      <c r="AE16" s="26"/>
      <c r="AF16" s="26"/>
      <c r="AG16" s="25">
        <f t="shared" si="3"/>
        <v>-179.99571428571429</v>
      </c>
      <c r="AH16" s="28">
        <f t="shared" si="4"/>
        <v>4.2857142857144481E-3</v>
      </c>
    </row>
    <row r="17" spans="1:34" s="29" customFormat="1" ht="21.75" customHeight="1" x14ac:dyDescent="0.2">
      <c r="A17" s="18">
        <v>43502</v>
      </c>
      <c r="B17" s="19"/>
      <c r="C17" s="20" t="s">
        <v>176</v>
      </c>
      <c r="D17" s="20"/>
      <c r="E17" s="20"/>
      <c r="F17" s="21"/>
      <c r="G17" s="44" t="s">
        <v>205</v>
      </c>
      <c r="H17" s="23">
        <v>3222</v>
      </c>
      <c r="I17" s="23"/>
      <c r="J17" s="23"/>
      <c r="K17" s="23"/>
      <c r="L17" s="24"/>
      <c r="M17" s="25">
        <f t="shared" si="0"/>
        <v>3222</v>
      </c>
      <c r="N17" s="25">
        <f t="shared" si="1"/>
        <v>0</v>
      </c>
      <c r="O17" s="25">
        <f t="shared" si="2"/>
        <v>0</v>
      </c>
      <c r="P17" s="25"/>
      <c r="Q17" s="26"/>
      <c r="R17" s="26"/>
      <c r="S17" s="26"/>
      <c r="T17" s="27"/>
      <c r="U17" s="27"/>
      <c r="V17" s="27"/>
      <c r="W17" s="27"/>
      <c r="X17" s="27"/>
      <c r="Y17" s="26"/>
      <c r="Z17" s="26"/>
      <c r="AA17" s="26"/>
      <c r="AB17" s="26">
        <v>3222</v>
      </c>
      <c r="AC17" s="27"/>
      <c r="AD17" s="27"/>
      <c r="AE17" s="26"/>
      <c r="AF17" s="26"/>
      <c r="AG17" s="25">
        <f t="shared" si="3"/>
        <v>-3222</v>
      </c>
      <c r="AH17" s="28">
        <f t="shared" si="4"/>
        <v>0</v>
      </c>
    </row>
    <row r="18" spans="1:34" s="29" customFormat="1" ht="21.75" customHeight="1" x14ac:dyDescent="0.2">
      <c r="A18" s="18">
        <v>43502</v>
      </c>
      <c r="B18" s="19"/>
      <c r="C18" s="20" t="s">
        <v>206</v>
      </c>
      <c r="D18" s="20" t="s">
        <v>207</v>
      </c>
      <c r="E18" s="20" t="s">
        <v>67</v>
      </c>
      <c r="F18" s="21">
        <v>108595</v>
      </c>
      <c r="G18" s="44" t="s">
        <v>156</v>
      </c>
      <c r="H18" s="23"/>
      <c r="I18" s="23"/>
      <c r="J18" s="23"/>
      <c r="K18" s="23">
        <v>2507.9899999999998</v>
      </c>
      <c r="L18" s="24">
        <v>0.01</v>
      </c>
      <c r="M18" s="25">
        <f t="shared" si="0"/>
        <v>2239.2767857142853</v>
      </c>
      <c r="N18" s="25">
        <f t="shared" si="1"/>
        <v>268.71321428571423</v>
      </c>
      <c r="O18" s="25">
        <f t="shared" si="2"/>
        <v>-22.392767857142854</v>
      </c>
      <c r="P18" s="25">
        <v>2239.2800000000002</v>
      </c>
      <c r="Q18" s="26"/>
      <c r="R18" s="26"/>
      <c r="S18" s="26"/>
      <c r="T18" s="27"/>
      <c r="U18" s="27"/>
      <c r="V18" s="27"/>
      <c r="W18" s="27"/>
      <c r="X18" s="27"/>
      <c r="Y18" s="26"/>
      <c r="Z18" s="26"/>
      <c r="AA18" s="26"/>
      <c r="AB18" s="26"/>
      <c r="AC18" s="27"/>
      <c r="AD18" s="27"/>
      <c r="AE18" s="26"/>
      <c r="AF18" s="26"/>
      <c r="AG18" s="25">
        <f t="shared" si="3"/>
        <v>-2485.6004464285716</v>
      </c>
      <c r="AH18" s="28">
        <f t="shared" si="4"/>
        <v>-3.2142857146304493E-3</v>
      </c>
    </row>
    <row r="19" spans="1:34" s="41" customFormat="1" ht="21.75" customHeight="1" x14ac:dyDescent="0.2">
      <c r="A19" s="30">
        <v>43503</v>
      </c>
      <c r="B19" s="31"/>
      <c r="C19" s="32" t="s">
        <v>41</v>
      </c>
      <c r="D19" s="32" t="s">
        <v>42</v>
      </c>
      <c r="E19" s="32" t="s">
        <v>43</v>
      </c>
      <c r="F19" s="33">
        <v>147917</v>
      </c>
      <c r="G19" s="34" t="s">
        <v>44</v>
      </c>
      <c r="H19" s="35"/>
      <c r="I19" s="35"/>
      <c r="J19" s="35"/>
      <c r="K19" s="35">
        <v>180</v>
      </c>
      <c r="L19" s="36"/>
      <c r="M19" s="37">
        <f t="shared" si="0"/>
        <v>160.71428571428569</v>
      </c>
      <c r="N19" s="37">
        <f t="shared" si="1"/>
        <v>19.285714285714281</v>
      </c>
      <c r="O19" s="37">
        <f t="shared" si="2"/>
        <v>0</v>
      </c>
      <c r="P19" s="37"/>
      <c r="Q19" s="38">
        <v>160.71</v>
      </c>
      <c r="R19" s="38"/>
      <c r="S19" s="38"/>
      <c r="T19" s="39"/>
      <c r="U19" s="39"/>
      <c r="V19" s="39"/>
      <c r="W19" s="39"/>
      <c r="X19" s="39"/>
      <c r="Y19" s="38"/>
      <c r="Z19" s="38"/>
      <c r="AA19" s="38"/>
      <c r="AB19" s="38"/>
      <c r="AC19" s="39"/>
      <c r="AD19" s="39"/>
      <c r="AE19" s="38"/>
      <c r="AF19" s="38"/>
      <c r="AG19" s="37">
        <f t="shared" si="3"/>
        <v>-179.99571428571429</v>
      </c>
      <c r="AH19" s="40">
        <f t="shared" si="4"/>
        <v>4.2857142857144481E-3</v>
      </c>
    </row>
    <row r="20" spans="1:34" s="29" customFormat="1" ht="21.75" customHeight="1" x14ac:dyDescent="0.2">
      <c r="A20" s="18">
        <v>43503</v>
      </c>
      <c r="B20" s="19"/>
      <c r="C20" s="20" t="s">
        <v>45</v>
      </c>
      <c r="D20" s="20" t="s">
        <v>46</v>
      </c>
      <c r="E20" s="20" t="s">
        <v>47</v>
      </c>
      <c r="F20" s="21">
        <v>156039</v>
      </c>
      <c r="G20" s="44" t="s">
        <v>208</v>
      </c>
      <c r="H20" s="23"/>
      <c r="I20" s="23"/>
      <c r="J20" s="23"/>
      <c r="K20" s="23">
        <v>990.35</v>
      </c>
      <c r="L20" s="24"/>
      <c r="M20" s="25">
        <f t="shared" si="0"/>
        <v>884.24107142857133</v>
      </c>
      <c r="N20" s="25">
        <f t="shared" si="1"/>
        <v>106.10892857142855</v>
      </c>
      <c r="O20" s="25">
        <f t="shared" si="2"/>
        <v>0</v>
      </c>
      <c r="P20" s="25">
        <v>884.24</v>
      </c>
      <c r="Q20" s="26"/>
      <c r="R20" s="26"/>
      <c r="S20" s="26"/>
      <c r="T20" s="27"/>
      <c r="U20" s="27"/>
      <c r="V20" s="27"/>
      <c r="W20" s="27"/>
      <c r="X20" s="27"/>
      <c r="Y20" s="26"/>
      <c r="Z20" s="26"/>
      <c r="AA20" s="26"/>
      <c r="AB20" s="26"/>
      <c r="AC20" s="27"/>
      <c r="AD20" s="27"/>
      <c r="AE20" s="26"/>
      <c r="AF20" s="26"/>
      <c r="AG20" s="25">
        <f t="shared" si="3"/>
        <v>-990.34892857142859</v>
      </c>
      <c r="AH20" s="28">
        <f t="shared" si="4"/>
        <v>1.0714285714357175E-3</v>
      </c>
    </row>
    <row r="21" spans="1:34" s="29" customFormat="1" ht="21.75" customHeight="1" x14ac:dyDescent="0.2">
      <c r="A21" s="18">
        <v>43503</v>
      </c>
      <c r="B21" s="19"/>
      <c r="C21" s="20" t="s">
        <v>54</v>
      </c>
      <c r="D21" s="20" t="s">
        <v>55</v>
      </c>
      <c r="E21" s="20" t="s">
        <v>56</v>
      </c>
      <c r="F21" s="21">
        <v>2913</v>
      </c>
      <c r="G21" s="44" t="s">
        <v>195</v>
      </c>
      <c r="H21" s="23"/>
      <c r="I21" s="23"/>
      <c r="J21" s="23">
        <v>1710</v>
      </c>
      <c r="K21" s="23"/>
      <c r="L21" s="24"/>
      <c r="M21" s="25">
        <f t="shared" si="0"/>
        <v>1710</v>
      </c>
      <c r="N21" s="25">
        <f t="shared" si="1"/>
        <v>0</v>
      </c>
      <c r="O21" s="25">
        <f t="shared" si="2"/>
        <v>0</v>
      </c>
      <c r="P21" s="25">
        <v>1710</v>
      </c>
      <c r="Q21" s="26"/>
      <c r="R21" s="26"/>
      <c r="S21" s="26"/>
      <c r="T21" s="27"/>
      <c r="U21" s="27"/>
      <c r="V21" s="27"/>
      <c r="W21" s="27"/>
      <c r="X21" s="27"/>
      <c r="Y21" s="26"/>
      <c r="Z21" s="26"/>
      <c r="AA21" s="26"/>
      <c r="AB21" s="26"/>
      <c r="AC21" s="27"/>
      <c r="AD21" s="27"/>
      <c r="AE21" s="26"/>
      <c r="AF21" s="26"/>
      <c r="AG21" s="25">
        <f t="shared" si="3"/>
        <v>-1710</v>
      </c>
      <c r="AH21" s="28">
        <f t="shared" si="4"/>
        <v>0</v>
      </c>
    </row>
    <row r="22" spans="1:34" s="29" customFormat="1" ht="21.75" customHeight="1" x14ac:dyDescent="0.2">
      <c r="A22" s="18">
        <v>43503</v>
      </c>
      <c r="B22" s="19"/>
      <c r="C22" s="20" t="s">
        <v>58</v>
      </c>
      <c r="D22" s="20"/>
      <c r="E22" s="20"/>
      <c r="F22" s="21"/>
      <c r="G22" s="44" t="s">
        <v>209</v>
      </c>
      <c r="H22" s="23">
        <v>100</v>
      </c>
      <c r="I22" s="23"/>
      <c r="J22" s="23"/>
      <c r="K22" s="23"/>
      <c r="L22" s="24"/>
      <c r="M22" s="25">
        <f t="shared" si="0"/>
        <v>100</v>
      </c>
      <c r="N22" s="25">
        <f t="shared" si="1"/>
        <v>0</v>
      </c>
      <c r="O22" s="25">
        <f t="shared" si="2"/>
        <v>0</v>
      </c>
      <c r="P22" s="25"/>
      <c r="Q22" s="26"/>
      <c r="R22" s="26"/>
      <c r="S22" s="26"/>
      <c r="T22" s="27"/>
      <c r="U22" s="27"/>
      <c r="V22" s="27"/>
      <c r="W22" s="27"/>
      <c r="X22" s="27"/>
      <c r="Y22" s="26"/>
      <c r="Z22" s="26"/>
      <c r="AA22" s="26">
        <v>100</v>
      </c>
      <c r="AB22" s="26"/>
      <c r="AC22" s="27"/>
      <c r="AD22" s="27"/>
      <c r="AE22" s="26"/>
      <c r="AF22" s="26"/>
      <c r="AG22" s="25">
        <f t="shared" si="3"/>
        <v>-100</v>
      </c>
      <c r="AH22" s="28">
        <f t="shared" si="4"/>
        <v>0</v>
      </c>
    </row>
    <row r="23" spans="1:34" s="29" customFormat="1" ht="21.75" customHeight="1" x14ac:dyDescent="0.2">
      <c r="A23" s="18">
        <v>43504</v>
      </c>
      <c r="B23" s="19"/>
      <c r="C23" s="20" t="s">
        <v>41</v>
      </c>
      <c r="D23" s="20" t="s">
        <v>42</v>
      </c>
      <c r="E23" s="20" t="s">
        <v>43</v>
      </c>
      <c r="F23" s="21">
        <v>136568</v>
      </c>
      <c r="G23" s="44" t="s">
        <v>44</v>
      </c>
      <c r="H23" s="23"/>
      <c r="I23" s="23"/>
      <c r="J23" s="23"/>
      <c r="K23" s="23">
        <v>180</v>
      </c>
      <c r="L23" s="24"/>
      <c r="M23" s="25">
        <f t="shared" si="0"/>
        <v>160.71428571428569</v>
      </c>
      <c r="N23" s="25">
        <f t="shared" si="1"/>
        <v>19.285714285714281</v>
      </c>
      <c r="O23" s="25">
        <f t="shared" si="2"/>
        <v>0</v>
      </c>
      <c r="P23" s="25"/>
      <c r="Q23" s="26">
        <v>160.71</v>
      </c>
      <c r="R23" s="26"/>
      <c r="S23" s="26"/>
      <c r="T23" s="27"/>
      <c r="U23" s="27"/>
      <c r="V23" s="27"/>
      <c r="W23" s="27"/>
      <c r="X23" s="27"/>
      <c r="Y23" s="26"/>
      <c r="Z23" s="26"/>
      <c r="AA23" s="26"/>
      <c r="AB23" s="26"/>
      <c r="AC23" s="27"/>
      <c r="AD23" s="27"/>
      <c r="AE23" s="26"/>
      <c r="AF23" s="26"/>
      <c r="AG23" s="25">
        <f t="shared" si="3"/>
        <v>-179.99571428571429</v>
      </c>
      <c r="AH23" s="28">
        <f t="shared" si="4"/>
        <v>4.2857142857144481E-3</v>
      </c>
    </row>
    <row r="24" spans="1:34" s="29" customFormat="1" ht="21.75" customHeight="1" x14ac:dyDescent="0.2">
      <c r="A24" s="18">
        <v>43504</v>
      </c>
      <c r="B24" s="19"/>
      <c r="C24" s="20" t="s">
        <v>50</v>
      </c>
      <c r="D24" s="20" t="s">
        <v>210</v>
      </c>
      <c r="E24" s="20" t="s">
        <v>47</v>
      </c>
      <c r="F24" s="21">
        <v>12791</v>
      </c>
      <c r="G24" s="44" t="s">
        <v>211</v>
      </c>
      <c r="H24" s="23"/>
      <c r="I24" s="23"/>
      <c r="J24" s="23"/>
      <c r="K24" s="23">
        <v>678.42</v>
      </c>
      <c r="L24" s="24"/>
      <c r="M24" s="25">
        <f t="shared" si="0"/>
        <v>605.73214285714278</v>
      </c>
      <c r="N24" s="25">
        <f t="shared" si="1"/>
        <v>72.687857142857126</v>
      </c>
      <c r="O24" s="25">
        <f t="shared" si="2"/>
        <v>0</v>
      </c>
      <c r="P24" s="25">
        <v>605.73</v>
      </c>
      <c r="Q24" s="26"/>
      <c r="R24" s="26"/>
      <c r="S24" s="26"/>
      <c r="T24" s="27"/>
      <c r="U24" s="27"/>
      <c r="V24" s="27"/>
      <c r="W24" s="27"/>
      <c r="X24" s="27"/>
      <c r="Y24" s="26"/>
      <c r="Z24" s="26"/>
      <c r="AA24" s="26"/>
      <c r="AB24" s="26"/>
      <c r="AC24" s="27"/>
      <c r="AD24" s="27"/>
      <c r="AE24" s="26"/>
      <c r="AF24" s="26"/>
      <c r="AG24" s="25">
        <f t="shared" si="3"/>
        <v>-678.4178571428572</v>
      </c>
      <c r="AH24" s="28">
        <f t="shared" si="4"/>
        <v>2.1428571427577481E-3</v>
      </c>
    </row>
    <row r="25" spans="1:34" s="29" customFormat="1" ht="21.75" customHeight="1" x14ac:dyDescent="0.2">
      <c r="A25" s="18">
        <v>43504</v>
      </c>
      <c r="B25" s="19"/>
      <c r="C25" s="20" t="s">
        <v>50</v>
      </c>
      <c r="D25" s="20" t="s">
        <v>210</v>
      </c>
      <c r="E25" s="20" t="s">
        <v>47</v>
      </c>
      <c r="F25" s="21">
        <v>12793</v>
      </c>
      <c r="G25" s="44" t="s">
        <v>123</v>
      </c>
      <c r="H25" s="23"/>
      <c r="I25" s="23"/>
      <c r="J25" s="23"/>
      <c r="K25" s="23">
        <v>418.72</v>
      </c>
      <c r="L25" s="24"/>
      <c r="M25" s="25">
        <f t="shared" si="0"/>
        <v>373.85714285714283</v>
      </c>
      <c r="N25" s="25">
        <f t="shared" si="1"/>
        <v>44.862857142857138</v>
      </c>
      <c r="O25" s="25">
        <f t="shared" si="2"/>
        <v>0</v>
      </c>
      <c r="P25" s="25">
        <v>373.86</v>
      </c>
      <c r="Q25" s="26"/>
      <c r="R25" s="26"/>
      <c r="S25" s="26"/>
      <c r="T25" s="27"/>
      <c r="U25" s="27"/>
      <c r="V25" s="27"/>
      <c r="W25" s="27"/>
      <c r="X25" s="27"/>
      <c r="Y25" s="26"/>
      <c r="Z25" s="26"/>
      <c r="AA25" s="26"/>
      <c r="AB25" s="26"/>
      <c r="AC25" s="27"/>
      <c r="AD25" s="27"/>
      <c r="AE25" s="26"/>
      <c r="AF25" s="26"/>
      <c r="AG25" s="25">
        <f t="shared" si="3"/>
        <v>-418.72285714285715</v>
      </c>
      <c r="AH25" s="28">
        <f t="shared" si="4"/>
        <v>-2.8571428571240176E-3</v>
      </c>
    </row>
    <row r="26" spans="1:34" s="29" customFormat="1" ht="21.75" customHeight="1" x14ac:dyDescent="0.2">
      <c r="A26" s="18">
        <v>43505</v>
      </c>
      <c r="B26" s="19"/>
      <c r="C26" s="20" t="s">
        <v>54</v>
      </c>
      <c r="D26" s="20" t="s">
        <v>55</v>
      </c>
      <c r="E26" s="20" t="s">
        <v>56</v>
      </c>
      <c r="F26" s="21">
        <v>2918</v>
      </c>
      <c r="G26" s="44" t="s">
        <v>195</v>
      </c>
      <c r="H26" s="23"/>
      <c r="I26" s="23"/>
      <c r="J26" s="23">
        <v>2220</v>
      </c>
      <c r="K26" s="23"/>
      <c r="L26" s="24"/>
      <c r="M26" s="25">
        <f t="shared" si="0"/>
        <v>2220</v>
      </c>
      <c r="N26" s="25">
        <f t="shared" si="1"/>
        <v>0</v>
      </c>
      <c r="O26" s="25">
        <f t="shared" si="2"/>
        <v>0</v>
      </c>
      <c r="P26" s="25">
        <v>2220</v>
      </c>
      <c r="Q26" s="26"/>
      <c r="R26" s="26"/>
      <c r="S26" s="26"/>
      <c r="T26" s="27"/>
      <c r="U26" s="27"/>
      <c r="V26" s="27"/>
      <c r="W26" s="27"/>
      <c r="X26" s="27"/>
      <c r="Y26" s="26"/>
      <c r="Z26" s="26"/>
      <c r="AA26" s="26"/>
      <c r="AB26" s="26"/>
      <c r="AC26" s="27"/>
      <c r="AD26" s="27"/>
      <c r="AE26" s="26"/>
      <c r="AF26" s="26"/>
      <c r="AG26" s="25">
        <f t="shared" si="3"/>
        <v>-2220</v>
      </c>
      <c r="AH26" s="28">
        <f t="shared" si="4"/>
        <v>0</v>
      </c>
    </row>
    <row r="27" spans="1:34" s="29" customFormat="1" ht="21.75" customHeight="1" x14ac:dyDescent="0.2">
      <c r="A27" s="18">
        <v>43505</v>
      </c>
      <c r="B27" s="19"/>
      <c r="C27" s="20" t="s">
        <v>58</v>
      </c>
      <c r="D27" s="20"/>
      <c r="E27" s="20"/>
      <c r="F27" s="21"/>
      <c r="G27" s="44" t="s">
        <v>209</v>
      </c>
      <c r="H27" s="23">
        <v>100</v>
      </c>
      <c r="I27" s="23"/>
      <c r="J27" s="23"/>
      <c r="K27" s="23"/>
      <c r="L27" s="24"/>
      <c r="M27" s="25">
        <f t="shared" si="0"/>
        <v>100</v>
      </c>
      <c r="N27" s="25">
        <f t="shared" si="1"/>
        <v>0</v>
      </c>
      <c r="O27" s="25">
        <f t="shared" si="2"/>
        <v>0</v>
      </c>
      <c r="P27" s="25"/>
      <c r="Q27" s="26"/>
      <c r="R27" s="26"/>
      <c r="S27" s="26"/>
      <c r="T27" s="27"/>
      <c r="U27" s="27"/>
      <c r="V27" s="27"/>
      <c r="W27" s="27"/>
      <c r="X27" s="27"/>
      <c r="Y27" s="26"/>
      <c r="Z27" s="26"/>
      <c r="AA27" s="26">
        <v>100</v>
      </c>
      <c r="AB27" s="26"/>
      <c r="AC27" s="27"/>
      <c r="AD27" s="27"/>
      <c r="AE27" s="26"/>
      <c r="AF27" s="26"/>
      <c r="AG27" s="25">
        <f t="shared" si="3"/>
        <v>-100</v>
      </c>
      <c r="AH27" s="28">
        <f t="shared" si="4"/>
        <v>0</v>
      </c>
    </row>
    <row r="28" spans="1:34" s="29" customFormat="1" ht="21.75" customHeight="1" x14ac:dyDescent="0.2">
      <c r="A28" s="18">
        <v>43505</v>
      </c>
      <c r="B28" s="19"/>
      <c r="C28" s="20" t="s">
        <v>74</v>
      </c>
      <c r="D28" s="20"/>
      <c r="E28" s="20"/>
      <c r="F28" s="21"/>
      <c r="G28" s="44" t="s">
        <v>75</v>
      </c>
      <c r="H28" s="23"/>
      <c r="I28" s="23"/>
      <c r="J28" s="23">
        <v>1605</v>
      </c>
      <c r="K28" s="23"/>
      <c r="L28" s="24"/>
      <c r="M28" s="25">
        <f t="shared" si="0"/>
        <v>1605</v>
      </c>
      <c r="N28" s="25">
        <f t="shared" si="1"/>
        <v>0</v>
      </c>
      <c r="O28" s="25">
        <f t="shared" si="2"/>
        <v>0</v>
      </c>
      <c r="P28" s="25">
        <v>1605</v>
      </c>
      <c r="Q28" s="26"/>
      <c r="R28" s="26"/>
      <c r="S28" s="26"/>
      <c r="T28" s="27"/>
      <c r="U28" s="27"/>
      <c r="V28" s="27"/>
      <c r="W28" s="27"/>
      <c r="X28" s="27"/>
      <c r="Y28" s="26"/>
      <c r="Z28" s="26"/>
      <c r="AA28" s="26"/>
      <c r="AB28" s="26"/>
      <c r="AC28" s="27"/>
      <c r="AD28" s="27"/>
      <c r="AE28" s="26"/>
      <c r="AF28" s="26"/>
      <c r="AG28" s="25">
        <f t="shared" si="3"/>
        <v>-1605</v>
      </c>
      <c r="AH28" s="28">
        <f t="shared" si="4"/>
        <v>0</v>
      </c>
    </row>
    <row r="29" spans="1:34" s="29" customFormat="1" ht="21.75" customHeight="1" x14ac:dyDescent="0.2">
      <c r="A29" s="18">
        <v>43505</v>
      </c>
      <c r="B29" s="19"/>
      <c r="C29" s="20" t="s">
        <v>58</v>
      </c>
      <c r="D29" s="20"/>
      <c r="E29" s="20"/>
      <c r="F29" s="21"/>
      <c r="G29" s="44" t="s">
        <v>212</v>
      </c>
      <c r="H29" s="23">
        <v>50</v>
      </c>
      <c r="I29" s="23"/>
      <c r="J29" s="23"/>
      <c r="K29" s="23"/>
      <c r="L29" s="24"/>
      <c r="M29" s="25">
        <f t="shared" si="0"/>
        <v>50</v>
      </c>
      <c r="N29" s="25">
        <f t="shared" si="1"/>
        <v>0</v>
      </c>
      <c r="O29" s="25">
        <f t="shared" si="2"/>
        <v>0</v>
      </c>
      <c r="P29" s="25"/>
      <c r="Q29" s="26"/>
      <c r="R29" s="26"/>
      <c r="S29" s="26"/>
      <c r="T29" s="27"/>
      <c r="U29" s="27"/>
      <c r="V29" s="27"/>
      <c r="W29" s="27"/>
      <c r="X29" s="27"/>
      <c r="Y29" s="26"/>
      <c r="Z29" s="26"/>
      <c r="AA29" s="26">
        <v>50</v>
      </c>
      <c r="AB29" s="26"/>
      <c r="AC29" s="27"/>
      <c r="AD29" s="27"/>
      <c r="AE29" s="26"/>
      <c r="AF29" s="26"/>
      <c r="AG29" s="25">
        <f t="shared" si="3"/>
        <v>-50</v>
      </c>
      <c r="AH29" s="28">
        <f t="shared" si="4"/>
        <v>0</v>
      </c>
    </row>
    <row r="30" spans="1:34" s="29" customFormat="1" ht="21.75" customHeight="1" x14ac:dyDescent="0.2">
      <c r="A30" s="18">
        <v>43505</v>
      </c>
      <c r="B30" s="19"/>
      <c r="C30" s="20" t="s">
        <v>213</v>
      </c>
      <c r="D30" s="20" t="s">
        <v>214</v>
      </c>
      <c r="E30" s="20" t="s">
        <v>215</v>
      </c>
      <c r="F30" s="21">
        <v>27102</v>
      </c>
      <c r="G30" s="44" t="s">
        <v>216</v>
      </c>
      <c r="H30" s="23"/>
      <c r="I30" s="23"/>
      <c r="J30" s="23">
        <v>750</v>
      </c>
      <c r="K30" s="23"/>
      <c r="L30" s="24"/>
      <c r="M30" s="25">
        <f t="shared" si="0"/>
        <v>750</v>
      </c>
      <c r="N30" s="25">
        <f t="shared" si="1"/>
        <v>0</v>
      </c>
      <c r="O30" s="25">
        <f t="shared" si="2"/>
        <v>0</v>
      </c>
      <c r="P30" s="25"/>
      <c r="Q30" s="26"/>
      <c r="R30" s="26"/>
      <c r="S30" s="26"/>
      <c r="T30" s="27"/>
      <c r="U30" s="27"/>
      <c r="V30" s="27">
        <v>750</v>
      </c>
      <c r="W30" s="27"/>
      <c r="X30" s="27"/>
      <c r="Y30" s="26"/>
      <c r="Z30" s="26"/>
      <c r="AA30" s="26"/>
      <c r="AB30" s="26"/>
      <c r="AC30" s="27"/>
      <c r="AD30" s="27"/>
      <c r="AE30" s="26"/>
      <c r="AF30" s="26"/>
      <c r="AG30" s="25">
        <f t="shared" si="3"/>
        <v>-750</v>
      </c>
      <c r="AH30" s="28">
        <f t="shared" si="4"/>
        <v>0</v>
      </c>
    </row>
    <row r="31" spans="1:34" s="29" customFormat="1" ht="21.75" customHeight="1" x14ac:dyDescent="0.2">
      <c r="A31" s="18">
        <v>43505</v>
      </c>
      <c r="B31" s="19"/>
      <c r="C31" s="20" t="s">
        <v>217</v>
      </c>
      <c r="D31" s="20" t="s">
        <v>218</v>
      </c>
      <c r="E31" s="20" t="s">
        <v>215</v>
      </c>
      <c r="F31" s="21">
        <v>33397</v>
      </c>
      <c r="G31" s="44" t="s">
        <v>219</v>
      </c>
      <c r="H31" s="23"/>
      <c r="I31" s="23"/>
      <c r="J31" s="23"/>
      <c r="K31" s="23">
        <v>300</v>
      </c>
      <c r="L31" s="24"/>
      <c r="M31" s="25">
        <f t="shared" si="0"/>
        <v>267.85714285714283</v>
      </c>
      <c r="N31" s="25">
        <f t="shared" si="1"/>
        <v>32.142857142857139</v>
      </c>
      <c r="O31" s="25">
        <f t="shared" si="2"/>
        <v>0</v>
      </c>
      <c r="P31" s="25"/>
      <c r="Q31" s="26"/>
      <c r="R31" s="26">
        <v>267.86</v>
      </c>
      <c r="S31" s="26"/>
      <c r="T31" s="27"/>
      <c r="U31" s="27"/>
      <c r="V31" s="27"/>
      <c r="W31" s="27"/>
      <c r="X31" s="27"/>
      <c r="Y31" s="26"/>
      <c r="Z31" s="26"/>
      <c r="AA31" s="26"/>
      <c r="AB31" s="26"/>
      <c r="AC31" s="27"/>
      <c r="AD31" s="27"/>
      <c r="AE31" s="26"/>
      <c r="AF31" s="26"/>
      <c r="AG31" s="25">
        <f t="shared" si="3"/>
        <v>-300.00285714285712</v>
      </c>
      <c r="AH31" s="28">
        <f t="shared" si="4"/>
        <v>-2.8571428571240176E-3</v>
      </c>
    </row>
    <row r="32" spans="1:34" s="17" customFormat="1" ht="21.75" customHeight="1" x14ac:dyDescent="0.2">
      <c r="A32" s="18">
        <v>43505</v>
      </c>
      <c r="B32" s="19"/>
      <c r="C32" s="20" t="s">
        <v>157</v>
      </c>
      <c r="D32" s="20"/>
      <c r="E32" s="20"/>
      <c r="F32" s="21"/>
      <c r="G32" s="44" t="s">
        <v>158</v>
      </c>
      <c r="H32" s="23">
        <v>137</v>
      </c>
      <c r="I32" s="23"/>
      <c r="J32" s="23"/>
      <c r="K32" s="23"/>
      <c r="L32" s="24"/>
      <c r="M32" s="25">
        <f t="shared" si="0"/>
        <v>137</v>
      </c>
      <c r="N32" s="25">
        <f t="shared" si="1"/>
        <v>0</v>
      </c>
      <c r="O32" s="25">
        <f t="shared" si="2"/>
        <v>0</v>
      </c>
      <c r="P32" s="25"/>
      <c r="Q32" s="26"/>
      <c r="R32" s="26"/>
      <c r="S32" s="26"/>
      <c r="T32" s="27"/>
      <c r="U32" s="27"/>
      <c r="V32" s="27"/>
      <c r="W32" s="27"/>
      <c r="X32" s="27"/>
      <c r="Y32" s="26"/>
      <c r="Z32" s="26"/>
      <c r="AA32" s="26">
        <v>137</v>
      </c>
      <c r="AB32" s="26"/>
      <c r="AC32" s="14"/>
      <c r="AD32" s="14"/>
      <c r="AE32" s="15"/>
      <c r="AF32" s="15"/>
      <c r="AG32" s="25">
        <f t="shared" si="3"/>
        <v>-137</v>
      </c>
      <c r="AH32" s="28">
        <f t="shared" si="4"/>
        <v>0</v>
      </c>
    </row>
    <row r="33" spans="1:34" s="17" customFormat="1" ht="21.75" customHeight="1" x14ac:dyDescent="0.2">
      <c r="A33" s="18">
        <v>43507</v>
      </c>
      <c r="B33" s="19"/>
      <c r="C33" s="20" t="s">
        <v>220</v>
      </c>
      <c r="D33" s="20"/>
      <c r="E33" s="20"/>
      <c r="F33" s="21"/>
      <c r="G33" s="44" t="s">
        <v>221</v>
      </c>
      <c r="H33" s="23">
        <v>100</v>
      </c>
      <c r="I33" s="23"/>
      <c r="J33" s="23"/>
      <c r="K33" s="23"/>
      <c r="L33" s="24"/>
      <c r="M33" s="25">
        <f t="shared" si="0"/>
        <v>100</v>
      </c>
      <c r="N33" s="25">
        <f t="shared" si="1"/>
        <v>0</v>
      </c>
      <c r="O33" s="25">
        <f t="shared" si="2"/>
        <v>0</v>
      </c>
      <c r="P33" s="25">
        <v>100</v>
      </c>
      <c r="Q33" s="42"/>
      <c r="R33" s="13"/>
      <c r="S33" s="13"/>
      <c r="T33" s="14"/>
      <c r="U33" s="14"/>
      <c r="V33" s="14"/>
      <c r="W33" s="14"/>
      <c r="X33" s="14"/>
      <c r="Y33" s="13"/>
      <c r="Z33" s="13"/>
      <c r="AA33" s="13"/>
      <c r="AB33" s="13"/>
      <c r="AC33" s="14"/>
      <c r="AD33" s="14"/>
      <c r="AE33" s="15"/>
      <c r="AF33" s="15"/>
      <c r="AG33" s="25">
        <f t="shared" si="3"/>
        <v>-100</v>
      </c>
      <c r="AH33" s="28">
        <f t="shared" si="4"/>
        <v>0</v>
      </c>
    </row>
    <row r="34" spans="1:34" s="17" customFormat="1" ht="21.75" customHeight="1" x14ac:dyDescent="0.2">
      <c r="A34" s="18">
        <v>43507</v>
      </c>
      <c r="B34" s="19"/>
      <c r="C34" s="20" t="s">
        <v>41</v>
      </c>
      <c r="D34" s="20" t="s">
        <v>42</v>
      </c>
      <c r="E34" s="20" t="s">
        <v>43</v>
      </c>
      <c r="F34" s="21">
        <v>162910</v>
      </c>
      <c r="G34" s="44" t="s">
        <v>44</v>
      </c>
      <c r="H34" s="23"/>
      <c r="I34" s="23"/>
      <c r="J34" s="23"/>
      <c r="K34" s="23">
        <v>180</v>
      </c>
      <c r="L34" s="24"/>
      <c r="M34" s="25">
        <f t="shared" si="0"/>
        <v>160.71428571428569</v>
      </c>
      <c r="N34" s="25">
        <f t="shared" si="1"/>
        <v>19.285714285714281</v>
      </c>
      <c r="O34" s="25">
        <f t="shared" si="2"/>
        <v>0</v>
      </c>
      <c r="P34" s="25"/>
      <c r="Q34" s="42">
        <v>160.71</v>
      </c>
      <c r="R34" s="13"/>
      <c r="S34" s="13"/>
      <c r="T34" s="14"/>
      <c r="U34" s="14"/>
      <c r="V34" s="14"/>
      <c r="W34" s="14"/>
      <c r="X34" s="14"/>
      <c r="Y34" s="13"/>
      <c r="Z34" s="13"/>
      <c r="AA34" s="13"/>
      <c r="AB34" s="13"/>
      <c r="AC34" s="14"/>
      <c r="AD34" s="14"/>
      <c r="AE34" s="15"/>
      <c r="AF34" s="15"/>
      <c r="AG34" s="25">
        <f t="shared" si="3"/>
        <v>-179.99571428571429</v>
      </c>
      <c r="AH34" s="28">
        <f t="shared" si="4"/>
        <v>4.2857142857144481E-3</v>
      </c>
    </row>
    <row r="35" spans="1:34" s="17" customFormat="1" ht="21.75" customHeight="1" x14ac:dyDescent="0.2">
      <c r="A35" s="18">
        <v>43507</v>
      </c>
      <c r="B35" s="19"/>
      <c r="C35" s="20" t="s">
        <v>37</v>
      </c>
      <c r="D35" s="20" t="s">
        <v>38</v>
      </c>
      <c r="E35" s="20" t="s">
        <v>39</v>
      </c>
      <c r="F35" s="21">
        <v>34126</v>
      </c>
      <c r="G35" s="44" t="s">
        <v>222</v>
      </c>
      <c r="H35" s="23"/>
      <c r="I35" s="23"/>
      <c r="J35" s="23"/>
      <c r="K35" s="23">
        <v>286.5</v>
      </c>
      <c r="L35" s="24"/>
      <c r="M35" s="25">
        <f t="shared" si="0"/>
        <v>255.80357142857142</v>
      </c>
      <c r="N35" s="25">
        <f t="shared" si="1"/>
        <v>30.696428571428569</v>
      </c>
      <c r="O35" s="25">
        <f t="shared" si="2"/>
        <v>0</v>
      </c>
      <c r="P35" s="25">
        <v>255.8</v>
      </c>
      <c r="Q35" s="42"/>
      <c r="R35" s="13"/>
      <c r="S35" s="13"/>
      <c r="T35" s="14"/>
      <c r="U35" s="14"/>
      <c r="V35" s="14"/>
      <c r="W35" s="14"/>
      <c r="X35" s="14"/>
      <c r="Y35" s="13"/>
      <c r="Z35" s="13"/>
      <c r="AA35" s="13"/>
      <c r="AB35" s="13"/>
      <c r="AC35" s="14"/>
      <c r="AD35" s="14"/>
      <c r="AE35" s="15"/>
      <c r="AF35" s="15"/>
      <c r="AG35" s="25">
        <f t="shared" si="3"/>
        <v>-286.49642857142857</v>
      </c>
      <c r="AH35" s="28">
        <f t="shared" si="4"/>
        <v>3.5714285714334437E-3</v>
      </c>
    </row>
    <row r="36" spans="1:34" s="17" customFormat="1" ht="21.75" customHeight="1" x14ac:dyDescent="0.2">
      <c r="A36" s="18">
        <v>43508</v>
      </c>
      <c r="B36" s="19"/>
      <c r="C36" s="20" t="s">
        <v>62</v>
      </c>
      <c r="D36" s="20"/>
      <c r="E36" s="20"/>
      <c r="F36" s="21"/>
      <c r="G36" s="44" t="s">
        <v>223</v>
      </c>
      <c r="H36" s="23">
        <v>40</v>
      </c>
      <c r="I36" s="23"/>
      <c r="J36" s="23"/>
      <c r="K36" s="23"/>
      <c r="L36" s="24"/>
      <c r="M36" s="25">
        <f t="shared" si="0"/>
        <v>40</v>
      </c>
      <c r="N36" s="25">
        <f t="shared" si="1"/>
        <v>0</v>
      </c>
      <c r="O36" s="25">
        <f t="shared" si="2"/>
        <v>0</v>
      </c>
      <c r="P36" s="25"/>
      <c r="Q36" s="42"/>
      <c r="R36" s="13"/>
      <c r="S36" s="13"/>
      <c r="T36" s="14"/>
      <c r="U36" s="14"/>
      <c r="V36" s="14"/>
      <c r="W36" s="14"/>
      <c r="X36" s="14"/>
      <c r="Y36" s="13"/>
      <c r="Z36" s="13"/>
      <c r="AA36" s="42">
        <v>40</v>
      </c>
      <c r="AB36" s="13"/>
      <c r="AC36" s="14"/>
      <c r="AD36" s="14"/>
      <c r="AE36" s="15"/>
      <c r="AF36" s="15"/>
      <c r="AG36" s="25">
        <f t="shared" si="3"/>
        <v>-40</v>
      </c>
      <c r="AH36" s="28">
        <f t="shared" si="4"/>
        <v>0</v>
      </c>
    </row>
    <row r="37" spans="1:34" s="17" customFormat="1" ht="21.75" customHeight="1" x14ac:dyDescent="0.2">
      <c r="A37" s="18">
        <v>43508</v>
      </c>
      <c r="B37" s="19"/>
      <c r="C37" s="20" t="s">
        <v>45</v>
      </c>
      <c r="D37" s="20" t="s">
        <v>46</v>
      </c>
      <c r="E37" s="20" t="s">
        <v>47</v>
      </c>
      <c r="F37" s="21">
        <v>146346</v>
      </c>
      <c r="G37" s="44" t="s">
        <v>224</v>
      </c>
      <c r="H37" s="23"/>
      <c r="I37" s="23"/>
      <c r="J37" s="23"/>
      <c r="K37" s="23">
        <f>1012.41+121.49</f>
        <v>1133.8999999999999</v>
      </c>
      <c r="L37" s="24"/>
      <c r="M37" s="25">
        <f t="shared" ref="M37:M68" si="5">SUM(H37:J37,K37/1.12)</f>
        <v>1012.4107142857141</v>
      </c>
      <c r="N37" s="25">
        <f t="shared" ref="N37:N68" si="6">K37/1.12*0.12</f>
        <v>121.48928571428569</v>
      </c>
      <c r="O37" s="25">
        <f t="shared" ref="O37:O68" si="7">-SUM(I37:J37,K37/1.12)*L37</f>
        <v>0</v>
      </c>
      <c r="P37" s="25">
        <v>1012.41</v>
      </c>
      <c r="Q37" s="42"/>
      <c r="R37" s="13"/>
      <c r="S37" s="13"/>
      <c r="T37" s="14"/>
      <c r="U37" s="14"/>
      <c r="V37" s="14"/>
      <c r="W37" s="14"/>
      <c r="X37" s="14"/>
      <c r="Y37" s="13"/>
      <c r="Z37" s="13"/>
      <c r="AA37" s="13"/>
      <c r="AB37" s="13"/>
      <c r="AC37" s="14"/>
      <c r="AD37" s="14"/>
      <c r="AE37" s="15"/>
      <c r="AF37" s="15"/>
      <c r="AG37" s="25">
        <f t="shared" ref="AG37:AG68" si="8">-SUM(N37:AF37)</f>
        <v>-1133.8992857142857</v>
      </c>
      <c r="AH37" s="28">
        <f t="shared" ref="AH37:AH68" si="9">SUM(H37:K37)+AG37+O37</f>
        <v>7.1428571413889586E-4</v>
      </c>
    </row>
    <row r="38" spans="1:34" s="17" customFormat="1" ht="21.75" customHeight="1" x14ac:dyDescent="0.2">
      <c r="A38" s="18">
        <v>43508</v>
      </c>
      <c r="B38" s="19"/>
      <c r="C38" s="20" t="s">
        <v>45</v>
      </c>
      <c r="D38" s="20" t="s">
        <v>46</v>
      </c>
      <c r="E38" s="20" t="s">
        <v>47</v>
      </c>
      <c r="F38" s="21">
        <v>146346</v>
      </c>
      <c r="G38" s="44" t="s">
        <v>225</v>
      </c>
      <c r="H38" s="23"/>
      <c r="I38" s="23"/>
      <c r="J38" s="23">
        <v>302.64999999999998</v>
      </c>
      <c r="K38" s="23"/>
      <c r="L38" s="24"/>
      <c r="M38" s="25">
        <f t="shared" si="5"/>
        <v>302.64999999999998</v>
      </c>
      <c r="N38" s="25">
        <f t="shared" si="6"/>
        <v>0</v>
      </c>
      <c r="O38" s="25">
        <f t="shared" si="7"/>
        <v>0</v>
      </c>
      <c r="P38" s="25">
        <v>302.64999999999998</v>
      </c>
      <c r="Q38" s="42"/>
      <c r="R38" s="13"/>
      <c r="S38" s="13"/>
      <c r="T38" s="14"/>
      <c r="U38" s="14"/>
      <c r="V38" s="14"/>
      <c r="W38" s="14"/>
      <c r="X38" s="14"/>
      <c r="Y38" s="13"/>
      <c r="Z38" s="13"/>
      <c r="AA38" s="13"/>
      <c r="AB38" s="13"/>
      <c r="AC38" s="14"/>
      <c r="AD38" s="14"/>
      <c r="AE38" s="15"/>
      <c r="AF38" s="15"/>
      <c r="AG38" s="25">
        <f t="shared" si="8"/>
        <v>-302.64999999999998</v>
      </c>
      <c r="AH38" s="28">
        <f t="shared" si="9"/>
        <v>0</v>
      </c>
    </row>
    <row r="39" spans="1:34" s="17" customFormat="1" ht="21.75" customHeight="1" x14ac:dyDescent="0.2">
      <c r="A39" s="18">
        <v>43508</v>
      </c>
      <c r="B39" s="19"/>
      <c r="C39" s="20" t="s">
        <v>41</v>
      </c>
      <c r="D39" s="20" t="s">
        <v>42</v>
      </c>
      <c r="E39" s="20" t="s">
        <v>43</v>
      </c>
      <c r="F39" s="21">
        <v>162960</v>
      </c>
      <c r="G39" s="44" t="s">
        <v>44</v>
      </c>
      <c r="H39" s="23"/>
      <c r="I39" s="23"/>
      <c r="J39" s="23"/>
      <c r="K39" s="23">
        <v>180</v>
      </c>
      <c r="L39" s="24"/>
      <c r="M39" s="25">
        <f t="shared" si="5"/>
        <v>160.71428571428569</v>
      </c>
      <c r="N39" s="25">
        <f t="shared" si="6"/>
        <v>19.285714285714281</v>
      </c>
      <c r="O39" s="25">
        <f t="shared" si="7"/>
        <v>0</v>
      </c>
      <c r="P39" s="25"/>
      <c r="Q39" s="42">
        <v>160.71</v>
      </c>
      <c r="R39" s="13"/>
      <c r="S39" s="13"/>
      <c r="T39" s="14"/>
      <c r="U39" s="14"/>
      <c r="V39" s="14"/>
      <c r="W39" s="14"/>
      <c r="X39" s="14"/>
      <c r="Y39" s="13"/>
      <c r="Z39" s="13"/>
      <c r="AA39" s="13"/>
      <c r="AB39" s="13"/>
      <c r="AC39" s="14"/>
      <c r="AD39" s="14"/>
      <c r="AE39" s="15"/>
      <c r="AF39" s="15"/>
      <c r="AG39" s="25">
        <f t="shared" si="8"/>
        <v>-179.99571428571429</v>
      </c>
      <c r="AH39" s="28">
        <f t="shared" si="9"/>
        <v>4.2857142857144481E-3</v>
      </c>
    </row>
    <row r="40" spans="1:34" s="17" customFormat="1" ht="21.75" customHeight="1" x14ac:dyDescent="0.2">
      <c r="A40" s="18">
        <v>43508</v>
      </c>
      <c r="B40" s="19"/>
      <c r="C40" s="20" t="s">
        <v>37</v>
      </c>
      <c r="D40" s="20" t="s">
        <v>38</v>
      </c>
      <c r="E40" s="20" t="s">
        <v>39</v>
      </c>
      <c r="F40" s="21">
        <v>34151</v>
      </c>
      <c r="G40" s="44" t="s">
        <v>226</v>
      </c>
      <c r="H40" s="23"/>
      <c r="I40" s="23"/>
      <c r="J40" s="23"/>
      <c r="K40" s="23">
        <v>106.5</v>
      </c>
      <c r="L40" s="24"/>
      <c r="M40" s="25">
        <f t="shared" si="5"/>
        <v>95.089285714285708</v>
      </c>
      <c r="N40" s="25">
        <f t="shared" si="6"/>
        <v>11.410714285714285</v>
      </c>
      <c r="O40" s="25">
        <f t="shared" si="7"/>
        <v>0</v>
      </c>
      <c r="P40" s="25">
        <v>95.09</v>
      </c>
      <c r="Q40" s="42"/>
      <c r="R40" s="13"/>
      <c r="S40" s="13"/>
      <c r="T40" s="14"/>
      <c r="U40" s="14"/>
      <c r="V40" s="14"/>
      <c r="W40" s="14"/>
      <c r="X40" s="14"/>
      <c r="Y40" s="13"/>
      <c r="Z40" s="13"/>
      <c r="AA40" s="13"/>
      <c r="AB40" s="13"/>
      <c r="AC40" s="14"/>
      <c r="AD40" s="14"/>
      <c r="AE40" s="15"/>
      <c r="AF40" s="15"/>
      <c r="AG40" s="25">
        <f t="shared" si="8"/>
        <v>-106.50071428571428</v>
      </c>
      <c r="AH40" s="28">
        <f t="shared" si="9"/>
        <v>-7.142857142810044E-4</v>
      </c>
    </row>
    <row r="41" spans="1:34" s="17" customFormat="1" ht="21.75" customHeight="1" x14ac:dyDescent="0.2">
      <c r="A41" s="18">
        <v>43508</v>
      </c>
      <c r="B41" s="19"/>
      <c r="C41" s="20" t="s">
        <v>37</v>
      </c>
      <c r="D41" s="20" t="s">
        <v>38</v>
      </c>
      <c r="E41" s="20" t="s">
        <v>39</v>
      </c>
      <c r="F41" s="21">
        <v>34151</v>
      </c>
      <c r="G41" s="44" t="s">
        <v>227</v>
      </c>
      <c r="H41" s="23"/>
      <c r="I41" s="23"/>
      <c r="J41" s="23"/>
      <c r="K41" s="23">
        <v>79</v>
      </c>
      <c r="L41" s="24"/>
      <c r="M41" s="25">
        <f t="shared" si="5"/>
        <v>70.535714285714278</v>
      </c>
      <c r="N41" s="25">
        <f t="shared" si="6"/>
        <v>8.4642857142857135</v>
      </c>
      <c r="O41" s="25">
        <f t="shared" si="7"/>
        <v>0</v>
      </c>
      <c r="P41" s="25"/>
      <c r="Q41" s="42"/>
      <c r="R41" s="13"/>
      <c r="S41" s="13"/>
      <c r="T41" s="14"/>
      <c r="U41" s="58">
        <v>70.540000000000006</v>
      </c>
      <c r="V41" s="14"/>
      <c r="W41" s="14"/>
      <c r="X41" s="14"/>
      <c r="Y41" s="13"/>
      <c r="Z41" s="13"/>
      <c r="AA41" s="13"/>
      <c r="AB41" s="13"/>
      <c r="AC41" s="14"/>
      <c r="AD41" s="14"/>
      <c r="AE41" s="15"/>
      <c r="AF41" s="15"/>
      <c r="AG41" s="25">
        <f t="shared" si="8"/>
        <v>-79.004285714285714</v>
      </c>
      <c r="AH41" s="28">
        <f t="shared" si="9"/>
        <v>-4.2857142857144481E-3</v>
      </c>
    </row>
    <row r="42" spans="1:34" s="17" customFormat="1" ht="21.75" customHeight="1" x14ac:dyDescent="0.2">
      <c r="A42" s="18">
        <v>43508</v>
      </c>
      <c r="B42" s="19"/>
      <c r="C42" s="20" t="s">
        <v>228</v>
      </c>
      <c r="D42" s="20" t="s">
        <v>229</v>
      </c>
      <c r="E42" s="20" t="s">
        <v>67</v>
      </c>
      <c r="F42" s="21">
        <v>3752</v>
      </c>
      <c r="G42" s="44" t="s">
        <v>230</v>
      </c>
      <c r="H42" s="23"/>
      <c r="I42" s="23"/>
      <c r="J42" s="23"/>
      <c r="K42" s="23">
        <v>982.91</v>
      </c>
      <c r="L42" s="24"/>
      <c r="M42" s="25">
        <f t="shared" si="5"/>
        <v>877.59821428571422</v>
      </c>
      <c r="N42" s="25">
        <f t="shared" si="6"/>
        <v>105.3117857142857</v>
      </c>
      <c r="O42" s="25">
        <f t="shared" si="7"/>
        <v>0</v>
      </c>
      <c r="P42" s="25"/>
      <c r="Q42" s="42"/>
      <c r="R42" s="13"/>
      <c r="S42" s="13"/>
      <c r="T42" s="14"/>
      <c r="U42" s="14"/>
      <c r="V42" s="14"/>
      <c r="W42" s="14"/>
      <c r="X42" s="14"/>
      <c r="Y42" s="13"/>
      <c r="Z42" s="42">
        <v>877.6</v>
      </c>
      <c r="AA42" s="13"/>
      <c r="AB42" s="13"/>
      <c r="AC42" s="14"/>
      <c r="AD42" s="14"/>
      <c r="AE42" s="15"/>
      <c r="AF42" s="15"/>
      <c r="AG42" s="25">
        <f t="shared" si="8"/>
        <v>-982.91178571428577</v>
      </c>
      <c r="AH42" s="28">
        <f t="shared" si="9"/>
        <v>-1.785714285801987E-3</v>
      </c>
    </row>
    <row r="43" spans="1:34" s="17" customFormat="1" ht="21.75" customHeight="1" x14ac:dyDescent="0.2">
      <c r="A43" s="18">
        <v>43508</v>
      </c>
      <c r="B43" s="19"/>
      <c r="C43" s="20" t="s">
        <v>185</v>
      </c>
      <c r="D43" s="20" t="s">
        <v>106</v>
      </c>
      <c r="E43" s="20" t="s">
        <v>186</v>
      </c>
      <c r="F43" s="21">
        <v>692286</v>
      </c>
      <c r="G43" s="44" t="s">
        <v>231</v>
      </c>
      <c r="H43" s="23"/>
      <c r="I43" s="23"/>
      <c r="J43" s="23"/>
      <c r="K43" s="23">
        <v>257</v>
      </c>
      <c r="L43" s="24"/>
      <c r="M43" s="25">
        <f t="shared" si="5"/>
        <v>229.46428571428569</v>
      </c>
      <c r="N43" s="25">
        <f t="shared" si="6"/>
        <v>27.535714285714281</v>
      </c>
      <c r="O43" s="25">
        <f t="shared" si="7"/>
        <v>0</v>
      </c>
      <c r="P43" s="25"/>
      <c r="Q43" s="42"/>
      <c r="R43" s="13"/>
      <c r="S43" s="42"/>
      <c r="T43" s="58">
        <v>229.46</v>
      </c>
      <c r="U43" s="58"/>
      <c r="V43" s="58"/>
      <c r="W43" s="58"/>
      <c r="X43" s="58"/>
      <c r="Y43" s="42"/>
      <c r="Z43" s="42"/>
      <c r="AA43" s="42"/>
      <c r="AB43" s="13"/>
      <c r="AC43" s="14"/>
      <c r="AD43" s="14"/>
      <c r="AE43" s="15"/>
      <c r="AF43" s="15"/>
      <c r="AG43" s="25">
        <f t="shared" si="8"/>
        <v>-256.99571428571431</v>
      </c>
      <c r="AH43" s="28">
        <f t="shared" si="9"/>
        <v>4.2857142856860264E-3</v>
      </c>
    </row>
    <row r="44" spans="1:34" s="17" customFormat="1" ht="21.75" customHeight="1" x14ac:dyDescent="0.2">
      <c r="A44" s="18">
        <v>43509</v>
      </c>
      <c r="B44" s="19"/>
      <c r="C44" s="20" t="s">
        <v>62</v>
      </c>
      <c r="D44" s="20"/>
      <c r="E44" s="20"/>
      <c r="F44" s="21"/>
      <c r="G44" s="44" t="s">
        <v>232</v>
      </c>
      <c r="H44" s="23">
        <v>40</v>
      </c>
      <c r="I44" s="23"/>
      <c r="J44" s="23"/>
      <c r="K44" s="23"/>
      <c r="L44" s="24"/>
      <c r="M44" s="25">
        <f t="shared" si="5"/>
        <v>40</v>
      </c>
      <c r="N44" s="25">
        <f t="shared" si="6"/>
        <v>0</v>
      </c>
      <c r="O44" s="25">
        <f t="shared" si="7"/>
        <v>0</v>
      </c>
      <c r="P44" s="25"/>
      <c r="Q44" s="42"/>
      <c r="R44" s="13"/>
      <c r="S44" s="42"/>
      <c r="T44" s="58"/>
      <c r="U44" s="58"/>
      <c r="V44" s="58"/>
      <c r="W44" s="58"/>
      <c r="X44" s="58"/>
      <c r="Y44" s="42"/>
      <c r="Z44" s="42"/>
      <c r="AA44" s="42">
        <v>40</v>
      </c>
      <c r="AB44" s="13"/>
      <c r="AC44" s="14"/>
      <c r="AD44" s="14"/>
      <c r="AE44" s="15"/>
      <c r="AF44" s="15"/>
      <c r="AG44" s="25">
        <f t="shared" si="8"/>
        <v>-40</v>
      </c>
      <c r="AH44" s="28">
        <f t="shared" si="9"/>
        <v>0</v>
      </c>
    </row>
    <row r="45" spans="1:34" s="17" customFormat="1" ht="21.75" customHeight="1" x14ac:dyDescent="0.2">
      <c r="A45" s="18">
        <v>43509</v>
      </c>
      <c r="B45" s="19"/>
      <c r="C45" s="20" t="s">
        <v>62</v>
      </c>
      <c r="D45" s="20"/>
      <c r="E45" s="20"/>
      <c r="F45" s="21"/>
      <c r="G45" s="44" t="s">
        <v>233</v>
      </c>
      <c r="H45" s="23">
        <v>40</v>
      </c>
      <c r="I45" s="23"/>
      <c r="J45" s="23"/>
      <c r="K45" s="23"/>
      <c r="L45" s="24"/>
      <c r="M45" s="25">
        <f t="shared" si="5"/>
        <v>40</v>
      </c>
      <c r="N45" s="25">
        <f t="shared" si="6"/>
        <v>0</v>
      </c>
      <c r="O45" s="25">
        <f t="shared" si="7"/>
        <v>0</v>
      </c>
      <c r="P45" s="25"/>
      <c r="Q45" s="42"/>
      <c r="R45" s="13"/>
      <c r="S45" s="42"/>
      <c r="T45" s="58"/>
      <c r="U45" s="58"/>
      <c r="V45" s="58"/>
      <c r="W45" s="58"/>
      <c r="X45" s="58"/>
      <c r="Y45" s="42"/>
      <c r="Z45" s="42"/>
      <c r="AA45" s="42">
        <v>40</v>
      </c>
      <c r="AB45" s="13"/>
      <c r="AC45" s="14"/>
      <c r="AD45" s="14"/>
      <c r="AE45" s="15"/>
      <c r="AF45" s="15"/>
      <c r="AG45" s="25">
        <f t="shared" si="8"/>
        <v>-40</v>
      </c>
      <c r="AH45" s="28">
        <f t="shared" si="9"/>
        <v>0</v>
      </c>
    </row>
    <row r="46" spans="1:34" s="17" customFormat="1" ht="21.75" customHeight="1" x14ac:dyDescent="0.2">
      <c r="A46" s="18">
        <v>43509</v>
      </c>
      <c r="B46" s="19"/>
      <c r="C46" s="20" t="s">
        <v>234</v>
      </c>
      <c r="D46" s="20" t="s">
        <v>235</v>
      </c>
      <c r="E46" s="20" t="s">
        <v>47</v>
      </c>
      <c r="F46" s="21">
        <v>18894</v>
      </c>
      <c r="G46" s="44" t="s">
        <v>236</v>
      </c>
      <c r="H46" s="23"/>
      <c r="I46" s="23"/>
      <c r="J46" s="23"/>
      <c r="K46" s="23">
        <v>221.4</v>
      </c>
      <c r="L46" s="24"/>
      <c r="M46" s="25">
        <f t="shared" si="5"/>
        <v>197.67857142857142</v>
      </c>
      <c r="N46" s="25">
        <f t="shared" si="6"/>
        <v>23.721428571428568</v>
      </c>
      <c r="O46" s="25">
        <f t="shared" si="7"/>
        <v>0</v>
      </c>
      <c r="P46" s="25"/>
      <c r="Q46" s="42"/>
      <c r="R46" s="13"/>
      <c r="S46" s="42"/>
      <c r="T46" s="58"/>
      <c r="U46" s="58">
        <v>197.68</v>
      </c>
      <c r="V46" s="58"/>
      <c r="W46" s="58"/>
      <c r="X46" s="58"/>
      <c r="Y46" s="42"/>
      <c r="Z46" s="42"/>
      <c r="AA46" s="42"/>
      <c r="AB46" s="13"/>
      <c r="AC46" s="14"/>
      <c r="AD46" s="14"/>
      <c r="AE46" s="15"/>
      <c r="AF46" s="15"/>
      <c r="AG46" s="25">
        <f t="shared" si="8"/>
        <v>-221.40142857142857</v>
      </c>
      <c r="AH46" s="28">
        <f t="shared" si="9"/>
        <v>-1.4285714285620088E-3</v>
      </c>
    </row>
    <row r="47" spans="1:34" s="17" customFormat="1" ht="21.75" customHeight="1" x14ac:dyDescent="0.2">
      <c r="A47" s="18">
        <v>43509</v>
      </c>
      <c r="B47" s="19"/>
      <c r="C47" s="20" t="s">
        <v>237</v>
      </c>
      <c r="D47" s="20" t="s">
        <v>143</v>
      </c>
      <c r="E47" s="20" t="s">
        <v>47</v>
      </c>
      <c r="F47" s="21">
        <v>169993</v>
      </c>
      <c r="G47" s="44" t="s">
        <v>238</v>
      </c>
      <c r="H47" s="23"/>
      <c r="I47" s="23"/>
      <c r="J47" s="23"/>
      <c r="K47" s="23">
        <v>330</v>
      </c>
      <c r="L47" s="24"/>
      <c r="M47" s="25">
        <f t="shared" si="5"/>
        <v>294.64285714285711</v>
      </c>
      <c r="N47" s="25">
        <f t="shared" si="6"/>
        <v>35.357142857142854</v>
      </c>
      <c r="O47" s="25">
        <f t="shared" si="7"/>
        <v>0</v>
      </c>
      <c r="P47" s="25"/>
      <c r="Q47" s="42"/>
      <c r="R47" s="13"/>
      <c r="S47" s="42">
        <v>294.64</v>
      </c>
      <c r="T47" s="58"/>
      <c r="U47" s="58"/>
      <c r="V47" s="58"/>
      <c r="W47" s="58"/>
      <c r="X47" s="58"/>
      <c r="Y47" s="42"/>
      <c r="Z47" s="42"/>
      <c r="AA47" s="42"/>
      <c r="AB47" s="13"/>
      <c r="AC47" s="14"/>
      <c r="AD47" s="14"/>
      <c r="AE47" s="15"/>
      <c r="AF47" s="15"/>
      <c r="AG47" s="25">
        <f t="shared" si="8"/>
        <v>-329.99714285714282</v>
      </c>
      <c r="AH47" s="28">
        <f t="shared" si="9"/>
        <v>2.857142857180861E-3</v>
      </c>
    </row>
    <row r="48" spans="1:34" s="17" customFormat="1" ht="21.75" customHeight="1" x14ac:dyDescent="0.2">
      <c r="A48" s="18">
        <v>43509</v>
      </c>
      <c r="B48" s="19"/>
      <c r="C48" s="20" t="s">
        <v>41</v>
      </c>
      <c r="D48" s="20" t="s">
        <v>42</v>
      </c>
      <c r="E48" s="20" t="s">
        <v>43</v>
      </c>
      <c r="F48" s="21">
        <v>163005</v>
      </c>
      <c r="G48" s="44" t="s">
        <v>44</v>
      </c>
      <c r="H48" s="23"/>
      <c r="I48" s="23"/>
      <c r="J48" s="23"/>
      <c r="K48" s="23">
        <v>180</v>
      </c>
      <c r="L48" s="24"/>
      <c r="M48" s="25">
        <f t="shared" si="5"/>
        <v>160.71428571428569</v>
      </c>
      <c r="N48" s="25">
        <f t="shared" si="6"/>
        <v>19.285714285714281</v>
      </c>
      <c r="O48" s="25">
        <f t="shared" si="7"/>
        <v>0</v>
      </c>
      <c r="P48" s="25"/>
      <c r="Q48" s="42">
        <v>160.71</v>
      </c>
      <c r="R48" s="13"/>
      <c r="S48" s="13"/>
      <c r="T48" s="14"/>
      <c r="U48" s="14"/>
      <c r="V48" s="14"/>
      <c r="W48" s="14"/>
      <c r="X48" s="14"/>
      <c r="Y48" s="13"/>
      <c r="Z48" s="13"/>
      <c r="AA48" s="13"/>
      <c r="AB48" s="13"/>
      <c r="AC48" s="14"/>
      <c r="AD48" s="14"/>
      <c r="AE48" s="15"/>
      <c r="AF48" s="15"/>
      <c r="AG48" s="25">
        <f t="shared" si="8"/>
        <v>-179.99571428571429</v>
      </c>
      <c r="AH48" s="28">
        <f t="shared" si="9"/>
        <v>4.2857142857144481E-3</v>
      </c>
    </row>
    <row r="49" spans="1:34" s="17" customFormat="1" ht="21.75" customHeight="1" x14ac:dyDescent="0.2">
      <c r="A49" s="18">
        <v>43509</v>
      </c>
      <c r="B49" s="19"/>
      <c r="C49" s="20" t="s">
        <v>239</v>
      </c>
      <c r="D49" s="20" t="s">
        <v>240</v>
      </c>
      <c r="E49" s="20" t="s">
        <v>241</v>
      </c>
      <c r="F49" s="21">
        <v>112526</v>
      </c>
      <c r="G49" s="44" t="s">
        <v>242</v>
      </c>
      <c r="H49" s="23"/>
      <c r="I49" s="23"/>
      <c r="J49" s="23"/>
      <c r="K49" s="23">
        <v>2950</v>
      </c>
      <c r="L49" s="24"/>
      <c r="M49" s="25">
        <f t="shared" si="5"/>
        <v>2633.9285714285711</v>
      </c>
      <c r="N49" s="25">
        <f t="shared" si="6"/>
        <v>316.0714285714285</v>
      </c>
      <c r="O49" s="25">
        <f t="shared" si="7"/>
        <v>0</v>
      </c>
      <c r="P49" s="25"/>
      <c r="Q49" s="42">
        <v>2633.93</v>
      </c>
      <c r="R49" s="13"/>
      <c r="S49" s="13"/>
      <c r="T49" s="14"/>
      <c r="U49" s="14"/>
      <c r="V49" s="14"/>
      <c r="W49" s="14"/>
      <c r="X49" s="14"/>
      <c r="Y49" s="13"/>
      <c r="Z49" s="13"/>
      <c r="AA49" s="13"/>
      <c r="AB49" s="13"/>
      <c r="AC49" s="14"/>
      <c r="AD49" s="14"/>
      <c r="AE49" s="15"/>
      <c r="AF49" s="15"/>
      <c r="AG49" s="25">
        <f t="shared" si="8"/>
        <v>-2950.0014285714283</v>
      </c>
      <c r="AH49" s="28">
        <f t="shared" si="9"/>
        <v>-1.4285714282777917E-3</v>
      </c>
    </row>
    <row r="50" spans="1:34" s="17" customFormat="1" ht="21.75" customHeight="1" x14ac:dyDescent="0.2">
      <c r="A50" s="18">
        <v>43509</v>
      </c>
      <c r="B50" s="19"/>
      <c r="C50" s="20" t="s">
        <v>45</v>
      </c>
      <c r="D50" s="20" t="s">
        <v>46</v>
      </c>
      <c r="E50" s="20" t="s">
        <v>47</v>
      </c>
      <c r="F50" s="21">
        <v>141592</v>
      </c>
      <c r="G50" s="44" t="s">
        <v>243</v>
      </c>
      <c r="H50" s="23"/>
      <c r="I50" s="23"/>
      <c r="J50" s="23">
        <v>363.35</v>
      </c>
      <c r="K50" s="23"/>
      <c r="L50" s="24"/>
      <c r="M50" s="25">
        <f t="shared" si="5"/>
        <v>363.35</v>
      </c>
      <c r="N50" s="25">
        <f t="shared" si="6"/>
        <v>0</v>
      </c>
      <c r="O50" s="25">
        <f t="shared" si="7"/>
        <v>0</v>
      </c>
      <c r="P50" s="25">
        <v>363.35</v>
      </c>
      <c r="Q50" s="42"/>
      <c r="R50" s="13"/>
      <c r="S50" s="13"/>
      <c r="T50" s="14"/>
      <c r="U50" s="14"/>
      <c r="V50" s="14"/>
      <c r="W50" s="14"/>
      <c r="X50" s="14"/>
      <c r="Y50" s="13"/>
      <c r="Z50" s="13"/>
      <c r="AA50" s="13"/>
      <c r="AB50" s="13"/>
      <c r="AC50" s="14"/>
      <c r="AD50" s="14"/>
      <c r="AE50" s="15"/>
      <c r="AF50" s="15"/>
      <c r="AG50" s="25">
        <f t="shared" si="8"/>
        <v>-363.35</v>
      </c>
      <c r="AH50" s="28">
        <f t="shared" si="9"/>
        <v>0</v>
      </c>
    </row>
    <row r="51" spans="1:34" s="17" customFormat="1" ht="21.75" customHeight="1" x14ac:dyDescent="0.2">
      <c r="A51" s="18">
        <v>43509</v>
      </c>
      <c r="B51" s="19"/>
      <c r="C51" s="20" t="s">
        <v>45</v>
      </c>
      <c r="D51" s="20" t="s">
        <v>46</v>
      </c>
      <c r="E51" s="20" t="s">
        <v>47</v>
      </c>
      <c r="F51" s="21">
        <v>141592</v>
      </c>
      <c r="G51" s="44" t="s">
        <v>244</v>
      </c>
      <c r="H51" s="23"/>
      <c r="I51" s="23"/>
      <c r="J51" s="23"/>
      <c r="K51" s="23">
        <f>196.21+23.54</f>
        <v>219.75</v>
      </c>
      <c r="L51" s="24"/>
      <c r="M51" s="25">
        <f t="shared" si="5"/>
        <v>196.20535714285711</v>
      </c>
      <c r="N51" s="25">
        <f t="shared" si="6"/>
        <v>23.544642857142854</v>
      </c>
      <c r="O51" s="25">
        <f t="shared" si="7"/>
        <v>0</v>
      </c>
      <c r="P51" s="25">
        <v>196.21</v>
      </c>
      <c r="Q51" s="42"/>
      <c r="R51" s="13"/>
      <c r="S51" s="13"/>
      <c r="T51" s="14"/>
      <c r="U51" s="14"/>
      <c r="V51" s="14"/>
      <c r="W51" s="14"/>
      <c r="X51" s="14"/>
      <c r="Y51" s="13"/>
      <c r="Z51" s="13"/>
      <c r="AA51" s="13"/>
      <c r="AB51" s="13"/>
      <c r="AC51" s="14"/>
      <c r="AD51" s="14"/>
      <c r="AE51" s="15"/>
      <c r="AF51" s="15"/>
      <c r="AG51" s="25">
        <f t="shared" si="8"/>
        <v>-219.75464285714287</v>
      </c>
      <c r="AH51" s="28">
        <f t="shared" si="9"/>
        <v>-4.6428571428691612E-3</v>
      </c>
    </row>
    <row r="52" spans="1:34" s="17" customFormat="1" ht="21.75" customHeight="1" x14ac:dyDescent="0.2">
      <c r="A52" s="18">
        <v>43509</v>
      </c>
      <c r="B52" s="19"/>
      <c r="C52" s="20" t="s">
        <v>245</v>
      </c>
      <c r="D52" s="20" t="s">
        <v>246</v>
      </c>
      <c r="E52" s="20" t="s">
        <v>47</v>
      </c>
      <c r="F52" s="21">
        <v>400</v>
      </c>
      <c r="G52" s="44" t="s">
        <v>247</v>
      </c>
      <c r="H52" s="23"/>
      <c r="I52" s="23"/>
      <c r="J52" s="23"/>
      <c r="K52" s="23">
        <v>2233.35</v>
      </c>
      <c r="L52" s="24"/>
      <c r="M52" s="25">
        <f t="shared" si="5"/>
        <v>1994.0624999999998</v>
      </c>
      <c r="N52" s="25">
        <f t="shared" si="6"/>
        <v>239.28749999999997</v>
      </c>
      <c r="O52" s="25">
        <f t="shared" si="7"/>
        <v>0</v>
      </c>
      <c r="P52" s="25">
        <v>1994.06</v>
      </c>
      <c r="Q52" s="42"/>
      <c r="R52" s="13"/>
      <c r="S52" s="13"/>
      <c r="T52" s="14"/>
      <c r="U52" s="14"/>
      <c r="V52" s="14"/>
      <c r="W52" s="14"/>
      <c r="X52" s="14"/>
      <c r="Y52" s="13"/>
      <c r="Z52" s="13"/>
      <c r="AA52" s="13"/>
      <c r="AB52" s="13"/>
      <c r="AC52" s="14"/>
      <c r="AD52" s="14"/>
      <c r="AE52" s="15"/>
      <c r="AF52" s="15"/>
      <c r="AG52" s="25">
        <f t="shared" si="8"/>
        <v>-2233.3474999999999</v>
      </c>
      <c r="AH52" s="28">
        <f t="shared" si="9"/>
        <v>2.5000000000545697E-3</v>
      </c>
    </row>
    <row r="53" spans="1:34" s="41" customFormat="1" ht="21.75" customHeight="1" x14ac:dyDescent="0.2">
      <c r="A53" s="30">
        <v>43509</v>
      </c>
      <c r="B53" s="31"/>
      <c r="C53" s="32" t="s">
        <v>37</v>
      </c>
      <c r="D53" s="32" t="s">
        <v>38</v>
      </c>
      <c r="E53" s="32" t="s">
        <v>39</v>
      </c>
      <c r="F53" s="33">
        <v>92814</v>
      </c>
      <c r="G53" s="34" t="s">
        <v>248</v>
      </c>
      <c r="H53" s="35"/>
      <c r="I53" s="35"/>
      <c r="J53" s="35"/>
      <c r="K53" s="35">
        <v>163.34</v>
      </c>
      <c r="L53" s="36"/>
      <c r="M53" s="37">
        <f t="shared" si="5"/>
        <v>145.83928571428569</v>
      </c>
      <c r="N53" s="37">
        <f t="shared" si="6"/>
        <v>17.500714285714281</v>
      </c>
      <c r="O53" s="37">
        <f t="shared" si="7"/>
        <v>0</v>
      </c>
      <c r="P53" s="37">
        <v>145.84</v>
      </c>
      <c r="Q53" s="38"/>
      <c r="R53" s="38"/>
      <c r="S53" s="38"/>
      <c r="T53" s="39"/>
      <c r="U53" s="39"/>
      <c r="V53" s="39"/>
      <c r="W53" s="39"/>
      <c r="X53" s="39"/>
      <c r="Y53" s="38"/>
      <c r="Z53" s="38"/>
      <c r="AA53" s="38"/>
      <c r="AB53" s="38"/>
      <c r="AC53" s="39"/>
      <c r="AD53" s="39"/>
      <c r="AE53" s="38"/>
      <c r="AF53" s="38"/>
      <c r="AG53" s="37">
        <f t="shared" si="8"/>
        <v>-163.34071428571428</v>
      </c>
      <c r="AH53" s="40">
        <f t="shared" si="9"/>
        <v>-7.142857142810044E-4</v>
      </c>
    </row>
    <row r="54" spans="1:34" s="29" customFormat="1" ht="21.75" customHeight="1" x14ac:dyDescent="0.2">
      <c r="A54" s="18">
        <v>43509</v>
      </c>
      <c r="B54" s="19"/>
      <c r="C54" s="59" t="s">
        <v>58</v>
      </c>
      <c r="D54" s="20"/>
      <c r="E54" s="20"/>
      <c r="F54" s="21"/>
      <c r="G54" s="44" t="s">
        <v>249</v>
      </c>
      <c r="H54" s="23">
        <v>50</v>
      </c>
      <c r="I54" s="23"/>
      <c r="J54" s="23"/>
      <c r="K54" s="23"/>
      <c r="L54" s="24"/>
      <c r="M54" s="25">
        <f t="shared" si="5"/>
        <v>50</v>
      </c>
      <c r="N54" s="25">
        <f t="shared" si="6"/>
        <v>0</v>
      </c>
      <c r="O54" s="25">
        <f t="shared" si="7"/>
        <v>0</v>
      </c>
      <c r="P54" s="25"/>
      <c r="Q54" s="26"/>
      <c r="R54" s="26"/>
      <c r="S54" s="26"/>
      <c r="T54" s="27"/>
      <c r="U54" s="27"/>
      <c r="V54" s="27"/>
      <c r="W54" s="27"/>
      <c r="X54" s="27"/>
      <c r="Y54" s="26"/>
      <c r="Z54" s="26"/>
      <c r="AA54" s="26">
        <v>50</v>
      </c>
      <c r="AB54" s="26"/>
      <c r="AC54" s="27"/>
      <c r="AD54" s="27"/>
      <c r="AE54" s="26"/>
      <c r="AF54" s="26"/>
      <c r="AG54" s="25">
        <f t="shared" si="8"/>
        <v>-50</v>
      </c>
      <c r="AH54" s="28">
        <f t="shared" si="9"/>
        <v>0</v>
      </c>
    </row>
    <row r="55" spans="1:34" s="29" customFormat="1" ht="21.75" customHeight="1" x14ac:dyDescent="0.2">
      <c r="A55" s="18">
        <v>43510</v>
      </c>
      <c r="B55" s="19"/>
      <c r="C55" s="20" t="s">
        <v>45</v>
      </c>
      <c r="D55" s="20" t="s">
        <v>46</v>
      </c>
      <c r="E55" s="20" t="s">
        <v>47</v>
      </c>
      <c r="F55" s="21">
        <v>882100</v>
      </c>
      <c r="G55" s="44" t="s">
        <v>250</v>
      </c>
      <c r="H55" s="23"/>
      <c r="I55" s="23"/>
      <c r="J55" s="23"/>
      <c r="K55" s="23">
        <v>897.7</v>
      </c>
      <c r="L55" s="24"/>
      <c r="M55" s="25">
        <f t="shared" si="5"/>
        <v>801.51785714285711</v>
      </c>
      <c r="N55" s="25">
        <f t="shared" si="6"/>
        <v>96.18214285714285</v>
      </c>
      <c r="O55" s="25">
        <f t="shared" si="7"/>
        <v>0</v>
      </c>
      <c r="P55" s="25">
        <v>801.52</v>
      </c>
      <c r="Q55" s="26"/>
      <c r="R55" s="26"/>
      <c r="S55" s="26"/>
      <c r="T55" s="27"/>
      <c r="U55" s="27"/>
      <c r="V55" s="27"/>
      <c r="W55" s="27"/>
      <c r="X55" s="27"/>
      <c r="Y55" s="26"/>
      <c r="Z55" s="26"/>
      <c r="AA55" s="26"/>
      <c r="AB55" s="26"/>
      <c r="AC55" s="27"/>
      <c r="AD55" s="27"/>
      <c r="AE55" s="26"/>
      <c r="AF55" s="26"/>
      <c r="AG55" s="25">
        <f t="shared" si="8"/>
        <v>-897.7021428571428</v>
      </c>
      <c r="AH55" s="28">
        <f t="shared" si="9"/>
        <v>-2.1428571427577481E-3</v>
      </c>
    </row>
    <row r="56" spans="1:34" s="29" customFormat="1" ht="21.75" customHeight="1" x14ac:dyDescent="0.2">
      <c r="A56" s="18">
        <v>43510</v>
      </c>
      <c r="B56" s="19"/>
      <c r="C56" s="20" t="s">
        <v>41</v>
      </c>
      <c r="D56" s="20" t="s">
        <v>42</v>
      </c>
      <c r="E56" s="20" t="s">
        <v>43</v>
      </c>
      <c r="F56" s="21">
        <v>183104</v>
      </c>
      <c r="G56" s="44" t="s">
        <v>44</v>
      </c>
      <c r="H56" s="23"/>
      <c r="I56" s="23"/>
      <c r="J56" s="23"/>
      <c r="K56" s="23">
        <v>180</v>
      </c>
      <c r="L56" s="24"/>
      <c r="M56" s="25">
        <f t="shared" si="5"/>
        <v>160.71428571428569</v>
      </c>
      <c r="N56" s="25">
        <f t="shared" si="6"/>
        <v>19.285714285714281</v>
      </c>
      <c r="O56" s="25">
        <f t="shared" si="7"/>
        <v>0</v>
      </c>
      <c r="P56" s="25"/>
      <c r="Q56" s="26">
        <v>160.71</v>
      </c>
      <c r="R56" s="26"/>
      <c r="S56" s="26"/>
      <c r="T56" s="27"/>
      <c r="U56" s="27"/>
      <c r="V56" s="27"/>
      <c r="W56" s="27"/>
      <c r="X56" s="27"/>
      <c r="Y56" s="26"/>
      <c r="Z56" s="26"/>
      <c r="AA56" s="26"/>
      <c r="AB56" s="26"/>
      <c r="AC56" s="27"/>
      <c r="AD56" s="27"/>
      <c r="AE56" s="26"/>
      <c r="AF56" s="26"/>
      <c r="AG56" s="25">
        <f t="shared" si="8"/>
        <v>-179.99571428571429</v>
      </c>
      <c r="AH56" s="28">
        <f t="shared" si="9"/>
        <v>4.2857142857144481E-3</v>
      </c>
    </row>
    <row r="57" spans="1:34" s="29" customFormat="1" ht="21.75" customHeight="1" x14ac:dyDescent="0.2">
      <c r="A57" s="18">
        <v>43510</v>
      </c>
      <c r="B57" s="19"/>
      <c r="C57" s="20" t="s">
        <v>62</v>
      </c>
      <c r="D57" s="20"/>
      <c r="E57" s="20"/>
      <c r="F57" s="21"/>
      <c r="G57" s="44" t="s">
        <v>223</v>
      </c>
      <c r="H57" s="23">
        <v>40</v>
      </c>
      <c r="I57" s="23"/>
      <c r="J57" s="23"/>
      <c r="K57" s="23"/>
      <c r="L57" s="24"/>
      <c r="M57" s="25">
        <f t="shared" si="5"/>
        <v>40</v>
      </c>
      <c r="N57" s="25">
        <f t="shared" si="6"/>
        <v>0</v>
      </c>
      <c r="O57" s="25">
        <f t="shared" si="7"/>
        <v>0</v>
      </c>
      <c r="P57" s="25"/>
      <c r="Q57" s="26"/>
      <c r="R57" s="26"/>
      <c r="S57" s="26"/>
      <c r="T57" s="27"/>
      <c r="U57" s="27"/>
      <c r="V57" s="27"/>
      <c r="W57" s="27"/>
      <c r="X57" s="27"/>
      <c r="Y57" s="26"/>
      <c r="Z57" s="26"/>
      <c r="AA57" s="26">
        <v>40</v>
      </c>
      <c r="AB57" s="26"/>
      <c r="AC57" s="27"/>
      <c r="AD57" s="27"/>
      <c r="AE57" s="26"/>
      <c r="AF57" s="26"/>
      <c r="AG57" s="25">
        <f t="shared" si="8"/>
        <v>-40</v>
      </c>
      <c r="AH57" s="28">
        <f t="shared" si="9"/>
        <v>0</v>
      </c>
    </row>
    <row r="58" spans="1:34" s="29" customFormat="1" ht="21.75" customHeight="1" x14ac:dyDescent="0.2">
      <c r="A58" s="18">
        <v>43510</v>
      </c>
      <c r="B58" s="19"/>
      <c r="C58" s="20" t="s">
        <v>251</v>
      </c>
      <c r="D58" s="20" t="s">
        <v>252</v>
      </c>
      <c r="E58" s="20" t="s">
        <v>253</v>
      </c>
      <c r="F58" s="21">
        <v>563</v>
      </c>
      <c r="G58" s="44" t="s">
        <v>254</v>
      </c>
      <c r="H58" s="23"/>
      <c r="I58" s="23"/>
      <c r="J58" s="23"/>
      <c r="K58" s="23">
        <v>300</v>
      </c>
      <c r="L58" s="24"/>
      <c r="M58" s="25">
        <f t="shared" si="5"/>
        <v>267.85714285714283</v>
      </c>
      <c r="N58" s="25">
        <f t="shared" si="6"/>
        <v>32.142857142857139</v>
      </c>
      <c r="O58" s="25">
        <f t="shared" si="7"/>
        <v>0</v>
      </c>
      <c r="P58" s="25"/>
      <c r="Q58" s="26"/>
      <c r="R58" s="26"/>
      <c r="S58" s="26">
        <v>267.86</v>
      </c>
      <c r="T58" s="27"/>
      <c r="U58" s="27"/>
      <c r="V58" s="27"/>
      <c r="W58" s="27"/>
      <c r="X58" s="27"/>
      <c r="Y58" s="26"/>
      <c r="Z58" s="26"/>
      <c r="AA58" s="26"/>
      <c r="AB58" s="26"/>
      <c r="AC58" s="27"/>
      <c r="AD58" s="27"/>
      <c r="AE58" s="26"/>
      <c r="AF58" s="26"/>
      <c r="AG58" s="25">
        <f t="shared" si="8"/>
        <v>-300.00285714285712</v>
      </c>
      <c r="AH58" s="28">
        <f t="shared" si="9"/>
        <v>-2.8571428571240176E-3</v>
      </c>
    </row>
    <row r="59" spans="1:34" s="29" customFormat="1" ht="21.75" customHeight="1" x14ac:dyDescent="0.2">
      <c r="A59" s="18">
        <v>43510</v>
      </c>
      <c r="B59" s="19"/>
      <c r="C59" s="20" t="s">
        <v>185</v>
      </c>
      <c r="D59" s="20" t="s">
        <v>106</v>
      </c>
      <c r="E59" s="20" t="s">
        <v>186</v>
      </c>
      <c r="F59" s="21">
        <v>692924</v>
      </c>
      <c r="G59" s="44" t="s">
        <v>255</v>
      </c>
      <c r="H59" s="23"/>
      <c r="I59" s="23"/>
      <c r="J59" s="23"/>
      <c r="K59" s="23">
        <v>520.25</v>
      </c>
      <c r="L59" s="24"/>
      <c r="M59" s="25">
        <f t="shared" si="5"/>
        <v>464.50892857142856</v>
      </c>
      <c r="N59" s="25">
        <f t="shared" si="6"/>
        <v>55.741071428571423</v>
      </c>
      <c r="O59" s="25">
        <f t="shared" si="7"/>
        <v>0</v>
      </c>
      <c r="P59" s="25"/>
      <c r="Q59" s="26"/>
      <c r="R59" s="26"/>
      <c r="S59" s="26"/>
      <c r="T59" s="27">
        <v>464.51</v>
      </c>
      <c r="U59" s="27"/>
      <c r="V59" s="27"/>
      <c r="W59" s="27"/>
      <c r="X59" s="27"/>
      <c r="Y59" s="26"/>
      <c r="Z59" s="26"/>
      <c r="AA59" s="26"/>
      <c r="AB59" s="26"/>
      <c r="AC59" s="27"/>
      <c r="AD59" s="27"/>
      <c r="AE59" s="26"/>
      <c r="AF59" s="26"/>
      <c r="AG59" s="25">
        <f t="shared" si="8"/>
        <v>-520.25107142857144</v>
      </c>
      <c r="AH59" s="28">
        <f t="shared" si="9"/>
        <v>-1.0714285714357175E-3</v>
      </c>
    </row>
    <row r="60" spans="1:34" s="29" customFormat="1" ht="21.75" customHeight="1" x14ac:dyDescent="0.2">
      <c r="A60" s="18">
        <v>43510</v>
      </c>
      <c r="B60" s="19"/>
      <c r="C60" s="20" t="s">
        <v>256</v>
      </c>
      <c r="D60" s="20" t="s">
        <v>257</v>
      </c>
      <c r="E60" s="20" t="s">
        <v>258</v>
      </c>
      <c r="F60" s="21">
        <v>171216</v>
      </c>
      <c r="G60" s="44" t="s">
        <v>259</v>
      </c>
      <c r="H60" s="23"/>
      <c r="I60" s="23"/>
      <c r="J60" s="23"/>
      <c r="K60" s="23">
        <v>199.5</v>
      </c>
      <c r="L60" s="24"/>
      <c r="M60" s="25">
        <f t="shared" si="5"/>
        <v>178.12499999999997</v>
      </c>
      <c r="N60" s="25">
        <f t="shared" si="6"/>
        <v>21.374999999999996</v>
      </c>
      <c r="O60" s="25">
        <f t="shared" si="7"/>
        <v>0</v>
      </c>
      <c r="P60" s="25"/>
      <c r="Q60" s="26"/>
      <c r="R60" s="26"/>
      <c r="S60" s="26"/>
      <c r="T60" s="27"/>
      <c r="U60" s="27"/>
      <c r="V60" s="27">
        <v>178.13</v>
      </c>
      <c r="W60" s="27"/>
      <c r="X60" s="27"/>
      <c r="Y60" s="26"/>
      <c r="Z60" s="26"/>
      <c r="AA60" s="26"/>
      <c r="AB60" s="26"/>
      <c r="AC60" s="27"/>
      <c r="AD60" s="27"/>
      <c r="AE60" s="26"/>
      <c r="AF60" s="26"/>
      <c r="AG60" s="25">
        <f t="shared" si="8"/>
        <v>-199.505</v>
      </c>
      <c r="AH60" s="28">
        <f t="shared" si="9"/>
        <v>-4.9999999999954525E-3</v>
      </c>
    </row>
    <row r="61" spans="1:34" s="29" customFormat="1" ht="21.75" customHeight="1" x14ac:dyDescent="0.2">
      <c r="A61" s="18">
        <v>43510</v>
      </c>
      <c r="B61" s="19"/>
      <c r="C61" s="20" t="s">
        <v>176</v>
      </c>
      <c r="D61" s="20"/>
      <c r="E61" s="20"/>
      <c r="F61" s="21"/>
      <c r="G61" s="44" t="s">
        <v>260</v>
      </c>
      <c r="H61" s="23">
        <v>537</v>
      </c>
      <c r="I61" s="23"/>
      <c r="J61" s="23"/>
      <c r="K61" s="23"/>
      <c r="L61" s="24"/>
      <c r="M61" s="25">
        <f t="shared" si="5"/>
        <v>537</v>
      </c>
      <c r="N61" s="25">
        <f t="shared" si="6"/>
        <v>0</v>
      </c>
      <c r="O61" s="25">
        <f t="shared" si="7"/>
        <v>0</v>
      </c>
      <c r="P61" s="25"/>
      <c r="Q61" s="26"/>
      <c r="R61" s="26"/>
      <c r="S61" s="26"/>
      <c r="T61" s="27"/>
      <c r="U61" s="27"/>
      <c r="V61" s="27"/>
      <c r="W61" s="27"/>
      <c r="X61" s="27"/>
      <c r="Y61" s="26"/>
      <c r="Z61" s="26"/>
      <c r="AA61" s="26"/>
      <c r="AB61" s="26">
        <v>537</v>
      </c>
      <c r="AC61" s="27"/>
      <c r="AD61" s="27"/>
      <c r="AE61" s="26"/>
      <c r="AF61" s="26"/>
      <c r="AG61" s="25">
        <f t="shared" si="8"/>
        <v>-537</v>
      </c>
      <c r="AH61" s="28">
        <f t="shared" si="9"/>
        <v>0</v>
      </c>
    </row>
    <row r="62" spans="1:34" s="29" customFormat="1" ht="21.75" customHeight="1" x14ac:dyDescent="0.2">
      <c r="A62" s="18">
        <v>43511</v>
      </c>
      <c r="B62" s="19"/>
      <c r="C62" s="20" t="s">
        <v>37</v>
      </c>
      <c r="D62" s="20" t="s">
        <v>38</v>
      </c>
      <c r="E62" s="20" t="s">
        <v>39</v>
      </c>
      <c r="F62" s="21">
        <v>34239</v>
      </c>
      <c r="G62" s="44" t="s">
        <v>261</v>
      </c>
      <c r="H62" s="23"/>
      <c r="I62" s="23"/>
      <c r="J62" s="23"/>
      <c r="K62" s="23">
        <v>413.21</v>
      </c>
      <c r="L62" s="24"/>
      <c r="M62" s="25">
        <f t="shared" si="5"/>
        <v>368.93749999999994</v>
      </c>
      <c r="N62" s="25">
        <f t="shared" si="6"/>
        <v>44.272499999999994</v>
      </c>
      <c r="O62" s="25">
        <f t="shared" si="7"/>
        <v>0</v>
      </c>
      <c r="P62" s="25">
        <v>368.94</v>
      </c>
      <c r="Q62" s="26"/>
      <c r="R62" s="26"/>
      <c r="S62" s="26"/>
      <c r="T62" s="27"/>
      <c r="U62" s="27"/>
      <c r="V62" s="27"/>
      <c r="W62" s="27"/>
      <c r="X62" s="27"/>
      <c r="Y62" s="26"/>
      <c r="Z62" s="26"/>
      <c r="AA62" s="26"/>
      <c r="AB62" s="26"/>
      <c r="AC62" s="27"/>
      <c r="AD62" s="27"/>
      <c r="AE62" s="26"/>
      <c r="AF62" s="26"/>
      <c r="AG62" s="25">
        <f t="shared" si="8"/>
        <v>-413.21249999999998</v>
      </c>
      <c r="AH62" s="28">
        <f t="shared" si="9"/>
        <v>-2.4999999999977263E-3</v>
      </c>
    </row>
    <row r="63" spans="1:34" s="29" customFormat="1" ht="21.75" customHeight="1" x14ac:dyDescent="0.2">
      <c r="A63" s="18">
        <v>43511</v>
      </c>
      <c r="B63" s="19"/>
      <c r="C63" s="20" t="s">
        <v>65</v>
      </c>
      <c r="D63" s="20" t="s">
        <v>66</v>
      </c>
      <c r="E63" s="20" t="s">
        <v>262</v>
      </c>
      <c r="F63" s="21">
        <v>20802</v>
      </c>
      <c r="G63" s="44" t="s">
        <v>68</v>
      </c>
      <c r="H63" s="23"/>
      <c r="I63" s="23"/>
      <c r="J63" s="23"/>
      <c r="K63" s="23">
        <v>1320</v>
      </c>
      <c r="L63" s="24"/>
      <c r="M63" s="25">
        <f t="shared" si="5"/>
        <v>1178.5714285714284</v>
      </c>
      <c r="N63" s="25">
        <f t="shared" si="6"/>
        <v>141.42857142857142</v>
      </c>
      <c r="O63" s="25">
        <f t="shared" si="7"/>
        <v>0</v>
      </c>
      <c r="P63" s="25"/>
      <c r="Q63" s="26">
        <v>1178.57</v>
      </c>
      <c r="R63" s="26"/>
      <c r="S63" s="26"/>
      <c r="T63" s="27"/>
      <c r="U63" s="27"/>
      <c r="V63" s="27"/>
      <c r="W63" s="27"/>
      <c r="X63" s="27"/>
      <c r="Y63" s="26"/>
      <c r="Z63" s="26"/>
      <c r="AA63" s="26"/>
      <c r="AB63" s="26"/>
      <c r="AC63" s="27"/>
      <c r="AD63" s="27"/>
      <c r="AE63" s="26"/>
      <c r="AF63" s="26"/>
      <c r="AG63" s="25">
        <f t="shared" si="8"/>
        <v>-1319.9985714285713</v>
      </c>
      <c r="AH63" s="28">
        <f t="shared" si="9"/>
        <v>1.4285714287325391E-3</v>
      </c>
    </row>
    <row r="64" spans="1:34" s="29" customFormat="1" ht="21.75" customHeight="1" x14ac:dyDescent="0.2">
      <c r="A64" s="18">
        <v>43511</v>
      </c>
      <c r="B64" s="19"/>
      <c r="C64" s="20" t="s">
        <v>41</v>
      </c>
      <c r="D64" s="20" t="s">
        <v>42</v>
      </c>
      <c r="E64" s="20" t="s">
        <v>43</v>
      </c>
      <c r="F64" s="21">
        <v>183149</v>
      </c>
      <c r="G64" s="44" t="s">
        <v>44</v>
      </c>
      <c r="H64" s="23"/>
      <c r="I64" s="23"/>
      <c r="J64" s="23"/>
      <c r="K64" s="23">
        <v>180</v>
      </c>
      <c r="L64" s="24"/>
      <c r="M64" s="25">
        <f t="shared" si="5"/>
        <v>160.71428571428569</v>
      </c>
      <c r="N64" s="25">
        <f t="shared" si="6"/>
        <v>19.285714285714281</v>
      </c>
      <c r="O64" s="25">
        <f t="shared" si="7"/>
        <v>0</v>
      </c>
      <c r="P64" s="25"/>
      <c r="Q64" s="26">
        <v>160.71</v>
      </c>
      <c r="R64" s="26"/>
      <c r="S64" s="26"/>
      <c r="T64" s="27"/>
      <c r="U64" s="27"/>
      <c r="V64" s="27"/>
      <c r="W64" s="27"/>
      <c r="X64" s="27"/>
      <c r="Y64" s="26"/>
      <c r="Z64" s="26"/>
      <c r="AA64" s="26"/>
      <c r="AB64" s="26"/>
      <c r="AC64" s="27"/>
      <c r="AD64" s="27"/>
      <c r="AE64" s="26"/>
      <c r="AF64" s="26"/>
      <c r="AG64" s="25">
        <f t="shared" si="8"/>
        <v>-179.99571428571429</v>
      </c>
      <c r="AH64" s="28">
        <f t="shared" si="9"/>
        <v>4.2857142857144481E-3</v>
      </c>
    </row>
    <row r="65" spans="1:34" s="29" customFormat="1" ht="21.75" customHeight="1" x14ac:dyDescent="0.2">
      <c r="A65" s="18">
        <v>43511</v>
      </c>
      <c r="B65" s="19"/>
      <c r="C65" s="20" t="s">
        <v>45</v>
      </c>
      <c r="D65" s="20" t="s">
        <v>46</v>
      </c>
      <c r="E65" s="20" t="s">
        <v>47</v>
      </c>
      <c r="F65" s="21">
        <v>72572</v>
      </c>
      <c r="G65" s="44" t="s">
        <v>263</v>
      </c>
      <c r="H65" s="23"/>
      <c r="I65" s="23"/>
      <c r="J65" s="23"/>
      <c r="K65" s="23">
        <v>1142.5999999999999</v>
      </c>
      <c r="L65" s="24"/>
      <c r="M65" s="25">
        <f t="shared" si="5"/>
        <v>1020.1785714285712</v>
      </c>
      <c r="N65" s="25">
        <f t="shared" si="6"/>
        <v>122.42142857142854</v>
      </c>
      <c r="O65" s="25">
        <f t="shared" si="7"/>
        <v>0</v>
      </c>
      <c r="P65" s="25"/>
      <c r="Q65" s="26"/>
      <c r="R65" s="26"/>
      <c r="S65" s="26"/>
      <c r="T65" s="27"/>
      <c r="U65" s="27"/>
      <c r="V65" s="27"/>
      <c r="W65" s="27"/>
      <c r="X65" s="27">
        <v>1020.18</v>
      </c>
      <c r="Y65" s="26"/>
      <c r="Z65" s="26"/>
      <c r="AA65" s="26"/>
      <c r="AB65" s="26"/>
      <c r="AC65" s="27"/>
      <c r="AD65" s="27"/>
      <c r="AE65" s="26"/>
      <c r="AF65" s="26"/>
      <c r="AG65" s="25">
        <f t="shared" si="8"/>
        <v>-1142.6014285714284</v>
      </c>
      <c r="AH65" s="28">
        <f t="shared" si="9"/>
        <v>-1.4285714285051654E-3</v>
      </c>
    </row>
    <row r="66" spans="1:34" s="29" customFormat="1" ht="21.75" customHeight="1" x14ac:dyDescent="0.2">
      <c r="A66" s="18">
        <v>43511</v>
      </c>
      <c r="B66" s="19"/>
      <c r="C66" s="20" t="s">
        <v>185</v>
      </c>
      <c r="D66" s="20" t="s">
        <v>106</v>
      </c>
      <c r="E66" s="20" t="s">
        <v>186</v>
      </c>
      <c r="F66" s="21">
        <v>625960</v>
      </c>
      <c r="G66" s="44" t="s">
        <v>264</v>
      </c>
      <c r="H66" s="23"/>
      <c r="I66" s="23"/>
      <c r="J66" s="23"/>
      <c r="K66" s="23">
        <v>78</v>
      </c>
      <c r="L66" s="24"/>
      <c r="M66" s="25">
        <f t="shared" si="5"/>
        <v>69.642857142857139</v>
      </c>
      <c r="N66" s="25">
        <f t="shared" si="6"/>
        <v>8.3571428571428559</v>
      </c>
      <c r="O66" s="25">
        <f t="shared" si="7"/>
        <v>0</v>
      </c>
      <c r="P66" s="25"/>
      <c r="Q66" s="26"/>
      <c r="R66" s="26"/>
      <c r="S66" s="26"/>
      <c r="T66" s="27"/>
      <c r="U66" s="27"/>
      <c r="V66" s="27">
        <v>69.64</v>
      </c>
      <c r="W66" s="27"/>
      <c r="X66" s="27"/>
      <c r="Y66" s="26"/>
      <c r="Z66" s="26"/>
      <c r="AA66" s="26"/>
      <c r="AB66" s="26"/>
      <c r="AC66" s="27"/>
      <c r="AD66" s="27"/>
      <c r="AE66" s="26"/>
      <c r="AF66" s="26"/>
      <c r="AG66" s="25">
        <f t="shared" si="8"/>
        <v>-77.997142857142862</v>
      </c>
      <c r="AH66" s="28">
        <f t="shared" si="9"/>
        <v>2.8571428571382285E-3</v>
      </c>
    </row>
    <row r="67" spans="1:34" s="29" customFormat="1" ht="21.75" customHeight="1" x14ac:dyDescent="0.2">
      <c r="A67" s="18">
        <v>43511</v>
      </c>
      <c r="B67" s="19"/>
      <c r="C67" s="20" t="s">
        <v>157</v>
      </c>
      <c r="D67" s="20"/>
      <c r="E67" s="20"/>
      <c r="F67" s="21"/>
      <c r="G67" s="44" t="s">
        <v>265</v>
      </c>
      <c r="H67" s="23">
        <v>100</v>
      </c>
      <c r="I67" s="23"/>
      <c r="J67" s="23"/>
      <c r="K67" s="23"/>
      <c r="L67" s="24"/>
      <c r="M67" s="25">
        <f t="shared" si="5"/>
        <v>100</v>
      </c>
      <c r="N67" s="25">
        <f t="shared" si="6"/>
        <v>0</v>
      </c>
      <c r="O67" s="25">
        <f t="shared" si="7"/>
        <v>0</v>
      </c>
      <c r="P67" s="25"/>
      <c r="Q67" s="26"/>
      <c r="R67" s="26"/>
      <c r="S67" s="26"/>
      <c r="T67" s="27"/>
      <c r="U67" s="27"/>
      <c r="V67" s="27"/>
      <c r="W67" s="27"/>
      <c r="X67" s="27"/>
      <c r="Y67" s="26"/>
      <c r="Z67" s="26"/>
      <c r="AA67" s="26">
        <v>100</v>
      </c>
      <c r="AB67" s="26"/>
      <c r="AC67" s="27"/>
      <c r="AD67" s="27"/>
      <c r="AE67" s="26"/>
      <c r="AF67" s="26"/>
      <c r="AG67" s="25">
        <f t="shared" si="8"/>
        <v>-100</v>
      </c>
      <c r="AH67" s="28">
        <f t="shared" si="9"/>
        <v>0</v>
      </c>
    </row>
    <row r="68" spans="1:34" s="29" customFormat="1" ht="21.75" customHeight="1" x14ac:dyDescent="0.2">
      <c r="A68" s="18">
        <v>43511</v>
      </c>
      <c r="B68" s="19"/>
      <c r="C68" s="20" t="s">
        <v>58</v>
      </c>
      <c r="D68" s="20"/>
      <c r="E68" s="20"/>
      <c r="F68" s="21"/>
      <c r="G68" s="44" t="s">
        <v>266</v>
      </c>
      <c r="H68" s="23">
        <v>50</v>
      </c>
      <c r="I68" s="23"/>
      <c r="J68" s="23"/>
      <c r="K68" s="23"/>
      <c r="L68" s="24"/>
      <c r="M68" s="25">
        <f t="shared" si="5"/>
        <v>50</v>
      </c>
      <c r="N68" s="25">
        <f t="shared" si="6"/>
        <v>0</v>
      </c>
      <c r="O68" s="25">
        <f t="shared" si="7"/>
        <v>0</v>
      </c>
      <c r="P68" s="25"/>
      <c r="Q68" s="26"/>
      <c r="R68" s="26"/>
      <c r="S68" s="26"/>
      <c r="T68" s="27"/>
      <c r="U68" s="27"/>
      <c r="V68" s="27"/>
      <c r="W68" s="27"/>
      <c r="X68" s="27"/>
      <c r="Y68" s="26"/>
      <c r="Z68" s="26"/>
      <c r="AA68" s="26">
        <v>50</v>
      </c>
      <c r="AB68" s="26"/>
      <c r="AC68" s="27"/>
      <c r="AD68" s="27"/>
      <c r="AE68" s="26"/>
      <c r="AF68" s="26"/>
      <c r="AG68" s="25">
        <f t="shared" si="8"/>
        <v>-50</v>
      </c>
      <c r="AH68" s="28">
        <f t="shared" si="9"/>
        <v>0</v>
      </c>
    </row>
    <row r="69" spans="1:34" s="29" customFormat="1" ht="21.75" customHeight="1" x14ac:dyDescent="0.2">
      <c r="A69" s="18">
        <v>43511</v>
      </c>
      <c r="B69" s="19"/>
      <c r="C69" s="20" t="s">
        <v>37</v>
      </c>
      <c r="D69" s="20" t="s">
        <v>38</v>
      </c>
      <c r="E69" s="20" t="s">
        <v>39</v>
      </c>
      <c r="F69" s="21">
        <v>34249</v>
      </c>
      <c r="G69" s="44" t="s">
        <v>267</v>
      </c>
      <c r="H69" s="23"/>
      <c r="I69" s="23"/>
      <c r="J69" s="23"/>
      <c r="K69" s="23">
        <v>398</v>
      </c>
      <c r="L69" s="24"/>
      <c r="M69" s="25">
        <f t="shared" ref="M69:M105" si="10">SUM(H69:J69,K69/1.12)</f>
        <v>355.35714285714283</v>
      </c>
      <c r="N69" s="25">
        <f t="shared" ref="N69:N100" si="11">K69/1.12*0.12</f>
        <v>42.642857142857139</v>
      </c>
      <c r="O69" s="25">
        <f t="shared" ref="O69:O100" si="12">-SUM(I69:J69,K69/1.12)*L69</f>
        <v>0</v>
      </c>
      <c r="P69" s="25"/>
      <c r="Q69" s="26">
        <v>355.36</v>
      </c>
      <c r="R69" s="26"/>
      <c r="S69" s="26"/>
      <c r="T69" s="27"/>
      <c r="U69" s="27"/>
      <c r="V69" s="27"/>
      <c r="W69" s="27"/>
      <c r="X69" s="27"/>
      <c r="Y69" s="26"/>
      <c r="Z69" s="26"/>
      <c r="AA69" s="26"/>
      <c r="AB69" s="26"/>
      <c r="AC69" s="27"/>
      <c r="AD69" s="27"/>
      <c r="AE69" s="26"/>
      <c r="AF69" s="26"/>
      <c r="AG69" s="25">
        <f t="shared" ref="AG69:AG100" si="13">-SUM(N69:AF69)</f>
        <v>-398.00285714285712</v>
      </c>
      <c r="AH69" s="28">
        <f t="shared" ref="AH69:AH100" si="14">SUM(H69:K69)+AG69+O69</f>
        <v>-2.8571428571240176E-3</v>
      </c>
    </row>
    <row r="70" spans="1:34" s="29" customFormat="1" ht="21.75" customHeight="1" x14ac:dyDescent="0.2">
      <c r="A70" s="18">
        <v>43511</v>
      </c>
      <c r="B70" s="19"/>
      <c r="C70" s="20" t="s">
        <v>268</v>
      </c>
      <c r="D70" s="20"/>
      <c r="E70" s="20"/>
      <c r="F70" s="21"/>
      <c r="G70" s="44" t="s">
        <v>269</v>
      </c>
      <c r="H70" s="23">
        <v>1074</v>
      </c>
      <c r="I70" s="23"/>
      <c r="J70" s="23"/>
      <c r="K70" s="23"/>
      <c r="L70" s="24"/>
      <c r="M70" s="25">
        <f t="shared" si="10"/>
        <v>1074</v>
      </c>
      <c r="N70" s="25">
        <f t="shared" si="11"/>
        <v>0</v>
      </c>
      <c r="O70" s="25">
        <f t="shared" si="12"/>
        <v>0</v>
      </c>
      <c r="P70" s="25"/>
      <c r="Q70" s="26"/>
      <c r="R70" s="26"/>
      <c r="S70" s="26"/>
      <c r="T70" s="27"/>
      <c r="U70" s="27"/>
      <c r="V70" s="27"/>
      <c r="W70" s="27"/>
      <c r="X70" s="27"/>
      <c r="Y70" s="26"/>
      <c r="Z70" s="26"/>
      <c r="AA70" s="26"/>
      <c r="AB70" s="26">
        <v>1074</v>
      </c>
      <c r="AC70" s="27"/>
      <c r="AD70" s="27"/>
      <c r="AE70" s="26"/>
      <c r="AF70" s="26"/>
      <c r="AG70" s="25">
        <f t="shared" si="13"/>
        <v>-1074</v>
      </c>
      <c r="AH70" s="28">
        <f t="shared" si="14"/>
        <v>0</v>
      </c>
    </row>
    <row r="71" spans="1:34" s="29" customFormat="1" ht="21.75" customHeight="1" x14ac:dyDescent="0.2">
      <c r="A71" s="18">
        <v>43512</v>
      </c>
      <c r="B71" s="19"/>
      <c r="C71" s="20" t="s">
        <v>45</v>
      </c>
      <c r="D71" s="20" t="s">
        <v>46</v>
      </c>
      <c r="E71" s="20" t="s">
        <v>47</v>
      </c>
      <c r="F71" s="21">
        <v>113376</v>
      </c>
      <c r="G71" s="44" t="s">
        <v>270</v>
      </c>
      <c r="H71" s="23"/>
      <c r="I71" s="23"/>
      <c r="J71" s="23">
        <v>437.7</v>
      </c>
      <c r="K71" s="23"/>
      <c r="L71" s="24"/>
      <c r="M71" s="25">
        <f t="shared" si="10"/>
        <v>437.7</v>
      </c>
      <c r="N71" s="25">
        <f t="shared" si="11"/>
        <v>0</v>
      </c>
      <c r="O71" s="25">
        <f t="shared" si="12"/>
        <v>0</v>
      </c>
      <c r="P71" s="25">
        <v>437.7</v>
      </c>
      <c r="Q71" s="26"/>
      <c r="R71" s="26"/>
      <c r="S71" s="26"/>
      <c r="T71" s="27"/>
      <c r="U71" s="27"/>
      <c r="V71" s="27"/>
      <c r="W71" s="27"/>
      <c r="X71" s="27"/>
      <c r="Y71" s="26"/>
      <c r="Z71" s="26"/>
      <c r="AA71" s="26"/>
      <c r="AB71" s="26"/>
      <c r="AC71" s="27"/>
      <c r="AD71" s="27"/>
      <c r="AE71" s="26"/>
      <c r="AF71" s="26"/>
      <c r="AG71" s="25">
        <f t="shared" si="13"/>
        <v>-437.7</v>
      </c>
      <c r="AH71" s="28">
        <f t="shared" si="14"/>
        <v>0</v>
      </c>
    </row>
    <row r="72" spans="1:34" s="29" customFormat="1" ht="21.75" customHeight="1" x14ac:dyDescent="0.2">
      <c r="A72" s="18">
        <v>43512</v>
      </c>
      <c r="B72" s="19"/>
      <c r="C72" s="20" t="s">
        <v>45</v>
      </c>
      <c r="D72" s="20" t="s">
        <v>46</v>
      </c>
      <c r="E72" s="20" t="s">
        <v>47</v>
      </c>
      <c r="F72" s="21">
        <v>113376</v>
      </c>
      <c r="G72" s="44" t="s">
        <v>271</v>
      </c>
      <c r="H72" s="23"/>
      <c r="I72" s="23"/>
      <c r="J72" s="23"/>
      <c r="K72" s="23">
        <f>221.43+26.57</f>
        <v>248</v>
      </c>
      <c r="L72" s="24"/>
      <c r="M72" s="25">
        <f t="shared" si="10"/>
        <v>221.42857142857142</v>
      </c>
      <c r="N72" s="25">
        <f t="shared" si="11"/>
        <v>26.571428571428569</v>
      </c>
      <c r="O72" s="25">
        <f t="shared" si="12"/>
        <v>0</v>
      </c>
      <c r="P72" s="25">
        <v>221.43</v>
      </c>
      <c r="Q72" s="26"/>
      <c r="R72" s="26"/>
      <c r="S72" s="26"/>
      <c r="T72" s="27"/>
      <c r="U72" s="27"/>
      <c r="V72" s="27"/>
      <c r="W72" s="27"/>
      <c r="X72" s="27"/>
      <c r="Y72" s="26"/>
      <c r="Z72" s="26"/>
      <c r="AA72" s="26"/>
      <c r="AB72" s="26"/>
      <c r="AC72" s="27"/>
      <c r="AD72" s="27"/>
      <c r="AE72" s="26"/>
      <c r="AF72" s="26"/>
      <c r="AG72" s="25">
        <f t="shared" si="13"/>
        <v>-248.00142857142856</v>
      </c>
      <c r="AH72" s="28">
        <f t="shared" si="14"/>
        <v>-1.4285714285620088E-3</v>
      </c>
    </row>
    <row r="73" spans="1:34" s="29" customFormat="1" ht="21.75" customHeight="1" x14ac:dyDescent="0.2">
      <c r="A73" s="18">
        <v>43512</v>
      </c>
      <c r="B73" s="19"/>
      <c r="C73" s="20" t="s">
        <v>37</v>
      </c>
      <c r="D73" s="20" t="s">
        <v>38</v>
      </c>
      <c r="E73" s="20" t="s">
        <v>39</v>
      </c>
      <c r="F73" s="21">
        <v>34251</v>
      </c>
      <c r="G73" s="44" t="s">
        <v>272</v>
      </c>
      <c r="H73" s="23"/>
      <c r="I73" s="23"/>
      <c r="J73" s="23"/>
      <c r="K73" s="23">
        <v>264</v>
      </c>
      <c r="L73" s="24"/>
      <c r="M73" s="25">
        <f t="shared" si="10"/>
        <v>235.71428571428569</v>
      </c>
      <c r="N73" s="25">
        <f t="shared" si="11"/>
        <v>28.285714285714281</v>
      </c>
      <c r="O73" s="25">
        <f t="shared" si="12"/>
        <v>0</v>
      </c>
      <c r="P73" s="25"/>
      <c r="Q73" s="26">
        <v>235.71</v>
      </c>
      <c r="R73" s="26"/>
      <c r="S73" s="26"/>
      <c r="T73" s="27"/>
      <c r="U73" s="27"/>
      <c r="V73" s="27"/>
      <c r="W73" s="27"/>
      <c r="X73" s="27"/>
      <c r="Y73" s="26"/>
      <c r="Z73" s="26"/>
      <c r="AA73" s="26"/>
      <c r="AB73" s="26"/>
      <c r="AC73" s="27"/>
      <c r="AD73" s="27"/>
      <c r="AE73" s="26"/>
      <c r="AF73" s="26"/>
      <c r="AG73" s="25">
        <f t="shared" si="13"/>
        <v>-263.99571428571431</v>
      </c>
      <c r="AH73" s="28">
        <f t="shared" si="14"/>
        <v>4.2857142856860264E-3</v>
      </c>
    </row>
    <row r="74" spans="1:34" s="29" customFormat="1" ht="21.75" customHeight="1" x14ac:dyDescent="0.2">
      <c r="A74" s="18">
        <v>43512</v>
      </c>
      <c r="B74" s="19"/>
      <c r="C74" s="20" t="s">
        <v>37</v>
      </c>
      <c r="D74" s="20" t="s">
        <v>38</v>
      </c>
      <c r="E74" s="20" t="s">
        <v>39</v>
      </c>
      <c r="F74" s="21">
        <v>34250</v>
      </c>
      <c r="G74" s="44" t="s">
        <v>273</v>
      </c>
      <c r="H74" s="23"/>
      <c r="I74" s="23"/>
      <c r="J74" s="23"/>
      <c r="K74" s="23">
        <v>138</v>
      </c>
      <c r="L74" s="24"/>
      <c r="M74" s="25">
        <f t="shared" si="10"/>
        <v>123.21428571428571</v>
      </c>
      <c r="N74" s="25">
        <f t="shared" si="11"/>
        <v>14.785714285714285</v>
      </c>
      <c r="O74" s="25">
        <f t="shared" si="12"/>
        <v>0</v>
      </c>
      <c r="P74" s="25"/>
      <c r="Q74" s="26">
        <v>123.21</v>
      </c>
      <c r="R74" s="26"/>
      <c r="S74" s="26"/>
      <c r="T74" s="27"/>
      <c r="U74" s="27"/>
      <c r="V74" s="27"/>
      <c r="W74" s="27"/>
      <c r="X74" s="27"/>
      <c r="Y74" s="26"/>
      <c r="Z74" s="26"/>
      <c r="AA74" s="26"/>
      <c r="AB74" s="26"/>
      <c r="AC74" s="27"/>
      <c r="AD74" s="27"/>
      <c r="AE74" s="26"/>
      <c r="AF74" s="26"/>
      <c r="AG74" s="25">
        <f t="shared" si="13"/>
        <v>-137.99571428571429</v>
      </c>
      <c r="AH74" s="28">
        <f t="shared" si="14"/>
        <v>4.2857142857144481E-3</v>
      </c>
    </row>
    <row r="75" spans="1:34" s="29" customFormat="1" ht="21.75" customHeight="1" x14ac:dyDescent="0.2">
      <c r="A75" s="18">
        <v>43512</v>
      </c>
      <c r="B75" s="19"/>
      <c r="C75" s="20" t="s">
        <v>37</v>
      </c>
      <c r="D75" s="20" t="s">
        <v>38</v>
      </c>
      <c r="E75" s="20" t="s">
        <v>39</v>
      </c>
      <c r="F75" s="21">
        <v>34252</v>
      </c>
      <c r="G75" s="44" t="s">
        <v>274</v>
      </c>
      <c r="H75" s="23"/>
      <c r="I75" s="23"/>
      <c r="J75" s="23"/>
      <c r="K75" s="23">
        <v>135.91999999999999</v>
      </c>
      <c r="L75" s="24"/>
      <c r="M75" s="25">
        <f t="shared" si="10"/>
        <v>121.35714285714283</v>
      </c>
      <c r="N75" s="25">
        <f t="shared" si="11"/>
        <v>14.562857142857139</v>
      </c>
      <c r="O75" s="25">
        <f t="shared" si="12"/>
        <v>0</v>
      </c>
      <c r="P75" s="25">
        <v>121.36</v>
      </c>
      <c r="Q75" s="26"/>
      <c r="R75" s="26"/>
      <c r="S75" s="26"/>
      <c r="T75" s="27"/>
      <c r="U75" s="27"/>
      <c r="V75" s="27"/>
      <c r="W75" s="27"/>
      <c r="X75" s="27"/>
      <c r="Y75" s="26"/>
      <c r="Z75" s="26"/>
      <c r="AA75" s="26"/>
      <c r="AB75" s="26"/>
      <c r="AC75" s="27"/>
      <c r="AD75" s="27"/>
      <c r="AE75" s="26"/>
      <c r="AF75" s="26"/>
      <c r="AG75" s="25">
        <f t="shared" si="13"/>
        <v>-135.92285714285714</v>
      </c>
      <c r="AH75" s="28">
        <f t="shared" si="14"/>
        <v>-2.8571428571524393E-3</v>
      </c>
    </row>
    <row r="76" spans="1:34" s="29" customFormat="1" ht="21.75" customHeight="1" x14ac:dyDescent="0.2">
      <c r="A76" s="18">
        <v>43512</v>
      </c>
      <c r="B76" s="19"/>
      <c r="C76" s="20" t="s">
        <v>37</v>
      </c>
      <c r="D76" s="20" t="s">
        <v>38</v>
      </c>
      <c r="E76" s="20" t="s">
        <v>39</v>
      </c>
      <c r="F76" s="21">
        <v>43239</v>
      </c>
      <c r="G76" s="44" t="s">
        <v>267</v>
      </c>
      <c r="H76" s="23"/>
      <c r="I76" s="23"/>
      <c r="J76" s="23"/>
      <c r="K76" s="23">
        <v>199</v>
      </c>
      <c r="L76" s="24"/>
      <c r="M76" s="25">
        <f t="shared" si="10"/>
        <v>177.67857142857142</v>
      </c>
      <c r="N76" s="25">
        <f t="shared" si="11"/>
        <v>21.321428571428569</v>
      </c>
      <c r="O76" s="25">
        <f t="shared" si="12"/>
        <v>0</v>
      </c>
      <c r="P76" s="25"/>
      <c r="Q76" s="26">
        <v>177.68</v>
      </c>
      <c r="R76" s="26"/>
      <c r="S76" s="26"/>
      <c r="T76" s="27"/>
      <c r="U76" s="27"/>
      <c r="V76" s="27"/>
      <c r="W76" s="27"/>
      <c r="X76" s="27"/>
      <c r="Y76" s="26"/>
      <c r="Z76" s="26"/>
      <c r="AA76" s="26"/>
      <c r="AB76" s="26"/>
      <c r="AC76" s="27"/>
      <c r="AD76" s="27"/>
      <c r="AE76" s="26"/>
      <c r="AF76" s="26"/>
      <c r="AG76" s="25">
        <f t="shared" si="13"/>
        <v>-199.00142857142856</v>
      </c>
      <c r="AH76" s="28">
        <f t="shared" si="14"/>
        <v>-1.4285714285620088E-3</v>
      </c>
    </row>
    <row r="77" spans="1:34" s="29" customFormat="1" ht="21.75" customHeight="1" x14ac:dyDescent="0.2">
      <c r="A77" s="18">
        <v>43512</v>
      </c>
      <c r="B77" s="19"/>
      <c r="C77" s="20" t="s">
        <v>80</v>
      </c>
      <c r="D77" s="20" t="s">
        <v>181</v>
      </c>
      <c r="E77" s="20" t="s">
        <v>275</v>
      </c>
      <c r="F77" s="21">
        <v>1736</v>
      </c>
      <c r="G77" s="44" t="s">
        <v>276</v>
      </c>
      <c r="H77" s="23"/>
      <c r="I77" s="23"/>
      <c r="J77" s="23"/>
      <c r="K77" s="23">
        <v>144.69</v>
      </c>
      <c r="L77" s="24"/>
      <c r="M77" s="25">
        <f t="shared" si="10"/>
        <v>129.18749999999997</v>
      </c>
      <c r="N77" s="25">
        <f t="shared" si="11"/>
        <v>15.502499999999996</v>
      </c>
      <c r="O77" s="25">
        <f t="shared" si="12"/>
        <v>0</v>
      </c>
      <c r="P77" s="25">
        <v>129.19</v>
      </c>
      <c r="Q77" s="26"/>
      <c r="R77" s="26"/>
      <c r="S77" s="26"/>
      <c r="T77" s="27"/>
      <c r="U77" s="27"/>
      <c r="V77" s="27"/>
      <c r="W77" s="27"/>
      <c r="X77" s="27"/>
      <c r="Y77" s="26"/>
      <c r="Z77" s="26"/>
      <c r="AA77" s="26"/>
      <c r="AB77" s="26"/>
      <c r="AC77" s="27"/>
      <c r="AD77" s="27"/>
      <c r="AE77" s="26"/>
      <c r="AF77" s="26"/>
      <c r="AG77" s="25">
        <f t="shared" si="13"/>
        <v>-144.6925</v>
      </c>
      <c r="AH77" s="28">
        <f t="shared" si="14"/>
        <v>-2.4999999999977263E-3</v>
      </c>
    </row>
    <row r="78" spans="1:34" s="29" customFormat="1" ht="21.75" customHeight="1" x14ac:dyDescent="0.2">
      <c r="A78" s="18">
        <v>43512</v>
      </c>
      <c r="B78" s="19"/>
      <c r="C78" s="20" t="s">
        <v>176</v>
      </c>
      <c r="D78" s="20"/>
      <c r="E78" s="20"/>
      <c r="F78" s="21"/>
      <c r="G78" s="44" t="s">
        <v>260</v>
      </c>
      <c r="H78" s="23">
        <v>537</v>
      </c>
      <c r="I78" s="23"/>
      <c r="J78" s="23"/>
      <c r="K78" s="23"/>
      <c r="L78" s="24"/>
      <c r="M78" s="25">
        <f t="shared" si="10"/>
        <v>537</v>
      </c>
      <c r="N78" s="25">
        <f t="shared" si="11"/>
        <v>0</v>
      </c>
      <c r="O78" s="25">
        <f t="shared" si="12"/>
        <v>0</v>
      </c>
      <c r="P78" s="25"/>
      <c r="Q78" s="26"/>
      <c r="R78" s="26"/>
      <c r="S78" s="26"/>
      <c r="T78" s="27"/>
      <c r="U78" s="27"/>
      <c r="V78" s="27"/>
      <c r="W78" s="27"/>
      <c r="X78" s="27"/>
      <c r="Y78" s="26"/>
      <c r="Z78" s="26"/>
      <c r="AA78" s="26"/>
      <c r="AB78" s="26">
        <v>537</v>
      </c>
      <c r="AC78" s="27"/>
      <c r="AD78" s="27"/>
      <c r="AE78" s="26"/>
      <c r="AF78" s="26"/>
      <c r="AG78" s="25">
        <f t="shared" si="13"/>
        <v>-537</v>
      </c>
      <c r="AH78" s="28">
        <f t="shared" si="14"/>
        <v>0</v>
      </c>
    </row>
    <row r="79" spans="1:34" s="29" customFormat="1" ht="21.75" customHeight="1" x14ac:dyDescent="0.2">
      <c r="A79" s="18">
        <v>43512</v>
      </c>
      <c r="B79" s="19"/>
      <c r="C79" s="20" t="s">
        <v>277</v>
      </c>
      <c r="D79" s="20"/>
      <c r="E79" s="20"/>
      <c r="F79" s="21"/>
      <c r="G79" s="44" t="s">
        <v>260</v>
      </c>
      <c r="H79" s="23">
        <v>537</v>
      </c>
      <c r="I79" s="23"/>
      <c r="J79" s="23"/>
      <c r="K79" s="23"/>
      <c r="L79" s="24"/>
      <c r="M79" s="25">
        <f t="shared" si="10"/>
        <v>537</v>
      </c>
      <c r="N79" s="25">
        <f t="shared" si="11"/>
        <v>0</v>
      </c>
      <c r="O79" s="25">
        <f t="shared" si="12"/>
        <v>0</v>
      </c>
      <c r="P79" s="25"/>
      <c r="Q79" s="26"/>
      <c r="R79" s="26"/>
      <c r="S79" s="26"/>
      <c r="T79" s="27"/>
      <c r="U79" s="27"/>
      <c r="V79" s="27"/>
      <c r="W79" s="27"/>
      <c r="X79" s="27"/>
      <c r="Y79" s="26"/>
      <c r="Z79" s="26"/>
      <c r="AA79" s="26"/>
      <c r="AB79" s="26">
        <v>537</v>
      </c>
      <c r="AC79" s="27"/>
      <c r="AD79" s="27"/>
      <c r="AE79" s="26"/>
      <c r="AF79" s="26"/>
      <c r="AG79" s="25">
        <f t="shared" si="13"/>
        <v>-537</v>
      </c>
      <c r="AH79" s="28">
        <f t="shared" si="14"/>
        <v>0</v>
      </c>
    </row>
    <row r="80" spans="1:34" s="29" customFormat="1" ht="21.75" customHeight="1" x14ac:dyDescent="0.2">
      <c r="A80" s="18">
        <v>43512</v>
      </c>
      <c r="B80" s="19"/>
      <c r="C80" s="20" t="s">
        <v>41</v>
      </c>
      <c r="D80" s="20" t="s">
        <v>42</v>
      </c>
      <c r="E80" s="20" t="s">
        <v>43</v>
      </c>
      <c r="F80" s="21">
        <v>182637</v>
      </c>
      <c r="G80" s="44" t="s">
        <v>44</v>
      </c>
      <c r="H80" s="23"/>
      <c r="I80" s="23"/>
      <c r="J80" s="23"/>
      <c r="K80" s="23">
        <v>180</v>
      </c>
      <c r="L80" s="24"/>
      <c r="M80" s="25">
        <f t="shared" si="10"/>
        <v>160.71428571428569</v>
      </c>
      <c r="N80" s="25">
        <f t="shared" si="11"/>
        <v>19.285714285714281</v>
      </c>
      <c r="O80" s="25">
        <f t="shared" si="12"/>
        <v>0</v>
      </c>
      <c r="P80" s="25"/>
      <c r="Q80" s="26">
        <v>160.71</v>
      </c>
      <c r="R80" s="26"/>
      <c r="S80" s="26"/>
      <c r="T80" s="27"/>
      <c r="U80" s="27"/>
      <c r="V80" s="27"/>
      <c r="W80" s="27"/>
      <c r="X80" s="27"/>
      <c r="Y80" s="26"/>
      <c r="Z80" s="26"/>
      <c r="AA80" s="26"/>
      <c r="AB80" s="26"/>
      <c r="AC80" s="27"/>
      <c r="AD80" s="27"/>
      <c r="AE80" s="26"/>
      <c r="AF80" s="26"/>
      <c r="AG80" s="25">
        <f t="shared" si="13"/>
        <v>-179.99571428571429</v>
      </c>
      <c r="AH80" s="28">
        <f t="shared" si="14"/>
        <v>4.2857142857144481E-3</v>
      </c>
    </row>
    <row r="81" spans="1:34" s="29" customFormat="1" ht="21.75" customHeight="1" x14ac:dyDescent="0.2">
      <c r="A81" s="18">
        <v>43512</v>
      </c>
      <c r="B81" s="19"/>
      <c r="C81" s="20" t="s">
        <v>278</v>
      </c>
      <c r="D81" s="20"/>
      <c r="E81" s="20"/>
      <c r="F81" s="21"/>
      <c r="G81" s="44" t="s">
        <v>279</v>
      </c>
      <c r="H81" s="23">
        <v>2020</v>
      </c>
      <c r="I81" s="23"/>
      <c r="J81" s="23"/>
      <c r="K81" s="23"/>
      <c r="L81" s="24"/>
      <c r="M81" s="25">
        <f t="shared" si="10"/>
        <v>2020</v>
      </c>
      <c r="N81" s="25">
        <f t="shared" si="11"/>
        <v>0</v>
      </c>
      <c r="O81" s="25">
        <f t="shared" si="12"/>
        <v>0</v>
      </c>
      <c r="P81" s="25"/>
      <c r="Q81" s="26"/>
      <c r="R81" s="26"/>
      <c r="S81" s="26"/>
      <c r="T81" s="27"/>
      <c r="U81" s="27"/>
      <c r="V81" s="27"/>
      <c r="W81" s="27"/>
      <c r="X81" s="27"/>
      <c r="Y81" s="26"/>
      <c r="Z81" s="26"/>
      <c r="AA81" s="26">
        <v>2020</v>
      </c>
      <c r="AB81" s="26"/>
      <c r="AC81" s="27"/>
      <c r="AD81" s="27"/>
      <c r="AE81" s="26"/>
      <c r="AF81" s="26"/>
      <c r="AG81" s="25">
        <f t="shared" si="13"/>
        <v>-2020</v>
      </c>
      <c r="AH81" s="28">
        <f t="shared" si="14"/>
        <v>0</v>
      </c>
    </row>
    <row r="82" spans="1:34" s="29" customFormat="1" ht="21.75" customHeight="1" x14ac:dyDescent="0.2">
      <c r="A82" s="18">
        <v>43512</v>
      </c>
      <c r="B82" s="19"/>
      <c r="C82" s="20" t="s">
        <v>280</v>
      </c>
      <c r="D82" s="20"/>
      <c r="E82" s="20"/>
      <c r="F82" s="21"/>
      <c r="G82" s="44" t="s">
        <v>281</v>
      </c>
      <c r="H82" s="23">
        <v>236</v>
      </c>
      <c r="I82" s="23"/>
      <c r="J82" s="23"/>
      <c r="K82" s="23"/>
      <c r="L82" s="24"/>
      <c r="M82" s="25">
        <f t="shared" si="10"/>
        <v>236</v>
      </c>
      <c r="N82" s="25">
        <f t="shared" si="11"/>
        <v>0</v>
      </c>
      <c r="O82" s="25">
        <f t="shared" si="12"/>
        <v>0</v>
      </c>
      <c r="P82" s="25"/>
      <c r="Q82" s="26"/>
      <c r="R82" s="26"/>
      <c r="S82" s="26"/>
      <c r="T82" s="27"/>
      <c r="U82" s="27"/>
      <c r="V82" s="27"/>
      <c r="W82" s="27"/>
      <c r="X82" s="27"/>
      <c r="Y82" s="26"/>
      <c r="Z82" s="26"/>
      <c r="AA82" s="26">
        <v>236</v>
      </c>
      <c r="AB82" s="26"/>
      <c r="AC82" s="27"/>
      <c r="AD82" s="27"/>
      <c r="AE82" s="26"/>
      <c r="AF82" s="26"/>
      <c r="AG82" s="25">
        <f t="shared" si="13"/>
        <v>-236</v>
      </c>
      <c r="AH82" s="28">
        <f t="shared" si="14"/>
        <v>0</v>
      </c>
    </row>
    <row r="83" spans="1:34" s="29" customFormat="1" ht="21.75" customHeight="1" x14ac:dyDescent="0.2">
      <c r="A83" s="18">
        <v>43512</v>
      </c>
      <c r="B83" s="19"/>
      <c r="C83" s="20" t="s">
        <v>278</v>
      </c>
      <c r="D83" s="20"/>
      <c r="E83" s="20"/>
      <c r="F83" s="21"/>
      <c r="G83" s="44" t="s">
        <v>282</v>
      </c>
      <c r="H83" s="23">
        <v>50</v>
      </c>
      <c r="I83" s="23"/>
      <c r="J83" s="23"/>
      <c r="K83" s="23"/>
      <c r="L83" s="24"/>
      <c r="M83" s="25">
        <f t="shared" si="10"/>
        <v>50</v>
      </c>
      <c r="N83" s="25">
        <f t="shared" si="11"/>
        <v>0</v>
      </c>
      <c r="O83" s="25">
        <f t="shared" si="12"/>
        <v>0</v>
      </c>
      <c r="P83" s="25"/>
      <c r="Q83" s="26"/>
      <c r="R83" s="26"/>
      <c r="S83" s="26"/>
      <c r="T83" s="27"/>
      <c r="U83" s="27"/>
      <c r="V83" s="27"/>
      <c r="W83" s="27"/>
      <c r="X83" s="27"/>
      <c r="Y83" s="26"/>
      <c r="Z83" s="26"/>
      <c r="AA83" s="26">
        <v>50</v>
      </c>
      <c r="AB83" s="26"/>
      <c r="AC83" s="27"/>
      <c r="AD83" s="27"/>
      <c r="AE83" s="26"/>
      <c r="AF83" s="26"/>
      <c r="AG83" s="25">
        <f t="shared" si="13"/>
        <v>-50</v>
      </c>
      <c r="AH83" s="28">
        <f t="shared" si="14"/>
        <v>0</v>
      </c>
    </row>
    <row r="84" spans="1:34" s="29" customFormat="1" ht="21.75" customHeight="1" x14ac:dyDescent="0.2">
      <c r="A84" s="18">
        <v>43514</v>
      </c>
      <c r="B84" s="19"/>
      <c r="C84" s="20" t="s">
        <v>220</v>
      </c>
      <c r="D84" s="20"/>
      <c r="E84" s="20"/>
      <c r="F84" s="21"/>
      <c r="G84" s="44" t="s">
        <v>221</v>
      </c>
      <c r="H84" s="23"/>
      <c r="I84" s="23"/>
      <c r="J84" s="23">
        <v>100</v>
      </c>
      <c r="K84" s="23"/>
      <c r="L84" s="24"/>
      <c r="M84" s="25">
        <f t="shared" si="10"/>
        <v>100</v>
      </c>
      <c r="N84" s="25">
        <f t="shared" si="11"/>
        <v>0</v>
      </c>
      <c r="O84" s="25">
        <f t="shared" si="12"/>
        <v>0</v>
      </c>
      <c r="P84" s="25">
        <v>100</v>
      </c>
      <c r="Q84" s="26"/>
      <c r="R84" s="26"/>
      <c r="S84" s="26"/>
      <c r="T84" s="27"/>
      <c r="U84" s="27"/>
      <c r="V84" s="27"/>
      <c r="W84" s="27"/>
      <c r="X84" s="27"/>
      <c r="Y84" s="26"/>
      <c r="Z84" s="26"/>
      <c r="AA84" s="26"/>
      <c r="AB84" s="26"/>
      <c r="AC84" s="27"/>
      <c r="AD84" s="27"/>
      <c r="AE84" s="26"/>
      <c r="AF84" s="26"/>
      <c r="AG84" s="25">
        <f t="shared" si="13"/>
        <v>-100</v>
      </c>
      <c r="AH84" s="28">
        <f t="shared" si="14"/>
        <v>0</v>
      </c>
    </row>
    <row r="85" spans="1:34" s="29" customFormat="1" ht="21.75" customHeight="1" x14ac:dyDescent="0.2">
      <c r="A85" s="18">
        <v>43514</v>
      </c>
      <c r="B85" s="19"/>
      <c r="C85" s="20" t="s">
        <v>58</v>
      </c>
      <c r="D85" s="20"/>
      <c r="E85" s="20"/>
      <c r="F85" s="21"/>
      <c r="G85" s="44" t="s">
        <v>283</v>
      </c>
      <c r="H85" s="23">
        <v>50</v>
      </c>
      <c r="I85" s="23"/>
      <c r="J85" s="23"/>
      <c r="K85" s="23"/>
      <c r="L85" s="24"/>
      <c r="M85" s="25">
        <f t="shared" si="10"/>
        <v>50</v>
      </c>
      <c r="N85" s="25">
        <f t="shared" si="11"/>
        <v>0</v>
      </c>
      <c r="O85" s="25">
        <f t="shared" si="12"/>
        <v>0</v>
      </c>
      <c r="P85" s="25"/>
      <c r="Q85" s="26"/>
      <c r="R85" s="26"/>
      <c r="S85" s="26"/>
      <c r="T85" s="27"/>
      <c r="U85" s="27"/>
      <c r="V85" s="27"/>
      <c r="W85" s="27"/>
      <c r="X85" s="27"/>
      <c r="Y85" s="26"/>
      <c r="Z85" s="26"/>
      <c r="AA85" s="26">
        <v>50</v>
      </c>
      <c r="AB85" s="26"/>
      <c r="AC85" s="27"/>
      <c r="AD85" s="27"/>
      <c r="AE85" s="26"/>
      <c r="AF85" s="26"/>
      <c r="AG85" s="25">
        <f t="shared" si="13"/>
        <v>-50</v>
      </c>
      <c r="AH85" s="28">
        <f t="shared" si="14"/>
        <v>0</v>
      </c>
    </row>
    <row r="86" spans="1:34" s="29" customFormat="1" ht="21.75" customHeight="1" x14ac:dyDescent="0.2">
      <c r="A86" s="18">
        <v>43514</v>
      </c>
      <c r="B86" s="19"/>
      <c r="C86" s="20" t="s">
        <v>74</v>
      </c>
      <c r="D86" s="20"/>
      <c r="E86" s="20"/>
      <c r="F86" s="21"/>
      <c r="G86" s="44" t="s">
        <v>75</v>
      </c>
      <c r="H86" s="23"/>
      <c r="I86" s="23"/>
      <c r="J86" s="23">
        <v>1048</v>
      </c>
      <c r="K86" s="23"/>
      <c r="L86" s="24"/>
      <c r="M86" s="25">
        <f t="shared" si="10"/>
        <v>1048</v>
      </c>
      <c r="N86" s="25">
        <f t="shared" si="11"/>
        <v>0</v>
      </c>
      <c r="O86" s="25">
        <f t="shared" si="12"/>
        <v>0</v>
      </c>
      <c r="P86" s="25">
        <v>1048</v>
      </c>
      <c r="Q86" s="26"/>
      <c r="R86" s="26"/>
      <c r="S86" s="26"/>
      <c r="T86" s="27"/>
      <c r="U86" s="27"/>
      <c r="V86" s="27"/>
      <c r="W86" s="27"/>
      <c r="X86" s="27"/>
      <c r="Y86" s="26"/>
      <c r="Z86" s="26"/>
      <c r="AA86" s="26"/>
      <c r="AB86" s="26"/>
      <c r="AC86" s="27"/>
      <c r="AD86" s="27"/>
      <c r="AE86" s="26"/>
      <c r="AF86" s="26"/>
      <c r="AG86" s="25">
        <f t="shared" si="13"/>
        <v>-1048</v>
      </c>
      <c r="AH86" s="28">
        <f t="shared" si="14"/>
        <v>0</v>
      </c>
    </row>
    <row r="87" spans="1:34" s="29" customFormat="1" ht="21.75" customHeight="1" x14ac:dyDescent="0.2">
      <c r="A87" s="18">
        <v>43514</v>
      </c>
      <c r="B87" s="19"/>
      <c r="C87" s="20" t="s">
        <v>41</v>
      </c>
      <c r="D87" s="20" t="s">
        <v>42</v>
      </c>
      <c r="E87" s="20" t="s">
        <v>43</v>
      </c>
      <c r="F87" s="21">
        <v>182650</v>
      </c>
      <c r="G87" s="44" t="s">
        <v>44</v>
      </c>
      <c r="H87" s="23"/>
      <c r="I87" s="23"/>
      <c r="J87" s="23"/>
      <c r="K87" s="23">
        <v>180</v>
      </c>
      <c r="L87" s="24"/>
      <c r="M87" s="25">
        <f t="shared" si="10"/>
        <v>160.71428571428569</v>
      </c>
      <c r="N87" s="25">
        <f t="shared" si="11"/>
        <v>19.285714285714281</v>
      </c>
      <c r="O87" s="25">
        <f t="shared" si="12"/>
        <v>0</v>
      </c>
      <c r="P87" s="25"/>
      <c r="Q87" s="26">
        <v>160.71</v>
      </c>
      <c r="R87" s="26"/>
      <c r="S87" s="26"/>
      <c r="T87" s="27"/>
      <c r="U87" s="27"/>
      <c r="V87" s="27"/>
      <c r="W87" s="27"/>
      <c r="X87" s="27"/>
      <c r="Y87" s="26"/>
      <c r="Z87" s="26"/>
      <c r="AA87" s="26"/>
      <c r="AB87" s="26"/>
      <c r="AC87" s="27"/>
      <c r="AD87" s="27"/>
      <c r="AE87" s="26"/>
      <c r="AF87" s="26"/>
      <c r="AG87" s="25">
        <f t="shared" si="13"/>
        <v>-179.99571428571429</v>
      </c>
      <c r="AH87" s="28">
        <f t="shared" si="14"/>
        <v>4.2857142857144481E-3</v>
      </c>
    </row>
    <row r="88" spans="1:34" s="29" customFormat="1" ht="21.75" customHeight="1" x14ac:dyDescent="0.2">
      <c r="A88" s="18">
        <v>43515</v>
      </c>
      <c r="B88" s="19"/>
      <c r="C88" s="20" t="s">
        <v>41</v>
      </c>
      <c r="D88" s="20" t="s">
        <v>42</v>
      </c>
      <c r="E88" s="20" t="s">
        <v>43</v>
      </c>
      <c r="F88" s="21">
        <v>184383</v>
      </c>
      <c r="G88" s="44" t="s">
        <v>44</v>
      </c>
      <c r="H88" s="23"/>
      <c r="I88" s="23"/>
      <c r="J88" s="23"/>
      <c r="K88" s="23">
        <v>180</v>
      </c>
      <c r="L88" s="24"/>
      <c r="M88" s="25">
        <f t="shared" si="10"/>
        <v>160.71428571428569</v>
      </c>
      <c r="N88" s="25">
        <f t="shared" si="11"/>
        <v>19.285714285714281</v>
      </c>
      <c r="O88" s="25">
        <f t="shared" si="12"/>
        <v>0</v>
      </c>
      <c r="P88" s="25"/>
      <c r="Q88" s="26">
        <v>160.71</v>
      </c>
      <c r="R88" s="26"/>
      <c r="S88" s="26"/>
      <c r="T88" s="27"/>
      <c r="U88" s="27"/>
      <c r="V88" s="27"/>
      <c r="W88" s="27"/>
      <c r="X88" s="27"/>
      <c r="Y88" s="26"/>
      <c r="Z88" s="26"/>
      <c r="AA88" s="26"/>
      <c r="AB88" s="26"/>
      <c r="AC88" s="27"/>
      <c r="AD88" s="27"/>
      <c r="AE88" s="26"/>
      <c r="AF88" s="26"/>
      <c r="AG88" s="25">
        <f t="shared" si="13"/>
        <v>-179.99571428571429</v>
      </c>
      <c r="AH88" s="28">
        <f t="shared" si="14"/>
        <v>4.2857142857144481E-3</v>
      </c>
    </row>
    <row r="89" spans="1:34" s="29" customFormat="1" ht="21.75" customHeight="1" x14ac:dyDescent="0.2">
      <c r="A89" s="18">
        <v>43515</v>
      </c>
      <c r="B89" s="19"/>
      <c r="C89" s="20" t="s">
        <v>45</v>
      </c>
      <c r="D89" s="20" t="s">
        <v>46</v>
      </c>
      <c r="E89" s="20" t="s">
        <v>47</v>
      </c>
      <c r="F89" s="21">
        <v>142700</v>
      </c>
      <c r="G89" s="44" t="s">
        <v>284</v>
      </c>
      <c r="H89" s="23"/>
      <c r="I89" s="23"/>
      <c r="J89" s="23"/>
      <c r="K89" s="23">
        <f>871.83+104.62</f>
        <v>976.45</v>
      </c>
      <c r="L89" s="24"/>
      <c r="M89" s="25">
        <f t="shared" si="10"/>
        <v>871.83035714285711</v>
      </c>
      <c r="N89" s="25">
        <f t="shared" si="11"/>
        <v>104.61964285714285</v>
      </c>
      <c r="O89" s="25">
        <f t="shared" si="12"/>
        <v>0</v>
      </c>
      <c r="P89" s="25">
        <v>871.83</v>
      </c>
      <c r="Q89" s="26"/>
      <c r="R89" s="26"/>
      <c r="S89" s="26"/>
      <c r="T89" s="27"/>
      <c r="U89" s="27"/>
      <c r="V89" s="27"/>
      <c r="W89" s="27"/>
      <c r="X89" s="27"/>
      <c r="Y89" s="26"/>
      <c r="Z89" s="26"/>
      <c r="AA89" s="26"/>
      <c r="AB89" s="26"/>
      <c r="AC89" s="27"/>
      <c r="AD89" s="27"/>
      <c r="AE89" s="26"/>
      <c r="AF89" s="26"/>
      <c r="AG89" s="25">
        <f t="shared" si="13"/>
        <v>-976.44964285714286</v>
      </c>
      <c r="AH89" s="28">
        <f t="shared" si="14"/>
        <v>3.5714285718313477E-4</v>
      </c>
    </row>
    <row r="90" spans="1:34" s="29" customFormat="1" ht="21.75" customHeight="1" x14ac:dyDescent="0.2">
      <c r="A90" s="18">
        <v>43515</v>
      </c>
      <c r="B90" s="19"/>
      <c r="C90" s="20" t="s">
        <v>45</v>
      </c>
      <c r="D90" s="20" t="s">
        <v>46</v>
      </c>
      <c r="E90" s="20" t="s">
        <v>47</v>
      </c>
      <c r="F90" s="21">
        <v>142700</v>
      </c>
      <c r="G90" s="44" t="s">
        <v>285</v>
      </c>
      <c r="H90" s="23"/>
      <c r="I90" s="23"/>
      <c r="J90" s="23">
        <v>285.25</v>
      </c>
      <c r="K90" s="23"/>
      <c r="L90" s="24"/>
      <c r="M90" s="25">
        <f t="shared" si="10"/>
        <v>285.25</v>
      </c>
      <c r="N90" s="25">
        <f t="shared" si="11"/>
        <v>0</v>
      </c>
      <c r="O90" s="25">
        <f t="shared" si="12"/>
        <v>0</v>
      </c>
      <c r="P90" s="25">
        <v>285.25</v>
      </c>
      <c r="Q90" s="26"/>
      <c r="R90" s="26"/>
      <c r="S90" s="26"/>
      <c r="T90" s="27"/>
      <c r="U90" s="27"/>
      <c r="V90" s="27"/>
      <c r="W90" s="27"/>
      <c r="X90" s="27"/>
      <c r="Y90" s="26"/>
      <c r="Z90" s="26"/>
      <c r="AA90" s="26"/>
      <c r="AB90" s="26"/>
      <c r="AC90" s="27"/>
      <c r="AD90" s="27"/>
      <c r="AE90" s="26"/>
      <c r="AF90" s="26"/>
      <c r="AG90" s="25">
        <f t="shared" si="13"/>
        <v>-285.25</v>
      </c>
      <c r="AH90" s="28">
        <f t="shared" si="14"/>
        <v>0</v>
      </c>
    </row>
    <row r="91" spans="1:34" s="29" customFormat="1" ht="21.75" customHeight="1" x14ac:dyDescent="0.2">
      <c r="A91" s="18">
        <v>43515</v>
      </c>
      <c r="B91" s="19"/>
      <c r="C91" s="20" t="s">
        <v>134</v>
      </c>
      <c r="D91" s="20" t="s">
        <v>135</v>
      </c>
      <c r="E91" s="20" t="s">
        <v>286</v>
      </c>
      <c r="F91" s="21">
        <v>163798</v>
      </c>
      <c r="G91" s="44" t="s">
        <v>287</v>
      </c>
      <c r="H91" s="23"/>
      <c r="I91" s="23"/>
      <c r="J91" s="23"/>
      <c r="K91" s="23">
        <v>150</v>
      </c>
      <c r="L91" s="24"/>
      <c r="M91" s="25">
        <f t="shared" si="10"/>
        <v>133.92857142857142</v>
      </c>
      <c r="N91" s="25">
        <f t="shared" si="11"/>
        <v>16.071428571428569</v>
      </c>
      <c r="O91" s="25">
        <f t="shared" si="12"/>
        <v>0</v>
      </c>
      <c r="P91" s="25"/>
      <c r="Q91" s="26"/>
      <c r="R91" s="26"/>
      <c r="S91" s="26"/>
      <c r="T91" s="27"/>
      <c r="U91" s="27"/>
      <c r="V91" s="27"/>
      <c r="W91" s="27"/>
      <c r="X91" s="27"/>
      <c r="Y91" s="26"/>
      <c r="Z91" s="26">
        <v>133.93</v>
      </c>
      <c r="AA91" s="26"/>
      <c r="AB91" s="26"/>
      <c r="AC91" s="27"/>
      <c r="AD91" s="27"/>
      <c r="AE91" s="26"/>
      <c r="AF91" s="26"/>
      <c r="AG91" s="25">
        <f t="shared" si="13"/>
        <v>-150.00142857142856</v>
      </c>
      <c r="AH91" s="28">
        <f t="shared" si="14"/>
        <v>-1.4285714285620088E-3</v>
      </c>
    </row>
    <row r="92" spans="1:34" s="29" customFormat="1" ht="21.75" customHeight="1" x14ac:dyDescent="0.2">
      <c r="A92" s="18">
        <v>43515</v>
      </c>
      <c r="B92" s="19"/>
      <c r="C92" s="20" t="s">
        <v>37</v>
      </c>
      <c r="D92" s="20" t="s">
        <v>38</v>
      </c>
      <c r="E92" s="20" t="s">
        <v>39</v>
      </c>
      <c r="F92" s="21">
        <v>34303</v>
      </c>
      <c r="G92" s="44" t="s">
        <v>288</v>
      </c>
      <c r="H92" s="23"/>
      <c r="I92" s="23"/>
      <c r="J92" s="23"/>
      <c r="K92" s="23">
        <v>430.5</v>
      </c>
      <c r="L92" s="24"/>
      <c r="M92" s="25">
        <f t="shared" si="10"/>
        <v>384.37499999999994</v>
      </c>
      <c r="N92" s="25">
        <f t="shared" si="11"/>
        <v>46.124999999999993</v>
      </c>
      <c r="O92" s="25">
        <f t="shared" si="12"/>
        <v>0</v>
      </c>
      <c r="P92" s="25"/>
      <c r="Q92" s="26"/>
      <c r="R92" s="26"/>
      <c r="S92" s="26">
        <v>384.38</v>
      </c>
      <c r="T92" s="27"/>
      <c r="U92" s="27"/>
      <c r="V92" s="27"/>
      <c r="W92" s="27"/>
      <c r="X92" s="27"/>
      <c r="Y92" s="26"/>
      <c r="Z92" s="26"/>
      <c r="AA92" s="26"/>
      <c r="AB92" s="26"/>
      <c r="AC92" s="27"/>
      <c r="AD92" s="27"/>
      <c r="AE92" s="26"/>
      <c r="AF92" s="26"/>
      <c r="AG92" s="25">
        <f t="shared" si="13"/>
        <v>-430.505</v>
      </c>
      <c r="AH92" s="28">
        <f t="shared" si="14"/>
        <v>-4.9999999999954525E-3</v>
      </c>
    </row>
    <row r="93" spans="1:34" s="41" customFormat="1" ht="21.75" customHeight="1" x14ac:dyDescent="0.2">
      <c r="A93" s="30">
        <v>43516</v>
      </c>
      <c r="B93" s="31"/>
      <c r="C93" s="32" t="s">
        <v>41</v>
      </c>
      <c r="D93" s="32" t="s">
        <v>42</v>
      </c>
      <c r="E93" s="32" t="s">
        <v>43</v>
      </c>
      <c r="F93" s="33">
        <v>189185</v>
      </c>
      <c r="G93" s="34" t="s">
        <v>44</v>
      </c>
      <c r="H93" s="35"/>
      <c r="I93" s="35"/>
      <c r="J93" s="35"/>
      <c r="K93" s="35">
        <v>180</v>
      </c>
      <c r="L93" s="36"/>
      <c r="M93" s="37">
        <f t="shared" si="10"/>
        <v>160.71428571428569</v>
      </c>
      <c r="N93" s="37">
        <f t="shared" si="11"/>
        <v>19.285714285714281</v>
      </c>
      <c r="O93" s="37">
        <f t="shared" si="12"/>
        <v>0</v>
      </c>
      <c r="P93" s="37"/>
      <c r="Q93" s="38">
        <v>160.71</v>
      </c>
      <c r="R93" s="38"/>
      <c r="S93" s="38"/>
      <c r="T93" s="39"/>
      <c r="U93" s="39"/>
      <c r="V93" s="39"/>
      <c r="W93" s="39"/>
      <c r="X93" s="39"/>
      <c r="Y93" s="38"/>
      <c r="Z93" s="38"/>
      <c r="AA93" s="38"/>
      <c r="AB93" s="38"/>
      <c r="AC93" s="39"/>
      <c r="AD93" s="39"/>
      <c r="AE93" s="38"/>
      <c r="AF93" s="38"/>
      <c r="AG93" s="37">
        <f t="shared" si="13"/>
        <v>-179.99571428571429</v>
      </c>
      <c r="AH93" s="40">
        <f t="shared" si="14"/>
        <v>4.2857142857144481E-3</v>
      </c>
    </row>
    <row r="94" spans="1:34" s="29" customFormat="1" ht="21.75" customHeight="1" x14ac:dyDescent="0.2">
      <c r="A94" s="18">
        <v>43511</v>
      </c>
      <c r="B94" s="19"/>
      <c r="C94" s="59" t="s">
        <v>289</v>
      </c>
      <c r="D94" s="20" t="s">
        <v>290</v>
      </c>
      <c r="E94" s="20" t="s">
        <v>47</v>
      </c>
      <c r="F94" s="21">
        <v>2566458</v>
      </c>
      <c r="G94" s="44" t="s">
        <v>291</v>
      </c>
      <c r="H94" s="23"/>
      <c r="I94" s="23"/>
      <c r="J94" s="23"/>
      <c r="K94" s="23">
        <v>564.29</v>
      </c>
      <c r="L94" s="24"/>
      <c r="M94" s="25">
        <f t="shared" si="10"/>
        <v>503.83035714285705</v>
      </c>
      <c r="N94" s="25">
        <f t="shared" si="11"/>
        <v>60.459642857142846</v>
      </c>
      <c r="O94" s="25">
        <f t="shared" si="12"/>
        <v>0</v>
      </c>
      <c r="P94" s="25"/>
      <c r="Q94" s="26"/>
      <c r="R94" s="26"/>
      <c r="S94" s="26"/>
      <c r="T94" s="27"/>
      <c r="U94" s="27"/>
      <c r="V94" s="27"/>
      <c r="W94" s="27"/>
      <c r="X94" s="27"/>
      <c r="Y94" s="26"/>
      <c r="Z94" s="26"/>
      <c r="AA94" s="26"/>
      <c r="AB94" s="26"/>
      <c r="AC94" s="27"/>
      <c r="AD94" s="27"/>
      <c r="AE94" s="26">
        <v>503.83</v>
      </c>
      <c r="AF94" s="26"/>
      <c r="AG94" s="25">
        <f t="shared" si="13"/>
        <v>-564.28964285714278</v>
      </c>
      <c r="AH94" s="28">
        <f t="shared" si="14"/>
        <v>3.5714285718313477E-4</v>
      </c>
    </row>
    <row r="95" spans="1:34" s="29" customFormat="1" ht="21.75" customHeight="1" x14ac:dyDescent="0.2">
      <c r="A95" s="18">
        <v>43516</v>
      </c>
      <c r="B95" s="19"/>
      <c r="C95" s="59" t="s">
        <v>50</v>
      </c>
      <c r="D95" s="20" t="s">
        <v>51</v>
      </c>
      <c r="E95" s="20" t="s">
        <v>47</v>
      </c>
      <c r="F95" s="21">
        <v>56149</v>
      </c>
      <c r="G95" s="44" t="s">
        <v>292</v>
      </c>
      <c r="H95" s="23"/>
      <c r="I95" s="23"/>
      <c r="J95" s="23"/>
      <c r="K95" s="23">
        <v>907.01</v>
      </c>
      <c r="L95" s="24"/>
      <c r="M95" s="25">
        <f t="shared" si="10"/>
        <v>809.83035714285711</v>
      </c>
      <c r="N95" s="25">
        <f t="shared" si="11"/>
        <v>97.179642857142852</v>
      </c>
      <c r="O95" s="25">
        <f t="shared" si="12"/>
        <v>0</v>
      </c>
      <c r="P95" s="25">
        <v>809.83</v>
      </c>
      <c r="Q95" s="26"/>
      <c r="R95" s="26"/>
      <c r="S95" s="26"/>
      <c r="T95" s="27"/>
      <c r="U95" s="27"/>
      <c r="V95" s="27"/>
      <c r="W95" s="27"/>
      <c r="X95" s="27"/>
      <c r="Y95" s="26"/>
      <c r="Z95" s="26"/>
      <c r="AA95" s="26"/>
      <c r="AB95" s="26"/>
      <c r="AC95" s="27"/>
      <c r="AD95" s="27"/>
      <c r="AE95" s="26"/>
      <c r="AF95" s="26"/>
      <c r="AG95" s="25">
        <f t="shared" si="13"/>
        <v>-907.00964285714292</v>
      </c>
      <c r="AH95" s="28">
        <f t="shared" si="14"/>
        <v>3.5714285706944793E-4</v>
      </c>
    </row>
    <row r="96" spans="1:34" s="29" customFormat="1" ht="21.75" customHeight="1" x14ac:dyDescent="0.2">
      <c r="A96" s="18">
        <v>43516</v>
      </c>
      <c r="B96" s="19"/>
      <c r="C96" s="20" t="s">
        <v>54</v>
      </c>
      <c r="D96" s="20" t="s">
        <v>55</v>
      </c>
      <c r="E96" s="20" t="s">
        <v>56</v>
      </c>
      <c r="F96" s="21">
        <v>2945</v>
      </c>
      <c r="G96" s="44" t="s">
        <v>293</v>
      </c>
      <c r="H96" s="23"/>
      <c r="I96" s="23"/>
      <c r="J96" s="23">
        <v>1040</v>
      </c>
      <c r="K96" s="23"/>
      <c r="L96" s="24"/>
      <c r="M96" s="25">
        <f t="shared" si="10"/>
        <v>1040</v>
      </c>
      <c r="N96" s="25">
        <f t="shared" si="11"/>
        <v>0</v>
      </c>
      <c r="O96" s="25">
        <f t="shared" si="12"/>
        <v>0</v>
      </c>
      <c r="P96" s="25">
        <v>1040</v>
      </c>
      <c r="Q96" s="26"/>
      <c r="R96" s="26"/>
      <c r="S96" s="26"/>
      <c r="T96" s="27"/>
      <c r="U96" s="27"/>
      <c r="V96" s="27"/>
      <c r="W96" s="27"/>
      <c r="X96" s="27"/>
      <c r="Y96" s="26"/>
      <c r="Z96" s="26"/>
      <c r="AA96" s="26"/>
      <c r="AB96" s="26"/>
      <c r="AC96" s="27"/>
      <c r="AD96" s="27"/>
      <c r="AE96" s="26"/>
      <c r="AF96" s="26"/>
      <c r="AG96" s="25">
        <f t="shared" si="13"/>
        <v>-1040</v>
      </c>
      <c r="AH96" s="28">
        <f t="shared" si="14"/>
        <v>0</v>
      </c>
    </row>
    <row r="97" spans="1:34" s="29" customFormat="1" ht="21.75" customHeight="1" x14ac:dyDescent="0.2">
      <c r="A97" s="18">
        <v>43516</v>
      </c>
      <c r="B97" s="19"/>
      <c r="C97" s="20" t="s">
        <v>58</v>
      </c>
      <c r="D97" s="20"/>
      <c r="E97" s="20"/>
      <c r="F97" s="21"/>
      <c r="G97" s="44" t="s">
        <v>294</v>
      </c>
      <c r="H97" s="23">
        <v>100</v>
      </c>
      <c r="I97" s="23"/>
      <c r="J97" s="23"/>
      <c r="K97" s="23"/>
      <c r="L97" s="24"/>
      <c r="M97" s="25">
        <f t="shared" si="10"/>
        <v>100</v>
      </c>
      <c r="N97" s="25">
        <f t="shared" si="11"/>
        <v>0</v>
      </c>
      <c r="O97" s="25">
        <f t="shared" si="12"/>
        <v>0</v>
      </c>
      <c r="P97" s="25"/>
      <c r="Q97" s="26"/>
      <c r="R97" s="26"/>
      <c r="S97" s="26"/>
      <c r="T97" s="27"/>
      <c r="U97" s="27"/>
      <c r="V97" s="27"/>
      <c r="W97" s="27"/>
      <c r="X97" s="27"/>
      <c r="Y97" s="26"/>
      <c r="Z97" s="26"/>
      <c r="AA97" s="26">
        <v>100</v>
      </c>
      <c r="AB97" s="26"/>
      <c r="AC97" s="27"/>
      <c r="AD97" s="27"/>
      <c r="AE97" s="26"/>
      <c r="AF97" s="26"/>
      <c r="AG97" s="25">
        <f t="shared" si="13"/>
        <v>-100</v>
      </c>
      <c r="AH97" s="28">
        <f t="shared" si="14"/>
        <v>0</v>
      </c>
    </row>
    <row r="98" spans="1:34" s="29" customFormat="1" ht="21.75" customHeight="1" x14ac:dyDescent="0.2">
      <c r="A98" s="18">
        <v>43516</v>
      </c>
      <c r="B98" s="19"/>
      <c r="C98" s="20" t="s">
        <v>295</v>
      </c>
      <c r="D98" s="20" t="s">
        <v>296</v>
      </c>
      <c r="E98" s="20" t="s">
        <v>47</v>
      </c>
      <c r="F98" s="21">
        <v>124973</v>
      </c>
      <c r="G98" s="44" t="s">
        <v>297</v>
      </c>
      <c r="H98" s="23"/>
      <c r="I98" s="23"/>
      <c r="J98" s="23"/>
      <c r="K98" s="23">
        <v>506</v>
      </c>
      <c r="L98" s="24"/>
      <c r="M98" s="25">
        <f t="shared" si="10"/>
        <v>451.78571428571422</v>
      </c>
      <c r="N98" s="25">
        <f t="shared" si="11"/>
        <v>54.214285714285701</v>
      </c>
      <c r="O98" s="25">
        <f t="shared" si="12"/>
        <v>0</v>
      </c>
      <c r="P98" s="25">
        <v>451.79</v>
      </c>
      <c r="Q98" s="26"/>
      <c r="R98" s="26"/>
      <c r="S98" s="26"/>
      <c r="T98" s="27"/>
      <c r="U98" s="27"/>
      <c r="V98" s="27"/>
      <c r="W98" s="27"/>
      <c r="X98" s="27"/>
      <c r="Y98" s="26"/>
      <c r="Z98" s="26"/>
      <c r="AA98" s="26"/>
      <c r="AB98" s="26"/>
      <c r="AC98" s="27"/>
      <c r="AD98" s="27"/>
      <c r="AE98" s="26"/>
      <c r="AF98" s="26"/>
      <c r="AG98" s="25">
        <f t="shared" si="13"/>
        <v>-506.00428571428574</v>
      </c>
      <c r="AH98" s="28">
        <f t="shared" si="14"/>
        <v>-4.2857142857428698E-3</v>
      </c>
    </row>
    <row r="99" spans="1:34" s="29" customFormat="1" ht="21.75" customHeight="1" x14ac:dyDescent="0.2">
      <c r="A99" s="18">
        <v>43517</v>
      </c>
      <c r="B99" s="19"/>
      <c r="C99" s="20" t="s">
        <v>41</v>
      </c>
      <c r="D99" s="20" t="s">
        <v>42</v>
      </c>
      <c r="E99" s="20" t="s">
        <v>43</v>
      </c>
      <c r="F99" s="21">
        <v>175629</v>
      </c>
      <c r="G99" s="44" t="s">
        <v>44</v>
      </c>
      <c r="H99" s="23"/>
      <c r="I99" s="23"/>
      <c r="J99" s="23"/>
      <c r="K99" s="23">
        <v>180</v>
      </c>
      <c r="L99" s="24"/>
      <c r="M99" s="25">
        <f t="shared" si="10"/>
        <v>160.71428571428569</v>
      </c>
      <c r="N99" s="25">
        <f t="shared" si="11"/>
        <v>19.285714285714281</v>
      </c>
      <c r="O99" s="25">
        <f t="shared" si="12"/>
        <v>0</v>
      </c>
      <c r="P99" s="25"/>
      <c r="Q99" s="26">
        <v>160.71</v>
      </c>
      <c r="R99" s="26"/>
      <c r="S99" s="26"/>
      <c r="T99" s="27"/>
      <c r="U99" s="27"/>
      <c r="V99" s="27"/>
      <c r="W99" s="27"/>
      <c r="X99" s="27"/>
      <c r="Y99" s="26"/>
      <c r="Z99" s="26"/>
      <c r="AA99" s="26"/>
      <c r="AB99" s="26"/>
      <c r="AC99" s="27"/>
      <c r="AD99" s="27"/>
      <c r="AE99" s="26"/>
      <c r="AF99" s="26"/>
      <c r="AG99" s="25">
        <f t="shared" si="13"/>
        <v>-179.99571428571429</v>
      </c>
      <c r="AH99" s="28">
        <f t="shared" si="14"/>
        <v>4.2857142857144481E-3</v>
      </c>
    </row>
    <row r="100" spans="1:34" s="29" customFormat="1" ht="21.75" customHeight="1" x14ac:dyDescent="0.2">
      <c r="A100" s="18">
        <v>43518</v>
      </c>
      <c r="B100" s="19"/>
      <c r="C100" s="20" t="s">
        <v>41</v>
      </c>
      <c r="D100" s="20" t="s">
        <v>42</v>
      </c>
      <c r="E100" s="20" t="s">
        <v>43</v>
      </c>
      <c r="F100" s="21">
        <v>189228</v>
      </c>
      <c r="G100" s="44" t="s">
        <v>44</v>
      </c>
      <c r="H100" s="23"/>
      <c r="I100" s="23"/>
      <c r="J100" s="23"/>
      <c r="K100" s="23">
        <v>180</v>
      </c>
      <c r="L100" s="24"/>
      <c r="M100" s="25">
        <f t="shared" si="10"/>
        <v>160.71428571428569</v>
      </c>
      <c r="N100" s="25">
        <f t="shared" si="11"/>
        <v>19.285714285714281</v>
      </c>
      <c r="O100" s="25">
        <f t="shared" si="12"/>
        <v>0</v>
      </c>
      <c r="P100" s="25"/>
      <c r="Q100" s="26">
        <v>160.71</v>
      </c>
      <c r="R100" s="26"/>
      <c r="S100" s="26"/>
      <c r="T100" s="27"/>
      <c r="U100" s="27"/>
      <c r="V100" s="27"/>
      <c r="W100" s="27"/>
      <c r="X100" s="27"/>
      <c r="Y100" s="26"/>
      <c r="Z100" s="26"/>
      <c r="AA100" s="26"/>
      <c r="AB100" s="26"/>
      <c r="AC100" s="27"/>
      <c r="AD100" s="27"/>
      <c r="AE100" s="26"/>
      <c r="AF100" s="26"/>
      <c r="AG100" s="25">
        <f t="shared" si="13"/>
        <v>-179.99571428571429</v>
      </c>
      <c r="AH100" s="28">
        <f t="shared" si="14"/>
        <v>4.2857142857144481E-3</v>
      </c>
    </row>
    <row r="101" spans="1:34" s="29" customFormat="1" ht="21.75" customHeight="1" x14ac:dyDescent="0.2">
      <c r="A101" s="18">
        <v>43519</v>
      </c>
      <c r="B101" s="19"/>
      <c r="C101" s="20" t="s">
        <v>298</v>
      </c>
      <c r="D101" s="20" t="s">
        <v>166</v>
      </c>
      <c r="E101" s="20" t="s">
        <v>47</v>
      </c>
      <c r="F101" s="21">
        <v>34373</v>
      </c>
      <c r="G101" s="44" t="s">
        <v>299</v>
      </c>
      <c r="H101" s="23"/>
      <c r="I101" s="23"/>
      <c r="J101" s="23"/>
      <c r="K101" s="23">
        <v>388.4</v>
      </c>
      <c r="L101" s="24"/>
      <c r="M101" s="25">
        <f t="shared" si="10"/>
        <v>346.78571428571422</v>
      </c>
      <c r="N101" s="25">
        <f t="shared" ref="N101:N116" si="15">K101/1.12*0.12</f>
        <v>41.614285714285707</v>
      </c>
      <c r="O101" s="25">
        <f t="shared" ref="O101:O116" si="16">-SUM(I101:J101,K101/1.12)*L101</f>
        <v>0</v>
      </c>
      <c r="P101" s="25">
        <v>346.79</v>
      </c>
      <c r="Q101" s="26"/>
      <c r="R101" s="26"/>
      <c r="S101" s="26"/>
      <c r="T101" s="27"/>
      <c r="U101" s="27"/>
      <c r="V101" s="27"/>
      <c r="W101" s="27"/>
      <c r="X101" s="27"/>
      <c r="Y101" s="26"/>
      <c r="Z101" s="26"/>
      <c r="AA101" s="26"/>
      <c r="AB101" s="26"/>
      <c r="AC101" s="27"/>
      <c r="AD101" s="27"/>
      <c r="AE101" s="26"/>
      <c r="AF101" s="26"/>
      <c r="AG101" s="25">
        <f t="shared" ref="AG101:AG116" si="17">-SUM(N101:AF101)</f>
        <v>-388.40428571428572</v>
      </c>
      <c r="AH101" s="28">
        <f t="shared" ref="AH101:AH116" si="18">SUM(H101:K101)+AG101+O101</f>
        <v>-4.2857142857428698E-3</v>
      </c>
    </row>
    <row r="102" spans="1:34" s="29" customFormat="1" ht="21.75" customHeight="1" x14ac:dyDescent="0.2">
      <c r="A102" s="18">
        <v>43522</v>
      </c>
      <c r="B102" s="19"/>
      <c r="C102" s="20" t="s">
        <v>298</v>
      </c>
      <c r="D102" s="20" t="s">
        <v>166</v>
      </c>
      <c r="E102" s="20" t="s">
        <v>47</v>
      </c>
      <c r="F102" s="21">
        <v>34383</v>
      </c>
      <c r="G102" s="44" t="s">
        <v>300</v>
      </c>
      <c r="H102" s="23"/>
      <c r="I102" s="23"/>
      <c r="J102" s="23"/>
      <c r="K102" s="23">
        <v>401</v>
      </c>
      <c r="L102" s="24"/>
      <c r="M102" s="25">
        <f t="shared" si="10"/>
        <v>358.03571428571428</v>
      </c>
      <c r="N102" s="25">
        <f t="shared" si="15"/>
        <v>42.964285714285708</v>
      </c>
      <c r="O102" s="25">
        <f t="shared" si="16"/>
        <v>0</v>
      </c>
      <c r="P102" s="25">
        <v>358.04</v>
      </c>
      <c r="Q102" s="26"/>
      <c r="R102" s="26"/>
      <c r="S102" s="26"/>
      <c r="T102" s="27"/>
      <c r="U102" s="27"/>
      <c r="V102" s="27"/>
      <c r="W102" s="27"/>
      <c r="X102" s="27"/>
      <c r="Y102" s="26"/>
      <c r="Z102" s="26"/>
      <c r="AA102" s="26"/>
      <c r="AB102" s="26"/>
      <c r="AC102" s="27"/>
      <c r="AD102" s="27"/>
      <c r="AE102" s="26"/>
      <c r="AF102" s="26"/>
      <c r="AG102" s="25">
        <f t="shared" si="17"/>
        <v>-401.00428571428574</v>
      </c>
      <c r="AH102" s="28">
        <f t="shared" si="18"/>
        <v>-4.2857142857428698E-3</v>
      </c>
    </row>
    <row r="103" spans="1:34" s="29" customFormat="1" ht="21.75" customHeight="1" x14ac:dyDescent="0.2">
      <c r="A103" s="30">
        <v>43522</v>
      </c>
      <c r="B103" s="31"/>
      <c r="C103" s="32" t="s">
        <v>41</v>
      </c>
      <c r="D103" s="32" t="s">
        <v>42</v>
      </c>
      <c r="E103" s="32" t="s">
        <v>43</v>
      </c>
      <c r="F103" s="33">
        <v>188236</v>
      </c>
      <c r="G103" s="34" t="s">
        <v>44</v>
      </c>
      <c r="H103" s="35"/>
      <c r="I103" s="35"/>
      <c r="J103" s="35"/>
      <c r="K103" s="35">
        <v>180</v>
      </c>
      <c r="L103" s="36"/>
      <c r="M103" s="37">
        <f t="shared" si="10"/>
        <v>160.71428571428569</v>
      </c>
      <c r="N103" s="37">
        <f t="shared" si="15"/>
        <v>19.285714285714281</v>
      </c>
      <c r="O103" s="37">
        <f t="shared" si="16"/>
        <v>0</v>
      </c>
      <c r="P103" s="37"/>
      <c r="Q103" s="38">
        <v>160.71</v>
      </c>
      <c r="R103" s="38"/>
      <c r="S103" s="38"/>
      <c r="T103" s="39"/>
      <c r="U103" s="39"/>
      <c r="V103" s="39"/>
      <c r="W103" s="39"/>
      <c r="X103" s="39"/>
      <c r="Y103" s="38"/>
      <c r="Z103" s="38"/>
      <c r="AA103" s="38"/>
      <c r="AB103" s="38"/>
      <c r="AC103" s="39"/>
      <c r="AD103" s="39"/>
      <c r="AE103" s="38"/>
      <c r="AF103" s="38"/>
      <c r="AG103" s="37">
        <f t="shared" si="17"/>
        <v>-179.99571428571429</v>
      </c>
      <c r="AH103" s="40">
        <f t="shared" si="18"/>
        <v>4.2857142857144481E-3</v>
      </c>
    </row>
    <row r="104" spans="1:34" s="29" customFormat="1" ht="21.75" customHeight="1" x14ac:dyDescent="0.2">
      <c r="A104" s="18">
        <v>43523</v>
      </c>
      <c r="B104" s="19"/>
      <c r="C104" s="20" t="s">
        <v>41</v>
      </c>
      <c r="D104" s="20" t="s">
        <v>42</v>
      </c>
      <c r="E104" s="20" t="s">
        <v>43</v>
      </c>
      <c r="F104" s="21">
        <v>175682</v>
      </c>
      <c r="G104" s="44" t="s">
        <v>44</v>
      </c>
      <c r="H104" s="23"/>
      <c r="I104" s="23"/>
      <c r="J104" s="23"/>
      <c r="K104" s="23">
        <v>180</v>
      </c>
      <c r="L104" s="24"/>
      <c r="M104" s="25">
        <f t="shared" si="10"/>
        <v>160.71428571428569</v>
      </c>
      <c r="N104" s="25">
        <f t="shared" si="15"/>
        <v>19.285714285714281</v>
      </c>
      <c r="O104" s="25">
        <f t="shared" si="16"/>
        <v>0</v>
      </c>
      <c r="P104" s="25"/>
      <c r="Q104" s="26">
        <v>160.71</v>
      </c>
      <c r="R104" s="26"/>
      <c r="S104" s="26"/>
      <c r="T104" s="27"/>
      <c r="U104" s="27"/>
      <c r="V104" s="27"/>
      <c r="W104" s="27"/>
      <c r="X104" s="27"/>
      <c r="Y104" s="26"/>
      <c r="Z104" s="26"/>
      <c r="AA104" s="26"/>
      <c r="AB104" s="26"/>
      <c r="AC104" s="27"/>
      <c r="AD104" s="27"/>
      <c r="AE104" s="26"/>
      <c r="AF104" s="26"/>
      <c r="AG104" s="25">
        <f t="shared" si="17"/>
        <v>-179.99571428571429</v>
      </c>
      <c r="AH104" s="28">
        <f t="shared" si="18"/>
        <v>4.2857142857144481E-3</v>
      </c>
    </row>
    <row r="105" spans="1:34" s="29" customFormat="1" ht="21.75" customHeight="1" x14ac:dyDescent="0.2">
      <c r="A105" s="18">
        <v>43523</v>
      </c>
      <c r="B105" s="19"/>
      <c r="C105" s="20" t="s">
        <v>74</v>
      </c>
      <c r="D105" s="20"/>
      <c r="E105" s="20"/>
      <c r="F105" s="21"/>
      <c r="G105" s="44" t="s">
        <v>75</v>
      </c>
      <c r="H105" s="23"/>
      <c r="I105" s="23"/>
      <c r="J105" s="23">
        <v>1123</v>
      </c>
      <c r="K105" s="23"/>
      <c r="L105" s="24"/>
      <c r="M105" s="25">
        <f t="shared" si="10"/>
        <v>1123</v>
      </c>
      <c r="N105" s="25">
        <f t="shared" si="15"/>
        <v>0</v>
      </c>
      <c r="O105" s="25">
        <f t="shared" si="16"/>
        <v>0</v>
      </c>
      <c r="P105" s="25">
        <v>1123</v>
      </c>
      <c r="Q105" s="26"/>
      <c r="R105" s="26"/>
      <c r="S105" s="26"/>
      <c r="T105" s="27"/>
      <c r="U105" s="27"/>
      <c r="V105" s="27"/>
      <c r="W105" s="27"/>
      <c r="X105" s="27"/>
      <c r="Y105" s="26"/>
      <c r="Z105" s="26"/>
      <c r="AA105" s="26"/>
      <c r="AB105" s="26"/>
      <c r="AC105" s="27"/>
      <c r="AD105" s="27"/>
      <c r="AE105" s="26"/>
      <c r="AF105" s="26"/>
      <c r="AG105" s="25">
        <f t="shared" si="17"/>
        <v>-1123</v>
      </c>
      <c r="AH105" s="28">
        <f t="shared" si="18"/>
        <v>0</v>
      </c>
    </row>
    <row r="106" spans="1:34" s="29" customFormat="1" ht="21.75" customHeight="1" x14ac:dyDescent="0.2">
      <c r="A106" s="18">
        <v>43523</v>
      </c>
      <c r="B106" s="19"/>
      <c r="C106" s="20" t="s">
        <v>58</v>
      </c>
      <c r="D106" s="20"/>
      <c r="E106" s="20"/>
      <c r="F106" s="21"/>
      <c r="G106" s="44" t="s">
        <v>283</v>
      </c>
      <c r="H106" s="23">
        <v>50</v>
      </c>
      <c r="I106" s="23"/>
      <c r="J106" s="23"/>
      <c r="K106" s="23"/>
      <c r="L106" s="24"/>
      <c r="M106" s="25"/>
      <c r="N106" s="25">
        <f t="shared" si="15"/>
        <v>0</v>
      </c>
      <c r="O106" s="25">
        <f t="shared" si="16"/>
        <v>0</v>
      </c>
      <c r="P106" s="25"/>
      <c r="Q106" s="26"/>
      <c r="R106" s="26"/>
      <c r="S106" s="26"/>
      <c r="T106" s="27"/>
      <c r="U106" s="27"/>
      <c r="V106" s="27"/>
      <c r="W106" s="27"/>
      <c r="X106" s="27"/>
      <c r="Y106" s="26"/>
      <c r="Z106" s="26"/>
      <c r="AA106" s="26">
        <v>50</v>
      </c>
      <c r="AB106" s="26"/>
      <c r="AC106" s="27"/>
      <c r="AD106" s="27"/>
      <c r="AE106" s="26"/>
      <c r="AF106" s="26"/>
      <c r="AG106" s="25">
        <f t="shared" si="17"/>
        <v>-50</v>
      </c>
      <c r="AH106" s="28">
        <f t="shared" si="18"/>
        <v>0</v>
      </c>
    </row>
    <row r="107" spans="1:34" s="29" customFormat="1" ht="21.75" customHeight="1" x14ac:dyDescent="0.2">
      <c r="A107" s="18">
        <v>43523</v>
      </c>
      <c r="B107" s="19"/>
      <c r="C107" s="20" t="s">
        <v>58</v>
      </c>
      <c r="D107" s="20"/>
      <c r="E107" s="20"/>
      <c r="F107" s="21"/>
      <c r="G107" s="44" t="s">
        <v>301</v>
      </c>
      <c r="H107" s="23"/>
      <c r="I107" s="23"/>
      <c r="J107" s="23">
        <v>100</v>
      </c>
      <c r="K107" s="23"/>
      <c r="L107" s="24"/>
      <c r="M107" s="25">
        <f t="shared" ref="M107:M116" si="19">SUM(H107:J107,K107/1.12)</f>
        <v>100</v>
      </c>
      <c r="N107" s="25">
        <f t="shared" si="15"/>
        <v>0</v>
      </c>
      <c r="O107" s="25">
        <f t="shared" si="16"/>
        <v>0</v>
      </c>
      <c r="P107" s="25">
        <v>100</v>
      </c>
      <c r="Q107" s="26"/>
      <c r="R107" s="26"/>
      <c r="S107" s="26"/>
      <c r="T107" s="27"/>
      <c r="U107" s="27"/>
      <c r="V107" s="27"/>
      <c r="W107" s="27"/>
      <c r="X107" s="27"/>
      <c r="Y107" s="26"/>
      <c r="Z107" s="26"/>
      <c r="AA107" s="26"/>
      <c r="AB107" s="26"/>
      <c r="AC107" s="27"/>
      <c r="AD107" s="27"/>
      <c r="AE107" s="26"/>
      <c r="AF107" s="26"/>
      <c r="AG107" s="25">
        <f t="shared" si="17"/>
        <v>-100</v>
      </c>
      <c r="AH107" s="28">
        <f t="shared" si="18"/>
        <v>0</v>
      </c>
    </row>
    <row r="108" spans="1:34" s="29" customFormat="1" ht="21.75" customHeight="1" x14ac:dyDescent="0.2">
      <c r="A108" s="18">
        <v>43523</v>
      </c>
      <c r="B108" s="19"/>
      <c r="C108" s="20" t="s">
        <v>45</v>
      </c>
      <c r="D108" s="20" t="s">
        <v>46</v>
      </c>
      <c r="E108" s="20" t="s">
        <v>47</v>
      </c>
      <c r="F108" s="21">
        <v>140725</v>
      </c>
      <c r="G108" s="44" t="s">
        <v>302</v>
      </c>
      <c r="H108" s="23"/>
      <c r="I108" s="23"/>
      <c r="J108" s="23"/>
      <c r="K108" s="23">
        <f>746.52+89.58</f>
        <v>836.1</v>
      </c>
      <c r="L108" s="24"/>
      <c r="M108" s="25">
        <f t="shared" si="19"/>
        <v>746.51785714285711</v>
      </c>
      <c r="N108" s="25">
        <f t="shared" si="15"/>
        <v>89.582142857142856</v>
      </c>
      <c r="O108" s="25">
        <f t="shared" si="16"/>
        <v>0</v>
      </c>
      <c r="P108" s="25">
        <v>746.52</v>
      </c>
      <c r="Q108" s="26"/>
      <c r="R108" s="26"/>
      <c r="S108" s="26"/>
      <c r="T108" s="27"/>
      <c r="U108" s="27"/>
      <c r="V108" s="27"/>
      <c r="W108" s="27"/>
      <c r="X108" s="27"/>
      <c r="Y108" s="26"/>
      <c r="Z108" s="26"/>
      <c r="AA108" s="26"/>
      <c r="AB108" s="26"/>
      <c r="AC108" s="27"/>
      <c r="AD108" s="27"/>
      <c r="AE108" s="26"/>
      <c r="AF108" s="26"/>
      <c r="AG108" s="25">
        <f t="shared" si="17"/>
        <v>-836.10214285714278</v>
      </c>
      <c r="AH108" s="28">
        <f t="shared" si="18"/>
        <v>-2.1428571427577481E-3</v>
      </c>
    </row>
    <row r="109" spans="1:34" s="29" customFormat="1" ht="21.75" customHeight="1" x14ac:dyDescent="0.2">
      <c r="A109" s="18">
        <v>43523</v>
      </c>
      <c r="B109" s="19"/>
      <c r="C109" s="20" t="s">
        <v>45</v>
      </c>
      <c r="D109" s="20" t="s">
        <v>46</v>
      </c>
      <c r="E109" s="20" t="s">
        <v>47</v>
      </c>
      <c r="F109" s="21">
        <v>140725</v>
      </c>
      <c r="G109" s="44" t="s">
        <v>303</v>
      </c>
      <c r="H109" s="23"/>
      <c r="I109" s="23"/>
      <c r="J109" s="23">
        <v>260.7</v>
      </c>
      <c r="K109" s="23"/>
      <c r="L109" s="24"/>
      <c r="M109" s="25">
        <f t="shared" si="19"/>
        <v>260.7</v>
      </c>
      <c r="N109" s="25">
        <f t="shared" si="15"/>
        <v>0</v>
      </c>
      <c r="O109" s="25">
        <f t="shared" si="16"/>
        <v>0</v>
      </c>
      <c r="P109" s="25">
        <v>260.7</v>
      </c>
      <c r="Q109" s="26"/>
      <c r="R109" s="26"/>
      <c r="S109" s="26"/>
      <c r="T109" s="27"/>
      <c r="U109" s="27"/>
      <c r="V109" s="27"/>
      <c r="W109" s="27"/>
      <c r="X109" s="27"/>
      <c r="Y109" s="26"/>
      <c r="Z109" s="26"/>
      <c r="AA109" s="26"/>
      <c r="AB109" s="26"/>
      <c r="AC109" s="27"/>
      <c r="AD109" s="27"/>
      <c r="AE109" s="26"/>
      <c r="AF109" s="26"/>
      <c r="AG109" s="25">
        <f t="shared" si="17"/>
        <v>-260.7</v>
      </c>
      <c r="AH109" s="28">
        <f t="shared" si="18"/>
        <v>0</v>
      </c>
    </row>
    <row r="110" spans="1:34" s="29" customFormat="1" ht="21.75" customHeight="1" x14ac:dyDescent="0.2">
      <c r="A110" s="18">
        <v>43523</v>
      </c>
      <c r="B110" s="19"/>
      <c r="C110" s="20" t="s">
        <v>45</v>
      </c>
      <c r="D110" s="20" t="s">
        <v>46</v>
      </c>
      <c r="E110" s="20" t="s">
        <v>47</v>
      </c>
      <c r="F110" s="21">
        <v>136766</v>
      </c>
      <c r="G110" s="44" t="s">
        <v>304</v>
      </c>
      <c r="H110" s="23"/>
      <c r="I110" s="23"/>
      <c r="J110" s="23"/>
      <c r="K110" s="23">
        <f>637.95+76.55</f>
        <v>714.5</v>
      </c>
      <c r="L110" s="24"/>
      <c r="M110" s="25">
        <f t="shared" si="19"/>
        <v>637.94642857142856</v>
      </c>
      <c r="N110" s="25">
        <f t="shared" si="15"/>
        <v>76.553571428571431</v>
      </c>
      <c r="O110" s="25">
        <f t="shared" si="16"/>
        <v>0</v>
      </c>
      <c r="P110" s="25">
        <v>637.95000000000005</v>
      </c>
      <c r="Q110" s="26"/>
      <c r="R110" s="26"/>
      <c r="S110" s="26"/>
      <c r="T110" s="27"/>
      <c r="U110" s="27"/>
      <c r="V110" s="27"/>
      <c r="W110" s="27"/>
      <c r="X110" s="27"/>
      <c r="Y110" s="26"/>
      <c r="Z110" s="26"/>
      <c r="AA110" s="26"/>
      <c r="AB110" s="26"/>
      <c r="AC110" s="27"/>
      <c r="AD110" s="27"/>
      <c r="AE110" s="26"/>
      <c r="AF110" s="26"/>
      <c r="AG110" s="25">
        <f t="shared" si="17"/>
        <v>-714.50357142857149</v>
      </c>
      <c r="AH110" s="28">
        <f t="shared" si="18"/>
        <v>-3.5714285714902871E-3</v>
      </c>
    </row>
    <row r="111" spans="1:34" s="29" customFormat="1" ht="21.75" customHeight="1" x14ac:dyDescent="0.2">
      <c r="A111" s="18">
        <v>43523</v>
      </c>
      <c r="B111" s="19"/>
      <c r="C111" s="20" t="s">
        <v>45</v>
      </c>
      <c r="D111" s="20" t="s">
        <v>46</v>
      </c>
      <c r="E111" s="20" t="s">
        <v>47</v>
      </c>
      <c r="F111" s="21">
        <v>136766</v>
      </c>
      <c r="G111" s="44" t="s">
        <v>305</v>
      </c>
      <c r="H111" s="23"/>
      <c r="I111" s="23"/>
      <c r="J111" s="23">
        <v>129.9</v>
      </c>
      <c r="K111" s="23"/>
      <c r="L111" s="24"/>
      <c r="M111" s="25">
        <f t="shared" si="19"/>
        <v>129.9</v>
      </c>
      <c r="N111" s="25">
        <f t="shared" si="15"/>
        <v>0</v>
      </c>
      <c r="O111" s="25">
        <f t="shared" si="16"/>
        <v>0</v>
      </c>
      <c r="P111" s="25">
        <v>129.9</v>
      </c>
      <c r="Q111" s="26"/>
      <c r="R111" s="26"/>
      <c r="S111" s="26"/>
      <c r="T111" s="27"/>
      <c r="U111" s="27"/>
      <c r="V111" s="27"/>
      <c r="W111" s="27"/>
      <c r="X111" s="27"/>
      <c r="Y111" s="26"/>
      <c r="Z111" s="26"/>
      <c r="AA111" s="26"/>
      <c r="AB111" s="26"/>
      <c r="AC111" s="27"/>
      <c r="AD111" s="27"/>
      <c r="AE111" s="26"/>
      <c r="AF111" s="26"/>
      <c r="AG111" s="25">
        <f t="shared" si="17"/>
        <v>-129.9</v>
      </c>
      <c r="AH111" s="28">
        <f t="shared" si="18"/>
        <v>0</v>
      </c>
    </row>
    <row r="112" spans="1:34" s="29" customFormat="1" ht="21.75" customHeight="1" x14ac:dyDescent="0.2">
      <c r="A112" s="18">
        <v>43523</v>
      </c>
      <c r="B112" s="19"/>
      <c r="C112" s="20" t="s">
        <v>41</v>
      </c>
      <c r="D112" s="20" t="s">
        <v>42</v>
      </c>
      <c r="E112" s="20" t="s">
        <v>43</v>
      </c>
      <c r="F112" s="21">
        <v>154478</v>
      </c>
      <c r="G112" s="44" t="s">
        <v>44</v>
      </c>
      <c r="H112" s="23"/>
      <c r="I112" s="23"/>
      <c r="J112" s="23"/>
      <c r="K112" s="23">
        <v>180</v>
      </c>
      <c r="L112" s="24"/>
      <c r="M112" s="25">
        <f t="shared" si="19"/>
        <v>160.71428571428569</v>
      </c>
      <c r="N112" s="25">
        <f t="shared" si="15"/>
        <v>19.285714285714281</v>
      </c>
      <c r="O112" s="25">
        <f t="shared" si="16"/>
        <v>0</v>
      </c>
      <c r="P112" s="25"/>
      <c r="Q112" s="26">
        <v>160.71</v>
      </c>
      <c r="R112" s="26"/>
      <c r="S112" s="26"/>
      <c r="T112" s="27"/>
      <c r="U112" s="27"/>
      <c r="V112" s="27"/>
      <c r="W112" s="27"/>
      <c r="X112" s="27"/>
      <c r="Y112" s="26"/>
      <c r="Z112" s="26"/>
      <c r="AA112" s="26"/>
      <c r="AB112" s="26"/>
      <c r="AC112" s="27"/>
      <c r="AD112" s="27"/>
      <c r="AE112" s="26"/>
      <c r="AF112" s="26"/>
      <c r="AG112" s="25">
        <f t="shared" si="17"/>
        <v>-179.99571428571429</v>
      </c>
      <c r="AH112" s="28">
        <f t="shared" si="18"/>
        <v>4.2857142857144481E-3</v>
      </c>
    </row>
    <row r="113" spans="1:34" s="29" customFormat="1" ht="21.75" customHeight="1" x14ac:dyDescent="0.2">
      <c r="A113" s="18">
        <v>43524</v>
      </c>
      <c r="B113" s="19"/>
      <c r="C113" s="20" t="s">
        <v>54</v>
      </c>
      <c r="D113" s="20" t="s">
        <v>55</v>
      </c>
      <c r="E113" s="20" t="s">
        <v>56</v>
      </c>
      <c r="F113" s="21">
        <v>2965</v>
      </c>
      <c r="G113" s="44" t="s">
        <v>293</v>
      </c>
      <c r="H113" s="23"/>
      <c r="I113" s="23"/>
      <c r="J113" s="23">
        <v>2135</v>
      </c>
      <c r="K113" s="23"/>
      <c r="L113" s="24"/>
      <c r="M113" s="25">
        <f t="shared" si="19"/>
        <v>2135</v>
      </c>
      <c r="N113" s="25">
        <f t="shared" si="15"/>
        <v>0</v>
      </c>
      <c r="O113" s="25">
        <f t="shared" si="16"/>
        <v>0</v>
      </c>
      <c r="P113" s="25">
        <v>2135</v>
      </c>
      <c r="Q113" s="26"/>
      <c r="R113" s="26"/>
      <c r="S113" s="26"/>
      <c r="T113" s="27"/>
      <c r="U113" s="27"/>
      <c r="V113" s="27"/>
      <c r="W113" s="27"/>
      <c r="X113" s="27"/>
      <c r="Y113" s="26"/>
      <c r="Z113" s="26"/>
      <c r="AA113" s="26"/>
      <c r="AB113" s="26"/>
      <c r="AC113" s="27"/>
      <c r="AD113" s="27"/>
      <c r="AE113" s="26"/>
      <c r="AF113" s="26"/>
      <c r="AG113" s="25">
        <f t="shared" si="17"/>
        <v>-2135</v>
      </c>
      <c r="AH113" s="28">
        <f t="shared" si="18"/>
        <v>0</v>
      </c>
    </row>
    <row r="114" spans="1:34" s="29" customFormat="1" ht="21.75" customHeight="1" x14ac:dyDescent="0.2">
      <c r="A114" s="18">
        <v>43524</v>
      </c>
      <c r="B114" s="19"/>
      <c r="C114" s="20" t="s">
        <v>58</v>
      </c>
      <c r="D114" s="20"/>
      <c r="E114" s="20"/>
      <c r="F114" s="21"/>
      <c r="G114" s="44" t="s">
        <v>294</v>
      </c>
      <c r="H114" s="23">
        <v>100</v>
      </c>
      <c r="I114" s="23"/>
      <c r="J114" s="23"/>
      <c r="K114" s="23"/>
      <c r="L114" s="24"/>
      <c r="M114" s="25">
        <f t="shared" si="19"/>
        <v>100</v>
      </c>
      <c r="N114" s="25">
        <f t="shared" si="15"/>
        <v>0</v>
      </c>
      <c r="O114" s="25">
        <f t="shared" si="16"/>
        <v>0</v>
      </c>
      <c r="P114" s="25"/>
      <c r="Q114" s="26"/>
      <c r="R114" s="26"/>
      <c r="S114" s="26"/>
      <c r="T114" s="27"/>
      <c r="U114" s="27"/>
      <c r="V114" s="27"/>
      <c r="W114" s="27"/>
      <c r="X114" s="27"/>
      <c r="Y114" s="26"/>
      <c r="Z114" s="26"/>
      <c r="AA114" s="26">
        <v>100</v>
      </c>
      <c r="AB114" s="26"/>
      <c r="AC114" s="27"/>
      <c r="AD114" s="27"/>
      <c r="AE114" s="26"/>
      <c r="AF114" s="26"/>
      <c r="AG114" s="25">
        <f t="shared" si="17"/>
        <v>-100</v>
      </c>
      <c r="AH114" s="28">
        <f t="shared" si="18"/>
        <v>0</v>
      </c>
    </row>
    <row r="115" spans="1:34" s="29" customFormat="1" ht="21.75" customHeight="1" x14ac:dyDescent="0.2">
      <c r="A115" s="18"/>
      <c r="B115" s="19"/>
      <c r="C115" s="20"/>
      <c r="D115" s="20"/>
      <c r="E115" s="20"/>
      <c r="F115" s="21"/>
      <c r="G115" s="22"/>
      <c r="H115" s="23"/>
      <c r="I115" s="23"/>
      <c r="J115" s="23"/>
      <c r="K115" s="23"/>
      <c r="L115" s="24"/>
      <c r="M115" s="25">
        <f t="shared" si="19"/>
        <v>0</v>
      </c>
      <c r="N115" s="25">
        <f t="shared" si="15"/>
        <v>0</v>
      </c>
      <c r="O115" s="25">
        <f t="shared" si="16"/>
        <v>0</v>
      </c>
      <c r="P115" s="25"/>
      <c r="Q115" s="26"/>
      <c r="R115" s="26"/>
      <c r="S115" s="26"/>
      <c r="T115" s="27"/>
      <c r="U115" s="27"/>
      <c r="V115" s="27"/>
      <c r="W115" s="27"/>
      <c r="X115" s="27"/>
      <c r="Y115" s="26"/>
      <c r="Z115" s="26"/>
      <c r="AA115" s="26"/>
      <c r="AB115" s="26"/>
      <c r="AC115" s="27"/>
      <c r="AD115" s="27"/>
      <c r="AE115" s="26"/>
      <c r="AF115" s="26"/>
      <c r="AG115" s="25">
        <f t="shared" si="17"/>
        <v>0</v>
      </c>
      <c r="AH115" s="28">
        <f t="shared" si="18"/>
        <v>0</v>
      </c>
    </row>
    <row r="116" spans="1:34" s="29" customFormat="1" ht="19.5" customHeight="1" x14ac:dyDescent="0.2">
      <c r="A116" s="18"/>
      <c r="B116" s="19"/>
      <c r="C116" s="45"/>
      <c r="D116" s="45"/>
      <c r="E116" s="45"/>
      <c r="F116" s="21"/>
      <c r="G116" s="22"/>
      <c r="H116" s="23"/>
      <c r="I116" s="23"/>
      <c r="J116" s="23"/>
      <c r="K116" s="23"/>
      <c r="L116" s="24"/>
      <c r="M116" s="26">
        <f t="shared" si="19"/>
        <v>0</v>
      </c>
      <c r="N116" s="26">
        <f t="shared" si="15"/>
        <v>0</v>
      </c>
      <c r="O116" s="26">
        <f t="shared" si="16"/>
        <v>0</v>
      </c>
      <c r="P116" s="26"/>
      <c r="Q116" s="26"/>
      <c r="R116" s="26"/>
      <c r="S116" s="26"/>
      <c r="T116" s="27"/>
      <c r="U116" s="27"/>
      <c r="V116" s="27"/>
      <c r="W116" s="27"/>
      <c r="X116" s="27"/>
      <c r="Y116" s="46"/>
      <c r="Z116" s="26"/>
      <c r="AA116" s="26"/>
      <c r="AB116" s="26"/>
      <c r="AC116" s="27"/>
      <c r="AD116" s="27"/>
      <c r="AE116" s="47"/>
      <c r="AF116" s="47"/>
      <c r="AG116" s="48">
        <f t="shared" si="17"/>
        <v>0</v>
      </c>
      <c r="AH116" s="28">
        <f t="shared" si="18"/>
        <v>0</v>
      </c>
    </row>
    <row r="117" spans="1:34" s="57" customFormat="1" ht="12" customHeight="1" x14ac:dyDescent="0.2">
      <c r="A117" s="49"/>
      <c r="B117" s="50"/>
      <c r="C117" s="51"/>
      <c r="D117" s="52"/>
      <c r="E117" s="52"/>
      <c r="F117" s="53"/>
      <c r="G117" s="51"/>
      <c r="H117" s="54">
        <f t="shared" ref="H117:AH117" si="20">SUM(H5:H116)</f>
        <v>9500</v>
      </c>
      <c r="I117" s="54">
        <f t="shared" si="20"/>
        <v>0</v>
      </c>
      <c r="J117" s="54">
        <f t="shared" si="20"/>
        <v>15131.650000000001</v>
      </c>
      <c r="K117" s="54">
        <f t="shared" si="20"/>
        <v>34400.369999999995</v>
      </c>
      <c r="L117" s="54">
        <f t="shared" si="20"/>
        <v>0.01</v>
      </c>
      <c r="M117" s="54">
        <f t="shared" si="20"/>
        <v>55296.266071428545</v>
      </c>
      <c r="N117" s="54">
        <f t="shared" si="20"/>
        <v>3685.7539285714274</v>
      </c>
      <c r="O117" s="54">
        <f t="shared" si="20"/>
        <v>-22.392767857142854</v>
      </c>
      <c r="P117" s="54">
        <f t="shared" si="20"/>
        <v>31058.400000000009</v>
      </c>
      <c r="Q117" s="54">
        <f t="shared" si="20"/>
        <v>7838.31</v>
      </c>
      <c r="R117" s="54">
        <f t="shared" si="20"/>
        <v>267.86</v>
      </c>
      <c r="S117" s="54">
        <f t="shared" si="20"/>
        <v>946.88</v>
      </c>
      <c r="T117" s="54">
        <f t="shared" si="20"/>
        <v>693.97</v>
      </c>
      <c r="U117" s="54">
        <f t="shared" si="20"/>
        <v>268.22000000000003</v>
      </c>
      <c r="V117" s="54">
        <f t="shared" si="20"/>
        <v>997.77</v>
      </c>
      <c r="W117" s="54">
        <f t="shared" si="20"/>
        <v>0</v>
      </c>
      <c r="X117" s="54">
        <f t="shared" si="20"/>
        <v>1020.18</v>
      </c>
      <c r="Y117" s="54">
        <f t="shared" si="20"/>
        <v>1339.29</v>
      </c>
      <c r="Z117" s="54">
        <f t="shared" si="20"/>
        <v>1011.53</v>
      </c>
      <c r="AA117" s="54">
        <f t="shared" si="20"/>
        <v>3493</v>
      </c>
      <c r="AB117" s="54">
        <f t="shared" si="20"/>
        <v>5907</v>
      </c>
      <c r="AC117" s="54">
        <f t="shared" si="20"/>
        <v>0</v>
      </c>
      <c r="AD117" s="54">
        <f t="shared" si="20"/>
        <v>0</v>
      </c>
      <c r="AE117" s="54">
        <f t="shared" si="20"/>
        <v>503.83</v>
      </c>
      <c r="AF117" s="56">
        <f t="shared" si="20"/>
        <v>0</v>
      </c>
      <c r="AG117" s="54">
        <f t="shared" si="20"/>
        <v>-59009.601160714286</v>
      </c>
      <c r="AH117" s="54">
        <f t="shared" si="20"/>
        <v>2.607142857154443E-2</v>
      </c>
    </row>
    <row r="123" spans="1:34" x14ac:dyDescent="0.25">
      <c r="Q123" s="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2"/>
  <sheetViews>
    <sheetView topLeftCell="A172" zoomScale="90" zoomScaleNormal="90" workbookViewId="0">
      <selection activeCell="D204" sqref="D204"/>
    </sheetView>
  </sheetViews>
  <sheetFormatPr defaultRowHeight="13.2" x14ac:dyDescent="0.25"/>
  <cols>
    <col min="1" max="1" width="10.21875" style="1" customWidth="1"/>
    <col min="2" max="2" width="9.21875" style="2" hidden="1" customWidth="1"/>
    <col min="3" max="3" width="30.21875" style="3" customWidth="1"/>
    <col min="4" max="4" width="17.6640625" style="4" customWidth="1"/>
    <col min="5" max="5" width="35.33203125" style="4" customWidth="1"/>
    <col min="6" max="6" width="9.88671875" style="2" customWidth="1"/>
    <col min="7" max="7" width="39.77734375" style="3" customWidth="1"/>
    <col min="8" max="8" width="13.88671875" style="5" customWidth="1"/>
    <col min="9" max="9" width="10.6640625" style="5" customWidth="1"/>
    <col min="10" max="10" width="12.21875" style="5" customWidth="1"/>
    <col min="11" max="11" width="13.109375" style="5" customWidth="1"/>
    <col min="12" max="12" width="9.88671875" style="6" customWidth="1"/>
    <col min="13" max="13" width="12.21875" style="5" customWidth="1"/>
    <col min="14" max="14" width="10.77734375" style="5" customWidth="1"/>
    <col min="15" max="15" width="11.33203125" style="5" customWidth="1"/>
    <col min="16" max="16" width="12.44140625" style="5" customWidth="1"/>
    <col min="17" max="17" width="9.88671875" style="5" customWidth="1"/>
    <col min="18" max="18" width="13.44140625" style="5" customWidth="1"/>
    <col min="19" max="19" width="10.21875" style="5" customWidth="1"/>
    <col min="20" max="21" width="11.5546875" style="5"/>
    <col min="22" max="22" width="13.33203125" style="5" customWidth="1"/>
    <col min="23" max="23" width="10.21875" style="5" customWidth="1"/>
    <col min="24" max="24" width="12.44140625" style="5" customWidth="1"/>
    <col min="25" max="25" width="11.6640625" style="5" customWidth="1"/>
    <col min="26" max="26" width="10.44140625" style="5" customWidth="1"/>
    <col min="27" max="27" width="11" style="5" customWidth="1"/>
    <col min="28" max="28" width="12.109375" style="5" customWidth="1"/>
    <col min="29" max="30" width="10.109375" style="5" customWidth="1"/>
    <col min="31" max="31" width="12.77734375" style="5" customWidth="1"/>
    <col min="32" max="32" width="13.44140625" style="5" customWidth="1"/>
    <col min="33" max="33" width="13.44140625" style="3" customWidth="1"/>
    <col min="34" max="1025" width="11.5546875" style="3"/>
  </cols>
  <sheetData>
    <row r="1" spans="1:33" ht="12" customHeight="1" x14ac:dyDescent="0.25">
      <c r="A1" s="7" t="s">
        <v>0</v>
      </c>
      <c r="C1" s="8"/>
    </row>
    <row r="2" spans="1:33" ht="12" customHeight="1" x14ac:dyDescent="0.25">
      <c r="A2" s="7" t="s">
        <v>1</v>
      </c>
    </row>
    <row r="3" spans="1:33" ht="12" customHeight="1" x14ac:dyDescent="0.25">
      <c r="A3" s="7" t="s">
        <v>306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/>
      <c r="W3" s="10"/>
      <c r="X3" s="10"/>
      <c r="Y3" s="10" t="s">
        <v>3</v>
      </c>
      <c r="Z3" s="10"/>
      <c r="AA3" s="10">
        <v>6230</v>
      </c>
      <c r="AB3" s="10" t="s">
        <v>4</v>
      </c>
      <c r="AC3" s="10">
        <v>6202</v>
      </c>
      <c r="AD3" s="10"/>
      <c r="AE3" s="10">
        <v>6109</v>
      </c>
      <c r="AF3" s="10">
        <v>1002</v>
      </c>
    </row>
    <row r="4" spans="1:33" s="17" customFormat="1" ht="43.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pans="1:33" s="29" customFormat="1" ht="23.25" customHeight="1" x14ac:dyDescent="0.2">
      <c r="A5" s="18">
        <v>43525</v>
      </c>
      <c r="B5" s="19"/>
      <c r="C5" s="20" t="s">
        <v>41</v>
      </c>
      <c r="D5" s="20" t="s">
        <v>42</v>
      </c>
      <c r="E5" s="20" t="s">
        <v>43</v>
      </c>
      <c r="F5" s="21">
        <v>154574</v>
      </c>
      <c r="G5" s="44" t="s">
        <v>44</v>
      </c>
      <c r="H5" s="23"/>
      <c r="I5" s="23"/>
      <c r="J5" s="23"/>
      <c r="K5" s="23">
        <v>180</v>
      </c>
      <c r="L5" s="24"/>
      <c r="M5" s="25">
        <f t="shared" ref="M5:M36" si="0">SUM(H5:J5,K5/1.12)</f>
        <v>160.71428571428569</v>
      </c>
      <c r="N5" s="25">
        <f t="shared" ref="N5:N36" si="1">K5/1.12*0.12</f>
        <v>19.285714285714281</v>
      </c>
      <c r="O5" s="25">
        <f t="shared" ref="O5:O36" si="2">-SUM(I5:J5,K5/1.12)*L5</f>
        <v>0</v>
      </c>
      <c r="P5" s="25"/>
      <c r="Q5" s="26">
        <v>160.71</v>
      </c>
      <c r="R5" s="26"/>
      <c r="S5" s="27"/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>
        <f t="shared" ref="AF5:AF36" si="3">-SUM(N5:AE5)</f>
        <v>-179.99571428571429</v>
      </c>
      <c r="AG5" s="28">
        <f t="shared" ref="AG5:AG36" si="4">SUM(H5:K5)+AF5+O5</f>
        <v>4.2857142857144481E-3</v>
      </c>
    </row>
    <row r="6" spans="1:33" s="29" customFormat="1" ht="23.25" customHeight="1" x14ac:dyDescent="0.2">
      <c r="A6" s="18">
        <v>43525</v>
      </c>
      <c r="B6" s="19"/>
      <c r="C6" s="20" t="s">
        <v>37</v>
      </c>
      <c r="D6" s="20" t="s">
        <v>38</v>
      </c>
      <c r="E6" s="20" t="s">
        <v>39</v>
      </c>
      <c r="F6" s="21">
        <v>34486</v>
      </c>
      <c r="G6" s="44" t="s">
        <v>307</v>
      </c>
      <c r="H6" s="23"/>
      <c r="I6" s="23"/>
      <c r="J6" s="23"/>
      <c r="K6" s="23">
        <v>414</v>
      </c>
      <c r="L6" s="24"/>
      <c r="M6" s="25">
        <f t="shared" si="0"/>
        <v>369.64285714285711</v>
      </c>
      <c r="N6" s="25">
        <f t="shared" si="1"/>
        <v>44.357142857142854</v>
      </c>
      <c r="O6" s="25">
        <f t="shared" si="2"/>
        <v>0</v>
      </c>
      <c r="P6" s="25">
        <v>369.64</v>
      </c>
      <c r="Q6" s="26"/>
      <c r="R6" s="26"/>
      <c r="S6" s="27"/>
      <c r="T6" s="27"/>
      <c r="U6" s="27"/>
      <c r="V6" s="27"/>
      <c r="W6" s="27"/>
      <c r="X6" s="26"/>
      <c r="Y6" s="26"/>
      <c r="Z6" s="26"/>
      <c r="AA6" s="26"/>
      <c r="AB6" s="27"/>
      <c r="AC6" s="27"/>
      <c r="AD6" s="26"/>
      <c r="AE6" s="26"/>
      <c r="AF6" s="25">
        <f t="shared" si="3"/>
        <v>-413.99714285714282</v>
      </c>
      <c r="AG6" s="28">
        <f t="shared" si="4"/>
        <v>2.857142857180861E-3</v>
      </c>
    </row>
    <row r="7" spans="1:33" s="29" customFormat="1" ht="23.25" customHeight="1" x14ac:dyDescent="0.2">
      <c r="A7" s="18">
        <v>43526</v>
      </c>
      <c r="B7" s="19"/>
      <c r="C7" s="20" t="s">
        <v>308</v>
      </c>
      <c r="D7" s="20" t="s">
        <v>309</v>
      </c>
      <c r="E7" s="20" t="s">
        <v>56</v>
      </c>
      <c r="F7" s="21">
        <v>19678</v>
      </c>
      <c r="G7" s="44" t="s">
        <v>310</v>
      </c>
      <c r="H7" s="23"/>
      <c r="I7" s="23"/>
      <c r="J7" s="23">
        <v>472</v>
      </c>
      <c r="K7" s="23"/>
      <c r="L7" s="24"/>
      <c r="M7" s="25">
        <f t="shared" si="0"/>
        <v>472</v>
      </c>
      <c r="N7" s="25">
        <f t="shared" si="1"/>
        <v>0</v>
      </c>
      <c r="O7" s="25">
        <f t="shared" si="2"/>
        <v>0</v>
      </c>
      <c r="P7" s="25">
        <v>472</v>
      </c>
      <c r="Q7" s="26"/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>
        <f t="shared" si="3"/>
        <v>-472</v>
      </c>
      <c r="AG7" s="28">
        <f t="shared" si="4"/>
        <v>0</v>
      </c>
    </row>
    <row r="8" spans="1:33" s="29" customFormat="1" ht="23.25" customHeight="1" x14ac:dyDescent="0.2">
      <c r="A8" s="18">
        <v>43526</v>
      </c>
      <c r="B8" s="19"/>
      <c r="C8" s="20" t="s">
        <v>58</v>
      </c>
      <c r="D8" s="20"/>
      <c r="E8" s="20"/>
      <c r="F8" s="21"/>
      <c r="G8" s="44" t="s">
        <v>311</v>
      </c>
      <c r="H8" s="23">
        <v>100</v>
      </c>
      <c r="I8" s="23"/>
      <c r="J8" s="23"/>
      <c r="K8" s="23"/>
      <c r="L8" s="24"/>
      <c r="M8" s="25">
        <f t="shared" si="0"/>
        <v>100</v>
      </c>
      <c r="N8" s="25">
        <f t="shared" si="1"/>
        <v>0</v>
      </c>
      <c r="O8" s="25">
        <f t="shared" si="2"/>
        <v>0</v>
      </c>
      <c r="P8" s="25"/>
      <c r="Q8" s="26"/>
      <c r="R8" s="26"/>
      <c r="S8" s="27"/>
      <c r="T8" s="27"/>
      <c r="U8" s="27"/>
      <c r="V8" s="27"/>
      <c r="W8" s="27"/>
      <c r="X8" s="26"/>
      <c r="Y8" s="26"/>
      <c r="Z8" s="26"/>
      <c r="AA8" s="26">
        <v>100</v>
      </c>
      <c r="AB8" s="27"/>
      <c r="AC8" s="27"/>
      <c r="AD8" s="26"/>
      <c r="AE8" s="26"/>
      <c r="AF8" s="25">
        <f t="shared" si="3"/>
        <v>-100</v>
      </c>
      <c r="AG8" s="28">
        <f t="shared" si="4"/>
        <v>0</v>
      </c>
    </row>
    <row r="9" spans="1:33" s="29" customFormat="1" ht="23.25" customHeight="1" x14ac:dyDescent="0.2">
      <c r="A9" s="18">
        <v>43526</v>
      </c>
      <c r="B9" s="19"/>
      <c r="C9" s="20" t="s">
        <v>41</v>
      </c>
      <c r="D9" s="20" t="s">
        <v>42</v>
      </c>
      <c r="E9" s="20" t="s">
        <v>43</v>
      </c>
      <c r="F9" s="21">
        <v>155985</v>
      </c>
      <c r="G9" s="44" t="s">
        <v>44</v>
      </c>
      <c r="H9" s="23"/>
      <c r="I9" s="23"/>
      <c r="J9" s="23"/>
      <c r="K9" s="23">
        <v>90</v>
      </c>
      <c r="L9" s="24"/>
      <c r="M9" s="25">
        <f t="shared" si="0"/>
        <v>80.357142857142847</v>
      </c>
      <c r="N9" s="25">
        <f t="shared" si="1"/>
        <v>9.6428571428571406</v>
      </c>
      <c r="O9" s="25">
        <f t="shared" si="2"/>
        <v>0</v>
      </c>
      <c r="P9" s="25"/>
      <c r="Q9" s="26">
        <v>80.36</v>
      </c>
      <c r="R9" s="26"/>
      <c r="S9" s="27"/>
      <c r="T9" s="27"/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>
        <f t="shared" si="3"/>
        <v>-90.002857142857138</v>
      </c>
      <c r="AG9" s="28">
        <f t="shared" si="4"/>
        <v>-2.8571428571382285E-3</v>
      </c>
    </row>
    <row r="10" spans="1:33" s="29" customFormat="1" ht="23.25" customHeight="1" x14ac:dyDescent="0.2">
      <c r="A10" s="18">
        <v>43526</v>
      </c>
      <c r="B10" s="19"/>
      <c r="C10" s="20" t="s">
        <v>41</v>
      </c>
      <c r="D10" s="20" t="s">
        <v>42</v>
      </c>
      <c r="E10" s="20" t="s">
        <v>43</v>
      </c>
      <c r="F10" s="21">
        <v>156053</v>
      </c>
      <c r="G10" s="44" t="s">
        <v>44</v>
      </c>
      <c r="H10" s="23"/>
      <c r="I10" s="23"/>
      <c r="J10" s="23"/>
      <c r="K10" s="23">
        <v>180</v>
      </c>
      <c r="L10" s="24"/>
      <c r="M10" s="25">
        <f t="shared" si="0"/>
        <v>160.71428571428569</v>
      </c>
      <c r="N10" s="25">
        <f t="shared" si="1"/>
        <v>19.285714285714281</v>
      </c>
      <c r="O10" s="25">
        <f t="shared" si="2"/>
        <v>0</v>
      </c>
      <c r="P10" s="25"/>
      <c r="Q10" s="26">
        <v>160.71</v>
      </c>
      <c r="R10" s="26"/>
      <c r="S10" s="27"/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>
        <f t="shared" si="3"/>
        <v>-179.99571428571429</v>
      </c>
      <c r="AG10" s="28">
        <f t="shared" si="4"/>
        <v>4.2857142857144481E-3</v>
      </c>
    </row>
    <row r="11" spans="1:33" s="29" customFormat="1" ht="23.25" customHeight="1" x14ac:dyDescent="0.2">
      <c r="A11" s="18">
        <v>43528</v>
      </c>
      <c r="B11" s="19"/>
      <c r="C11" s="20" t="s">
        <v>185</v>
      </c>
      <c r="D11" s="20" t="s">
        <v>106</v>
      </c>
      <c r="E11" s="20" t="s">
        <v>186</v>
      </c>
      <c r="F11" s="21">
        <v>734487</v>
      </c>
      <c r="G11" s="44" t="s">
        <v>312</v>
      </c>
      <c r="H11" s="23"/>
      <c r="I11" s="23"/>
      <c r="J11" s="23"/>
      <c r="K11" s="23">
        <v>496</v>
      </c>
      <c r="L11" s="24"/>
      <c r="M11" s="25">
        <f t="shared" si="0"/>
        <v>442.85714285714283</v>
      </c>
      <c r="N11" s="25">
        <f t="shared" si="1"/>
        <v>53.142857142857139</v>
      </c>
      <c r="O11" s="25">
        <f t="shared" si="2"/>
        <v>0</v>
      </c>
      <c r="P11" s="25"/>
      <c r="Q11" s="26"/>
      <c r="R11" s="26"/>
      <c r="S11" s="27">
        <v>442.86</v>
      </c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>
        <f t="shared" si="3"/>
        <v>-496.00285714285712</v>
      </c>
      <c r="AG11" s="28">
        <f t="shared" si="4"/>
        <v>-2.8571428571240176E-3</v>
      </c>
    </row>
    <row r="12" spans="1:33" s="29" customFormat="1" ht="23.25" customHeight="1" x14ac:dyDescent="0.2">
      <c r="A12" s="18">
        <v>43528</v>
      </c>
      <c r="B12" s="19"/>
      <c r="C12" s="20" t="s">
        <v>37</v>
      </c>
      <c r="D12" s="20" t="s">
        <v>38</v>
      </c>
      <c r="E12" s="20" t="s">
        <v>39</v>
      </c>
      <c r="F12" s="21">
        <v>34502</v>
      </c>
      <c r="G12" s="44" t="s">
        <v>313</v>
      </c>
      <c r="H12" s="23"/>
      <c r="I12" s="23"/>
      <c r="J12" s="23"/>
      <c r="K12" s="23">
        <v>154.46</v>
      </c>
      <c r="L12" s="24"/>
      <c r="M12" s="25">
        <f t="shared" si="0"/>
        <v>137.91071428571428</v>
      </c>
      <c r="N12" s="25">
        <f t="shared" si="1"/>
        <v>16.549285714285713</v>
      </c>
      <c r="O12" s="25">
        <f t="shared" si="2"/>
        <v>0</v>
      </c>
      <c r="P12" s="25">
        <v>137.91</v>
      </c>
      <c r="Q12" s="26"/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>
        <f t="shared" si="3"/>
        <v>-154.4592857142857</v>
      </c>
      <c r="AG12" s="28">
        <f t="shared" si="4"/>
        <v>7.1428571430942611E-4</v>
      </c>
    </row>
    <row r="13" spans="1:33" s="29" customFormat="1" ht="23.25" customHeight="1" x14ac:dyDescent="0.2">
      <c r="A13" s="18">
        <v>43528</v>
      </c>
      <c r="B13" s="19"/>
      <c r="C13" s="20" t="s">
        <v>314</v>
      </c>
      <c r="D13" s="20" t="s">
        <v>315</v>
      </c>
      <c r="E13" s="20" t="s">
        <v>47</v>
      </c>
      <c r="F13" s="21">
        <v>1845</v>
      </c>
      <c r="G13" s="44" t="s">
        <v>316</v>
      </c>
      <c r="H13" s="23"/>
      <c r="I13" s="23"/>
      <c r="J13" s="23"/>
      <c r="K13" s="23">
        <v>200</v>
      </c>
      <c r="L13" s="24"/>
      <c r="M13" s="25">
        <f t="shared" si="0"/>
        <v>178.57142857142856</v>
      </c>
      <c r="N13" s="25">
        <f t="shared" si="1"/>
        <v>21.428571428571427</v>
      </c>
      <c r="O13" s="25">
        <f t="shared" si="2"/>
        <v>0</v>
      </c>
      <c r="P13" s="25">
        <v>178.57</v>
      </c>
      <c r="Q13" s="26"/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>
        <f t="shared" si="3"/>
        <v>-199.99857142857141</v>
      </c>
      <c r="AG13" s="28">
        <f t="shared" si="4"/>
        <v>1.4285714285904305E-3</v>
      </c>
    </row>
    <row r="14" spans="1:33" s="29" customFormat="1" ht="23.25" customHeight="1" x14ac:dyDescent="0.2">
      <c r="A14" s="18">
        <v>43528</v>
      </c>
      <c r="B14" s="19"/>
      <c r="C14" s="20" t="s">
        <v>45</v>
      </c>
      <c r="D14" s="20" t="s">
        <v>46</v>
      </c>
      <c r="E14" s="20" t="s">
        <v>47</v>
      </c>
      <c r="F14" s="21">
        <v>178834</v>
      </c>
      <c r="G14" s="44" t="s">
        <v>317</v>
      </c>
      <c r="H14" s="23"/>
      <c r="I14" s="23"/>
      <c r="J14" s="23"/>
      <c r="K14" s="23">
        <f>2105.85+252.7</f>
        <v>2358.5499999999997</v>
      </c>
      <c r="L14" s="24"/>
      <c r="M14" s="25">
        <f t="shared" si="0"/>
        <v>2105.8482142857138</v>
      </c>
      <c r="N14" s="25">
        <f t="shared" si="1"/>
        <v>252.70178571428565</v>
      </c>
      <c r="O14" s="25">
        <f t="shared" si="2"/>
        <v>0</v>
      </c>
      <c r="P14" s="25">
        <v>2105.85</v>
      </c>
      <c r="Q14" s="26"/>
      <c r="R14" s="26"/>
      <c r="S14" s="27"/>
      <c r="T14" s="27"/>
      <c r="U14" s="27"/>
      <c r="V14" s="27"/>
      <c r="W14" s="27"/>
      <c r="X14" s="26"/>
      <c r="Y14" s="26"/>
      <c r="Z14" s="26"/>
      <c r="AA14" s="26"/>
      <c r="AB14" s="27"/>
      <c r="AC14" s="27"/>
      <c r="AD14" s="26"/>
      <c r="AE14" s="26"/>
      <c r="AF14" s="25">
        <f t="shared" si="3"/>
        <v>-2358.5517857142854</v>
      </c>
      <c r="AG14" s="28">
        <f t="shared" si="4"/>
        <v>-1.7857142856883002E-3</v>
      </c>
    </row>
    <row r="15" spans="1:33" s="29" customFormat="1" ht="23.25" customHeight="1" x14ac:dyDescent="0.2">
      <c r="A15" s="18">
        <v>43528</v>
      </c>
      <c r="B15" s="19"/>
      <c r="C15" s="20" t="s">
        <v>45</v>
      </c>
      <c r="D15" s="20" t="s">
        <v>46</v>
      </c>
      <c r="E15" s="20" t="s">
        <v>47</v>
      </c>
      <c r="F15" s="21">
        <v>178834</v>
      </c>
      <c r="G15" s="44" t="s">
        <v>318</v>
      </c>
      <c r="H15" s="23"/>
      <c r="I15" s="23"/>
      <c r="J15" s="23">
        <v>833.88</v>
      </c>
      <c r="K15" s="23"/>
      <c r="L15" s="24"/>
      <c r="M15" s="25">
        <f t="shared" si="0"/>
        <v>833.88</v>
      </c>
      <c r="N15" s="25">
        <f t="shared" si="1"/>
        <v>0</v>
      </c>
      <c r="O15" s="25">
        <f t="shared" si="2"/>
        <v>0</v>
      </c>
      <c r="P15" s="25">
        <v>833.88</v>
      </c>
      <c r="Q15" s="26"/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>
        <f t="shared" si="3"/>
        <v>-833.88</v>
      </c>
      <c r="AG15" s="28">
        <f t="shared" si="4"/>
        <v>0</v>
      </c>
    </row>
    <row r="16" spans="1:33" s="29" customFormat="1" ht="23.25" customHeight="1" x14ac:dyDescent="0.2">
      <c r="A16" s="18">
        <v>43528</v>
      </c>
      <c r="B16" s="19"/>
      <c r="C16" s="20" t="s">
        <v>37</v>
      </c>
      <c r="D16" s="20" t="s">
        <v>38</v>
      </c>
      <c r="E16" s="20" t="s">
        <v>39</v>
      </c>
      <c r="F16" s="21">
        <v>93271</v>
      </c>
      <c r="G16" s="44" t="s">
        <v>319</v>
      </c>
      <c r="H16" s="23"/>
      <c r="I16" s="23"/>
      <c r="J16" s="23"/>
      <c r="K16" s="23">
        <v>99.5</v>
      </c>
      <c r="L16" s="24"/>
      <c r="M16" s="25">
        <f t="shared" si="0"/>
        <v>88.839285714285708</v>
      </c>
      <c r="N16" s="25">
        <f t="shared" si="1"/>
        <v>10.660714285714285</v>
      </c>
      <c r="O16" s="25">
        <f t="shared" si="2"/>
        <v>0</v>
      </c>
      <c r="P16" s="25"/>
      <c r="Q16" s="26"/>
      <c r="R16" s="26"/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>
        <v>88.84</v>
      </c>
      <c r="AE16" s="26"/>
      <c r="AF16" s="25">
        <f t="shared" si="3"/>
        <v>-99.500714285714281</v>
      </c>
      <c r="AG16" s="28">
        <f t="shared" si="4"/>
        <v>-7.142857142810044E-4</v>
      </c>
    </row>
    <row r="17" spans="1:33" s="29" customFormat="1" ht="23.25" customHeight="1" x14ac:dyDescent="0.2">
      <c r="A17" s="18">
        <v>43528</v>
      </c>
      <c r="B17" s="19"/>
      <c r="C17" s="20" t="s">
        <v>157</v>
      </c>
      <c r="D17" s="20"/>
      <c r="E17" s="20"/>
      <c r="F17" s="21"/>
      <c r="G17" s="44" t="s">
        <v>320</v>
      </c>
      <c r="H17" s="23">
        <v>80</v>
      </c>
      <c r="I17" s="23"/>
      <c r="J17" s="23"/>
      <c r="K17" s="23"/>
      <c r="L17" s="24"/>
      <c r="M17" s="25">
        <f t="shared" si="0"/>
        <v>80</v>
      </c>
      <c r="N17" s="25">
        <f t="shared" si="1"/>
        <v>0</v>
      </c>
      <c r="O17" s="25">
        <f t="shared" si="2"/>
        <v>0</v>
      </c>
      <c r="P17" s="25"/>
      <c r="Q17" s="26"/>
      <c r="R17" s="26"/>
      <c r="S17" s="27"/>
      <c r="T17" s="27"/>
      <c r="U17" s="27"/>
      <c r="V17" s="27"/>
      <c r="W17" s="27"/>
      <c r="X17" s="26"/>
      <c r="Y17" s="26"/>
      <c r="Z17" s="26"/>
      <c r="AA17" s="26">
        <v>80</v>
      </c>
      <c r="AB17" s="27"/>
      <c r="AC17" s="27"/>
      <c r="AD17" s="26"/>
      <c r="AE17" s="26"/>
      <c r="AF17" s="25">
        <f t="shared" si="3"/>
        <v>-80</v>
      </c>
      <c r="AG17" s="28">
        <f t="shared" si="4"/>
        <v>0</v>
      </c>
    </row>
    <row r="18" spans="1:33" s="29" customFormat="1" ht="23.25" customHeight="1" x14ac:dyDescent="0.2">
      <c r="A18" s="18">
        <v>43528</v>
      </c>
      <c r="B18" s="19"/>
      <c r="C18" s="20" t="s">
        <v>321</v>
      </c>
      <c r="D18" s="20" t="s">
        <v>322</v>
      </c>
      <c r="E18" s="20" t="s">
        <v>323</v>
      </c>
      <c r="F18" s="21">
        <v>29784</v>
      </c>
      <c r="G18" s="44" t="s">
        <v>324</v>
      </c>
      <c r="H18" s="23"/>
      <c r="I18" s="23"/>
      <c r="J18" s="23"/>
      <c r="K18" s="23">
        <v>125</v>
      </c>
      <c r="L18" s="24"/>
      <c r="M18" s="25">
        <f t="shared" si="0"/>
        <v>111.60714285714285</v>
      </c>
      <c r="N18" s="25">
        <f t="shared" si="1"/>
        <v>13.392857142857141</v>
      </c>
      <c r="O18" s="25">
        <f t="shared" si="2"/>
        <v>0</v>
      </c>
      <c r="P18" s="25"/>
      <c r="Q18" s="26">
        <v>111.61</v>
      </c>
      <c r="R18" s="26"/>
      <c r="S18" s="27"/>
      <c r="T18" s="27"/>
      <c r="U18" s="27"/>
      <c r="V18" s="27"/>
      <c r="W18" s="27"/>
      <c r="X18" s="26"/>
      <c r="Y18" s="26"/>
      <c r="Z18" s="26"/>
      <c r="AA18" s="26"/>
      <c r="AB18" s="27"/>
      <c r="AC18" s="27"/>
      <c r="AD18" s="26"/>
      <c r="AE18" s="26"/>
      <c r="AF18" s="25">
        <f t="shared" si="3"/>
        <v>-125.00285714285714</v>
      </c>
      <c r="AG18" s="28">
        <f t="shared" si="4"/>
        <v>-2.8571428571382285E-3</v>
      </c>
    </row>
    <row r="19" spans="1:33" s="29" customFormat="1" ht="23.25" customHeight="1" x14ac:dyDescent="0.2">
      <c r="A19" s="18">
        <v>43528</v>
      </c>
      <c r="B19" s="19"/>
      <c r="C19" s="20" t="s">
        <v>37</v>
      </c>
      <c r="D19" s="20" t="s">
        <v>38</v>
      </c>
      <c r="E19" s="20" t="s">
        <v>39</v>
      </c>
      <c r="F19" s="21">
        <v>34514</v>
      </c>
      <c r="G19" s="44" t="s">
        <v>250</v>
      </c>
      <c r="H19" s="23"/>
      <c r="I19" s="23"/>
      <c r="J19" s="23"/>
      <c r="K19" s="23">
        <v>354</v>
      </c>
      <c r="L19" s="24"/>
      <c r="M19" s="25">
        <f t="shared" si="0"/>
        <v>316.07142857142856</v>
      </c>
      <c r="N19" s="25">
        <f t="shared" si="1"/>
        <v>37.928571428571423</v>
      </c>
      <c r="O19" s="25">
        <f t="shared" si="2"/>
        <v>0</v>
      </c>
      <c r="P19" s="25"/>
      <c r="Q19" s="26">
        <v>316.07</v>
      </c>
      <c r="R19" s="26"/>
      <c r="S19" s="27"/>
      <c r="T19" s="27"/>
      <c r="U19" s="27"/>
      <c r="V19" s="27"/>
      <c r="W19" s="27"/>
      <c r="X19" s="26"/>
      <c r="Y19" s="26"/>
      <c r="Z19" s="26"/>
      <c r="AA19" s="26"/>
      <c r="AB19" s="27"/>
      <c r="AC19" s="27"/>
      <c r="AD19" s="26"/>
      <c r="AE19" s="26"/>
      <c r="AF19" s="25">
        <f t="shared" si="3"/>
        <v>-353.99857142857144</v>
      </c>
      <c r="AG19" s="28">
        <f t="shared" si="4"/>
        <v>1.4285714285620088E-3</v>
      </c>
    </row>
    <row r="20" spans="1:33" s="29" customFormat="1" ht="23.25" customHeight="1" x14ac:dyDescent="0.2">
      <c r="A20" s="18">
        <v>43528</v>
      </c>
      <c r="B20" s="19"/>
      <c r="C20" s="20" t="s">
        <v>41</v>
      </c>
      <c r="D20" s="20" t="s">
        <v>42</v>
      </c>
      <c r="E20" s="20" t="s">
        <v>43</v>
      </c>
      <c r="F20" s="21">
        <v>156100</v>
      </c>
      <c r="G20" s="44" t="s">
        <v>44</v>
      </c>
      <c r="H20" s="23"/>
      <c r="I20" s="23"/>
      <c r="J20" s="23"/>
      <c r="K20" s="23">
        <v>180</v>
      </c>
      <c r="L20" s="24"/>
      <c r="M20" s="25">
        <f t="shared" si="0"/>
        <v>160.71428571428569</v>
      </c>
      <c r="N20" s="25">
        <f t="shared" si="1"/>
        <v>19.285714285714281</v>
      </c>
      <c r="O20" s="25">
        <f t="shared" si="2"/>
        <v>0</v>
      </c>
      <c r="P20" s="25"/>
      <c r="Q20" s="26">
        <v>160.71</v>
      </c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>
        <f t="shared" si="3"/>
        <v>-179.99571428571429</v>
      </c>
      <c r="AG20" s="28">
        <f t="shared" si="4"/>
        <v>4.2857142857144481E-3</v>
      </c>
    </row>
    <row r="21" spans="1:33" s="29" customFormat="1" ht="23.25" customHeight="1" x14ac:dyDescent="0.2">
      <c r="A21" s="18">
        <v>43529</v>
      </c>
      <c r="B21" s="19"/>
      <c r="C21" s="20" t="s">
        <v>174</v>
      </c>
      <c r="D21" s="20" t="s">
        <v>325</v>
      </c>
      <c r="E21" s="20" t="s">
        <v>326</v>
      </c>
      <c r="F21" s="21">
        <v>37638</v>
      </c>
      <c r="G21" s="44" t="s">
        <v>327</v>
      </c>
      <c r="H21" s="23"/>
      <c r="I21" s="23"/>
      <c r="J21" s="23"/>
      <c r="K21" s="23">
        <v>1995</v>
      </c>
      <c r="L21" s="24"/>
      <c r="M21" s="25">
        <f t="shared" si="0"/>
        <v>1781.2499999999998</v>
      </c>
      <c r="N21" s="25">
        <f t="shared" si="1"/>
        <v>213.74999999999997</v>
      </c>
      <c r="O21" s="25">
        <f t="shared" si="2"/>
        <v>0</v>
      </c>
      <c r="P21" s="25">
        <v>1781.25</v>
      </c>
      <c r="Q21" s="26"/>
      <c r="R21" s="26"/>
      <c r="S21" s="27"/>
      <c r="T21" s="27"/>
      <c r="U21" s="27"/>
      <c r="V21" s="27"/>
      <c r="W21" s="27"/>
      <c r="X21" s="26"/>
      <c r="Y21" s="26"/>
      <c r="Z21" s="26"/>
      <c r="AA21" s="26"/>
      <c r="AB21" s="27"/>
      <c r="AC21" s="27"/>
      <c r="AD21" s="26"/>
      <c r="AE21" s="26"/>
      <c r="AF21" s="25">
        <f t="shared" si="3"/>
        <v>-1995</v>
      </c>
      <c r="AG21" s="28">
        <f t="shared" si="4"/>
        <v>0</v>
      </c>
    </row>
    <row r="22" spans="1:33" s="29" customFormat="1" ht="23.25" customHeight="1" x14ac:dyDescent="0.2">
      <c r="A22" s="18">
        <v>43529</v>
      </c>
      <c r="B22" s="19"/>
      <c r="C22" s="20" t="s">
        <v>37</v>
      </c>
      <c r="D22" s="20" t="s">
        <v>38</v>
      </c>
      <c r="E22" s="20" t="s">
        <v>39</v>
      </c>
      <c r="F22" s="21">
        <v>34534</v>
      </c>
      <c r="G22" s="44" t="s">
        <v>328</v>
      </c>
      <c r="H22" s="23"/>
      <c r="I22" s="23"/>
      <c r="J22" s="23"/>
      <c r="K22" s="23">
        <v>345</v>
      </c>
      <c r="L22" s="24"/>
      <c r="M22" s="25">
        <f t="shared" si="0"/>
        <v>308.03571428571428</v>
      </c>
      <c r="N22" s="25">
        <f t="shared" si="1"/>
        <v>36.964285714285715</v>
      </c>
      <c r="O22" s="25">
        <f t="shared" si="2"/>
        <v>0</v>
      </c>
      <c r="P22" s="25">
        <v>308.04000000000002</v>
      </c>
      <c r="Q22" s="26"/>
      <c r="R22" s="26"/>
      <c r="S22" s="27"/>
      <c r="T22" s="27"/>
      <c r="U22" s="27"/>
      <c r="V22" s="27"/>
      <c r="W22" s="27"/>
      <c r="X22" s="26"/>
      <c r="Y22" s="26"/>
      <c r="Z22" s="26"/>
      <c r="AA22" s="26"/>
      <c r="AB22" s="27"/>
      <c r="AC22" s="27"/>
      <c r="AD22" s="26"/>
      <c r="AE22" s="26"/>
      <c r="AF22" s="25">
        <f t="shared" si="3"/>
        <v>-345.00428571428574</v>
      </c>
      <c r="AG22" s="28">
        <f t="shared" si="4"/>
        <v>-4.2857142857428698E-3</v>
      </c>
    </row>
    <row r="23" spans="1:33" s="29" customFormat="1" ht="23.25" customHeight="1" x14ac:dyDescent="0.2">
      <c r="A23" s="18">
        <v>43529</v>
      </c>
      <c r="B23" s="19"/>
      <c r="C23" s="20" t="s">
        <v>62</v>
      </c>
      <c r="D23" s="20"/>
      <c r="E23" s="20"/>
      <c r="F23" s="21"/>
      <c r="G23" s="44" t="s">
        <v>201</v>
      </c>
      <c r="H23" s="23">
        <v>40</v>
      </c>
      <c r="I23" s="23"/>
      <c r="J23" s="23"/>
      <c r="K23" s="23"/>
      <c r="L23" s="24"/>
      <c r="M23" s="25">
        <f t="shared" si="0"/>
        <v>40</v>
      </c>
      <c r="N23" s="25">
        <f t="shared" si="1"/>
        <v>0</v>
      </c>
      <c r="O23" s="25">
        <f t="shared" si="2"/>
        <v>0</v>
      </c>
      <c r="P23" s="25"/>
      <c r="Q23" s="26"/>
      <c r="R23" s="26"/>
      <c r="S23" s="27"/>
      <c r="T23" s="27"/>
      <c r="U23" s="27"/>
      <c r="V23" s="27"/>
      <c r="W23" s="27"/>
      <c r="X23" s="26"/>
      <c r="Y23" s="26"/>
      <c r="Z23" s="26"/>
      <c r="AA23" s="26">
        <v>40</v>
      </c>
      <c r="AB23" s="27"/>
      <c r="AC23" s="27"/>
      <c r="AD23" s="26"/>
      <c r="AE23" s="26"/>
      <c r="AF23" s="25">
        <f t="shared" si="3"/>
        <v>-40</v>
      </c>
      <c r="AG23" s="28">
        <f t="shared" si="4"/>
        <v>0</v>
      </c>
    </row>
    <row r="24" spans="1:33" s="41" customFormat="1" ht="23.25" customHeight="1" x14ac:dyDescent="0.2">
      <c r="A24" s="30">
        <v>43530</v>
      </c>
      <c r="B24" s="31"/>
      <c r="C24" s="32" t="s">
        <v>41</v>
      </c>
      <c r="D24" s="32" t="s">
        <v>42</v>
      </c>
      <c r="E24" s="32" t="s">
        <v>43</v>
      </c>
      <c r="F24" s="33">
        <v>159796</v>
      </c>
      <c r="G24" s="34" t="s">
        <v>44</v>
      </c>
      <c r="H24" s="35"/>
      <c r="I24" s="35"/>
      <c r="J24" s="35"/>
      <c r="K24" s="35">
        <v>180</v>
      </c>
      <c r="L24" s="36"/>
      <c r="M24" s="37">
        <f t="shared" si="0"/>
        <v>160.71428571428569</v>
      </c>
      <c r="N24" s="37">
        <f t="shared" si="1"/>
        <v>19.285714285714281</v>
      </c>
      <c r="O24" s="37">
        <f t="shared" si="2"/>
        <v>0</v>
      </c>
      <c r="P24" s="37"/>
      <c r="Q24" s="38">
        <v>160.71</v>
      </c>
      <c r="R24" s="38"/>
      <c r="S24" s="39"/>
      <c r="T24" s="39"/>
      <c r="U24" s="39"/>
      <c r="V24" s="39"/>
      <c r="W24" s="39"/>
      <c r="X24" s="38"/>
      <c r="Y24" s="38"/>
      <c r="Z24" s="38"/>
      <c r="AA24" s="38"/>
      <c r="AB24" s="39"/>
      <c r="AC24" s="39"/>
      <c r="AD24" s="38"/>
      <c r="AE24" s="38"/>
      <c r="AF24" s="25">
        <f t="shared" si="3"/>
        <v>-179.99571428571429</v>
      </c>
      <c r="AG24" s="28">
        <f t="shared" si="4"/>
        <v>4.2857142857144481E-3</v>
      </c>
    </row>
    <row r="25" spans="1:33" s="29" customFormat="1" ht="23.25" customHeight="1" x14ac:dyDescent="0.2">
      <c r="A25" s="18">
        <v>43529</v>
      </c>
      <c r="B25" s="19"/>
      <c r="C25" s="20" t="s">
        <v>329</v>
      </c>
      <c r="D25" s="20" t="s">
        <v>330</v>
      </c>
      <c r="E25" s="20" t="s">
        <v>323</v>
      </c>
      <c r="F25" s="21">
        <v>771776</v>
      </c>
      <c r="G25" s="44" t="s">
        <v>250</v>
      </c>
      <c r="H25" s="23"/>
      <c r="I25" s="23"/>
      <c r="J25" s="23"/>
      <c r="K25" s="23">
        <v>155</v>
      </c>
      <c r="L25" s="24"/>
      <c r="M25" s="25">
        <f t="shared" si="0"/>
        <v>138.39285714285714</v>
      </c>
      <c r="N25" s="25">
        <f t="shared" si="1"/>
        <v>16.607142857142858</v>
      </c>
      <c r="O25" s="25">
        <f t="shared" si="2"/>
        <v>0</v>
      </c>
      <c r="P25" s="25">
        <v>138.38999999999999</v>
      </c>
      <c r="Q25" s="26"/>
      <c r="R25" s="26"/>
      <c r="S25" s="27"/>
      <c r="T25" s="27"/>
      <c r="U25" s="27"/>
      <c r="V25" s="27"/>
      <c r="W25" s="27"/>
      <c r="X25" s="26"/>
      <c r="Y25" s="26"/>
      <c r="Z25" s="26"/>
      <c r="AA25" s="26"/>
      <c r="AB25" s="27"/>
      <c r="AC25" s="27"/>
      <c r="AD25" s="26"/>
      <c r="AE25" s="26"/>
      <c r="AF25" s="25">
        <f t="shared" si="3"/>
        <v>-154.99714285714285</v>
      </c>
      <c r="AG25" s="28">
        <f t="shared" si="4"/>
        <v>2.8571428571524393E-3</v>
      </c>
    </row>
    <row r="26" spans="1:33" s="29" customFormat="1" ht="23.25" customHeight="1" x14ac:dyDescent="0.2">
      <c r="A26" s="18">
        <v>43530</v>
      </c>
      <c r="B26" s="19"/>
      <c r="C26" s="20" t="s">
        <v>174</v>
      </c>
      <c r="D26" s="20" t="s">
        <v>331</v>
      </c>
      <c r="E26" s="20" t="s">
        <v>241</v>
      </c>
      <c r="F26" s="21">
        <v>202497</v>
      </c>
      <c r="G26" s="44" t="s">
        <v>332</v>
      </c>
      <c r="H26" s="23"/>
      <c r="I26" s="23"/>
      <c r="J26" s="23"/>
      <c r="K26" s="23">
        <v>3196.22</v>
      </c>
      <c r="L26" s="24"/>
      <c r="M26" s="25">
        <f t="shared" si="0"/>
        <v>2853.7678571428569</v>
      </c>
      <c r="N26" s="25">
        <f t="shared" si="1"/>
        <v>342.4521428571428</v>
      </c>
      <c r="O26" s="25">
        <f t="shared" si="2"/>
        <v>0</v>
      </c>
      <c r="P26" s="25">
        <v>2853.77</v>
      </c>
      <c r="Q26" s="26"/>
      <c r="R26" s="26"/>
      <c r="S26" s="27"/>
      <c r="T26" s="27"/>
      <c r="U26" s="27"/>
      <c r="V26" s="27"/>
      <c r="W26" s="27"/>
      <c r="X26" s="26"/>
      <c r="Y26" s="26"/>
      <c r="Z26" s="26"/>
      <c r="AA26" s="26"/>
      <c r="AB26" s="27"/>
      <c r="AC26" s="27"/>
      <c r="AD26" s="26"/>
      <c r="AE26" s="26"/>
      <c r="AF26" s="25">
        <f t="shared" si="3"/>
        <v>-3196.2221428571429</v>
      </c>
      <c r="AG26" s="28">
        <f t="shared" si="4"/>
        <v>-2.1428571430988086E-3</v>
      </c>
    </row>
    <row r="27" spans="1:33" s="29" customFormat="1" ht="23.25" customHeight="1" x14ac:dyDescent="0.2">
      <c r="A27" s="18">
        <v>43530</v>
      </c>
      <c r="B27" s="19"/>
      <c r="C27" s="20" t="s">
        <v>54</v>
      </c>
      <c r="D27" s="20" t="s">
        <v>55</v>
      </c>
      <c r="E27" s="20" t="s">
        <v>56</v>
      </c>
      <c r="F27" s="21">
        <v>2976</v>
      </c>
      <c r="G27" s="44" t="s">
        <v>195</v>
      </c>
      <c r="H27" s="23"/>
      <c r="I27" s="23"/>
      <c r="J27" s="23">
        <v>1710</v>
      </c>
      <c r="K27" s="23"/>
      <c r="L27" s="24"/>
      <c r="M27" s="25">
        <f t="shared" si="0"/>
        <v>1710</v>
      </c>
      <c r="N27" s="25">
        <f t="shared" si="1"/>
        <v>0</v>
      </c>
      <c r="O27" s="25">
        <f t="shared" si="2"/>
        <v>0</v>
      </c>
      <c r="P27" s="25">
        <v>1710</v>
      </c>
      <c r="Q27" s="26"/>
      <c r="R27" s="26"/>
      <c r="S27" s="27"/>
      <c r="T27" s="27"/>
      <c r="U27" s="27"/>
      <c r="V27" s="27"/>
      <c r="W27" s="27"/>
      <c r="X27" s="26"/>
      <c r="Y27" s="26"/>
      <c r="Z27" s="26"/>
      <c r="AA27" s="26"/>
      <c r="AB27" s="27"/>
      <c r="AC27" s="27"/>
      <c r="AD27" s="26"/>
      <c r="AE27" s="26"/>
      <c r="AF27" s="25">
        <f t="shared" si="3"/>
        <v>-1710</v>
      </c>
      <c r="AG27" s="28">
        <f t="shared" si="4"/>
        <v>0</v>
      </c>
    </row>
    <row r="28" spans="1:33" s="29" customFormat="1" ht="23.25" customHeight="1" x14ac:dyDescent="0.2">
      <c r="A28" s="18">
        <v>43530</v>
      </c>
      <c r="B28" s="19"/>
      <c r="C28" s="20" t="s">
        <v>58</v>
      </c>
      <c r="D28" s="20"/>
      <c r="E28" s="20"/>
      <c r="F28" s="21"/>
      <c r="G28" s="44" t="s">
        <v>294</v>
      </c>
      <c r="H28" s="23">
        <v>100</v>
      </c>
      <c r="I28" s="23"/>
      <c r="J28" s="23"/>
      <c r="K28" s="23"/>
      <c r="L28" s="24"/>
      <c r="M28" s="25">
        <f t="shared" si="0"/>
        <v>100</v>
      </c>
      <c r="N28" s="25">
        <f t="shared" si="1"/>
        <v>0</v>
      </c>
      <c r="O28" s="25">
        <f t="shared" si="2"/>
        <v>0</v>
      </c>
      <c r="P28" s="25"/>
      <c r="Q28" s="26"/>
      <c r="R28" s="26"/>
      <c r="S28" s="27"/>
      <c r="T28" s="27"/>
      <c r="U28" s="27"/>
      <c r="V28" s="27"/>
      <c r="W28" s="27"/>
      <c r="X28" s="26"/>
      <c r="Y28" s="26"/>
      <c r="Z28" s="26"/>
      <c r="AA28" s="26">
        <v>100</v>
      </c>
      <c r="AB28" s="27"/>
      <c r="AC28" s="27"/>
      <c r="AD28" s="26"/>
      <c r="AE28" s="26"/>
      <c r="AF28" s="25">
        <f t="shared" si="3"/>
        <v>-100</v>
      </c>
      <c r="AG28" s="28">
        <f t="shared" si="4"/>
        <v>0</v>
      </c>
    </row>
    <row r="29" spans="1:33" s="29" customFormat="1" ht="23.25" customHeight="1" x14ac:dyDescent="0.2">
      <c r="A29" s="18">
        <v>43530</v>
      </c>
      <c r="B29" s="19"/>
      <c r="C29" s="20" t="s">
        <v>58</v>
      </c>
      <c r="D29" s="20"/>
      <c r="E29" s="20"/>
      <c r="F29" s="21"/>
      <c r="G29" s="44" t="s">
        <v>333</v>
      </c>
      <c r="H29" s="23">
        <v>50</v>
      </c>
      <c r="I29" s="23"/>
      <c r="J29" s="23"/>
      <c r="K29" s="23"/>
      <c r="L29" s="24"/>
      <c r="M29" s="25">
        <f t="shared" si="0"/>
        <v>50</v>
      </c>
      <c r="N29" s="25">
        <f t="shared" si="1"/>
        <v>0</v>
      </c>
      <c r="O29" s="25">
        <f t="shared" si="2"/>
        <v>0</v>
      </c>
      <c r="P29" s="25"/>
      <c r="Q29" s="26"/>
      <c r="R29" s="26"/>
      <c r="S29" s="27"/>
      <c r="T29" s="27"/>
      <c r="U29" s="27"/>
      <c r="V29" s="27"/>
      <c r="W29" s="27"/>
      <c r="X29" s="26"/>
      <c r="Y29" s="26"/>
      <c r="Z29" s="26"/>
      <c r="AA29" s="26">
        <v>50</v>
      </c>
      <c r="AB29" s="27"/>
      <c r="AC29" s="27"/>
      <c r="AD29" s="26"/>
      <c r="AE29" s="26"/>
      <c r="AF29" s="25">
        <f t="shared" si="3"/>
        <v>-50</v>
      </c>
      <c r="AG29" s="28">
        <f t="shared" si="4"/>
        <v>0</v>
      </c>
    </row>
    <row r="30" spans="1:33" s="29" customFormat="1" ht="23.25" customHeight="1" x14ac:dyDescent="0.2">
      <c r="A30" s="18">
        <v>43530</v>
      </c>
      <c r="B30" s="19"/>
      <c r="C30" s="20" t="s">
        <v>37</v>
      </c>
      <c r="D30" s="20" t="s">
        <v>38</v>
      </c>
      <c r="E30" s="20" t="s">
        <v>39</v>
      </c>
      <c r="F30" s="21">
        <v>48942</v>
      </c>
      <c r="G30" s="44" t="s">
        <v>226</v>
      </c>
      <c r="H30" s="23"/>
      <c r="I30" s="23"/>
      <c r="J30" s="23"/>
      <c r="K30" s="23">
        <v>79.5</v>
      </c>
      <c r="L30" s="24"/>
      <c r="M30" s="25">
        <f t="shared" si="0"/>
        <v>70.982142857142847</v>
      </c>
      <c r="N30" s="25">
        <f t="shared" si="1"/>
        <v>8.5178571428571406</v>
      </c>
      <c r="O30" s="25">
        <f t="shared" si="2"/>
        <v>0</v>
      </c>
      <c r="P30" s="25">
        <v>70.98</v>
      </c>
      <c r="Q30" s="26"/>
      <c r="R30" s="26"/>
      <c r="S30" s="27"/>
      <c r="T30" s="27"/>
      <c r="U30" s="27"/>
      <c r="V30" s="27"/>
      <c r="W30" s="27"/>
      <c r="X30" s="26"/>
      <c r="Y30" s="26"/>
      <c r="Z30" s="26"/>
      <c r="AA30" s="26"/>
      <c r="AB30" s="27"/>
      <c r="AC30" s="27"/>
      <c r="AD30" s="26"/>
      <c r="AE30" s="26"/>
      <c r="AF30" s="25">
        <f t="shared" si="3"/>
        <v>-79.497857142857143</v>
      </c>
      <c r="AG30" s="28">
        <f t="shared" si="4"/>
        <v>2.1428571428572241E-3</v>
      </c>
    </row>
    <row r="31" spans="1:33" s="29" customFormat="1" ht="23.25" customHeight="1" x14ac:dyDescent="0.2">
      <c r="A31" s="18">
        <v>43530</v>
      </c>
      <c r="B31" s="19"/>
      <c r="C31" s="20" t="s">
        <v>62</v>
      </c>
      <c r="D31" s="20"/>
      <c r="E31" s="20"/>
      <c r="F31" s="21"/>
      <c r="G31" s="44" t="s">
        <v>334</v>
      </c>
      <c r="H31" s="23">
        <v>150</v>
      </c>
      <c r="I31" s="23"/>
      <c r="J31" s="23"/>
      <c r="K31" s="23"/>
      <c r="L31" s="24"/>
      <c r="M31" s="25">
        <f t="shared" si="0"/>
        <v>150</v>
      </c>
      <c r="N31" s="25">
        <f t="shared" si="1"/>
        <v>0</v>
      </c>
      <c r="O31" s="25">
        <f t="shared" si="2"/>
        <v>0</v>
      </c>
      <c r="P31" s="25"/>
      <c r="Q31" s="26"/>
      <c r="R31" s="26"/>
      <c r="S31" s="27"/>
      <c r="T31" s="27"/>
      <c r="U31" s="27"/>
      <c r="V31" s="27"/>
      <c r="W31" s="27"/>
      <c r="X31" s="26"/>
      <c r="Y31" s="26"/>
      <c r="Z31" s="26"/>
      <c r="AA31" s="26">
        <v>150</v>
      </c>
      <c r="AB31" s="27"/>
      <c r="AC31" s="27"/>
      <c r="AD31" s="26"/>
      <c r="AE31" s="26"/>
      <c r="AF31" s="25">
        <f t="shared" si="3"/>
        <v>-150</v>
      </c>
      <c r="AG31" s="28">
        <f t="shared" si="4"/>
        <v>0</v>
      </c>
    </row>
    <row r="32" spans="1:33" s="29" customFormat="1" ht="23.25" customHeight="1" x14ac:dyDescent="0.2">
      <c r="A32" s="18">
        <v>43530</v>
      </c>
      <c r="B32" s="19"/>
      <c r="C32" s="20" t="s">
        <v>335</v>
      </c>
      <c r="D32" s="20" t="s">
        <v>336</v>
      </c>
      <c r="E32" s="20" t="s">
        <v>337</v>
      </c>
      <c r="F32" s="21">
        <v>1583801</v>
      </c>
      <c r="G32" s="44" t="s">
        <v>338</v>
      </c>
      <c r="H32" s="23"/>
      <c r="I32" s="23"/>
      <c r="J32" s="23"/>
      <c r="K32" s="23">
        <v>719.54</v>
      </c>
      <c r="L32" s="24"/>
      <c r="M32" s="25">
        <f t="shared" si="0"/>
        <v>642.44642857142844</v>
      </c>
      <c r="N32" s="25">
        <f t="shared" si="1"/>
        <v>77.093571428571408</v>
      </c>
      <c r="O32" s="25">
        <f t="shared" si="2"/>
        <v>0</v>
      </c>
      <c r="P32" s="25"/>
      <c r="Q32" s="26"/>
      <c r="R32" s="26"/>
      <c r="S32" s="27"/>
      <c r="T32" s="27"/>
      <c r="U32" s="27"/>
      <c r="V32" s="27"/>
      <c r="W32" s="27"/>
      <c r="X32" s="26"/>
      <c r="Y32" s="26">
        <v>642.45000000000005</v>
      </c>
      <c r="Z32" s="26"/>
      <c r="AA32" s="26"/>
      <c r="AB32" s="27"/>
      <c r="AC32" s="27"/>
      <c r="AD32" s="26"/>
      <c r="AE32" s="26"/>
      <c r="AF32" s="25">
        <f t="shared" si="3"/>
        <v>-719.54357142857145</v>
      </c>
      <c r="AG32" s="28">
        <f t="shared" si="4"/>
        <v>-3.5714285714902871E-3</v>
      </c>
    </row>
    <row r="33" spans="1:33" s="29" customFormat="1" ht="23.25" customHeight="1" x14ac:dyDescent="0.2">
      <c r="A33" s="18">
        <v>43530</v>
      </c>
      <c r="B33" s="19"/>
      <c r="C33" s="20" t="s">
        <v>45</v>
      </c>
      <c r="D33" s="20" t="s">
        <v>46</v>
      </c>
      <c r="E33" s="20" t="s">
        <v>47</v>
      </c>
      <c r="F33" s="21">
        <v>163078</v>
      </c>
      <c r="G33" s="44" t="s">
        <v>339</v>
      </c>
      <c r="H33" s="23"/>
      <c r="I33" s="23"/>
      <c r="J33" s="23"/>
      <c r="K33" s="23">
        <f>993.84+119.26</f>
        <v>1113.1000000000001</v>
      </c>
      <c r="L33" s="24"/>
      <c r="M33" s="25">
        <f t="shared" si="0"/>
        <v>993.83928571428578</v>
      </c>
      <c r="N33" s="25">
        <f t="shared" si="1"/>
        <v>119.26071428571429</v>
      </c>
      <c r="O33" s="25">
        <f t="shared" si="2"/>
        <v>0</v>
      </c>
      <c r="P33" s="25">
        <v>993.84</v>
      </c>
      <c r="Q33" s="26"/>
      <c r="R33" s="26"/>
      <c r="S33" s="27"/>
      <c r="T33" s="27"/>
      <c r="U33" s="27"/>
      <c r="V33" s="27"/>
      <c r="W33" s="27"/>
      <c r="X33" s="26"/>
      <c r="Y33" s="26"/>
      <c r="Z33" s="26"/>
      <c r="AA33" s="26"/>
      <c r="AB33" s="27"/>
      <c r="AC33" s="27"/>
      <c r="AD33" s="26"/>
      <c r="AE33" s="26"/>
      <c r="AF33" s="25">
        <f t="shared" si="3"/>
        <v>-1113.1007142857143</v>
      </c>
      <c r="AG33" s="28">
        <f t="shared" si="4"/>
        <v>-7.1428571413889586E-4</v>
      </c>
    </row>
    <row r="34" spans="1:33" s="29" customFormat="1" ht="23.25" customHeight="1" x14ac:dyDescent="0.2">
      <c r="A34" s="18">
        <v>43530</v>
      </c>
      <c r="B34" s="19"/>
      <c r="C34" s="20" t="s">
        <v>45</v>
      </c>
      <c r="D34" s="20" t="s">
        <v>46</v>
      </c>
      <c r="E34" s="20" t="s">
        <v>47</v>
      </c>
      <c r="F34" s="21">
        <v>163078</v>
      </c>
      <c r="G34" s="44" t="s">
        <v>340</v>
      </c>
      <c r="H34" s="23"/>
      <c r="I34" s="23"/>
      <c r="J34" s="23">
        <v>214.9</v>
      </c>
      <c r="K34" s="23"/>
      <c r="L34" s="24"/>
      <c r="M34" s="25">
        <f t="shared" si="0"/>
        <v>214.9</v>
      </c>
      <c r="N34" s="25">
        <f t="shared" si="1"/>
        <v>0</v>
      </c>
      <c r="O34" s="25">
        <f t="shared" si="2"/>
        <v>0</v>
      </c>
      <c r="P34" s="25">
        <v>214.9</v>
      </c>
      <c r="Q34" s="26"/>
      <c r="R34" s="26"/>
      <c r="S34" s="27"/>
      <c r="T34" s="27"/>
      <c r="U34" s="27"/>
      <c r="V34" s="27"/>
      <c r="W34" s="27"/>
      <c r="X34" s="26"/>
      <c r="Y34" s="26"/>
      <c r="Z34" s="26"/>
      <c r="AA34" s="26"/>
      <c r="AB34" s="27"/>
      <c r="AC34" s="27"/>
      <c r="AD34" s="26"/>
      <c r="AE34" s="26"/>
      <c r="AF34" s="25">
        <f t="shared" si="3"/>
        <v>-214.9</v>
      </c>
      <c r="AG34" s="28">
        <f t="shared" si="4"/>
        <v>0</v>
      </c>
    </row>
    <row r="35" spans="1:33" s="29" customFormat="1" ht="23.25" customHeight="1" x14ac:dyDescent="0.2">
      <c r="A35" s="18">
        <v>43531</v>
      </c>
      <c r="B35" s="19"/>
      <c r="C35" s="20" t="s">
        <v>41</v>
      </c>
      <c r="D35" s="20" t="s">
        <v>42</v>
      </c>
      <c r="E35" s="20" t="s">
        <v>43</v>
      </c>
      <c r="F35" s="21">
        <v>159847</v>
      </c>
      <c r="G35" s="44" t="s">
        <v>44</v>
      </c>
      <c r="H35" s="23"/>
      <c r="I35" s="23"/>
      <c r="J35" s="23"/>
      <c r="K35" s="23">
        <v>180</v>
      </c>
      <c r="L35" s="24"/>
      <c r="M35" s="25">
        <f t="shared" si="0"/>
        <v>160.71428571428569</v>
      </c>
      <c r="N35" s="25">
        <f t="shared" si="1"/>
        <v>19.285714285714281</v>
      </c>
      <c r="O35" s="25">
        <f t="shared" si="2"/>
        <v>0</v>
      </c>
      <c r="P35" s="25"/>
      <c r="Q35" s="26">
        <v>160.71</v>
      </c>
      <c r="R35" s="26"/>
      <c r="S35" s="27"/>
      <c r="T35" s="27"/>
      <c r="U35" s="27"/>
      <c r="V35" s="27"/>
      <c r="W35" s="27"/>
      <c r="X35" s="26"/>
      <c r="Y35" s="26"/>
      <c r="Z35" s="26"/>
      <c r="AA35" s="26"/>
      <c r="AB35" s="27"/>
      <c r="AC35" s="27"/>
      <c r="AD35" s="26"/>
      <c r="AE35" s="26"/>
      <c r="AF35" s="25">
        <f t="shared" si="3"/>
        <v>-179.99571428571429</v>
      </c>
      <c r="AG35" s="28">
        <f t="shared" si="4"/>
        <v>4.2857142857144481E-3</v>
      </c>
    </row>
    <row r="36" spans="1:33" s="29" customFormat="1" ht="23.25" customHeight="1" x14ac:dyDescent="0.2">
      <c r="A36" s="18">
        <v>43531</v>
      </c>
      <c r="B36" s="19"/>
      <c r="C36" s="20" t="s">
        <v>341</v>
      </c>
      <c r="D36" s="20" t="s">
        <v>342</v>
      </c>
      <c r="E36" s="20" t="s">
        <v>323</v>
      </c>
      <c r="F36" s="21">
        <v>16173</v>
      </c>
      <c r="G36" s="44" t="s">
        <v>343</v>
      </c>
      <c r="H36" s="23"/>
      <c r="I36" s="23"/>
      <c r="J36" s="23"/>
      <c r="K36" s="23">
        <v>208</v>
      </c>
      <c r="L36" s="24"/>
      <c r="M36" s="25">
        <f t="shared" si="0"/>
        <v>185.71428571428569</v>
      </c>
      <c r="N36" s="25">
        <f t="shared" si="1"/>
        <v>22.285714285714281</v>
      </c>
      <c r="O36" s="25">
        <f t="shared" si="2"/>
        <v>0</v>
      </c>
      <c r="P36" s="25"/>
      <c r="Q36" s="26">
        <v>185.71</v>
      </c>
      <c r="R36" s="26"/>
      <c r="S36" s="27"/>
      <c r="T36" s="27"/>
      <c r="U36" s="27"/>
      <c r="V36" s="27"/>
      <c r="W36" s="27"/>
      <c r="X36" s="26"/>
      <c r="Y36" s="26"/>
      <c r="Z36" s="26"/>
      <c r="AA36" s="26"/>
      <c r="AB36" s="27"/>
      <c r="AC36" s="27"/>
      <c r="AD36" s="26"/>
      <c r="AE36" s="26"/>
      <c r="AF36" s="25">
        <f t="shared" si="3"/>
        <v>-207.99571428571429</v>
      </c>
      <c r="AG36" s="28">
        <f t="shared" si="4"/>
        <v>4.2857142857144481E-3</v>
      </c>
    </row>
    <row r="37" spans="1:33" s="29" customFormat="1" ht="23.25" customHeight="1" x14ac:dyDescent="0.2">
      <c r="A37" s="18">
        <v>43531</v>
      </c>
      <c r="B37" s="19"/>
      <c r="C37" s="20" t="s">
        <v>321</v>
      </c>
      <c r="D37" s="20" t="s">
        <v>322</v>
      </c>
      <c r="E37" s="20" t="s">
        <v>47</v>
      </c>
      <c r="F37" s="21">
        <v>222023</v>
      </c>
      <c r="G37" s="44" t="s">
        <v>344</v>
      </c>
      <c r="H37" s="23"/>
      <c r="I37" s="23"/>
      <c r="J37" s="23"/>
      <c r="K37" s="23">
        <v>100</v>
      </c>
      <c r="L37" s="24"/>
      <c r="M37" s="25">
        <f t="shared" ref="M37:M68" si="5">SUM(H37:J37,K37/1.12)</f>
        <v>89.285714285714278</v>
      </c>
      <c r="N37" s="25">
        <f t="shared" ref="N37:N68" si="6">K37/1.12*0.12</f>
        <v>10.714285714285714</v>
      </c>
      <c r="O37" s="25">
        <f t="shared" ref="O37:O68" si="7">-SUM(I37:J37,K37/1.12)*L37</f>
        <v>0</v>
      </c>
      <c r="P37" s="25"/>
      <c r="Q37" s="26">
        <v>89.29</v>
      </c>
      <c r="R37" s="26"/>
      <c r="S37" s="27"/>
      <c r="T37" s="27"/>
      <c r="U37" s="27"/>
      <c r="V37" s="27"/>
      <c r="W37" s="27"/>
      <c r="X37" s="26"/>
      <c r="Y37" s="26"/>
      <c r="Z37" s="26"/>
      <c r="AA37" s="26"/>
      <c r="AB37" s="27"/>
      <c r="AC37" s="27"/>
      <c r="AD37" s="26"/>
      <c r="AE37" s="26"/>
      <c r="AF37" s="25">
        <f t="shared" ref="AF37:AF68" si="8">-SUM(N37:AE37)</f>
        <v>-100.00428571428571</v>
      </c>
      <c r="AG37" s="28">
        <f t="shared" ref="AG37:AG68" si="9">SUM(H37:K37)+AF37+O37</f>
        <v>-4.2857142857144481E-3</v>
      </c>
    </row>
    <row r="38" spans="1:33" s="29" customFormat="1" ht="23.25" customHeight="1" x14ac:dyDescent="0.2">
      <c r="A38" s="18">
        <v>43531</v>
      </c>
      <c r="B38" s="19"/>
      <c r="C38" s="20" t="s">
        <v>37</v>
      </c>
      <c r="D38" s="20" t="s">
        <v>38</v>
      </c>
      <c r="E38" s="20" t="s">
        <v>39</v>
      </c>
      <c r="F38" s="21">
        <v>34578</v>
      </c>
      <c r="G38" s="44" t="s">
        <v>345</v>
      </c>
      <c r="H38" s="23"/>
      <c r="I38" s="23"/>
      <c r="J38" s="23"/>
      <c r="K38" s="23">
        <v>333.75</v>
      </c>
      <c r="L38" s="24"/>
      <c r="M38" s="25">
        <f t="shared" si="5"/>
        <v>297.99107142857139</v>
      </c>
      <c r="N38" s="25">
        <f t="shared" si="6"/>
        <v>35.758928571428562</v>
      </c>
      <c r="O38" s="25">
        <f t="shared" si="7"/>
        <v>0</v>
      </c>
      <c r="P38" s="25">
        <v>297.99</v>
      </c>
      <c r="Q38" s="26"/>
      <c r="R38" s="26"/>
      <c r="S38" s="27"/>
      <c r="T38" s="27"/>
      <c r="U38" s="27"/>
      <c r="V38" s="27"/>
      <c r="W38" s="27"/>
      <c r="X38" s="26"/>
      <c r="Y38" s="26"/>
      <c r="Z38" s="26"/>
      <c r="AA38" s="26"/>
      <c r="AB38" s="27"/>
      <c r="AC38" s="27"/>
      <c r="AD38" s="26"/>
      <c r="AE38" s="26"/>
      <c r="AF38" s="25">
        <f t="shared" si="8"/>
        <v>-333.74892857142856</v>
      </c>
      <c r="AG38" s="28">
        <f t="shared" si="9"/>
        <v>1.0714285714357175E-3</v>
      </c>
    </row>
    <row r="39" spans="1:33" s="29" customFormat="1" ht="23.25" customHeight="1" x14ac:dyDescent="0.2">
      <c r="A39" s="18">
        <v>43531</v>
      </c>
      <c r="B39" s="19"/>
      <c r="C39" s="20" t="s">
        <v>50</v>
      </c>
      <c r="D39" s="20" t="s">
        <v>51</v>
      </c>
      <c r="E39" s="20" t="s">
        <v>47</v>
      </c>
      <c r="F39" s="21">
        <v>56263</v>
      </c>
      <c r="G39" s="44" t="s">
        <v>211</v>
      </c>
      <c r="H39" s="23"/>
      <c r="I39" s="23"/>
      <c r="J39" s="23"/>
      <c r="K39" s="23">
        <v>1345.64</v>
      </c>
      <c r="L39" s="24"/>
      <c r="M39" s="25">
        <f t="shared" si="5"/>
        <v>1201.4642857142858</v>
      </c>
      <c r="N39" s="25">
        <f t="shared" si="6"/>
        <v>144.17571428571429</v>
      </c>
      <c r="O39" s="25">
        <f t="shared" si="7"/>
        <v>0</v>
      </c>
      <c r="P39" s="25">
        <v>1201.46</v>
      </c>
      <c r="Q39" s="26"/>
      <c r="R39" s="26"/>
      <c r="S39" s="27"/>
      <c r="T39" s="27"/>
      <c r="U39" s="27"/>
      <c r="V39" s="27"/>
      <c r="W39" s="27"/>
      <c r="X39" s="26"/>
      <c r="Y39" s="26"/>
      <c r="Z39" s="26"/>
      <c r="AA39" s="26"/>
      <c r="AB39" s="27"/>
      <c r="AC39" s="27"/>
      <c r="AD39" s="26"/>
      <c r="AE39" s="26"/>
      <c r="AF39" s="25">
        <f t="shared" si="8"/>
        <v>-1345.6357142857144</v>
      </c>
      <c r="AG39" s="28">
        <f t="shared" si="9"/>
        <v>4.2857142857428698E-3</v>
      </c>
    </row>
    <row r="40" spans="1:33" s="29" customFormat="1" ht="23.25" customHeight="1" x14ac:dyDescent="0.2">
      <c r="A40" s="18">
        <v>43531</v>
      </c>
      <c r="B40" s="19"/>
      <c r="C40" s="20" t="s">
        <v>37</v>
      </c>
      <c r="D40" s="20" t="s">
        <v>38</v>
      </c>
      <c r="E40" s="20" t="s">
        <v>39</v>
      </c>
      <c r="F40" s="21">
        <v>34573</v>
      </c>
      <c r="G40" s="44" t="s">
        <v>346</v>
      </c>
      <c r="H40" s="23"/>
      <c r="I40" s="23"/>
      <c r="J40" s="23"/>
      <c r="K40" s="23">
        <v>1413.9</v>
      </c>
      <c r="L40" s="24"/>
      <c r="M40" s="25">
        <f t="shared" si="5"/>
        <v>1262.4107142857142</v>
      </c>
      <c r="N40" s="25">
        <f t="shared" si="6"/>
        <v>151.4892857142857</v>
      </c>
      <c r="O40" s="25">
        <f t="shared" si="7"/>
        <v>0</v>
      </c>
      <c r="P40" s="25">
        <v>1262.4100000000001</v>
      </c>
      <c r="Q40" s="26"/>
      <c r="R40" s="26"/>
      <c r="S40" s="27"/>
      <c r="T40" s="27"/>
      <c r="U40" s="27"/>
      <c r="V40" s="27"/>
      <c r="W40" s="27"/>
      <c r="X40" s="26"/>
      <c r="Y40" s="26"/>
      <c r="Z40" s="26"/>
      <c r="AA40" s="26"/>
      <c r="AB40" s="27"/>
      <c r="AC40" s="27"/>
      <c r="AD40" s="26"/>
      <c r="AE40" s="26"/>
      <c r="AF40" s="25">
        <f t="shared" si="8"/>
        <v>-1413.8992857142857</v>
      </c>
      <c r="AG40" s="28">
        <f t="shared" si="9"/>
        <v>7.1428571436626953E-4</v>
      </c>
    </row>
    <row r="41" spans="1:33" s="29" customFormat="1" ht="23.25" customHeight="1" x14ac:dyDescent="0.2">
      <c r="A41" s="18">
        <v>43531</v>
      </c>
      <c r="B41" s="19"/>
      <c r="C41" s="20" t="s">
        <v>347</v>
      </c>
      <c r="D41" s="20"/>
      <c r="E41" s="20"/>
      <c r="F41" s="21"/>
      <c r="G41" s="44" t="s">
        <v>348</v>
      </c>
      <c r="H41" s="23">
        <v>550</v>
      </c>
      <c r="I41" s="23"/>
      <c r="J41" s="23"/>
      <c r="K41" s="23"/>
      <c r="L41" s="24"/>
      <c r="M41" s="25">
        <f t="shared" si="5"/>
        <v>550</v>
      </c>
      <c r="N41" s="25">
        <f t="shared" si="6"/>
        <v>0</v>
      </c>
      <c r="O41" s="25">
        <f t="shared" si="7"/>
        <v>0</v>
      </c>
      <c r="P41" s="25"/>
      <c r="Q41" s="26"/>
      <c r="R41" s="26"/>
      <c r="S41" s="27"/>
      <c r="T41" s="27"/>
      <c r="U41" s="27"/>
      <c r="V41" s="27"/>
      <c r="W41" s="27"/>
      <c r="X41" s="26"/>
      <c r="Y41" s="26"/>
      <c r="Z41" s="26"/>
      <c r="AA41" s="26"/>
      <c r="AB41" s="27">
        <v>550</v>
      </c>
      <c r="AC41" s="27"/>
      <c r="AD41" s="26"/>
      <c r="AE41" s="26"/>
      <c r="AF41" s="25">
        <f t="shared" si="8"/>
        <v>-550</v>
      </c>
      <c r="AG41" s="28">
        <f t="shared" si="9"/>
        <v>0</v>
      </c>
    </row>
    <row r="42" spans="1:33" s="29" customFormat="1" ht="23.25" customHeight="1" x14ac:dyDescent="0.2">
      <c r="A42" s="18">
        <v>43531</v>
      </c>
      <c r="B42" s="19"/>
      <c r="C42" s="20" t="s">
        <v>176</v>
      </c>
      <c r="D42" s="20"/>
      <c r="E42" s="20"/>
      <c r="F42" s="21"/>
      <c r="G42" s="44" t="s">
        <v>348</v>
      </c>
      <c r="H42" s="23">
        <v>550</v>
      </c>
      <c r="I42" s="23"/>
      <c r="J42" s="23"/>
      <c r="K42" s="23"/>
      <c r="L42" s="24"/>
      <c r="M42" s="25">
        <f t="shared" si="5"/>
        <v>550</v>
      </c>
      <c r="N42" s="25">
        <f t="shared" si="6"/>
        <v>0</v>
      </c>
      <c r="O42" s="25">
        <f t="shared" si="7"/>
        <v>0</v>
      </c>
      <c r="P42" s="25"/>
      <c r="Q42" s="26"/>
      <c r="R42" s="26"/>
      <c r="S42" s="27"/>
      <c r="T42" s="27"/>
      <c r="U42" s="27"/>
      <c r="V42" s="27"/>
      <c r="W42" s="27"/>
      <c r="X42" s="26"/>
      <c r="Y42" s="26"/>
      <c r="Z42" s="26"/>
      <c r="AA42" s="26"/>
      <c r="AB42" s="27">
        <v>550</v>
      </c>
      <c r="AC42" s="27"/>
      <c r="AD42" s="26"/>
      <c r="AE42" s="26"/>
      <c r="AF42" s="25">
        <f t="shared" si="8"/>
        <v>-550</v>
      </c>
      <c r="AG42" s="28">
        <f t="shared" si="9"/>
        <v>0</v>
      </c>
    </row>
    <row r="43" spans="1:33" s="29" customFormat="1" ht="23.25" customHeight="1" x14ac:dyDescent="0.2">
      <c r="A43" s="18">
        <v>43531</v>
      </c>
      <c r="B43" s="19"/>
      <c r="C43" s="20" t="s">
        <v>349</v>
      </c>
      <c r="D43" s="20"/>
      <c r="E43" s="20"/>
      <c r="F43" s="21"/>
      <c r="G43" s="44" t="s">
        <v>348</v>
      </c>
      <c r="H43" s="23">
        <v>550</v>
      </c>
      <c r="I43" s="23"/>
      <c r="J43" s="23"/>
      <c r="K43" s="23"/>
      <c r="L43" s="24"/>
      <c r="M43" s="25">
        <f t="shared" si="5"/>
        <v>550</v>
      </c>
      <c r="N43" s="25">
        <f t="shared" si="6"/>
        <v>0</v>
      </c>
      <c r="O43" s="25">
        <f t="shared" si="7"/>
        <v>0</v>
      </c>
      <c r="P43" s="25"/>
      <c r="Q43" s="26"/>
      <c r="R43" s="26"/>
      <c r="S43" s="27"/>
      <c r="T43" s="27"/>
      <c r="U43" s="27"/>
      <c r="V43" s="27"/>
      <c r="W43" s="27"/>
      <c r="X43" s="26"/>
      <c r="Y43" s="26"/>
      <c r="Z43" s="26"/>
      <c r="AA43" s="26"/>
      <c r="AB43" s="27">
        <v>550</v>
      </c>
      <c r="AC43" s="27"/>
      <c r="AD43" s="26"/>
      <c r="AE43" s="26"/>
      <c r="AF43" s="25">
        <f t="shared" si="8"/>
        <v>-550</v>
      </c>
      <c r="AG43" s="28">
        <f t="shared" si="9"/>
        <v>0</v>
      </c>
    </row>
    <row r="44" spans="1:33" s="29" customFormat="1" ht="23.25" customHeight="1" x14ac:dyDescent="0.2">
      <c r="A44" s="18">
        <v>43531</v>
      </c>
      <c r="B44" s="19"/>
      <c r="C44" s="20" t="s">
        <v>350</v>
      </c>
      <c r="D44" s="20" t="s">
        <v>351</v>
      </c>
      <c r="E44" s="20" t="s">
        <v>47</v>
      </c>
      <c r="F44" s="21">
        <v>46766</v>
      </c>
      <c r="G44" s="44" t="s">
        <v>352</v>
      </c>
      <c r="H44" s="23"/>
      <c r="I44" s="23"/>
      <c r="J44" s="23"/>
      <c r="K44" s="23">
        <v>107</v>
      </c>
      <c r="L44" s="24"/>
      <c r="M44" s="25">
        <f t="shared" si="5"/>
        <v>95.535714285714278</v>
      </c>
      <c r="N44" s="25">
        <f t="shared" si="6"/>
        <v>11.464285714285714</v>
      </c>
      <c r="O44" s="25">
        <f t="shared" si="7"/>
        <v>0</v>
      </c>
      <c r="P44" s="25"/>
      <c r="Q44" s="26"/>
      <c r="R44" s="26"/>
      <c r="S44" s="27"/>
      <c r="T44" s="27"/>
      <c r="U44" s="27"/>
      <c r="V44" s="27"/>
      <c r="W44" s="27"/>
      <c r="X44" s="26"/>
      <c r="Y44" s="26"/>
      <c r="Z44" s="26"/>
      <c r="AA44" s="26"/>
      <c r="AB44" s="27"/>
      <c r="AC44" s="27"/>
      <c r="AD44" s="26">
        <v>95.54</v>
      </c>
      <c r="AE44" s="26"/>
      <c r="AF44" s="25">
        <f t="shared" si="8"/>
        <v>-107.00428571428571</v>
      </c>
      <c r="AG44" s="28">
        <f t="shared" si="9"/>
        <v>-4.2857142857144481E-3</v>
      </c>
    </row>
    <row r="45" spans="1:33" s="29" customFormat="1" ht="23.25" customHeight="1" x14ac:dyDescent="0.2">
      <c r="A45" s="18">
        <v>43531</v>
      </c>
      <c r="B45" s="19"/>
      <c r="C45" s="20" t="s">
        <v>37</v>
      </c>
      <c r="D45" s="20" t="s">
        <v>38</v>
      </c>
      <c r="E45" s="20" t="s">
        <v>39</v>
      </c>
      <c r="F45" s="21">
        <v>34579</v>
      </c>
      <c r="G45" s="44" t="s">
        <v>353</v>
      </c>
      <c r="H45" s="23"/>
      <c r="I45" s="23"/>
      <c r="J45" s="23"/>
      <c r="K45" s="23">
        <v>398</v>
      </c>
      <c r="L45" s="24"/>
      <c r="M45" s="25">
        <f t="shared" si="5"/>
        <v>355.35714285714283</v>
      </c>
      <c r="N45" s="25">
        <f t="shared" si="6"/>
        <v>42.642857142857139</v>
      </c>
      <c r="O45" s="25">
        <f t="shared" si="7"/>
        <v>0</v>
      </c>
      <c r="P45" s="25">
        <v>355.36</v>
      </c>
      <c r="Q45" s="26"/>
      <c r="R45" s="26"/>
      <c r="S45" s="27"/>
      <c r="T45" s="27"/>
      <c r="U45" s="27"/>
      <c r="V45" s="27"/>
      <c r="W45" s="27"/>
      <c r="X45" s="26"/>
      <c r="Y45" s="26"/>
      <c r="Z45" s="26"/>
      <c r="AA45" s="26"/>
      <c r="AB45" s="27"/>
      <c r="AC45" s="27"/>
      <c r="AD45" s="26"/>
      <c r="AE45" s="26"/>
      <c r="AF45" s="25">
        <f t="shared" si="8"/>
        <v>-398.00285714285712</v>
      </c>
      <c r="AG45" s="28">
        <f t="shared" si="9"/>
        <v>-2.8571428571240176E-3</v>
      </c>
    </row>
    <row r="46" spans="1:33" s="29" customFormat="1" ht="23.25" customHeight="1" x14ac:dyDescent="0.2">
      <c r="A46" s="18">
        <v>43531</v>
      </c>
      <c r="B46" s="19"/>
      <c r="C46" s="20" t="s">
        <v>45</v>
      </c>
      <c r="D46" s="20" t="s">
        <v>46</v>
      </c>
      <c r="E46" s="20" t="s">
        <v>47</v>
      </c>
      <c r="F46" s="21">
        <v>193747</v>
      </c>
      <c r="G46" s="44" t="s">
        <v>354</v>
      </c>
      <c r="H46" s="23"/>
      <c r="I46" s="23"/>
      <c r="J46" s="23"/>
      <c r="K46" s="23">
        <f>403.79+48.46</f>
        <v>452.25</v>
      </c>
      <c r="L46" s="24"/>
      <c r="M46" s="25">
        <f t="shared" si="5"/>
        <v>403.79464285714283</v>
      </c>
      <c r="N46" s="25">
        <f t="shared" si="6"/>
        <v>48.455357142857139</v>
      </c>
      <c r="O46" s="25">
        <f t="shared" si="7"/>
        <v>0</v>
      </c>
      <c r="P46" s="25">
        <v>403.79</v>
      </c>
      <c r="Q46" s="26"/>
      <c r="R46" s="26"/>
      <c r="S46" s="27"/>
      <c r="T46" s="27"/>
      <c r="U46" s="27"/>
      <c r="V46" s="27"/>
      <c r="W46" s="27"/>
      <c r="X46" s="26"/>
      <c r="Y46" s="26"/>
      <c r="Z46" s="26"/>
      <c r="AA46" s="26"/>
      <c r="AB46" s="27"/>
      <c r="AC46" s="27"/>
      <c r="AD46" s="26"/>
      <c r="AE46" s="26"/>
      <c r="AF46" s="25">
        <f t="shared" si="8"/>
        <v>-452.24535714285719</v>
      </c>
      <c r="AG46" s="28">
        <f t="shared" si="9"/>
        <v>4.6428571428123178E-3</v>
      </c>
    </row>
    <row r="47" spans="1:33" s="29" customFormat="1" ht="23.25" customHeight="1" x14ac:dyDescent="0.2">
      <c r="A47" s="18">
        <v>43531</v>
      </c>
      <c r="B47" s="19"/>
      <c r="C47" s="20" t="s">
        <v>45</v>
      </c>
      <c r="D47" s="20" t="s">
        <v>46</v>
      </c>
      <c r="E47" s="20" t="s">
        <v>47</v>
      </c>
      <c r="F47" s="21">
        <v>193474</v>
      </c>
      <c r="G47" s="44" t="s">
        <v>355</v>
      </c>
      <c r="H47" s="23"/>
      <c r="I47" s="23"/>
      <c r="J47" s="23">
        <v>1280.8499999999999</v>
      </c>
      <c r="K47" s="23"/>
      <c r="L47" s="24"/>
      <c r="M47" s="25">
        <f t="shared" si="5"/>
        <v>1280.8499999999999</v>
      </c>
      <c r="N47" s="25">
        <f t="shared" si="6"/>
        <v>0</v>
      </c>
      <c r="O47" s="25">
        <f t="shared" si="7"/>
        <v>0</v>
      </c>
      <c r="P47" s="25">
        <v>1280.8499999999999</v>
      </c>
      <c r="Q47" s="26"/>
      <c r="R47" s="26"/>
      <c r="S47" s="27"/>
      <c r="T47" s="27"/>
      <c r="U47" s="27"/>
      <c r="V47" s="27"/>
      <c r="W47" s="27"/>
      <c r="X47" s="26"/>
      <c r="Y47" s="26"/>
      <c r="Z47" s="26"/>
      <c r="AA47" s="26"/>
      <c r="AB47" s="27"/>
      <c r="AC47" s="27"/>
      <c r="AD47" s="26"/>
      <c r="AE47" s="26"/>
      <c r="AF47" s="25">
        <f t="shared" si="8"/>
        <v>-1280.8499999999999</v>
      </c>
      <c r="AG47" s="28">
        <f t="shared" si="9"/>
        <v>0</v>
      </c>
    </row>
    <row r="48" spans="1:33" s="29" customFormat="1" ht="23.25" customHeight="1" x14ac:dyDescent="0.2">
      <c r="A48" s="18">
        <v>43531</v>
      </c>
      <c r="B48" s="19"/>
      <c r="C48" s="20" t="s">
        <v>37</v>
      </c>
      <c r="D48" s="20" t="s">
        <v>38</v>
      </c>
      <c r="E48" s="20" t="s">
        <v>39</v>
      </c>
      <c r="F48" s="21">
        <v>34585</v>
      </c>
      <c r="G48" s="44" t="s">
        <v>307</v>
      </c>
      <c r="H48" s="23"/>
      <c r="I48" s="23"/>
      <c r="J48" s="23"/>
      <c r="K48" s="23">
        <v>276</v>
      </c>
      <c r="L48" s="24"/>
      <c r="M48" s="25">
        <f t="shared" si="5"/>
        <v>246.42857142857142</v>
      </c>
      <c r="N48" s="25">
        <f t="shared" si="6"/>
        <v>29.571428571428569</v>
      </c>
      <c r="O48" s="25">
        <f t="shared" si="7"/>
        <v>0</v>
      </c>
      <c r="P48" s="25">
        <v>246.43</v>
      </c>
      <c r="Q48" s="26"/>
      <c r="R48" s="26"/>
      <c r="S48" s="27"/>
      <c r="T48" s="27"/>
      <c r="U48" s="27"/>
      <c r="V48" s="27"/>
      <c r="W48" s="27"/>
      <c r="X48" s="26"/>
      <c r="Y48" s="26"/>
      <c r="Z48" s="26"/>
      <c r="AA48" s="26"/>
      <c r="AB48" s="27"/>
      <c r="AC48" s="27"/>
      <c r="AD48" s="26"/>
      <c r="AE48" s="26"/>
      <c r="AF48" s="25">
        <f t="shared" si="8"/>
        <v>-276.00142857142856</v>
      </c>
      <c r="AG48" s="28">
        <f t="shared" si="9"/>
        <v>-1.4285714285620088E-3</v>
      </c>
    </row>
    <row r="49" spans="1:33" s="29" customFormat="1" ht="23.25" customHeight="1" x14ac:dyDescent="0.2">
      <c r="A49" s="18">
        <v>43532</v>
      </c>
      <c r="B49" s="19"/>
      <c r="C49" s="20" t="s">
        <v>41</v>
      </c>
      <c r="D49" s="20" t="s">
        <v>42</v>
      </c>
      <c r="E49" s="20" t="s">
        <v>43</v>
      </c>
      <c r="F49" s="21">
        <v>159895</v>
      </c>
      <c r="G49" s="44" t="s">
        <v>44</v>
      </c>
      <c r="H49" s="23"/>
      <c r="I49" s="23"/>
      <c r="J49" s="23"/>
      <c r="K49" s="23">
        <v>180</v>
      </c>
      <c r="L49" s="24"/>
      <c r="M49" s="25">
        <f t="shared" si="5"/>
        <v>160.71428571428569</v>
      </c>
      <c r="N49" s="25">
        <f t="shared" si="6"/>
        <v>19.285714285714281</v>
      </c>
      <c r="O49" s="25">
        <f t="shared" si="7"/>
        <v>0</v>
      </c>
      <c r="P49" s="25"/>
      <c r="Q49" s="26">
        <v>160.71</v>
      </c>
      <c r="R49" s="26"/>
      <c r="S49" s="27"/>
      <c r="T49" s="27"/>
      <c r="U49" s="27"/>
      <c r="V49" s="27"/>
      <c r="W49" s="27"/>
      <c r="X49" s="26"/>
      <c r="Y49" s="26"/>
      <c r="Z49" s="26"/>
      <c r="AA49" s="26"/>
      <c r="AB49" s="27"/>
      <c r="AC49" s="27"/>
      <c r="AD49" s="26"/>
      <c r="AE49" s="26"/>
      <c r="AF49" s="25">
        <f t="shared" si="8"/>
        <v>-179.99571428571429</v>
      </c>
      <c r="AG49" s="28">
        <f t="shared" si="9"/>
        <v>4.2857142857144481E-3</v>
      </c>
    </row>
    <row r="50" spans="1:33" s="29" customFormat="1" ht="23.25" customHeight="1" x14ac:dyDescent="0.2">
      <c r="A50" s="18">
        <v>43532</v>
      </c>
      <c r="B50" s="19"/>
      <c r="C50" s="20" t="s">
        <v>349</v>
      </c>
      <c r="D50" s="20"/>
      <c r="E50" s="20"/>
      <c r="F50" s="21"/>
      <c r="G50" s="44" t="s">
        <v>356</v>
      </c>
      <c r="H50" s="23">
        <v>701.69</v>
      </c>
      <c r="I50" s="23"/>
      <c r="J50" s="23"/>
      <c r="K50" s="23"/>
      <c r="L50" s="24"/>
      <c r="M50" s="25">
        <f t="shared" si="5"/>
        <v>701.69</v>
      </c>
      <c r="N50" s="25">
        <f t="shared" si="6"/>
        <v>0</v>
      </c>
      <c r="O50" s="25">
        <f t="shared" si="7"/>
        <v>0</v>
      </c>
      <c r="P50" s="25"/>
      <c r="Q50" s="26"/>
      <c r="R50" s="26"/>
      <c r="S50" s="27"/>
      <c r="T50" s="27"/>
      <c r="U50" s="27"/>
      <c r="V50" s="27"/>
      <c r="W50" s="27"/>
      <c r="X50" s="26"/>
      <c r="Y50" s="26"/>
      <c r="Z50" s="26"/>
      <c r="AA50" s="26"/>
      <c r="AB50" s="27">
        <v>701.69</v>
      </c>
      <c r="AC50" s="27"/>
      <c r="AD50" s="26"/>
      <c r="AE50" s="26"/>
      <c r="AF50" s="25">
        <f t="shared" si="8"/>
        <v>-701.69</v>
      </c>
      <c r="AG50" s="28">
        <f t="shared" si="9"/>
        <v>0</v>
      </c>
    </row>
    <row r="51" spans="1:33" s="29" customFormat="1" ht="23.25" customHeight="1" x14ac:dyDescent="0.2">
      <c r="A51" s="18">
        <v>43532</v>
      </c>
      <c r="B51" s="19"/>
      <c r="C51" s="20" t="s">
        <v>347</v>
      </c>
      <c r="D51" s="20"/>
      <c r="E51" s="20"/>
      <c r="F51" s="21"/>
      <c r="G51" s="44" t="s">
        <v>357</v>
      </c>
      <c r="H51" s="23">
        <v>784.02</v>
      </c>
      <c r="I51" s="23"/>
      <c r="J51" s="23"/>
      <c r="K51" s="23"/>
      <c r="L51" s="24"/>
      <c r="M51" s="25">
        <f t="shared" si="5"/>
        <v>784.02</v>
      </c>
      <c r="N51" s="25">
        <f t="shared" si="6"/>
        <v>0</v>
      </c>
      <c r="O51" s="25">
        <f t="shared" si="7"/>
        <v>0</v>
      </c>
      <c r="P51" s="25"/>
      <c r="Q51" s="26"/>
      <c r="R51" s="26"/>
      <c r="S51" s="27"/>
      <c r="T51" s="27"/>
      <c r="U51" s="27"/>
      <c r="V51" s="27"/>
      <c r="W51" s="27"/>
      <c r="X51" s="26"/>
      <c r="Y51" s="26"/>
      <c r="Z51" s="26"/>
      <c r="AA51" s="26"/>
      <c r="AB51" s="27">
        <v>784.02</v>
      </c>
      <c r="AC51" s="27"/>
      <c r="AD51" s="26"/>
      <c r="AE51" s="26"/>
      <c r="AF51" s="25">
        <f t="shared" si="8"/>
        <v>-784.02</v>
      </c>
      <c r="AG51" s="28">
        <f t="shared" si="9"/>
        <v>0</v>
      </c>
    </row>
    <row r="52" spans="1:33" s="29" customFormat="1" ht="23.25" customHeight="1" x14ac:dyDescent="0.2">
      <c r="A52" s="18">
        <v>43532</v>
      </c>
      <c r="B52" s="19"/>
      <c r="C52" s="20" t="s">
        <v>37</v>
      </c>
      <c r="D52" s="20" t="s">
        <v>38</v>
      </c>
      <c r="E52" s="20" t="s">
        <v>39</v>
      </c>
      <c r="F52" s="21">
        <v>34405</v>
      </c>
      <c r="G52" s="44" t="s">
        <v>297</v>
      </c>
      <c r="H52" s="23"/>
      <c r="I52" s="23"/>
      <c r="J52" s="23"/>
      <c r="K52" s="23">
        <v>385</v>
      </c>
      <c r="L52" s="24"/>
      <c r="M52" s="25">
        <f t="shared" si="5"/>
        <v>343.74999999999994</v>
      </c>
      <c r="N52" s="25">
        <f t="shared" si="6"/>
        <v>41.249999999999993</v>
      </c>
      <c r="O52" s="25">
        <f t="shared" si="7"/>
        <v>0</v>
      </c>
      <c r="P52" s="25">
        <v>343.75</v>
      </c>
      <c r="Q52" s="26"/>
      <c r="R52" s="26"/>
      <c r="S52" s="27"/>
      <c r="T52" s="27"/>
      <c r="U52" s="27"/>
      <c r="V52" s="27"/>
      <c r="W52" s="27"/>
      <c r="X52" s="26"/>
      <c r="Y52" s="26"/>
      <c r="Z52" s="26"/>
      <c r="AA52" s="26"/>
      <c r="AB52" s="27"/>
      <c r="AC52" s="27"/>
      <c r="AD52" s="26"/>
      <c r="AE52" s="26"/>
      <c r="AF52" s="25">
        <f t="shared" si="8"/>
        <v>-385</v>
      </c>
      <c r="AG52" s="28">
        <f t="shared" si="9"/>
        <v>0</v>
      </c>
    </row>
    <row r="53" spans="1:33" s="29" customFormat="1" ht="23.25" customHeight="1" x14ac:dyDescent="0.2">
      <c r="A53" s="18">
        <v>43532</v>
      </c>
      <c r="B53" s="19"/>
      <c r="C53" s="20" t="s">
        <v>277</v>
      </c>
      <c r="D53" s="20"/>
      <c r="E53" s="20"/>
      <c r="F53" s="21"/>
      <c r="G53" s="44" t="s">
        <v>358</v>
      </c>
      <c r="H53" s="23">
        <v>537</v>
      </c>
      <c r="I53" s="23"/>
      <c r="J53" s="23"/>
      <c r="K53" s="23"/>
      <c r="L53" s="24"/>
      <c r="M53" s="25">
        <f t="shared" si="5"/>
        <v>537</v>
      </c>
      <c r="N53" s="25">
        <f t="shared" si="6"/>
        <v>0</v>
      </c>
      <c r="O53" s="25">
        <f t="shared" si="7"/>
        <v>0</v>
      </c>
      <c r="P53" s="25"/>
      <c r="Q53" s="26"/>
      <c r="R53" s="26"/>
      <c r="S53" s="27"/>
      <c r="T53" s="27"/>
      <c r="U53" s="27"/>
      <c r="V53" s="27"/>
      <c r="W53" s="27"/>
      <c r="X53" s="26"/>
      <c r="Y53" s="26"/>
      <c r="Z53" s="26"/>
      <c r="AA53" s="26"/>
      <c r="AB53" s="27">
        <v>537</v>
      </c>
      <c r="AC53" s="27"/>
      <c r="AD53" s="26"/>
      <c r="AE53" s="26"/>
      <c r="AF53" s="25">
        <f t="shared" si="8"/>
        <v>-537</v>
      </c>
      <c r="AG53" s="28">
        <f t="shared" si="9"/>
        <v>0</v>
      </c>
    </row>
    <row r="54" spans="1:33" s="29" customFormat="1" ht="23.25" customHeight="1" x14ac:dyDescent="0.2">
      <c r="A54" s="18">
        <v>43532</v>
      </c>
      <c r="B54" s="19"/>
      <c r="C54" s="20" t="s">
        <v>295</v>
      </c>
      <c r="D54" s="20"/>
      <c r="E54" s="20"/>
      <c r="F54" s="21">
        <v>129675</v>
      </c>
      <c r="G54" s="44" t="s">
        <v>359</v>
      </c>
      <c r="H54" s="23"/>
      <c r="I54" s="23"/>
      <c r="J54" s="23"/>
      <c r="K54" s="23">
        <v>336.75</v>
      </c>
      <c r="L54" s="24"/>
      <c r="M54" s="25">
        <f t="shared" si="5"/>
        <v>300.66964285714283</v>
      </c>
      <c r="N54" s="25">
        <f t="shared" si="6"/>
        <v>36.080357142857139</v>
      </c>
      <c r="O54" s="25">
        <f t="shared" si="7"/>
        <v>0</v>
      </c>
      <c r="P54" s="25">
        <v>300.67</v>
      </c>
      <c r="Q54" s="26"/>
      <c r="R54" s="26"/>
      <c r="S54" s="27"/>
      <c r="T54" s="27"/>
      <c r="U54" s="27"/>
      <c r="V54" s="27"/>
      <c r="W54" s="27"/>
      <c r="X54" s="26"/>
      <c r="Y54" s="26"/>
      <c r="Z54" s="26"/>
      <c r="AA54" s="26"/>
      <c r="AB54" s="27"/>
      <c r="AC54" s="27"/>
      <c r="AD54" s="26"/>
      <c r="AE54" s="26"/>
      <c r="AF54" s="25">
        <f t="shared" si="8"/>
        <v>-336.75035714285718</v>
      </c>
      <c r="AG54" s="28">
        <f t="shared" si="9"/>
        <v>-3.5714285718313477E-4</v>
      </c>
    </row>
    <row r="55" spans="1:33" s="29" customFormat="1" ht="23.25" customHeight="1" x14ac:dyDescent="0.2">
      <c r="A55" s="18">
        <v>43532</v>
      </c>
      <c r="B55" s="19"/>
      <c r="C55" s="20" t="s">
        <v>62</v>
      </c>
      <c r="D55" s="20"/>
      <c r="E55" s="20"/>
      <c r="F55" s="21"/>
      <c r="G55" s="44" t="s">
        <v>360</v>
      </c>
      <c r="H55" s="23">
        <v>110</v>
      </c>
      <c r="I55" s="23"/>
      <c r="J55" s="23"/>
      <c r="K55" s="23"/>
      <c r="L55" s="24"/>
      <c r="M55" s="25">
        <f t="shared" si="5"/>
        <v>110</v>
      </c>
      <c r="N55" s="25">
        <f t="shared" si="6"/>
        <v>0</v>
      </c>
      <c r="O55" s="25">
        <f t="shared" si="7"/>
        <v>0</v>
      </c>
      <c r="P55" s="25"/>
      <c r="Q55" s="26"/>
      <c r="R55" s="26"/>
      <c r="S55" s="27"/>
      <c r="T55" s="27"/>
      <c r="U55" s="27"/>
      <c r="V55" s="27"/>
      <c r="W55" s="27"/>
      <c r="X55" s="26"/>
      <c r="Y55" s="26"/>
      <c r="Z55" s="26"/>
      <c r="AA55" s="26">
        <v>110</v>
      </c>
      <c r="AB55" s="27"/>
      <c r="AC55" s="27"/>
      <c r="AD55" s="26"/>
      <c r="AE55" s="26"/>
      <c r="AF55" s="25">
        <f t="shared" si="8"/>
        <v>-110</v>
      </c>
      <c r="AG55" s="28">
        <f t="shared" si="9"/>
        <v>0</v>
      </c>
    </row>
    <row r="56" spans="1:33" s="29" customFormat="1" ht="23.25" customHeight="1" x14ac:dyDescent="0.2">
      <c r="A56" s="18">
        <v>43533</v>
      </c>
      <c r="B56" s="19"/>
      <c r="C56" s="20" t="s">
        <v>45</v>
      </c>
      <c r="D56" s="20" t="s">
        <v>46</v>
      </c>
      <c r="E56" s="20" t="s">
        <v>47</v>
      </c>
      <c r="F56" s="21">
        <v>163632</v>
      </c>
      <c r="G56" s="44" t="s">
        <v>361</v>
      </c>
      <c r="H56" s="23"/>
      <c r="I56" s="23"/>
      <c r="J56" s="23"/>
      <c r="K56" s="23">
        <v>948</v>
      </c>
      <c r="L56" s="24"/>
      <c r="M56" s="25">
        <f t="shared" si="5"/>
        <v>846.42857142857133</v>
      </c>
      <c r="N56" s="25">
        <f t="shared" si="6"/>
        <v>101.57142857142856</v>
      </c>
      <c r="O56" s="25">
        <f t="shared" si="7"/>
        <v>0</v>
      </c>
      <c r="P56" s="25">
        <v>846.43</v>
      </c>
      <c r="Q56" s="26"/>
      <c r="R56" s="26"/>
      <c r="S56" s="27"/>
      <c r="T56" s="27"/>
      <c r="U56" s="27"/>
      <c r="V56" s="27"/>
      <c r="W56" s="27"/>
      <c r="X56" s="26"/>
      <c r="Y56" s="26"/>
      <c r="Z56" s="26"/>
      <c r="AA56" s="26"/>
      <c r="AB56" s="27"/>
      <c r="AC56" s="27"/>
      <c r="AD56" s="26"/>
      <c r="AE56" s="26"/>
      <c r="AF56" s="25">
        <f t="shared" si="8"/>
        <v>-948.00142857142851</v>
      </c>
      <c r="AG56" s="28">
        <f t="shared" si="9"/>
        <v>-1.4285714285051654E-3</v>
      </c>
    </row>
    <row r="57" spans="1:33" s="29" customFormat="1" ht="23.25" customHeight="1" x14ac:dyDescent="0.2">
      <c r="A57" s="18">
        <v>43535</v>
      </c>
      <c r="B57" s="19"/>
      <c r="C57" s="20" t="s">
        <v>41</v>
      </c>
      <c r="D57" s="20" t="s">
        <v>42</v>
      </c>
      <c r="E57" s="20" t="s">
        <v>43</v>
      </c>
      <c r="F57" s="21">
        <v>163827</v>
      </c>
      <c r="G57" s="44" t="s">
        <v>44</v>
      </c>
      <c r="H57" s="23"/>
      <c r="I57" s="23"/>
      <c r="J57" s="23"/>
      <c r="K57" s="23">
        <v>180</v>
      </c>
      <c r="L57" s="24"/>
      <c r="M57" s="25">
        <f t="shared" si="5"/>
        <v>160.71428571428569</v>
      </c>
      <c r="N57" s="25">
        <f t="shared" si="6"/>
        <v>19.285714285714281</v>
      </c>
      <c r="O57" s="25">
        <f t="shared" si="7"/>
        <v>0</v>
      </c>
      <c r="P57" s="25"/>
      <c r="Q57" s="26">
        <v>160.71</v>
      </c>
      <c r="R57" s="26"/>
      <c r="S57" s="27"/>
      <c r="T57" s="27"/>
      <c r="U57" s="27"/>
      <c r="V57" s="27"/>
      <c r="W57" s="27"/>
      <c r="X57" s="26"/>
      <c r="Y57" s="26"/>
      <c r="Z57" s="26"/>
      <c r="AA57" s="26"/>
      <c r="AB57" s="27"/>
      <c r="AC57" s="27"/>
      <c r="AD57" s="26"/>
      <c r="AE57" s="26"/>
      <c r="AF57" s="25">
        <f t="shared" si="8"/>
        <v>-179.99571428571429</v>
      </c>
      <c r="AG57" s="28">
        <f t="shared" si="9"/>
        <v>4.2857142857144481E-3</v>
      </c>
    </row>
    <row r="58" spans="1:33" s="29" customFormat="1" ht="23.25" customHeight="1" x14ac:dyDescent="0.2">
      <c r="A58" s="18">
        <v>43535</v>
      </c>
      <c r="B58" s="19"/>
      <c r="C58" s="20" t="s">
        <v>37</v>
      </c>
      <c r="D58" s="20" t="s">
        <v>38</v>
      </c>
      <c r="E58" s="20" t="s">
        <v>39</v>
      </c>
      <c r="F58" s="21">
        <v>34420</v>
      </c>
      <c r="G58" s="44" t="s">
        <v>362</v>
      </c>
      <c r="H58" s="23"/>
      <c r="I58" s="23"/>
      <c r="J58" s="23"/>
      <c r="K58" s="23">
        <v>693.5</v>
      </c>
      <c r="L58" s="24"/>
      <c r="M58" s="25">
        <f t="shared" si="5"/>
        <v>619.19642857142856</v>
      </c>
      <c r="N58" s="25">
        <f t="shared" si="6"/>
        <v>74.303571428571431</v>
      </c>
      <c r="O58" s="25">
        <f t="shared" si="7"/>
        <v>0</v>
      </c>
      <c r="P58" s="25">
        <v>619.20000000000005</v>
      </c>
      <c r="Q58" s="26"/>
      <c r="R58" s="26"/>
      <c r="S58" s="27"/>
      <c r="T58" s="27"/>
      <c r="U58" s="27"/>
      <c r="V58" s="27"/>
      <c r="W58" s="27"/>
      <c r="X58" s="26"/>
      <c r="Y58" s="26"/>
      <c r="Z58" s="26"/>
      <c r="AA58" s="26"/>
      <c r="AB58" s="27"/>
      <c r="AC58" s="27"/>
      <c r="AD58" s="26"/>
      <c r="AE58" s="26"/>
      <c r="AF58" s="25">
        <f t="shared" si="8"/>
        <v>-693.50357142857149</v>
      </c>
      <c r="AG58" s="28">
        <f t="shared" si="9"/>
        <v>-3.5714285714902871E-3</v>
      </c>
    </row>
    <row r="59" spans="1:33" s="29" customFormat="1" ht="23.25" customHeight="1" x14ac:dyDescent="0.2">
      <c r="A59" s="18">
        <v>43535</v>
      </c>
      <c r="B59" s="19"/>
      <c r="C59" s="20" t="s">
        <v>58</v>
      </c>
      <c r="D59" s="20"/>
      <c r="E59" s="20"/>
      <c r="F59" s="21"/>
      <c r="G59" s="44" t="s">
        <v>363</v>
      </c>
      <c r="H59" s="23">
        <v>50</v>
      </c>
      <c r="I59" s="23"/>
      <c r="J59" s="23"/>
      <c r="K59" s="23"/>
      <c r="L59" s="24"/>
      <c r="M59" s="25">
        <f t="shared" si="5"/>
        <v>50</v>
      </c>
      <c r="N59" s="25">
        <f t="shared" si="6"/>
        <v>0</v>
      </c>
      <c r="O59" s="25">
        <f t="shared" si="7"/>
        <v>0</v>
      </c>
      <c r="P59" s="25"/>
      <c r="Q59" s="26"/>
      <c r="R59" s="26"/>
      <c r="S59" s="27"/>
      <c r="T59" s="27"/>
      <c r="U59" s="27"/>
      <c r="V59" s="27"/>
      <c r="W59" s="27"/>
      <c r="X59" s="26"/>
      <c r="Y59" s="26"/>
      <c r="Z59" s="26"/>
      <c r="AA59" s="26">
        <v>50</v>
      </c>
      <c r="AB59" s="27"/>
      <c r="AC59" s="27"/>
      <c r="AD59" s="26"/>
      <c r="AE59" s="26"/>
      <c r="AF59" s="25">
        <f t="shared" si="8"/>
        <v>-50</v>
      </c>
      <c r="AG59" s="28">
        <f t="shared" si="9"/>
        <v>0</v>
      </c>
    </row>
    <row r="60" spans="1:33" s="29" customFormat="1" ht="23.25" customHeight="1" x14ac:dyDescent="0.2">
      <c r="A60" s="18">
        <v>43535</v>
      </c>
      <c r="B60" s="19"/>
      <c r="C60" s="20" t="s">
        <v>37</v>
      </c>
      <c r="D60" s="20" t="s">
        <v>38</v>
      </c>
      <c r="E60" s="20" t="s">
        <v>39</v>
      </c>
      <c r="F60" s="21">
        <v>34431</v>
      </c>
      <c r="G60" s="44" t="s">
        <v>183</v>
      </c>
      <c r="H60" s="23"/>
      <c r="I60" s="23"/>
      <c r="J60" s="23"/>
      <c r="K60" s="23">
        <v>195</v>
      </c>
      <c r="L60" s="24"/>
      <c r="M60" s="25">
        <f t="shared" si="5"/>
        <v>174.10714285714283</v>
      </c>
      <c r="N60" s="25">
        <f t="shared" si="6"/>
        <v>20.892857142857139</v>
      </c>
      <c r="O60" s="25">
        <f t="shared" si="7"/>
        <v>0</v>
      </c>
      <c r="P60" s="25">
        <v>174.11</v>
      </c>
      <c r="Q60" s="26"/>
      <c r="R60" s="26"/>
      <c r="S60" s="27"/>
      <c r="T60" s="27"/>
      <c r="U60" s="27"/>
      <c r="V60" s="27"/>
      <c r="W60" s="27"/>
      <c r="X60" s="26"/>
      <c r="Y60" s="26"/>
      <c r="Z60" s="26"/>
      <c r="AA60" s="26"/>
      <c r="AB60" s="27"/>
      <c r="AC60" s="27"/>
      <c r="AD60" s="26"/>
      <c r="AE60" s="26"/>
      <c r="AF60" s="25">
        <f t="shared" si="8"/>
        <v>-195.00285714285715</v>
      </c>
      <c r="AG60" s="28">
        <f t="shared" si="9"/>
        <v>-2.8571428571524393E-3</v>
      </c>
    </row>
    <row r="61" spans="1:33" s="41" customFormat="1" ht="23.25" customHeight="1" x14ac:dyDescent="0.2">
      <c r="A61" s="30">
        <v>43535</v>
      </c>
      <c r="B61" s="31"/>
      <c r="C61" s="32" t="s">
        <v>37</v>
      </c>
      <c r="D61" s="32" t="s">
        <v>38</v>
      </c>
      <c r="E61" s="32" t="s">
        <v>39</v>
      </c>
      <c r="F61" s="33"/>
      <c r="G61" s="34" t="s">
        <v>364</v>
      </c>
      <c r="H61" s="35"/>
      <c r="I61" s="35"/>
      <c r="J61" s="35"/>
      <c r="K61" s="35">
        <v>194</v>
      </c>
      <c r="L61" s="36"/>
      <c r="M61" s="37">
        <f t="shared" si="5"/>
        <v>173.21428571428569</v>
      </c>
      <c r="N61" s="37">
        <f t="shared" si="6"/>
        <v>20.785714285714281</v>
      </c>
      <c r="O61" s="37">
        <f t="shared" si="7"/>
        <v>0</v>
      </c>
      <c r="P61" s="37"/>
      <c r="Q61" s="38"/>
      <c r="R61" s="38"/>
      <c r="S61" s="39"/>
      <c r="T61" s="39"/>
      <c r="U61" s="39"/>
      <c r="V61" s="39"/>
      <c r="W61" s="39"/>
      <c r="X61" s="38"/>
      <c r="Y61" s="38">
        <v>173.21</v>
      </c>
      <c r="Z61" s="38"/>
      <c r="AA61" s="38"/>
      <c r="AB61" s="39"/>
      <c r="AC61" s="39"/>
      <c r="AD61" s="38"/>
      <c r="AE61" s="38"/>
      <c r="AF61" s="25">
        <f t="shared" si="8"/>
        <v>-193.99571428571429</v>
      </c>
      <c r="AG61" s="28">
        <f t="shared" si="9"/>
        <v>4.2857142857144481E-3</v>
      </c>
    </row>
    <row r="62" spans="1:33" s="29" customFormat="1" ht="23.25" customHeight="1" x14ac:dyDescent="0.2">
      <c r="A62" s="18">
        <v>43535</v>
      </c>
      <c r="B62" s="19"/>
      <c r="C62" s="20" t="s">
        <v>277</v>
      </c>
      <c r="D62" s="20"/>
      <c r="E62" s="20"/>
      <c r="F62" s="21"/>
      <c r="G62" s="44" t="s">
        <v>260</v>
      </c>
      <c r="H62" s="23">
        <v>537</v>
      </c>
      <c r="I62" s="23"/>
      <c r="J62" s="23"/>
      <c r="K62" s="23"/>
      <c r="L62" s="24"/>
      <c r="M62" s="25">
        <f t="shared" si="5"/>
        <v>537</v>
      </c>
      <c r="N62" s="25">
        <f t="shared" si="6"/>
        <v>0</v>
      </c>
      <c r="O62" s="25">
        <f t="shared" si="7"/>
        <v>0</v>
      </c>
      <c r="P62" s="25"/>
      <c r="Q62" s="26"/>
      <c r="R62" s="26"/>
      <c r="S62" s="27"/>
      <c r="T62" s="27"/>
      <c r="U62" s="27"/>
      <c r="V62" s="27"/>
      <c r="W62" s="27"/>
      <c r="X62" s="26"/>
      <c r="Y62" s="26"/>
      <c r="Z62" s="26"/>
      <c r="AA62" s="26"/>
      <c r="AB62" s="27">
        <v>537</v>
      </c>
      <c r="AC62" s="27"/>
      <c r="AD62" s="26"/>
      <c r="AE62" s="26"/>
      <c r="AF62" s="25">
        <f t="shared" si="8"/>
        <v>-537</v>
      </c>
      <c r="AG62" s="28">
        <f t="shared" si="9"/>
        <v>0</v>
      </c>
    </row>
    <row r="63" spans="1:33" s="29" customFormat="1" ht="23.25" customHeight="1" x14ac:dyDescent="0.2">
      <c r="A63" s="18">
        <v>43536</v>
      </c>
      <c r="B63" s="19"/>
      <c r="C63" s="20" t="s">
        <v>41</v>
      </c>
      <c r="D63" s="20" t="s">
        <v>42</v>
      </c>
      <c r="E63" s="20" t="s">
        <v>43</v>
      </c>
      <c r="F63" s="21">
        <v>159847</v>
      </c>
      <c r="G63" s="44" t="s">
        <v>44</v>
      </c>
      <c r="H63" s="23"/>
      <c r="I63" s="23"/>
      <c r="J63" s="23"/>
      <c r="K63" s="23">
        <v>180</v>
      </c>
      <c r="L63" s="24"/>
      <c r="M63" s="25">
        <f t="shared" si="5"/>
        <v>160.71428571428569</v>
      </c>
      <c r="N63" s="25">
        <f t="shared" si="6"/>
        <v>19.285714285714281</v>
      </c>
      <c r="O63" s="25">
        <f t="shared" si="7"/>
        <v>0</v>
      </c>
      <c r="P63" s="25"/>
      <c r="Q63" s="26">
        <v>160.71</v>
      </c>
      <c r="R63" s="26"/>
      <c r="S63" s="27"/>
      <c r="T63" s="27"/>
      <c r="U63" s="27"/>
      <c r="V63" s="27"/>
      <c r="W63" s="27"/>
      <c r="X63" s="26"/>
      <c r="Y63" s="26"/>
      <c r="Z63" s="26"/>
      <c r="AA63" s="26"/>
      <c r="AB63" s="27"/>
      <c r="AC63" s="27"/>
      <c r="AD63" s="26"/>
      <c r="AE63" s="26"/>
      <c r="AF63" s="25">
        <f t="shared" si="8"/>
        <v>-179.99571428571429</v>
      </c>
      <c r="AG63" s="28">
        <f t="shared" si="9"/>
        <v>4.2857142857144481E-3</v>
      </c>
    </row>
    <row r="64" spans="1:33" s="29" customFormat="1" ht="23.25" customHeight="1" x14ac:dyDescent="0.2">
      <c r="A64" s="18">
        <v>43536</v>
      </c>
      <c r="B64" s="19"/>
      <c r="C64" s="20" t="s">
        <v>45</v>
      </c>
      <c r="D64" s="20" t="s">
        <v>46</v>
      </c>
      <c r="E64" s="20" t="s">
        <v>47</v>
      </c>
      <c r="F64" s="21">
        <v>150584</v>
      </c>
      <c r="G64" s="44" t="s">
        <v>365</v>
      </c>
      <c r="H64" s="23"/>
      <c r="I64" s="23"/>
      <c r="J64" s="23"/>
      <c r="K64" s="23">
        <f>1220.85+146.5</f>
        <v>1367.35</v>
      </c>
      <c r="L64" s="24"/>
      <c r="M64" s="25">
        <f t="shared" si="5"/>
        <v>1220.848214285714</v>
      </c>
      <c r="N64" s="25">
        <f t="shared" si="6"/>
        <v>146.50178571428566</v>
      </c>
      <c r="O64" s="25">
        <f t="shared" si="7"/>
        <v>0</v>
      </c>
      <c r="P64" s="25">
        <v>1220.8499999999999</v>
      </c>
      <c r="Q64" s="26"/>
      <c r="R64" s="26"/>
      <c r="S64" s="27"/>
      <c r="T64" s="27"/>
      <c r="U64" s="27"/>
      <c r="V64" s="27"/>
      <c r="W64" s="27"/>
      <c r="X64" s="26"/>
      <c r="Y64" s="26"/>
      <c r="Z64" s="26"/>
      <c r="AA64" s="26"/>
      <c r="AB64" s="27"/>
      <c r="AC64" s="27"/>
      <c r="AD64" s="26"/>
      <c r="AE64" s="26"/>
      <c r="AF64" s="25">
        <f t="shared" si="8"/>
        <v>-1367.3517857142856</v>
      </c>
      <c r="AG64" s="28">
        <f t="shared" si="9"/>
        <v>-1.7857142856883002E-3</v>
      </c>
    </row>
    <row r="65" spans="1:33" s="29" customFormat="1" ht="23.25" customHeight="1" x14ac:dyDescent="0.2">
      <c r="A65" s="18">
        <v>43536</v>
      </c>
      <c r="B65" s="19"/>
      <c r="C65" s="20" t="s">
        <v>45</v>
      </c>
      <c r="D65" s="20" t="s">
        <v>46</v>
      </c>
      <c r="E65" s="20" t="s">
        <v>47</v>
      </c>
      <c r="F65" s="21">
        <v>150584</v>
      </c>
      <c r="G65" s="44" t="s">
        <v>366</v>
      </c>
      <c r="H65" s="23"/>
      <c r="I65" s="23"/>
      <c r="J65" s="23">
        <v>132.19999999999999</v>
      </c>
      <c r="K65" s="23"/>
      <c r="L65" s="24"/>
      <c r="M65" s="25">
        <f t="shared" si="5"/>
        <v>132.19999999999999</v>
      </c>
      <c r="N65" s="25">
        <f t="shared" si="6"/>
        <v>0</v>
      </c>
      <c r="O65" s="25">
        <f t="shared" si="7"/>
        <v>0</v>
      </c>
      <c r="P65" s="25">
        <v>132.19999999999999</v>
      </c>
      <c r="Q65" s="26"/>
      <c r="R65" s="26"/>
      <c r="S65" s="27"/>
      <c r="T65" s="27"/>
      <c r="U65" s="27"/>
      <c r="V65" s="27"/>
      <c r="W65" s="27"/>
      <c r="X65" s="26"/>
      <c r="Y65" s="26"/>
      <c r="Z65" s="26"/>
      <c r="AA65" s="26"/>
      <c r="AB65" s="27"/>
      <c r="AC65" s="27"/>
      <c r="AD65" s="26"/>
      <c r="AE65" s="26"/>
      <c r="AF65" s="25">
        <f t="shared" si="8"/>
        <v>-132.19999999999999</v>
      </c>
      <c r="AG65" s="28">
        <f t="shared" si="9"/>
        <v>0</v>
      </c>
    </row>
    <row r="66" spans="1:33" s="29" customFormat="1" ht="23.25" customHeight="1" x14ac:dyDescent="0.2">
      <c r="A66" s="18">
        <v>43537</v>
      </c>
      <c r="B66" s="19"/>
      <c r="C66" s="20" t="s">
        <v>277</v>
      </c>
      <c r="D66" s="20"/>
      <c r="E66" s="20"/>
      <c r="F66" s="21"/>
      <c r="G66" s="44" t="s">
        <v>260</v>
      </c>
      <c r="H66" s="23">
        <v>537</v>
      </c>
      <c r="I66" s="23"/>
      <c r="J66" s="23"/>
      <c r="K66" s="23"/>
      <c r="L66" s="24"/>
      <c r="M66" s="25">
        <f t="shared" si="5"/>
        <v>537</v>
      </c>
      <c r="N66" s="25">
        <f t="shared" si="6"/>
        <v>0</v>
      </c>
      <c r="O66" s="25">
        <f t="shared" si="7"/>
        <v>0</v>
      </c>
      <c r="P66" s="25"/>
      <c r="Q66" s="26"/>
      <c r="R66" s="26"/>
      <c r="S66" s="27"/>
      <c r="T66" s="27"/>
      <c r="U66" s="27"/>
      <c r="V66" s="27"/>
      <c r="W66" s="27"/>
      <c r="X66" s="26"/>
      <c r="Y66" s="26"/>
      <c r="Z66" s="26"/>
      <c r="AA66" s="26"/>
      <c r="AB66" s="27">
        <v>537</v>
      </c>
      <c r="AC66" s="27"/>
      <c r="AD66" s="26"/>
      <c r="AE66" s="26"/>
      <c r="AF66" s="25">
        <f t="shared" si="8"/>
        <v>-537</v>
      </c>
      <c r="AG66" s="28">
        <f t="shared" si="9"/>
        <v>0</v>
      </c>
    </row>
    <row r="67" spans="1:33" s="29" customFormat="1" ht="23.25" customHeight="1" x14ac:dyDescent="0.2">
      <c r="A67" s="18">
        <v>43537</v>
      </c>
      <c r="B67" s="19"/>
      <c r="C67" s="20" t="s">
        <v>37</v>
      </c>
      <c r="D67" s="20" t="s">
        <v>38</v>
      </c>
      <c r="E67" s="20" t="s">
        <v>39</v>
      </c>
      <c r="F67" s="21">
        <v>34617</v>
      </c>
      <c r="G67" s="44" t="s">
        <v>367</v>
      </c>
      <c r="H67" s="23"/>
      <c r="I67" s="23"/>
      <c r="J67" s="23"/>
      <c r="K67" s="23">
        <v>311</v>
      </c>
      <c r="L67" s="24"/>
      <c r="M67" s="25">
        <f t="shared" si="5"/>
        <v>277.67857142857139</v>
      </c>
      <c r="N67" s="25">
        <f t="shared" si="6"/>
        <v>33.321428571428562</v>
      </c>
      <c r="O67" s="25">
        <f t="shared" si="7"/>
        <v>0</v>
      </c>
      <c r="P67" s="25">
        <v>277.68</v>
      </c>
      <c r="Q67" s="26"/>
      <c r="R67" s="26"/>
      <c r="S67" s="27"/>
      <c r="T67" s="27"/>
      <c r="U67" s="27"/>
      <c r="V67" s="27"/>
      <c r="W67" s="27"/>
      <c r="X67" s="26"/>
      <c r="Y67" s="26"/>
      <c r="Z67" s="26"/>
      <c r="AA67" s="26"/>
      <c r="AB67" s="27"/>
      <c r="AC67" s="27"/>
      <c r="AD67" s="26"/>
      <c r="AE67" s="26"/>
      <c r="AF67" s="25">
        <f t="shared" si="8"/>
        <v>-311.00142857142856</v>
      </c>
      <c r="AG67" s="28">
        <f t="shared" si="9"/>
        <v>-1.4285714285620088E-3</v>
      </c>
    </row>
    <row r="68" spans="1:33" s="29" customFormat="1" ht="23.25" customHeight="1" x14ac:dyDescent="0.2">
      <c r="A68" s="18">
        <v>43537</v>
      </c>
      <c r="B68" s="19"/>
      <c r="C68" s="20" t="s">
        <v>41</v>
      </c>
      <c r="D68" s="20" t="s">
        <v>42</v>
      </c>
      <c r="E68" s="20" t="s">
        <v>43</v>
      </c>
      <c r="F68" s="21">
        <v>182422</v>
      </c>
      <c r="G68" s="44" t="s">
        <v>44</v>
      </c>
      <c r="H68" s="23"/>
      <c r="I68" s="23"/>
      <c r="J68" s="23"/>
      <c r="K68" s="23">
        <v>180</v>
      </c>
      <c r="L68" s="24"/>
      <c r="M68" s="25">
        <f t="shared" si="5"/>
        <v>160.71428571428569</v>
      </c>
      <c r="N68" s="25">
        <f t="shared" si="6"/>
        <v>19.285714285714281</v>
      </c>
      <c r="O68" s="25">
        <f t="shared" si="7"/>
        <v>0</v>
      </c>
      <c r="P68" s="25"/>
      <c r="Q68" s="26">
        <v>160.71</v>
      </c>
      <c r="R68" s="26"/>
      <c r="S68" s="27"/>
      <c r="T68" s="27"/>
      <c r="U68" s="27"/>
      <c r="V68" s="27"/>
      <c r="W68" s="27"/>
      <c r="X68" s="26"/>
      <c r="Y68" s="26"/>
      <c r="Z68" s="26"/>
      <c r="AA68" s="26"/>
      <c r="AB68" s="27"/>
      <c r="AC68" s="27"/>
      <c r="AD68" s="26"/>
      <c r="AE68" s="26"/>
      <c r="AF68" s="25">
        <f t="shared" si="8"/>
        <v>-179.99571428571429</v>
      </c>
      <c r="AG68" s="28">
        <f t="shared" si="9"/>
        <v>4.2857142857144481E-3</v>
      </c>
    </row>
    <row r="69" spans="1:33" s="29" customFormat="1" ht="23.25" customHeight="1" x14ac:dyDescent="0.2">
      <c r="A69" s="18">
        <v>43537</v>
      </c>
      <c r="B69" s="19"/>
      <c r="C69" s="20" t="s">
        <v>54</v>
      </c>
      <c r="D69" s="20" t="s">
        <v>55</v>
      </c>
      <c r="E69" s="20" t="s">
        <v>368</v>
      </c>
      <c r="F69" s="21">
        <v>2997</v>
      </c>
      <c r="G69" s="44" t="s">
        <v>369</v>
      </c>
      <c r="H69" s="23"/>
      <c r="I69" s="23"/>
      <c r="J69" s="23">
        <v>645</v>
      </c>
      <c r="K69" s="23"/>
      <c r="L69" s="24"/>
      <c r="M69" s="25">
        <f t="shared" ref="M69:M100" si="10">SUM(H69:J69,K69/1.12)</f>
        <v>645</v>
      </c>
      <c r="N69" s="25">
        <f t="shared" ref="N69:N100" si="11">K69/1.12*0.12</f>
        <v>0</v>
      </c>
      <c r="O69" s="25">
        <f t="shared" ref="O69:O100" si="12">-SUM(I69:J69,K69/1.12)*L69</f>
        <v>0</v>
      </c>
      <c r="P69" s="25">
        <v>645</v>
      </c>
      <c r="Q69" s="26"/>
      <c r="R69" s="26"/>
      <c r="S69" s="27"/>
      <c r="T69" s="27"/>
      <c r="U69" s="27"/>
      <c r="V69" s="27"/>
      <c r="W69" s="27"/>
      <c r="X69" s="26"/>
      <c r="Y69" s="26"/>
      <c r="Z69" s="26"/>
      <c r="AA69" s="26"/>
      <c r="AB69" s="27"/>
      <c r="AC69" s="27"/>
      <c r="AD69" s="26"/>
      <c r="AE69" s="26"/>
      <c r="AF69" s="25">
        <f t="shared" ref="AF69:AF100" si="13">-SUM(N69:AE69)</f>
        <v>-645</v>
      </c>
      <c r="AG69" s="28">
        <f t="shared" ref="AG69:AG100" si="14">SUM(H69:K69)+AF69+O69</f>
        <v>0</v>
      </c>
    </row>
    <row r="70" spans="1:33" s="29" customFormat="1" ht="23.25" customHeight="1" x14ac:dyDescent="0.2">
      <c r="A70" s="18">
        <v>43537</v>
      </c>
      <c r="B70" s="19"/>
      <c r="C70" s="20" t="s">
        <v>58</v>
      </c>
      <c r="D70" s="20"/>
      <c r="E70" s="20"/>
      <c r="F70" s="21"/>
      <c r="G70" s="44" t="s">
        <v>294</v>
      </c>
      <c r="H70" s="23">
        <v>100</v>
      </c>
      <c r="I70" s="23"/>
      <c r="J70" s="23"/>
      <c r="K70" s="23"/>
      <c r="L70" s="24"/>
      <c r="M70" s="25">
        <f t="shared" si="10"/>
        <v>100</v>
      </c>
      <c r="N70" s="25">
        <f t="shared" si="11"/>
        <v>0</v>
      </c>
      <c r="O70" s="25">
        <f t="shared" si="12"/>
        <v>0</v>
      </c>
      <c r="P70" s="25"/>
      <c r="Q70" s="26"/>
      <c r="R70" s="26"/>
      <c r="S70" s="27"/>
      <c r="T70" s="27"/>
      <c r="U70" s="27"/>
      <c r="V70" s="27"/>
      <c r="W70" s="27"/>
      <c r="X70" s="26"/>
      <c r="Y70" s="26"/>
      <c r="Z70" s="26"/>
      <c r="AA70" s="26">
        <v>100</v>
      </c>
      <c r="AB70" s="27"/>
      <c r="AC70" s="27"/>
      <c r="AD70" s="26"/>
      <c r="AE70" s="26"/>
      <c r="AF70" s="25">
        <f t="shared" si="13"/>
        <v>-100</v>
      </c>
      <c r="AG70" s="28">
        <f t="shared" si="14"/>
        <v>0</v>
      </c>
    </row>
    <row r="71" spans="1:33" s="29" customFormat="1" ht="23.25" customHeight="1" x14ac:dyDescent="0.2">
      <c r="A71" s="18">
        <v>43537</v>
      </c>
      <c r="B71" s="19"/>
      <c r="C71" s="20" t="s">
        <v>45</v>
      </c>
      <c r="D71" s="20" t="s">
        <v>46</v>
      </c>
      <c r="E71" s="20" t="s">
        <v>47</v>
      </c>
      <c r="F71" s="21">
        <v>191029</v>
      </c>
      <c r="G71" s="44" t="s">
        <v>370</v>
      </c>
      <c r="H71" s="23"/>
      <c r="I71" s="23"/>
      <c r="J71" s="23">
        <v>199.85</v>
      </c>
      <c r="K71" s="23"/>
      <c r="L71" s="24"/>
      <c r="M71" s="25">
        <f t="shared" si="10"/>
        <v>199.85</v>
      </c>
      <c r="N71" s="25">
        <f t="shared" si="11"/>
        <v>0</v>
      </c>
      <c r="O71" s="25">
        <f t="shared" si="12"/>
        <v>0</v>
      </c>
      <c r="P71" s="25">
        <v>199.85</v>
      </c>
      <c r="Q71" s="26"/>
      <c r="R71" s="26"/>
      <c r="S71" s="27"/>
      <c r="T71" s="27"/>
      <c r="U71" s="27"/>
      <c r="V71" s="27"/>
      <c r="W71" s="27"/>
      <c r="X71" s="26"/>
      <c r="Y71" s="26"/>
      <c r="Z71" s="26"/>
      <c r="AA71" s="26"/>
      <c r="AB71" s="27"/>
      <c r="AC71" s="27"/>
      <c r="AD71" s="26"/>
      <c r="AE71" s="26"/>
      <c r="AF71" s="25">
        <f t="shared" si="13"/>
        <v>-199.85</v>
      </c>
      <c r="AG71" s="28">
        <f t="shared" si="14"/>
        <v>0</v>
      </c>
    </row>
    <row r="72" spans="1:33" s="29" customFormat="1" ht="23.25" customHeight="1" x14ac:dyDescent="0.2">
      <c r="A72" s="18">
        <v>43538</v>
      </c>
      <c r="B72" s="19"/>
      <c r="C72" s="20" t="s">
        <v>54</v>
      </c>
      <c r="D72" s="20" t="s">
        <v>55</v>
      </c>
      <c r="E72" s="20" t="s">
        <v>368</v>
      </c>
      <c r="F72" s="21">
        <v>3001</v>
      </c>
      <c r="G72" s="44" t="s">
        <v>195</v>
      </c>
      <c r="H72" s="23"/>
      <c r="I72" s="23"/>
      <c r="J72" s="23">
        <v>1835</v>
      </c>
      <c r="K72" s="23"/>
      <c r="L72" s="24"/>
      <c r="M72" s="25">
        <f t="shared" si="10"/>
        <v>1835</v>
      </c>
      <c r="N72" s="25">
        <f t="shared" si="11"/>
        <v>0</v>
      </c>
      <c r="O72" s="25">
        <f t="shared" si="12"/>
        <v>0</v>
      </c>
      <c r="P72" s="25">
        <v>1835</v>
      </c>
      <c r="Q72" s="26"/>
      <c r="R72" s="26"/>
      <c r="S72" s="27"/>
      <c r="T72" s="27"/>
      <c r="U72" s="27"/>
      <c r="V72" s="27"/>
      <c r="W72" s="27"/>
      <c r="X72" s="26"/>
      <c r="Y72" s="26"/>
      <c r="Z72" s="26"/>
      <c r="AA72" s="26"/>
      <c r="AB72" s="27"/>
      <c r="AC72" s="27"/>
      <c r="AD72" s="26"/>
      <c r="AE72" s="26"/>
      <c r="AF72" s="25">
        <f t="shared" si="13"/>
        <v>-1835</v>
      </c>
      <c r="AG72" s="28">
        <f t="shared" si="14"/>
        <v>0</v>
      </c>
    </row>
    <row r="73" spans="1:33" s="29" customFormat="1" ht="23.25" customHeight="1" x14ac:dyDescent="0.2">
      <c r="A73" s="18">
        <v>43538</v>
      </c>
      <c r="B73" s="19"/>
      <c r="C73" s="20" t="s">
        <v>58</v>
      </c>
      <c r="D73" s="20"/>
      <c r="E73" s="20"/>
      <c r="F73" s="21"/>
      <c r="G73" s="44" t="s">
        <v>294</v>
      </c>
      <c r="H73" s="23">
        <v>50</v>
      </c>
      <c r="I73" s="23"/>
      <c r="J73" s="23"/>
      <c r="K73" s="23"/>
      <c r="L73" s="24"/>
      <c r="M73" s="25">
        <f t="shared" si="10"/>
        <v>50</v>
      </c>
      <c r="N73" s="25">
        <f t="shared" si="11"/>
        <v>0</v>
      </c>
      <c r="O73" s="25">
        <f t="shared" si="12"/>
        <v>0</v>
      </c>
      <c r="P73" s="25"/>
      <c r="Q73" s="26"/>
      <c r="R73" s="26"/>
      <c r="S73" s="27"/>
      <c r="T73" s="27"/>
      <c r="U73" s="27"/>
      <c r="V73" s="27"/>
      <c r="W73" s="27"/>
      <c r="X73" s="26"/>
      <c r="Y73" s="26"/>
      <c r="Z73" s="26"/>
      <c r="AA73" s="26">
        <v>50</v>
      </c>
      <c r="AB73" s="27"/>
      <c r="AC73" s="27"/>
      <c r="AD73" s="26"/>
      <c r="AE73" s="26"/>
      <c r="AF73" s="25">
        <f t="shared" si="13"/>
        <v>-50</v>
      </c>
      <c r="AG73" s="28">
        <f t="shared" si="14"/>
        <v>0</v>
      </c>
    </row>
    <row r="74" spans="1:33" s="29" customFormat="1" ht="23.25" customHeight="1" x14ac:dyDescent="0.2">
      <c r="A74" s="18">
        <v>43538</v>
      </c>
      <c r="B74" s="19"/>
      <c r="C74" s="20" t="s">
        <v>45</v>
      </c>
      <c r="D74" s="20" t="s">
        <v>46</v>
      </c>
      <c r="E74" s="20" t="s">
        <v>47</v>
      </c>
      <c r="F74" s="21">
        <v>180951</v>
      </c>
      <c r="G74" s="44" t="s">
        <v>371</v>
      </c>
      <c r="H74" s="23"/>
      <c r="I74" s="23"/>
      <c r="J74" s="23">
        <v>234.2</v>
      </c>
      <c r="K74" s="23"/>
      <c r="L74" s="24"/>
      <c r="M74" s="25">
        <f t="shared" si="10"/>
        <v>234.2</v>
      </c>
      <c r="N74" s="25">
        <f t="shared" si="11"/>
        <v>0</v>
      </c>
      <c r="O74" s="25">
        <f t="shared" si="12"/>
        <v>0</v>
      </c>
      <c r="P74" s="25">
        <v>234.2</v>
      </c>
      <c r="Q74" s="26"/>
      <c r="R74" s="26"/>
      <c r="S74" s="27"/>
      <c r="T74" s="27"/>
      <c r="U74" s="27"/>
      <c r="V74" s="27"/>
      <c r="W74" s="27"/>
      <c r="X74" s="26"/>
      <c r="Y74" s="26"/>
      <c r="Z74" s="26"/>
      <c r="AA74" s="26"/>
      <c r="AB74" s="27"/>
      <c r="AC74" s="27"/>
      <c r="AD74" s="26"/>
      <c r="AE74" s="26"/>
      <c r="AF74" s="25">
        <f t="shared" si="13"/>
        <v>-234.2</v>
      </c>
      <c r="AG74" s="28">
        <f t="shared" si="14"/>
        <v>0</v>
      </c>
    </row>
    <row r="75" spans="1:33" s="29" customFormat="1" ht="23.25" customHeight="1" x14ac:dyDescent="0.2">
      <c r="A75" s="18">
        <v>43538</v>
      </c>
      <c r="B75" s="19"/>
      <c r="C75" s="20" t="s">
        <v>74</v>
      </c>
      <c r="D75" s="20"/>
      <c r="E75" s="20"/>
      <c r="F75" s="21"/>
      <c r="G75" s="44" t="s">
        <v>75</v>
      </c>
      <c r="H75" s="23"/>
      <c r="I75" s="23"/>
      <c r="J75" s="23">
        <v>1123</v>
      </c>
      <c r="K75" s="23"/>
      <c r="L75" s="24"/>
      <c r="M75" s="25">
        <f t="shared" si="10"/>
        <v>1123</v>
      </c>
      <c r="N75" s="25">
        <f t="shared" si="11"/>
        <v>0</v>
      </c>
      <c r="O75" s="25">
        <f t="shared" si="12"/>
        <v>0</v>
      </c>
      <c r="P75" s="25">
        <v>1123</v>
      </c>
      <c r="Q75" s="26"/>
      <c r="R75" s="26"/>
      <c r="S75" s="27"/>
      <c r="T75" s="27"/>
      <c r="U75" s="27"/>
      <c r="V75" s="27"/>
      <c r="W75" s="27"/>
      <c r="X75" s="26"/>
      <c r="Y75" s="26"/>
      <c r="Z75" s="26"/>
      <c r="AA75" s="26"/>
      <c r="AB75" s="27"/>
      <c r="AC75" s="27"/>
      <c r="AD75" s="26"/>
      <c r="AE75" s="26"/>
      <c r="AF75" s="25">
        <f t="shared" si="13"/>
        <v>-1123</v>
      </c>
      <c r="AG75" s="28">
        <f t="shared" si="14"/>
        <v>0</v>
      </c>
    </row>
    <row r="76" spans="1:33" s="29" customFormat="1" ht="23.25" customHeight="1" x14ac:dyDescent="0.2">
      <c r="A76" s="18">
        <v>43538</v>
      </c>
      <c r="B76" s="19"/>
      <c r="C76" s="20" t="s">
        <v>37</v>
      </c>
      <c r="D76" s="20" t="s">
        <v>38</v>
      </c>
      <c r="E76" s="20" t="s">
        <v>39</v>
      </c>
      <c r="F76" s="21">
        <v>34624</v>
      </c>
      <c r="G76" s="44" t="s">
        <v>372</v>
      </c>
      <c r="H76" s="23"/>
      <c r="I76" s="23"/>
      <c r="J76" s="23"/>
      <c r="K76" s="23">
        <v>929</v>
      </c>
      <c r="L76" s="24"/>
      <c r="M76" s="25">
        <f t="shared" si="10"/>
        <v>829.46428571428567</v>
      </c>
      <c r="N76" s="25">
        <f t="shared" si="11"/>
        <v>99.535714285714278</v>
      </c>
      <c r="O76" s="25">
        <f t="shared" si="12"/>
        <v>0</v>
      </c>
      <c r="P76" s="25">
        <v>829.46</v>
      </c>
      <c r="Q76" s="26"/>
      <c r="R76" s="26"/>
      <c r="S76" s="27"/>
      <c r="T76" s="27"/>
      <c r="U76" s="27"/>
      <c r="V76" s="27"/>
      <c r="W76" s="27"/>
      <c r="X76" s="26"/>
      <c r="Y76" s="26"/>
      <c r="Z76" s="26"/>
      <c r="AA76" s="26"/>
      <c r="AB76" s="27"/>
      <c r="AC76" s="27"/>
      <c r="AD76" s="26"/>
      <c r="AE76" s="26"/>
      <c r="AF76" s="25">
        <f t="shared" si="13"/>
        <v>-928.99571428571426</v>
      </c>
      <c r="AG76" s="28">
        <f t="shared" si="14"/>
        <v>4.2857142857428698E-3</v>
      </c>
    </row>
    <row r="77" spans="1:33" s="29" customFormat="1" ht="23.25" customHeight="1" x14ac:dyDescent="0.2">
      <c r="A77" s="18">
        <v>43538</v>
      </c>
      <c r="B77" s="19"/>
      <c r="C77" s="20" t="s">
        <v>41</v>
      </c>
      <c r="D77" s="20" t="s">
        <v>42</v>
      </c>
      <c r="E77" s="20" t="s">
        <v>43</v>
      </c>
      <c r="F77" s="21">
        <v>182471</v>
      </c>
      <c r="G77" s="44" t="s">
        <v>44</v>
      </c>
      <c r="H77" s="23"/>
      <c r="I77" s="23"/>
      <c r="J77" s="23"/>
      <c r="K77" s="23">
        <v>180</v>
      </c>
      <c r="L77" s="24"/>
      <c r="M77" s="25">
        <f t="shared" si="10"/>
        <v>160.71428571428569</v>
      </c>
      <c r="N77" s="25">
        <f t="shared" si="11"/>
        <v>19.285714285714281</v>
      </c>
      <c r="O77" s="25">
        <f t="shared" si="12"/>
        <v>0</v>
      </c>
      <c r="P77" s="25"/>
      <c r="Q77" s="26">
        <v>160.71</v>
      </c>
      <c r="R77" s="26"/>
      <c r="S77" s="27"/>
      <c r="T77" s="27"/>
      <c r="U77" s="27"/>
      <c r="V77" s="27"/>
      <c r="W77" s="27"/>
      <c r="X77" s="26"/>
      <c r="Y77" s="26"/>
      <c r="Z77" s="26"/>
      <c r="AA77" s="26"/>
      <c r="AB77" s="27"/>
      <c r="AC77" s="27"/>
      <c r="AD77" s="26"/>
      <c r="AE77" s="26"/>
      <c r="AF77" s="25">
        <f t="shared" si="13"/>
        <v>-179.99571428571429</v>
      </c>
      <c r="AG77" s="28">
        <f t="shared" si="14"/>
        <v>4.2857142857144481E-3</v>
      </c>
    </row>
    <row r="78" spans="1:33" s="29" customFormat="1" ht="23.25" customHeight="1" x14ac:dyDescent="0.2">
      <c r="A78" s="18">
        <v>43537</v>
      </c>
      <c r="B78" s="19"/>
      <c r="C78" s="20" t="s">
        <v>37</v>
      </c>
      <c r="D78" s="20" t="s">
        <v>38</v>
      </c>
      <c r="E78" s="20" t="s">
        <v>39</v>
      </c>
      <c r="F78" s="21">
        <v>34616</v>
      </c>
      <c r="G78" s="44" t="s">
        <v>156</v>
      </c>
      <c r="H78" s="23"/>
      <c r="I78" s="23"/>
      <c r="J78" s="23"/>
      <c r="K78" s="23">
        <v>240</v>
      </c>
      <c r="L78" s="24"/>
      <c r="M78" s="25">
        <f t="shared" si="10"/>
        <v>214.28571428571428</v>
      </c>
      <c r="N78" s="25">
        <f t="shared" si="11"/>
        <v>25.714285714285712</v>
      </c>
      <c r="O78" s="25">
        <f t="shared" si="12"/>
        <v>0</v>
      </c>
      <c r="P78" s="25">
        <v>214.29</v>
      </c>
      <c r="Q78" s="26"/>
      <c r="R78" s="26"/>
      <c r="S78" s="27"/>
      <c r="T78" s="27"/>
      <c r="U78" s="27"/>
      <c r="V78" s="27"/>
      <c r="W78" s="27"/>
      <c r="X78" s="26"/>
      <c r="Y78" s="26"/>
      <c r="Z78" s="26"/>
      <c r="AA78" s="26"/>
      <c r="AB78" s="27"/>
      <c r="AC78" s="27"/>
      <c r="AD78" s="26"/>
      <c r="AE78" s="26"/>
      <c r="AF78" s="25">
        <f t="shared" si="13"/>
        <v>-240.00428571428571</v>
      </c>
      <c r="AG78" s="28">
        <f t="shared" si="14"/>
        <v>-4.2857142857144481E-3</v>
      </c>
    </row>
    <row r="79" spans="1:33" s="29" customFormat="1" ht="23.25" customHeight="1" x14ac:dyDescent="0.2">
      <c r="A79" s="18">
        <v>43537</v>
      </c>
      <c r="B79" s="19"/>
      <c r="C79" s="20" t="s">
        <v>62</v>
      </c>
      <c r="D79" s="20"/>
      <c r="E79" s="20"/>
      <c r="F79" s="21"/>
      <c r="G79" s="44" t="s">
        <v>373</v>
      </c>
      <c r="H79" s="23">
        <v>40</v>
      </c>
      <c r="I79" s="23"/>
      <c r="J79" s="23"/>
      <c r="K79" s="23"/>
      <c r="L79" s="24"/>
      <c r="M79" s="25">
        <f t="shared" si="10"/>
        <v>40</v>
      </c>
      <c r="N79" s="25">
        <f t="shared" si="11"/>
        <v>0</v>
      </c>
      <c r="O79" s="25">
        <f t="shared" si="12"/>
        <v>0</v>
      </c>
      <c r="P79" s="25"/>
      <c r="Q79" s="26"/>
      <c r="R79" s="26"/>
      <c r="S79" s="27"/>
      <c r="T79" s="27"/>
      <c r="U79" s="27"/>
      <c r="V79" s="27"/>
      <c r="W79" s="27"/>
      <c r="X79" s="26"/>
      <c r="Y79" s="26"/>
      <c r="Z79" s="26"/>
      <c r="AA79" s="26">
        <v>40</v>
      </c>
      <c r="AB79" s="27"/>
      <c r="AC79" s="27"/>
      <c r="AD79" s="26"/>
      <c r="AE79" s="26"/>
      <c r="AF79" s="25">
        <f t="shared" si="13"/>
        <v>-40</v>
      </c>
      <c r="AG79" s="28">
        <f t="shared" si="14"/>
        <v>0</v>
      </c>
    </row>
    <row r="80" spans="1:33" s="29" customFormat="1" ht="23.25" customHeight="1" x14ac:dyDescent="0.2">
      <c r="A80" s="18">
        <v>43536</v>
      </c>
      <c r="B80" s="19"/>
      <c r="C80" s="20" t="s">
        <v>374</v>
      </c>
      <c r="D80" s="20" t="s">
        <v>135</v>
      </c>
      <c r="E80" s="20" t="s">
        <v>136</v>
      </c>
      <c r="F80" s="21">
        <v>163895</v>
      </c>
      <c r="G80" s="44" t="s">
        <v>375</v>
      </c>
      <c r="H80" s="23"/>
      <c r="I80" s="23"/>
      <c r="J80" s="23"/>
      <c r="K80" s="23">
        <v>150</v>
      </c>
      <c r="L80" s="24"/>
      <c r="M80" s="25">
        <f t="shared" si="10"/>
        <v>133.92857142857142</v>
      </c>
      <c r="N80" s="25">
        <f t="shared" si="11"/>
        <v>16.071428571428569</v>
      </c>
      <c r="O80" s="25">
        <f t="shared" si="12"/>
        <v>0</v>
      </c>
      <c r="P80" s="25"/>
      <c r="Q80" s="26"/>
      <c r="R80" s="26"/>
      <c r="S80" s="27"/>
      <c r="T80" s="27"/>
      <c r="U80" s="27"/>
      <c r="V80" s="27"/>
      <c r="W80" s="27"/>
      <c r="X80" s="26"/>
      <c r="Y80" s="26"/>
      <c r="Z80" s="26">
        <v>133.93</v>
      </c>
      <c r="AA80" s="26"/>
      <c r="AB80" s="27"/>
      <c r="AC80" s="27"/>
      <c r="AD80" s="26"/>
      <c r="AE80" s="26"/>
      <c r="AF80" s="25">
        <f t="shared" si="13"/>
        <v>-150.00142857142856</v>
      </c>
      <c r="AG80" s="28">
        <f t="shared" si="14"/>
        <v>-1.4285714285620088E-3</v>
      </c>
    </row>
    <row r="81" spans="1:33" s="29" customFormat="1" ht="23.25" customHeight="1" x14ac:dyDescent="0.2">
      <c r="A81" s="18">
        <v>43538</v>
      </c>
      <c r="B81" s="19"/>
      <c r="C81" s="20" t="s">
        <v>376</v>
      </c>
      <c r="D81" s="20"/>
      <c r="E81" s="20"/>
      <c r="F81" s="21"/>
      <c r="G81" s="44" t="s">
        <v>377</v>
      </c>
      <c r="H81" s="23">
        <v>2893.38</v>
      </c>
      <c r="I81" s="23"/>
      <c r="J81" s="23"/>
      <c r="K81" s="23"/>
      <c r="L81" s="24"/>
      <c r="M81" s="25">
        <f t="shared" si="10"/>
        <v>2893.38</v>
      </c>
      <c r="N81" s="25">
        <f t="shared" si="11"/>
        <v>0</v>
      </c>
      <c r="O81" s="25">
        <f t="shared" si="12"/>
        <v>0</v>
      </c>
      <c r="P81" s="25"/>
      <c r="Q81" s="26"/>
      <c r="R81" s="26"/>
      <c r="S81" s="27"/>
      <c r="T81" s="27"/>
      <c r="U81" s="27"/>
      <c r="V81" s="27"/>
      <c r="W81" s="27"/>
      <c r="X81" s="26"/>
      <c r="Y81" s="26"/>
      <c r="Z81" s="26"/>
      <c r="AA81" s="26"/>
      <c r="AB81" s="27">
        <v>2893.38</v>
      </c>
      <c r="AC81" s="27"/>
      <c r="AD81" s="26"/>
      <c r="AE81" s="26"/>
      <c r="AF81" s="25">
        <f t="shared" si="13"/>
        <v>-2893.38</v>
      </c>
      <c r="AG81" s="28">
        <f t="shared" si="14"/>
        <v>0</v>
      </c>
    </row>
    <row r="82" spans="1:33" s="29" customFormat="1" ht="23.25" customHeight="1" x14ac:dyDescent="0.2">
      <c r="A82" s="18">
        <v>43538</v>
      </c>
      <c r="B82" s="19"/>
      <c r="C82" s="20" t="s">
        <v>376</v>
      </c>
      <c r="D82" s="20"/>
      <c r="E82" s="20"/>
      <c r="F82" s="21"/>
      <c r="G82" s="44" t="s">
        <v>378</v>
      </c>
      <c r="H82" s="23">
        <v>240</v>
      </c>
      <c r="I82" s="23"/>
      <c r="J82" s="23"/>
      <c r="K82" s="23"/>
      <c r="L82" s="24"/>
      <c r="M82" s="25">
        <f t="shared" si="10"/>
        <v>240</v>
      </c>
      <c r="N82" s="25">
        <f t="shared" si="11"/>
        <v>0</v>
      </c>
      <c r="O82" s="25">
        <f t="shared" si="12"/>
        <v>0</v>
      </c>
      <c r="P82" s="25"/>
      <c r="Q82" s="26"/>
      <c r="R82" s="26"/>
      <c r="S82" s="27"/>
      <c r="T82" s="27"/>
      <c r="U82" s="27"/>
      <c r="V82" s="27"/>
      <c r="W82" s="27"/>
      <c r="X82" s="26"/>
      <c r="Y82" s="26"/>
      <c r="Z82" s="26"/>
      <c r="AA82" s="26">
        <v>240</v>
      </c>
      <c r="AB82" s="27"/>
      <c r="AC82" s="27"/>
      <c r="AD82" s="26"/>
      <c r="AE82" s="26"/>
      <c r="AF82" s="25">
        <f t="shared" si="13"/>
        <v>-240</v>
      </c>
      <c r="AG82" s="28">
        <f t="shared" si="14"/>
        <v>0</v>
      </c>
    </row>
    <row r="83" spans="1:33" s="29" customFormat="1" ht="23.25" customHeight="1" x14ac:dyDescent="0.2">
      <c r="A83" s="18">
        <v>43538</v>
      </c>
      <c r="B83" s="19"/>
      <c r="C83" s="20" t="s">
        <v>174</v>
      </c>
      <c r="D83" s="20" t="s">
        <v>115</v>
      </c>
      <c r="E83" s="20" t="s">
        <v>47</v>
      </c>
      <c r="F83" s="21">
        <v>131314</v>
      </c>
      <c r="G83" s="44" t="s">
        <v>379</v>
      </c>
      <c r="H83" s="23"/>
      <c r="I83" s="23"/>
      <c r="J83" s="23"/>
      <c r="K83" s="23">
        <v>1114.82</v>
      </c>
      <c r="L83" s="24"/>
      <c r="M83" s="25">
        <f t="shared" si="10"/>
        <v>995.37499999999989</v>
      </c>
      <c r="N83" s="25">
        <f t="shared" si="11"/>
        <v>119.44499999999998</v>
      </c>
      <c r="O83" s="25">
        <f t="shared" si="12"/>
        <v>0</v>
      </c>
      <c r="P83" s="25">
        <v>995.38</v>
      </c>
      <c r="Q83" s="26"/>
      <c r="R83" s="26"/>
      <c r="S83" s="27"/>
      <c r="T83" s="27"/>
      <c r="U83" s="27"/>
      <c r="V83" s="27"/>
      <c r="W83" s="27"/>
      <c r="X83" s="26"/>
      <c r="Y83" s="26"/>
      <c r="Z83" s="26"/>
      <c r="AA83" s="26"/>
      <c r="AB83" s="27"/>
      <c r="AC83" s="27"/>
      <c r="AD83" s="26"/>
      <c r="AE83" s="26"/>
      <c r="AF83" s="25">
        <f t="shared" si="13"/>
        <v>-1114.825</v>
      </c>
      <c r="AG83" s="28">
        <f t="shared" si="14"/>
        <v>-5.0000000001091394E-3</v>
      </c>
    </row>
    <row r="84" spans="1:33" s="29" customFormat="1" ht="23.25" customHeight="1" x14ac:dyDescent="0.2">
      <c r="A84" s="18">
        <v>43538</v>
      </c>
      <c r="B84" s="19"/>
      <c r="C84" s="20" t="s">
        <v>37</v>
      </c>
      <c r="D84" s="20" t="s">
        <v>38</v>
      </c>
      <c r="E84" s="20" t="s">
        <v>39</v>
      </c>
      <c r="F84" s="21">
        <v>34636</v>
      </c>
      <c r="G84" s="44" t="s">
        <v>64</v>
      </c>
      <c r="H84" s="23"/>
      <c r="I84" s="23"/>
      <c r="J84" s="23"/>
      <c r="K84" s="23">
        <v>784.77</v>
      </c>
      <c r="L84" s="24"/>
      <c r="M84" s="25">
        <f t="shared" si="10"/>
        <v>700.68749999999989</v>
      </c>
      <c r="N84" s="25">
        <f t="shared" si="11"/>
        <v>84.082499999999982</v>
      </c>
      <c r="O84" s="25">
        <f t="shared" si="12"/>
        <v>0</v>
      </c>
      <c r="P84" s="25">
        <v>700.69</v>
      </c>
      <c r="Q84" s="26"/>
      <c r="R84" s="26"/>
      <c r="S84" s="27"/>
      <c r="T84" s="27"/>
      <c r="U84" s="27"/>
      <c r="V84" s="27"/>
      <c r="W84" s="27"/>
      <c r="X84" s="26"/>
      <c r="Y84" s="26"/>
      <c r="Z84" s="26"/>
      <c r="AA84" s="26"/>
      <c r="AB84" s="27"/>
      <c r="AC84" s="27"/>
      <c r="AD84" s="26"/>
      <c r="AE84" s="26"/>
      <c r="AF84" s="25">
        <f t="shared" si="13"/>
        <v>-784.77250000000004</v>
      </c>
      <c r="AG84" s="28">
        <f t="shared" si="14"/>
        <v>-2.5000000000545697E-3</v>
      </c>
    </row>
    <row r="85" spans="1:33" s="29" customFormat="1" ht="23.25" customHeight="1" x14ac:dyDescent="0.2">
      <c r="A85" s="18">
        <v>43539</v>
      </c>
      <c r="B85" s="19"/>
      <c r="C85" s="20" t="s">
        <v>45</v>
      </c>
      <c r="D85" s="20" t="s">
        <v>46</v>
      </c>
      <c r="E85" s="20" t="s">
        <v>47</v>
      </c>
      <c r="F85" s="21">
        <v>194866</v>
      </c>
      <c r="G85" s="44" t="s">
        <v>203</v>
      </c>
      <c r="H85" s="23"/>
      <c r="I85" s="23"/>
      <c r="J85" s="23">
        <v>178.85</v>
      </c>
      <c r="K85" s="23"/>
      <c r="L85" s="24"/>
      <c r="M85" s="25">
        <f t="shared" si="10"/>
        <v>178.85</v>
      </c>
      <c r="N85" s="25">
        <f t="shared" si="11"/>
        <v>0</v>
      </c>
      <c r="O85" s="25">
        <f t="shared" si="12"/>
        <v>0</v>
      </c>
      <c r="P85" s="25">
        <v>178.85</v>
      </c>
      <c r="Q85" s="26"/>
      <c r="R85" s="26"/>
      <c r="S85" s="27"/>
      <c r="T85" s="27"/>
      <c r="U85" s="27"/>
      <c r="V85" s="27"/>
      <c r="W85" s="27"/>
      <c r="X85" s="26"/>
      <c r="Y85" s="26"/>
      <c r="Z85" s="26"/>
      <c r="AA85" s="26"/>
      <c r="AB85" s="27"/>
      <c r="AC85" s="27"/>
      <c r="AD85" s="26"/>
      <c r="AE85" s="26"/>
      <c r="AF85" s="25">
        <f t="shared" si="13"/>
        <v>-178.85</v>
      </c>
      <c r="AG85" s="28">
        <f t="shared" si="14"/>
        <v>0</v>
      </c>
    </row>
    <row r="86" spans="1:33" s="29" customFormat="1" ht="23.25" customHeight="1" x14ac:dyDescent="0.2">
      <c r="A86" s="18">
        <v>43539</v>
      </c>
      <c r="B86" s="19"/>
      <c r="C86" s="20" t="s">
        <v>45</v>
      </c>
      <c r="D86" s="20" t="s">
        <v>46</v>
      </c>
      <c r="E86" s="20" t="s">
        <v>47</v>
      </c>
      <c r="F86" s="21">
        <v>194866</v>
      </c>
      <c r="G86" s="44" t="s">
        <v>380</v>
      </c>
      <c r="H86" s="23"/>
      <c r="I86" s="23"/>
      <c r="J86" s="23"/>
      <c r="K86" s="23">
        <v>322.5</v>
      </c>
      <c r="L86" s="24"/>
      <c r="M86" s="25">
        <f t="shared" si="10"/>
        <v>287.94642857142856</v>
      </c>
      <c r="N86" s="25">
        <f t="shared" si="11"/>
        <v>34.553571428571423</v>
      </c>
      <c r="O86" s="25">
        <f t="shared" si="12"/>
        <v>0</v>
      </c>
      <c r="P86" s="25">
        <v>287.95</v>
      </c>
      <c r="Q86" s="26"/>
      <c r="R86" s="26"/>
      <c r="S86" s="27"/>
      <c r="T86" s="27"/>
      <c r="U86" s="27"/>
      <c r="V86" s="27"/>
      <c r="W86" s="27"/>
      <c r="X86" s="26"/>
      <c r="Y86" s="26"/>
      <c r="Z86" s="26"/>
      <c r="AA86" s="26"/>
      <c r="AB86" s="27"/>
      <c r="AC86" s="27"/>
      <c r="AD86" s="26"/>
      <c r="AE86" s="26"/>
      <c r="AF86" s="25">
        <f t="shared" si="13"/>
        <v>-322.50357142857143</v>
      </c>
      <c r="AG86" s="28">
        <f t="shared" si="14"/>
        <v>-3.5714285714334437E-3</v>
      </c>
    </row>
    <row r="87" spans="1:33" s="29" customFormat="1" ht="23.25" customHeight="1" x14ac:dyDescent="0.2">
      <c r="A87" s="18">
        <v>43539</v>
      </c>
      <c r="B87" s="19"/>
      <c r="C87" s="20" t="s">
        <v>41</v>
      </c>
      <c r="D87" s="20" t="s">
        <v>42</v>
      </c>
      <c r="E87" s="20" t="s">
        <v>43</v>
      </c>
      <c r="F87" s="21">
        <v>189015</v>
      </c>
      <c r="G87" s="44" t="s">
        <v>44</v>
      </c>
      <c r="H87" s="23"/>
      <c r="I87" s="23"/>
      <c r="J87" s="23"/>
      <c r="K87" s="23">
        <v>90</v>
      </c>
      <c r="L87" s="24"/>
      <c r="M87" s="25">
        <f t="shared" si="10"/>
        <v>80.357142857142847</v>
      </c>
      <c r="N87" s="25">
        <f t="shared" si="11"/>
        <v>9.6428571428571406</v>
      </c>
      <c r="O87" s="25">
        <f t="shared" si="12"/>
        <v>0</v>
      </c>
      <c r="P87" s="25"/>
      <c r="Q87" s="26">
        <v>80.36</v>
      </c>
      <c r="R87" s="26"/>
      <c r="S87" s="27"/>
      <c r="T87" s="27"/>
      <c r="U87" s="27"/>
      <c r="V87" s="27"/>
      <c r="W87" s="27"/>
      <c r="X87" s="26"/>
      <c r="Y87" s="26"/>
      <c r="Z87" s="26"/>
      <c r="AA87" s="26"/>
      <c r="AB87" s="27"/>
      <c r="AC87" s="27"/>
      <c r="AD87" s="26"/>
      <c r="AE87" s="26"/>
      <c r="AF87" s="25">
        <f t="shared" si="13"/>
        <v>-90.002857142857138</v>
      </c>
      <c r="AG87" s="28">
        <f t="shared" si="14"/>
        <v>-2.8571428571382285E-3</v>
      </c>
    </row>
    <row r="88" spans="1:33" s="29" customFormat="1" ht="23.25" customHeight="1" x14ac:dyDescent="0.2">
      <c r="A88" s="18">
        <v>43539</v>
      </c>
      <c r="B88" s="19"/>
      <c r="C88" s="20" t="s">
        <v>37</v>
      </c>
      <c r="D88" s="20" t="s">
        <v>38</v>
      </c>
      <c r="E88" s="20" t="s">
        <v>39</v>
      </c>
      <c r="F88" s="21">
        <v>47687</v>
      </c>
      <c r="G88" s="44" t="s">
        <v>381</v>
      </c>
      <c r="H88" s="23"/>
      <c r="I88" s="23"/>
      <c r="J88" s="23">
        <v>82</v>
      </c>
      <c r="K88" s="23"/>
      <c r="L88" s="24"/>
      <c r="M88" s="25">
        <f t="shared" si="10"/>
        <v>82</v>
      </c>
      <c r="N88" s="25">
        <f t="shared" si="11"/>
        <v>0</v>
      </c>
      <c r="O88" s="25">
        <f t="shared" si="12"/>
        <v>0</v>
      </c>
      <c r="P88" s="25"/>
      <c r="Q88" s="26"/>
      <c r="R88" s="26"/>
      <c r="S88" s="27"/>
      <c r="T88" s="27"/>
      <c r="U88" s="27"/>
      <c r="V88" s="27"/>
      <c r="W88" s="27"/>
      <c r="X88" s="26"/>
      <c r="Y88" s="26"/>
      <c r="Z88" s="26"/>
      <c r="AA88" s="26"/>
      <c r="AB88" s="27"/>
      <c r="AC88" s="27"/>
      <c r="AD88" s="26">
        <v>82</v>
      </c>
      <c r="AE88" s="26"/>
      <c r="AF88" s="25">
        <f t="shared" si="13"/>
        <v>-82</v>
      </c>
      <c r="AG88" s="28">
        <f t="shared" si="14"/>
        <v>0</v>
      </c>
    </row>
    <row r="89" spans="1:33" s="29" customFormat="1" ht="23.25" customHeight="1" x14ac:dyDescent="0.2">
      <c r="A89" s="18">
        <v>43539</v>
      </c>
      <c r="B89" s="19"/>
      <c r="C89" s="20" t="s">
        <v>157</v>
      </c>
      <c r="D89" s="20"/>
      <c r="E89" s="20"/>
      <c r="F89" s="21"/>
      <c r="G89" s="44" t="s">
        <v>382</v>
      </c>
      <c r="H89" s="23"/>
      <c r="I89" s="23"/>
      <c r="J89" s="23">
        <v>171</v>
      </c>
      <c r="K89" s="23"/>
      <c r="L89" s="24"/>
      <c r="M89" s="25">
        <f t="shared" si="10"/>
        <v>171</v>
      </c>
      <c r="N89" s="25">
        <f t="shared" si="11"/>
        <v>0</v>
      </c>
      <c r="O89" s="25">
        <f t="shared" si="12"/>
        <v>0</v>
      </c>
      <c r="P89" s="25">
        <v>171</v>
      </c>
      <c r="Q89" s="26"/>
      <c r="R89" s="26"/>
      <c r="S89" s="27"/>
      <c r="T89" s="27"/>
      <c r="U89" s="27"/>
      <c r="V89" s="27"/>
      <c r="W89" s="27"/>
      <c r="X89" s="26"/>
      <c r="Y89" s="26"/>
      <c r="Z89" s="26"/>
      <c r="AA89" s="26"/>
      <c r="AB89" s="27"/>
      <c r="AC89" s="27"/>
      <c r="AD89" s="26"/>
      <c r="AE89" s="26"/>
      <c r="AF89" s="25">
        <f t="shared" si="13"/>
        <v>-171</v>
      </c>
      <c r="AG89" s="28">
        <f t="shared" si="14"/>
        <v>0</v>
      </c>
    </row>
    <row r="90" spans="1:33" s="29" customFormat="1" ht="23.25" customHeight="1" x14ac:dyDescent="0.2">
      <c r="A90" s="18">
        <v>43539</v>
      </c>
      <c r="B90" s="19"/>
      <c r="C90" s="20" t="s">
        <v>383</v>
      </c>
      <c r="D90" s="20" t="s">
        <v>384</v>
      </c>
      <c r="E90" s="20" t="s">
        <v>385</v>
      </c>
      <c r="F90" s="21">
        <v>115066</v>
      </c>
      <c r="G90" s="44" t="s">
        <v>386</v>
      </c>
      <c r="H90" s="23"/>
      <c r="I90" s="23"/>
      <c r="J90" s="23"/>
      <c r="K90" s="23">
        <v>2115</v>
      </c>
      <c r="L90" s="24"/>
      <c r="M90" s="25">
        <f t="shared" si="10"/>
        <v>1888.3928571428569</v>
      </c>
      <c r="N90" s="25">
        <f t="shared" si="11"/>
        <v>226.6071428571428</v>
      </c>
      <c r="O90" s="25">
        <f t="shared" si="12"/>
        <v>0</v>
      </c>
      <c r="P90" s="25"/>
      <c r="Q90" s="26"/>
      <c r="R90" s="26"/>
      <c r="S90" s="27"/>
      <c r="T90" s="27"/>
      <c r="U90" s="27"/>
      <c r="V90" s="27"/>
      <c r="W90" s="27"/>
      <c r="X90" s="26">
        <v>1888.39</v>
      </c>
      <c r="Y90" s="26"/>
      <c r="Z90" s="26"/>
      <c r="AA90" s="26"/>
      <c r="AB90" s="27"/>
      <c r="AC90" s="27"/>
      <c r="AD90" s="26"/>
      <c r="AE90" s="26"/>
      <c r="AF90" s="25">
        <f t="shared" si="13"/>
        <v>-2114.997142857143</v>
      </c>
      <c r="AG90" s="28">
        <f t="shared" si="14"/>
        <v>2.8571428570103308E-3</v>
      </c>
    </row>
    <row r="91" spans="1:33" s="29" customFormat="1" ht="23.25" customHeight="1" x14ac:dyDescent="0.2">
      <c r="A91" s="18">
        <v>43539</v>
      </c>
      <c r="B91" s="19"/>
      <c r="C91" s="20" t="s">
        <v>157</v>
      </c>
      <c r="D91" s="20"/>
      <c r="E91" s="20"/>
      <c r="F91" s="21"/>
      <c r="G91" s="44" t="s">
        <v>387</v>
      </c>
      <c r="H91" s="23">
        <v>52</v>
      </c>
      <c r="I91" s="23"/>
      <c r="J91" s="23"/>
      <c r="K91" s="23"/>
      <c r="L91" s="24"/>
      <c r="M91" s="25">
        <f t="shared" si="10"/>
        <v>52</v>
      </c>
      <c r="N91" s="25">
        <f t="shared" si="11"/>
        <v>0</v>
      </c>
      <c r="O91" s="25">
        <f t="shared" si="12"/>
        <v>0</v>
      </c>
      <c r="P91" s="25"/>
      <c r="Q91" s="26"/>
      <c r="R91" s="26"/>
      <c r="S91" s="27"/>
      <c r="T91" s="27"/>
      <c r="U91" s="27"/>
      <c r="V91" s="27"/>
      <c r="W91" s="27"/>
      <c r="X91" s="26"/>
      <c r="Y91" s="26"/>
      <c r="Z91" s="26"/>
      <c r="AA91" s="26">
        <v>52</v>
      </c>
      <c r="AB91" s="27"/>
      <c r="AC91" s="27"/>
      <c r="AD91" s="26"/>
      <c r="AE91" s="26"/>
      <c r="AF91" s="25">
        <f t="shared" si="13"/>
        <v>-52</v>
      </c>
      <c r="AG91" s="28">
        <f t="shared" si="14"/>
        <v>0</v>
      </c>
    </row>
    <row r="92" spans="1:33" s="29" customFormat="1" ht="23.25" customHeight="1" x14ac:dyDescent="0.2">
      <c r="A92" s="18">
        <v>43539</v>
      </c>
      <c r="B92" s="19"/>
      <c r="C92" s="20" t="s">
        <v>388</v>
      </c>
      <c r="D92" s="20" t="s">
        <v>389</v>
      </c>
      <c r="E92" s="20" t="s">
        <v>390</v>
      </c>
      <c r="F92" s="21">
        <v>1404</v>
      </c>
      <c r="G92" s="44" t="s">
        <v>69</v>
      </c>
      <c r="H92" s="23"/>
      <c r="I92" s="23"/>
      <c r="J92" s="23">
        <v>1120</v>
      </c>
      <c r="K92" s="23"/>
      <c r="L92" s="24">
        <v>0.1</v>
      </c>
      <c r="M92" s="25">
        <f t="shared" si="10"/>
        <v>1120</v>
      </c>
      <c r="N92" s="25">
        <f t="shared" si="11"/>
        <v>0</v>
      </c>
      <c r="O92" s="25">
        <f t="shared" si="12"/>
        <v>-112</v>
      </c>
      <c r="P92" s="25">
        <v>1120</v>
      </c>
      <c r="Q92" s="26"/>
      <c r="R92" s="26"/>
      <c r="S92" s="27"/>
      <c r="T92" s="27"/>
      <c r="U92" s="27"/>
      <c r="V92" s="27"/>
      <c r="W92" s="27"/>
      <c r="X92" s="26"/>
      <c r="Y92" s="26"/>
      <c r="Z92" s="26"/>
      <c r="AA92" s="26"/>
      <c r="AB92" s="27"/>
      <c r="AC92" s="27"/>
      <c r="AD92" s="26"/>
      <c r="AE92" s="26"/>
      <c r="AF92" s="25">
        <f t="shared" si="13"/>
        <v>-1008</v>
      </c>
      <c r="AG92" s="28">
        <f t="shared" si="14"/>
        <v>0</v>
      </c>
    </row>
    <row r="93" spans="1:33" s="29" customFormat="1" ht="23.25" customHeight="1" x14ac:dyDescent="0.2">
      <c r="A93" s="18">
        <v>43539</v>
      </c>
      <c r="B93" s="19"/>
      <c r="C93" s="20" t="s">
        <v>268</v>
      </c>
      <c r="D93" s="20"/>
      <c r="E93" s="20"/>
      <c r="F93" s="21"/>
      <c r="G93" s="44" t="s">
        <v>391</v>
      </c>
      <c r="H93" s="23">
        <f>537*2</f>
        <v>1074</v>
      </c>
      <c r="I93" s="23"/>
      <c r="J93" s="23"/>
      <c r="K93" s="23"/>
      <c r="L93" s="24"/>
      <c r="M93" s="25">
        <f t="shared" si="10"/>
        <v>1074</v>
      </c>
      <c r="N93" s="25">
        <f t="shared" si="11"/>
        <v>0</v>
      </c>
      <c r="O93" s="25">
        <f t="shared" si="12"/>
        <v>0</v>
      </c>
      <c r="P93" s="25"/>
      <c r="Q93" s="26"/>
      <c r="R93" s="26"/>
      <c r="S93" s="27"/>
      <c r="T93" s="27"/>
      <c r="U93" s="27"/>
      <c r="V93" s="27"/>
      <c r="W93" s="27"/>
      <c r="X93" s="26"/>
      <c r="Y93" s="26"/>
      <c r="Z93" s="26"/>
      <c r="AA93" s="26">
        <v>1074</v>
      </c>
      <c r="AB93" s="27"/>
      <c r="AC93" s="27"/>
      <c r="AD93" s="26"/>
      <c r="AE93" s="26"/>
      <c r="AF93" s="25">
        <f t="shared" si="13"/>
        <v>-1074</v>
      </c>
      <c r="AG93" s="28">
        <f t="shared" si="14"/>
        <v>0</v>
      </c>
    </row>
    <row r="94" spans="1:33" s="29" customFormat="1" ht="23.25" customHeight="1" x14ac:dyDescent="0.2">
      <c r="A94" s="18">
        <v>43540</v>
      </c>
      <c r="B94" s="19"/>
      <c r="C94" s="20" t="s">
        <v>169</v>
      </c>
      <c r="D94" s="20" t="s">
        <v>170</v>
      </c>
      <c r="E94" s="20" t="s">
        <v>390</v>
      </c>
      <c r="F94" s="21">
        <v>6199</v>
      </c>
      <c r="G94" s="44" t="s">
        <v>392</v>
      </c>
      <c r="H94" s="23"/>
      <c r="I94" s="23"/>
      <c r="J94" s="23"/>
      <c r="K94" s="23">
        <v>900</v>
      </c>
      <c r="L94" s="24"/>
      <c r="M94" s="25">
        <f t="shared" si="10"/>
        <v>803.57142857142844</v>
      </c>
      <c r="N94" s="25">
        <f t="shared" si="11"/>
        <v>96.428571428571416</v>
      </c>
      <c r="O94" s="25">
        <f t="shared" si="12"/>
        <v>0</v>
      </c>
      <c r="P94" s="25">
        <v>803.57</v>
      </c>
      <c r="Q94" s="26"/>
      <c r="R94" s="26"/>
      <c r="S94" s="27"/>
      <c r="T94" s="27"/>
      <c r="U94" s="27"/>
      <c r="V94" s="27"/>
      <c r="W94" s="27"/>
      <c r="X94" s="26"/>
      <c r="Y94" s="26"/>
      <c r="Z94" s="26"/>
      <c r="AA94" s="26"/>
      <c r="AB94" s="27"/>
      <c r="AC94" s="27"/>
      <c r="AD94" s="26"/>
      <c r="AE94" s="26"/>
      <c r="AF94" s="25">
        <f t="shared" si="13"/>
        <v>-899.99857142857149</v>
      </c>
      <c r="AG94" s="28">
        <f t="shared" si="14"/>
        <v>1.4285714285051654E-3</v>
      </c>
    </row>
    <row r="95" spans="1:33" s="29" customFormat="1" ht="23.25" customHeight="1" x14ac:dyDescent="0.2">
      <c r="A95" s="18">
        <v>43540</v>
      </c>
      <c r="B95" s="19"/>
      <c r="C95" s="20" t="s">
        <v>58</v>
      </c>
      <c r="D95" s="20"/>
      <c r="E95" s="20"/>
      <c r="F95" s="21"/>
      <c r="G95" s="44" t="s">
        <v>393</v>
      </c>
      <c r="H95" s="23">
        <v>50</v>
      </c>
      <c r="I95" s="23"/>
      <c r="J95" s="23"/>
      <c r="K95" s="23"/>
      <c r="L95" s="24"/>
      <c r="M95" s="25">
        <f t="shared" si="10"/>
        <v>50</v>
      </c>
      <c r="N95" s="25">
        <f t="shared" si="11"/>
        <v>0</v>
      </c>
      <c r="O95" s="25">
        <f t="shared" si="12"/>
        <v>0</v>
      </c>
      <c r="P95" s="25"/>
      <c r="Q95" s="26"/>
      <c r="R95" s="26"/>
      <c r="S95" s="27"/>
      <c r="T95" s="27"/>
      <c r="U95" s="27"/>
      <c r="V95" s="27"/>
      <c r="W95" s="27"/>
      <c r="X95" s="26"/>
      <c r="Y95" s="26"/>
      <c r="Z95" s="26"/>
      <c r="AA95" s="26">
        <v>50</v>
      </c>
      <c r="AB95" s="27"/>
      <c r="AC95" s="27"/>
      <c r="AD95" s="26"/>
      <c r="AE95" s="26"/>
      <c r="AF95" s="25">
        <f t="shared" si="13"/>
        <v>-50</v>
      </c>
      <c r="AG95" s="28">
        <f t="shared" si="14"/>
        <v>0</v>
      </c>
    </row>
    <row r="96" spans="1:33" s="29" customFormat="1" ht="23.25" customHeight="1" x14ac:dyDescent="0.2">
      <c r="A96" s="18">
        <v>43540</v>
      </c>
      <c r="B96" s="19"/>
      <c r="C96" s="20" t="s">
        <v>45</v>
      </c>
      <c r="D96" s="20" t="s">
        <v>46</v>
      </c>
      <c r="E96" s="20" t="s">
        <v>47</v>
      </c>
      <c r="F96" s="21">
        <v>143816</v>
      </c>
      <c r="G96" s="44" t="s">
        <v>394</v>
      </c>
      <c r="H96" s="23"/>
      <c r="I96" s="23"/>
      <c r="J96" s="23"/>
      <c r="K96" s="23">
        <f>2316.47+277.98</f>
        <v>2594.4499999999998</v>
      </c>
      <c r="L96" s="24"/>
      <c r="M96" s="25">
        <f t="shared" si="10"/>
        <v>2316.4732142857138</v>
      </c>
      <c r="N96" s="25">
        <f t="shared" si="11"/>
        <v>277.97678571428565</v>
      </c>
      <c r="O96" s="25">
        <f t="shared" si="12"/>
        <v>0</v>
      </c>
      <c r="P96" s="25">
        <v>2316.4699999999998</v>
      </c>
      <c r="Q96" s="26"/>
      <c r="R96" s="26"/>
      <c r="S96" s="27"/>
      <c r="T96" s="27"/>
      <c r="U96" s="27"/>
      <c r="V96" s="27"/>
      <c r="W96" s="27"/>
      <c r="X96" s="26"/>
      <c r="Y96" s="26"/>
      <c r="Z96" s="26"/>
      <c r="AA96" s="26"/>
      <c r="AB96" s="27"/>
      <c r="AC96" s="27"/>
      <c r="AD96" s="26"/>
      <c r="AE96" s="26"/>
      <c r="AF96" s="25">
        <f t="shared" si="13"/>
        <v>-2594.4467857142854</v>
      </c>
      <c r="AG96" s="28">
        <f t="shared" si="14"/>
        <v>3.2142857144208392E-3</v>
      </c>
    </row>
    <row r="97" spans="1:33" s="29" customFormat="1" ht="23.25" customHeight="1" x14ac:dyDescent="0.2">
      <c r="A97" s="18">
        <v>43540</v>
      </c>
      <c r="B97" s="19"/>
      <c r="C97" s="20" t="s">
        <v>45</v>
      </c>
      <c r="D97" s="20" t="s">
        <v>46</v>
      </c>
      <c r="E97" s="20" t="s">
        <v>47</v>
      </c>
      <c r="F97" s="21">
        <v>14316</v>
      </c>
      <c r="G97" s="44" t="s">
        <v>395</v>
      </c>
      <c r="H97" s="23"/>
      <c r="I97" s="23"/>
      <c r="J97" s="23">
        <v>200.5</v>
      </c>
      <c r="K97" s="23"/>
      <c r="L97" s="24"/>
      <c r="M97" s="25">
        <f t="shared" si="10"/>
        <v>200.5</v>
      </c>
      <c r="N97" s="25">
        <f t="shared" si="11"/>
        <v>0</v>
      </c>
      <c r="O97" s="25">
        <f t="shared" si="12"/>
        <v>0</v>
      </c>
      <c r="P97" s="25">
        <v>200.5</v>
      </c>
      <c r="Q97" s="26"/>
      <c r="R97" s="26"/>
      <c r="S97" s="27"/>
      <c r="T97" s="27"/>
      <c r="U97" s="27"/>
      <c r="V97" s="27"/>
      <c r="W97" s="27"/>
      <c r="X97" s="26"/>
      <c r="Y97" s="26"/>
      <c r="Z97" s="26"/>
      <c r="AA97" s="26"/>
      <c r="AB97" s="27"/>
      <c r="AC97" s="27"/>
      <c r="AD97" s="26"/>
      <c r="AE97" s="26"/>
      <c r="AF97" s="25">
        <f t="shared" si="13"/>
        <v>-200.5</v>
      </c>
      <c r="AG97" s="28">
        <f t="shared" si="14"/>
        <v>0</v>
      </c>
    </row>
    <row r="98" spans="1:33" s="41" customFormat="1" ht="23.25" customHeight="1" x14ac:dyDescent="0.2">
      <c r="A98" s="30">
        <v>43540</v>
      </c>
      <c r="B98" s="31"/>
      <c r="C98" s="32" t="s">
        <v>396</v>
      </c>
      <c r="D98" s="32" t="s">
        <v>397</v>
      </c>
      <c r="E98" s="32" t="s">
        <v>398</v>
      </c>
      <c r="F98" s="33">
        <v>706231</v>
      </c>
      <c r="G98" s="34" t="s">
        <v>399</v>
      </c>
      <c r="H98" s="35"/>
      <c r="I98" s="35"/>
      <c r="J98" s="35"/>
      <c r="K98" s="35">
        <v>210</v>
      </c>
      <c r="L98" s="36"/>
      <c r="M98" s="37">
        <f t="shared" si="10"/>
        <v>187.49999999999997</v>
      </c>
      <c r="N98" s="37">
        <f t="shared" si="11"/>
        <v>22.499999999999996</v>
      </c>
      <c r="O98" s="37">
        <f t="shared" si="12"/>
        <v>0</v>
      </c>
      <c r="P98" s="37"/>
      <c r="Q98" s="38"/>
      <c r="R98" s="38"/>
      <c r="S98" s="39"/>
      <c r="T98" s="39"/>
      <c r="U98" s="39"/>
      <c r="V98" s="39"/>
      <c r="W98" s="39"/>
      <c r="X98" s="38"/>
      <c r="Y98" s="38">
        <v>187.5</v>
      </c>
      <c r="Z98" s="38"/>
      <c r="AA98" s="38"/>
      <c r="AB98" s="39"/>
      <c r="AC98" s="39"/>
      <c r="AD98" s="38"/>
      <c r="AE98" s="38"/>
      <c r="AF98" s="37">
        <f t="shared" si="13"/>
        <v>-210</v>
      </c>
      <c r="AG98" s="40">
        <f t="shared" si="14"/>
        <v>0</v>
      </c>
    </row>
    <row r="99" spans="1:33" s="29" customFormat="1" ht="23.25" customHeight="1" x14ac:dyDescent="0.2">
      <c r="A99" s="18">
        <v>43540</v>
      </c>
      <c r="B99" s="19"/>
      <c r="C99" s="20" t="s">
        <v>185</v>
      </c>
      <c r="D99" s="20" t="s">
        <v>400</v>
      </c>
      <c r="E99" s="20" t="s">
        <v>47</v>
      </c>
      <c r="F99" s="21">
        <v>737419</v>
      </c>
      <c r="G99" s="44" t="s">
        <v>401</v>
      </c>
      <c r="H99" s="23"/>
      <c r="I99" s="23"/>
      <c r="J99" s="23"/>
      <c r="K99" s="23">
        <v>31.75</v>
      </c>
      <c r="L99" s="24"/>
      <c r="M99" s="25">
        <f t="shared" si="10"/>
        <v>28.348214285714285</v>
      </c>
      <c r="N99" s="25">
        <f t="shared" si="11"/>
        <v>3.401785714285714</v>
      </c>
      <c r="O99" s="25">
        <f t="shared" si="12"/>
        <v>0</v>
      </c>
      <c r="P99" s="25"/>
      <c r="Q99" s="26"/>
      <c r="R99" s="26"/>
      <c r="S99" s="27"/>
      <c r="T99" s="27">
        <v>28.35</v>
      </c>
      <c r="U99" s="27"/>
      <c r="V99" s="27"/>
      <c r="W99" s="27"/>
      <c r="X99" s="26"/>
      <c r="Y99" s="26"/>
      <c r="Z99" s="26"/>
      <c r="AA99" s="26"/>
      <c r="AB99" s="27"/>
      <c r="AC99" s="27"/>
      <c r="AD99" s="26"/>
      <c r="AE99" s="26"/>
      <c r="AF99" s="25">
        <f t="shared" si="13"/>
        <v>-31.751785714285717</v>
      </c>
      <c r="AG99" s="28">
        <f t="shared" si="14"/>
        <v>-1.7857142857167219E-3</v>
      </c>
    </row>
    <row r="100" spans="1:33" s="29" customFormat="1" ht="23.25" customHeight="1" x14ac:dyDescent="0.2">
      <c r="A100" s="18">
        <v>43542</v>
      </c>
      <c r="B100" s="19"/>
      <c r="C100" s="20" t="s">
        <v>402</v>
      </c>
      <c r="D100" s="20" t="s">
        <v>143</v>
      </c>
      <c r="E100" s="20" t="s">
        <v>390</v>
      </c>
      <c r="F100" s="21">
        <v>172517</v>
      </c>
      <c r="G100" s="44" t="s">
        <v>403</v>
      </c>
      <c r="H100" s="23"/>
      <c r="I100" s="23"/>
      <c r="J100" s="23"/>
      <c r="K100" s="23">
        <v>770</v>
      </c>
      <c r="L100" s="24"/>
      <c r="M100" s="25">
        <f t="shared" si="10"/>
        <v>687.49999999999989</v>
      </c>
      <c r="N100" s="25">
        <f t="shared" si="11"/>
        <v>82.499999999999986</v>
      </c>
      <c r="O100" s="25">
        <f t="shared" si="12"/>
        <v>0</v>
      </c>
      <c r="P100" s="25"/>
      <c r="Q100" s="26"/>
      <c r="R100" s="26"/>
      <c r="S100" s="27">
        <v>687.5</v>
      </c>
      <c r="T100" s="27"/>
      <c r="U100" s="27"/>
      <c r="V100" s="27"/>
      <c r="W100" s="27"/>
      <c r="X100" s="26"/>
      <c r="Y100" s="26"/>
      <c r="Z100" s="26"/>
      <c r="AA100" s="26"/>
      <c r="AB100" s="27"/>
      <c r="AC100" s="27"/>
      <c r="AD100" s="26"/>
      <c r="AE100" s="26"/>
      <c r="AF100" s="25">
        <f t="shared" si="13"/>
        <v>-770</v>
      </c>
      <c r="AG100" s="28">
        <f t="shared" si="14"/>
        <v>0</v>
      </c>
    </row>
    <row r="101" spans="1:33" s="29" customFormat="1" ht="23.25" customHeight="1" x14ac:dyDescent="0.2">
      <c r="A101" s="18">
        <v>43542</v>
      </c>
      <c r="B101" s="19"/>
      <c r="C101" s="20" t="s">
        <v>41</v>
      </c>
      <c r="D101" s="20" t="s">
        <v>42</v>
      </c>
      <c r="E101" s="20" t="s">
        <v>43</v>
      </c>
      <c r="F101" s="21">
        <v>182001</v>
      </c>
      <c r="G101" s="44" t="s">
        <v>44</v>
      </c>
      <c r="H101" s="23"/>
      <c r="I101" s="23"/>
      <c r="J101" s="23"/>
      <c r="K101" s="23">
        <v>180</v>
      </c>
      <c r="L101" s="24"/>
      <c r="M101" s="25">
        <f t="shared" ref="M101:M132" si="15">SUM(H101:J101,K101/1.12)</f>
        <v>160.71428571428569</v>
      </c>
      <c r="N101" s="25">
        <f t="shared" ref="N101:N132" si="16">K101/1.12*0.12</f>
        <v>19.285714285714281</v>
      </c>
      <c r="O101" s="25">
        <f t="shared" ref="O101:O132" si="17">-SUM(I101:J101,K101/1.12)*L101</f>
        <v>0</v>
      </c>
      <c r="P101" s="25"/>
      <c r="Q101" s="26">
        <v>160.71</v>
      </c>
      <c r="R101" s="26"/>
      <c r="S101" s="27"/>
      <c r="T101" s="27"/>
      <c r="U101" s="27"/>
      <c r="V101" s="27"/>
      <c r="W101" s="27"/>
      <c r="X101" s="26"/>
      <c r="Y101" s="26"/>
      <c r="Z101" s="26"/>
      <c r="AA101" s="26"/>
      <c r="AB101" s="27"/>
      <c r="AC101" s="27"/>
      <c r="AD101" s="26"/>
      <c r="AE101" s="26"/>
      <c r="AF101" s="25">
        <f t="shared" ref="AF101:AF132" si="18">-SUM(N101:AE101)</f>
        <v>-179.99571428571429</v>
      </c>
      <c r="AG101" s="28">
        <f t="shared" ref="AG101:AG132" si="19">SUM(H101:K101)+AF101+O101</f>
        <v>4.2857142857144481E-3</v>
      </c>
    </row>
    <row r="102" spans="1:33" s="29" customFormat="1" ht="23.25" customHeight="1" x14ac:dyDescent="0.2">
      <c r="A102" s="18">
        <v>43542</v>
      </c>
      <c r="B102" s="19"/>
      <c r="C102" s="20" t="s">
        <v>404</v>
      </c>
      <c r="D102" s="20"/>
      <c r="E102" s="20"/>
      <c r="F102" s="21"/>
      <c r="G102" s="44" t="s">
        <v>405</v>
      </c>
      <c r="H102" s="23">
        <v>60</v>
      </c>
      <c r="I102" s="23"/>
      <c r="J102" s="23"/>
      <c r="K102" s="23"/>
      <c r="L102" s="24"/>
      <c r="M102" s="25">
        <f t="shared" si="15"/>
        <v>60</v>
      </c>
      <c r="N102" s="25">
        <f t="shared" si="16"/>
        <v>0</v>
      </c>
      <c r="O102" s="25">
        <f t="shared" si="17"/>
        <v>0</v>
      </c>
      <c r="P102" s="25"/>
      <c r="Q102" s="26"/>
      <c r="R102" s="26"/>
      <c r="S102" s="27"/>
      <c r="T102" s="27"/>
      <c r="U102" s="27"/>
      <c r="V102" s="27"/>
      <c r="W102" s="27"/>
      <c r="X102" s="26"/>
      <c r="Y102" s="26"/>
      <c r="Z102" s="26"/>
      <c r="AA102" s="26">
        <v>60</v>
      </c>
      <c r="AB102" s="27"/>
      <c r="AC102" s="27"/>
      <c r="AD102" s="26"/>
      <c r="AE102" s="26"/>
      <c r="AF102" s="25">
        <f t="shared" si="18"/>
        <v>-60</v>
      </c>
      <c r="AG102" s="28">
        <f t="shared" si="19"/>
        <v>0</v>
      </c>
    </row>
    <row r="103" spans="1:33" s="29" customFormat="1" ht="23.25" customHeight="1" x14ac:dyDescent="0.2">
      <c r="A103" s="18">
        <v>43542</v>
      </c>
      <c r="B103" s="19"/>
      <c r="C103" s="20" t="s">
        <v>58</v>
      </c>
      <c r="D103" s="20"/>
      <c r="E103" s="20"/>
      <c r="F103" s="21"/>
      <c r="G103" s="44" t="s">
        <v>406</v>
      </c>
      <c r="H103" s="23"/>
      <c r="I103" s="23"/>
      <c r="J103" s="23">
        <v>135</v>
      </c>
      <c r="K103" s="23"/>
      <c r="L103" s="24"/>
      <c r="M103" s="25">
        <f t="shared" si="15"/>
        <v>135</v>
      </c>
      <c r="N103" s="25">
        <f t="shared" si="16"/>
        <v>0</v>
      </c>
      <c r="O103" s="25">
        <f t="shared" si="17"/>
        <v>0</v>
      </c>
      <c r="P103" s="25">
        <v>135</v>
      </c>
      <c r="Q103" s="26"/>
      <c r="R103" s="26"/>
      <c r="S103" s="27"/>
      <c r="T103" s="27"/>
      <c r="U103" s="27"/>
      <c r="V103" s="27"/>
      <c r="W103" s="27"/>
      <c r="X103" s="26"/>
      <c r="Y103" s="26"/>
      <c r="Z103" s="26"/>
      <c r="AA103" s="26"/>
      <c r="AB103" s="27"/>
      <c r="AC103" s="27"/>
      <c r="AD103" s="26"/>
      <c r="AE103" s="26"/>
      <c r="AF103" s="25">
        <f t="shared" si="18"/>
        <v>-135</v>
      </c>
      <c r="AG103" s="28">
        <f t="shared" si="19"/>
        <v>0</v>
      </c>
    </row>
    <row r="104" spans="1:33" s="29" customFormat="1" ht="23.25" customHeight="1" x14ac:dyDescent="0.2">
      <c r="A104" s="18">
        <v>43542</v>
      </c>
      <c r="B104" s="19"/>
      <c r="C104" s="20" t="s">
        <v>277</v>
      </c>
      <c r="D104" s="20"/>
      <c r="E104" s="20"/>
      <c r="F104" s="21"/>
      <c r="G104" s="44" t="s">
        <v>177</v>
      </c>
      <c r="H104" s="23">
        <v>537</v>
      </c>
      <c r="I104" s="23"/>
      <c r="J104" s="23"/>
      <c r="K104" s="23"/>
      <c r="L104" s="24"/>
      <c r="M104" s="25">
        <f t="shared" si="15"/>
        <v>537</v>
      </c>
      <c r="N104" s="25">
        <f t="shared" si="16"/>
        <v>0</v>
      </c>
      <c r="O104" s="25">
        <f t="shared" si="17"/>
        <v>0</v>
      </c>
      <c r="P104" s="25"/>
      <c r="Q104" s="26"/>
      <c r="R104" s="26"/>
      <c r="S104" s="27"/>
      <c r="T104" s="27"/>
      <c r="U104" s="27"/>
      <c r="V104" s="27"/>
      <c r="W104" s="27"/>
      <c r="X104" s="26"/>
      <c r="Y104" s="26"/>
      <c r="Z104" s="26"/>
      <c r="AA104" s="26"/>
      <c r="AB104" s="27">
        <v>537</v>
      </c>
      <c r="AC104" s="27"/>
      <c r="AD104" s="26"/>
      <c r="AE104" s="26"/>
      <c r="AF104" s="25">
        <f t="shared" si="18"/>
        <v>-537</v>
      </c>
      <c r="AG104" s="28">
        <f t="shared" si="19"/>
        <v>0</v>
      </c>
    </row>
    <row r="105" spans="1:33" s="29" customFormat="1" ht="23.25" customHeight="1" x14ac:dyDescent="0.2">
      <c r="A105" s="18">
        <v>43543</v>
      </c>
      <c r="B105" s="19"/>
      <c r="C105" s="20" t="s">
        <v>74</v>
      </c>
      <c r="D105" s="20"/>
      <c r="E105" s="20"/>
      <c r="F105" s="21"/>
      <c r="G105" s="44" t="s">
        <v>407</v>
      </c>
      <c r="H105" s="23"/>
      <c r="I105" s="23"/>
      <c r="J105" s="23">
        <v>557</v>
      </c>
      <c r="K105" s="23"/>
      <c r="L105" s="24"/>
      <c r="M105" s="25">
        <f t="shared" si="15"/>
        <v>557</v>
      </c>
      <c r="N105" s="25">
        <f t="shared" si="16"/>
        <v>0</v>
      </c>
      <c r="O105" s="25">
        <f t="shared" si="17"/>
        <v>0</v>
      </c>
      <c r="P105" s="25">
        <v>557</v>
      </c>
      <c r="Q105" s="26"/>
      <c r="R105" s="26"/>
      <c r="S105" s="27"/>
      <c r="T105" s="27"/>
      <c r="U105" s="27"/>
      <c r="V105" s="27"/>
      <c r="W105" s="27"/>
      <c r="X105" s="26"/>
      <c r="Y105" s="26"/>
      <c r="Z105" s="26"/>
      <c r="AA105" s="26"/>
      <c r="AB105" s="27"/>
      <c r="AC105" s="27"/>
      <c r="AD105" s="26"/>
      <c r="AE105" s="26"/>
      <c r="AF105" s="25">
        <f t="shared" si="18"/>
        <v>-557</v>
      </c>
      <c r="AG105" s="28">
        <f t="shared" si="19"/>
        <v>0</v>
      </c>
    </row>
    <row r="106" spans="1:33" s="29" customFormat="1" ht="23.25" customHeight="1" x14ac:dyDescent="0.2">
      <c r="A106" s="18">
        <v>43543</v>
      </c>
      <c r="B106" s="19"/>
      <c r="C106" s="20" t="s">
        <v>58</v>
      </c>
      <c r="D106" s="20"/>
      <c r="E106" s="20"/>
      <c r="F106" s="21"/>
      <c r="G106" s="44" t="s">
        <v>408</v>
      </c>
      <c r="H106" s="23">
        <v>50</v>
      </c>
      <c r="I106" s="23"/>
      <c r="J106" s="23"/>
      <c r="K106" s="23"/>
      <c r="L106" s="24"/>
      <c r="M106" s="25">
        <f t="shared" si="15"/>
        <v>50</v>
      </c>
      <c r="N106" s="25">
        <f t="shared" si="16"/>
        <v>0</v>
      </c>
      <c r="O106" s="25">
        <f t="shared" si="17"/>
        <v>0</v>
      </c>
      <c r="P106" s="25"/>
      <c r="Q106" s="26"/>
      <c r="R106" s="26"/>
      <c r="S106" s="27"/>
      <c r="T106" s="27"/>
      <c r="U106" s="27"/>
      <c r="V106" s="27"/>
      <c r="W106" s="27"/>
      <c r="X106" s="26"/>
      <c r="Y106" s="26"/>
      <c r="Z106" s="26"/>
      <c r="AA106" s="26">
        <v>50</v>
      </c>
      <c r="AB106" s="27"/>
      <c r="AC106" s="27"/>
      <c r="AD106" s="26"/>
      <c r="AE106" s="26"/>
      <c r="AF106" s="25">
        <f t="shared" si="18"/>
        <v>-50</v>
      </c>
      <c r="AG106" s="28">
        <f t="shared" si="19"/>
        <v>0</v>
      </c>
    </row>
    <row r="107" spans="1:33" s="29" customFormat="1" ht="23.25" customHeight="1" x14ac:dyDescent="0.2">
      <c r="A107" s="18">
        <v>43543</v>
      </c>
      <c r="B107" s="19"/>
      <c r="C107" s="20" t="s">
        <v>41</v>
      </c>
      <c r="D107" s="20" t="s">
        <v>42</v>
      </c>
      <c r="E107" s="20" t="s">
        <v>43</v>
      </c>
      <c r="F107" s="21">
        <v>182045</v>
      </c>
      <c r="G107" s="44" t="s">
        <v>44</v>
      </c>
      <c r="H107" s="23"/>
      <c r="I107" s="23"/>
      <c r="J107" s="23"/>
      <c r="K107" s="23">
        <v>180</v>
      </c>
      <c r="L107" s="24"/>
      <c r="M107" s="25">
        <f t="shared" si="15"/>
        <v>160.71428571428569</v>
      </c>
      <c r="N107" s="25">
        <f t="shared" si="16"/>
        <v>19.285714285714281</v>
      </c>
      <c r="O107" s="25">
        <f t="shared" si="17"/>
        <v>0</v>
      </c>
      <c r="P107" s="25"/>
      <c r="Q107" s="26">
        <v>160.71</v>
      </c>
      <c r="R107" s="26"/>
      <c r="S107" s="27"/>
      <c r="T107" s="27"/>
      <c r="U107" s="27"/>
      <c r="V107" s="27"/>
      <c r="W107" s="27"/>
      <c r="X107" s="26"/>
      <c r="Y107" s="26"/>
      <c r="Z107" s="26"/>
      <c r="AA107" s="26"/>
      <c r="AB107" s="27"/>
      <c r="AC107" s="27"/>
      <c r="AD107" s="26"/>
      <c r="AE107" s="26"/>
      <c r="AF107" s="25">
        <f t="shared" si="18"/>
        <v>-179.99571428571429</v>
      </c>
      <c r="AG107" s="28">
        <f t="shared" si="19"/>
        <v>4.2857142857144481E-3</v>
      </c>
    </row>
    <row r="108" spans="1:33" s="29" customFormat="1" ht="23.25" customHeight="1" x14ac:dyDescent="0.2">
      <c r="A108" s="18">
        <v>43543</v>
      </c>
      <c r="B108" s="19"/>
      <c r="C108" s="20" t="s">
        <v>37</v>
      </c>
      <c r="D108" s="20" t="s">
        <v>38</v>
      </c>
      <c r="E108" s="20" t="s">
        <v>39</v>
      </c>
      <c r="F108" s="21">
        <v>34695</v>
      </c>
      <c r="G108" s="44" t="s">
        <v>409</v>
      </c>
      <c r="H108" s="23"/>
      <c r="I108" s="23"/>
      <c r="J108" s="23"/>
      <c r="K108" s="23">
        <v>225</v>
      </c>
      <c r="L108" s="24"/>
      <c r="M108" s="25">
        <f t="shared" si="15"/>
        <v>200.89285714285711</v>
      </c>
      <c r="N108" s="25">
        <f t="shared" si="16"/>
        <v>24.107142857142854</v>
      </c>
      <c r="O108" s="25">
        <f t="shared" si="17"/>
        <v>0</v>
      </c>
      <c r="P108" s="25"/>
      <c r="Q108" s="26">
        <v>200.89</v>
      </c>
      <c r="R108" s="26"/>
      <c r="S108" s="27"/>
      <c r="T108" s="27"/>
      <c r="U108" s="27"/>
      <c r="V108" s="27"/>
      <c r="W108" s="27"/>
      <c r="X108" s="26"/>
      <c r="Y108" s="26"/>
      <c r="Z108" s="26"/>
      <c r="AA108" s="26"/>
      <c r="AB108" s="27"/>
      <c r="AC108" s="27"/>
      <c r="AD108" s="26"/>
      <c r="AE108" s="26"/>
      <c r="AF108" s="25">
        <f t="shared" si="18"/>
        <v>-224.99714285714285</v>
      </c>
      <c r="AG108" s="28">
        <f t="shared" si="19"/>
        <v>2.8571428571524393E-3</v>
      </c>
    </row>
    <row r="109" spans="1:33" s="29" customFormat="1" ht="23.25" customHeight="1" x14ac:dyDescent="0.2">
      <c r="A109" s="18">
        <v>43543</v>
      </c>
      <c r="B109" s="19"/>
      <c r="C109" s="20" t="s">
        <v>37</v>
      </c>
      <c r="D109" s="20" t="s">
        <v>38</v>
      </c>
      <c r="E109" s="20" t="s">
        <v>39</v>
      </c>
      <c r="F109" s="21">
        <v>93707</v>
      </c>
      <c r="G109" s="44" t="s">
        <v>297</v>
      </c>
      <c r="H109" s="23"/>
      <c r="I109" s="23"/>
      <c r="J109" s="23"/>
      <c r="K109" s="23">
        <v>352</v>
      </c>
      <c r="L109" s="24"/>
      <c r="M109" s="25">
        <f t="shared" si="15"/>
        <v>314.28571428571428</v>
      </c>
      <c r="N109" s="25">
        <f t="shared" si="16"/>
        <v>37.714285714285715</v>
      </c>
      <c r="O109" s="25">
        <f t="shared" si="17"/>
        <v>0</v>
      </c>
      <c r="P109" s="25">
        <v>314.29000000000002</v>
      </c>
      <c r="Q109" s="26"/>
      <c r="R109" s="26"/>
      <c r="S109" s="27"/>
      <c r="T109" s="27"/>
      <c r="U109" s="27"/>
      <c r="V109" s="27"/>
      <c r="W109" s="27"/>
      <c r="X109" s="26"/>
      <c r="Y109" s="26"/>
      <c r="Z109" s="26"/>
      <c r="AA109" s="26"/>
      <c r="AB109" s="27"/>
      <c r="AC109" s="27"/>
      <c r="AD109" s="26"/>
      <c r="AE109" s="26"/>
      <c r="AF109" s="25">
        <f t="shared" si="18"/>
        <v>-352.00428571428574</v>
      </c>
      <c r="AG109" s="28">
        <f t="shared" si="19"/>
        <v>-4.2857142857428698E-3</v>
      </c>
    </row>
    <row r="110" spans="1:33" s="29" customFormat="1" ht="23.25" customHeight="1" x14ac:dyDescent="0.2">
      <c r="A110" s="18">
        <v>43543</v>
      </c>
      <c r="B110" s="19"/>
      <c r="C110" s="20" t="s">
        <v>65</v>
      </c>
      <c r="D110" s="20" t="s">
        <v>66</v>
      </c>
      <c r="E110" s="20" t="s">
        <v>67</v>
      </c>
      <c r="F110" s="21">
        <v>2170</v>
      </c>
      <c r="G110" s="44" t="s">
        <v>68</v>
      </c>
      <c r="H110" s="23"/>
      <c r="I110" s="23"/>
      <c r="J110" s="23"/>
      <c r="K110" s="23">
        <v>1320</v>
      </c>
      <c r="L110" s="24">
        <v>0.01</v>
      </c>
      <c r="M110" s="25">
        <f t="shared" si="15"/>
        <v>1178.5714285714284</v>
      </c>
      <c r="N110" s="25">
        <f t="shared" si="16"/>
        <v>141.42857142857142</v>
      </c>
      <c r="O110" s="25">
        <f t="shared" si="17"/>
        <v>-11.785714285714285</v>
      </c>
      <c r="P110" s="25">
        <v>1178.57</v>
      </c>
      <c r="Q110" s="26"/>
      <c r="R110" s="26"/>
      <c r="S110" s="27"/>
      <c r="T110" s="27"/>
      <c r="U110" s="27"/>
      <c r="V110" s="27"/>
      <c r="W110" s="27"/>
      <c r="X110" s="26"/>
      <c r="Y110" s="26"/>
      <c r="Z110" s="26"/>
      <c r="AA110" s="26"/>
      <c r="AB110" s="27"/>
      <c r="AC110" s="27"/>
      <c r="AD110" s="26"/>
      <c r="AE110" s="26"/>
      <c r="AF110" s="25">
        <f t="shared" si="18"/>
        <v>-1308.212857142857</v>
      </c>
      <c r="AG110" s="28">
        <f t="shared" si="19"/>
        <v>1.4285714286685902E-3</v>
      </c>
    </row>
    <row r="111" spans="1:33" s="29" customFormat="1" ht="23.25" customHeight="1" x14ac:dyDescent="0.2">
      <c r="A111" s="18">
        <v>43543</v>
      </c>
      <c r="B111" s="19"/>
      <c r="C111" s="20" t="s">
        <v>185</v>
      </c>
      <c r="D111" s="20" t="s">
        <v>400</v>
      </c>
      <c r="E111" s="20" t="s">
        <v>47</v>
      </c>
      <c r="F111" s="21">
        <v>737945</v>
      </c>
      <c r="G111" s="44" t="s">
        <v>410</v>
      </c>
      <c r="H111" s="23"/>
      <c r="I111" s="23"/>
      <c r="J111" s="23"/>
      <c r="K111" s="23">
        <v>94</v>
      </c>
      <c r="L111" s="24"/>
      <c r="M111" s="25">
        <f t="shared" si="15"/>
        <v>83.928571428571416</v>
      </c>
      <c r="N111" s="25">
        <f t="shared" si="16"/>
        <v>10.071428571428569</v>
      </c>
      <c r="O111" s="25">
        <f t="shared" si="17"/>
        <v>0</v>
      </c>
      <c r="P111" s="25"/>
      <c r="Q111" s="26"/>
      <c r="R111" s="26"/>
      <c r="S111" s="27"/>
      <c r="T111" s="27">
        <v>83.93</v>
      </c>
      <c r="U111" s="27"/>
      <c r="V111" s="27"/>
      <c r="W111" s="27"/>
      <c r="X111" s="26"/>
      <c r="Y111" s="26"/>
      <c r="Z111" s="26"/>
      <c r="AA111" s="26"/>
      <c r="AB111" s="27"/>
      <c r="AC111" s="27"/>
      <c r="AD111" s="26"/>
      <c r="AE111" s="26"/>
      <c r="AF111" s="25">
        <f t="shared" si="18"/>
        <v>-94.001428571428576</v>
      </c>
      <c r="AG111" s="28">
        <f t="shared" si="19"/>
        <v>-1.4285714285762197E-3</v>
      </c>
    </row>
    <row r="112" spans="1:33" s="29" customFormat="1" ht="23.25" customHeight="1" x14ac:dyDescent="0.2">
      <c r="A112" s="18">
        <v>43543</v>
      </c>
      <c r="B112" s="19"/>
      <c r="C112" s="20" t="s">
        <v>45</v>
      </c>
      <c r="D112" s="20" t="s">
        <v>46</v>
      </c>
      <c r="E112" s="20" t="s">
        <v>47</v>
      </c>
      <c r="F112" s="21">
        <v>63219</v>
      </c>
      <c r="G112" s="44" t="s">
        <v>411</v>
      </c>
      <c r="H112" s="23"/>
      <c r="I112" s="23"/>
      <c r="J112" s="23"/>
      <c r="K112" s="23">
        <v>229.75</v>
      </c>
      <c r="L112" s="24"/>
      <c r="M112" s="25">
        <f t="shared" si="15"/>
        <v>205.13392857142856</v>
      </c>
      <c r="N112" s="25">
        <f t="shared" si="16"/>
        <v>24.616071428571427</v>
      </c>
      <c r="O112" s="25">
        <f t="shared" si="17"/>
        <v>0</v>
      </c>
      <c r="P112" s="25"/>
      <c r="Q112" s="26"/>
      <c r="R112" s="26"/>
      <c r="S112" s="27"/>
      <c r="T112" s="27"/>
      <c r="U112" s="27"/>
      <c r="V112" s="27"/>
      <c r="W112" s="27"/>
      <c r="X112" s="26">
        <v>205.13</v>
      </c>
      <c r="Y112" s="26"/>
      <c r="Z112" s="26"/>
      <c r="AA112" s="26"/>
      <c r="AB112" s="27"/>
      <c r="AC112" s="27"/>
      <c r="AD112" s="26"/>
      <c r="AE112" s="26"/>
      <c r="AF112" s="25">
        <f t="shared" si="18"/>
        <v>-229.74607142857141</v>
      </c>
      <c r="AG112" s="28">
        <f t="shared" si="19"/>
        <v>3.9285714285881568E-3</v>
      </c>
    </row>
    <row r="113" spans="1:33" s="29" customFormat="1" ht="23.25" customHeight="1" x14ac:dyDescent="0.2">
      <c r="A113" s="18">
        <v>43543</v>
      </c>
      <c r="B113" s="19"/>
      <c r="C113" s="20" t="s">
        <v>45</v>
      </c>
      <c r="D113" s="20" t="s">
        <v>46</v>
      </c>
      <c r="E113" s="20" t="s">
        <v>47</v>
      </c>
      <c r="F113" s="21">
        <v>176520</v>
      </c>
      <c r="G113" s="44" t="s">
        <v>412</v>
      </c>
      <c r="H113" s="23"/>
      <c r="I113" s="23"/>
      <c r="J113" s="23">
        <v>2201.9499999999998</v>
      </c>
      <c r="K113" s="23"/>
      <c r="L113" s="24"/>
      <c r="M113" s="25">
        <f t="shared" si="15"/>
        <v>2201.9499999999998</v>
      </c>
      <c r="N113" s="25">
        <f t="shared" si="16"/>
        <v>0</v>
      </c>
      <c r="O113" s="25">
        <f t="shared" si="17"/>
        <v>0</v>
      </c>
      <c r="P113" s="25">
        <v>2201.9499999999998</v>
      </c>
      <c r="Q113" s="26"/>
      <c r="R113" s="26"/>
      <c r="S113" s="27"/>
      <c r="T113" s="27"/>
      <c r="U113" s="27"/>
      <c r="V113" s="27"/>
      <c r="W113" s="27"/>
      <c r="X113" s="26"/>
      <c r="Y113" s="26"/>
      <c r="Z113" s="26"/>
      <c r="AA113" s="26"/>
      <c r="AB113" s="27"/>
      <c r="AC113" s="27"/>
      <c r="AD113" s="26"/>
      <c r="AE113" s="26"/>
      <c r="AF113" s="25">
        <f t="shared" si="18"/>
        <v>-2201.9499999999998</v>
      </c>
      <c r="AG113" s="28">
        <f t="shared" si="19"/>
        <v>0</v>
      </c>
    </row>
    <row r="114" spans="1:33" s="29" customFormat="1" ht="23.25" customHeight="1" x14ac:dyDescent="0.2">
      <c r="A114" s="18">
        <v>43543</v>
      </c>
      <c r="B114" s="19"/>
      <c r="C114" s="20" t="s">
        <v>45</v>
      </c>
      <c r="D114" s="20" t="s">
        <v>46</v>
      </c>
      <c r="E114" s="20" t="s">
        <v>47</v>
      </c>
      <c r="F114" s="21">
        <v>176520</v>
      </c>
      <c r="G114" s="44" t="s">
        <v>413</v>
      </c>
      <c r="H114" s="23"/>
      <c r="I114" s="23"/>
      <c r="J114" s="23"/>
      <c r="K114" s="23">
        <f>596.7+71.6</f>
        <v>668.30000000000007</v>
      </c>
      <c r="L114" s="24"/>
      <c r="M114" s="25">
        <f t="shared" si="15"/>
        <v>596.69642857142856</v>
      </c>
      <c r="N114" s="25">
        <f t="shared" si="16"/>
        <v>71.603571428571428</v>
      </c>
      <c r="O114" s="25">
        <f t="shared" si="17"/>
        <v>0</v>
      </c>
      <c r="P114" s="25">
        <v>596.70000000000005</v>
      </c>
      <c r="Q114" s="26"/>
      <c r="R114" s="26"/>
      <c r="S114" s="27"/>
      <c r="T114" s="27"/>
      <c r="U114" s="27"/>
      <c r="V114" s="27"/>
      <c r="W114" s="27"/>
      <c r="X114" s="26"/>
      <c r="Y114" s="26"/>
      <c r="Z114" s="26"/>
      <c r="AA114" s="26"/>
      <c r="AB114" s="27"/>
      <c r="AC114" s="27"/>
      <c r="AD114" s="26"/>
      <c r="AE114" s="26"/>
      <c r="AF114" s="25">
        <f t="shared" si="18"/>
        <v>-668.30357142857144</v>
      </c>
      <c r="AG114" s="28">
        <f t="shared" si="19"/>
        <v>-3.5714285713766003E-3</v>
      </c>
    </row>
    <row r="115" spans="1:33" s="29" customFormat="1" ht="23.25" customHeight="1" x14ac:dyDescent="0.2">
      <c r="A115" s="18">
        <v>43544</v>
      </c>
      <c r="B115" s="19"/>
      <c r="C115" s="20" t="s">
        <v>41</v>
      </c>
      <c r="D115" s="20" t="s">
        <v>42</v>
      </c>
      <c r="E115" s="20" t="s">
        <v>43</v>
      </c>
      <c r="F115" s="21">
        <v>192190</v>
      </c>
      <c r="G115" s="44" t="s">
        <v>44</v>
      </c>
      <c r="H115" s="23"/>
      <c r="I115" s="23"/>
      <c r="J115" s="23"/>
      <c r="K115" s="23">
        <v>180</v>
      </c>
      <c r="L115" s="24"/>
      <c r="M115" s="25">
        <f t="shared" si="15"/>
        <v>160.71428571428569</v>
      </c>
      <c r="N115" s="25">
        <f t="shared" si="16"/>
        <v>19.285714285714281</v>
      </c>
      <c r="O115" s="25">
        <f t="shared" si="17"/>
        <v>0</v>
      </c>
      <c r="P115" s="25"/>
      <c r="Q115" s="26">
        <v>160.71</v>
      </c>
      <c r="R115" s="26"/>
      <c r="S115" s="27"/>
      <c r="T115" s="27"/>
      <c r="U115" s="27"/>
      <c r="V115" s="27"/>
      <c r="W115" s="27"/>
      <c r="X115" s="26"/>
      <c r="Y115" s="26"/>
      <c r="Z115" s="26"/>
      <c r="AA115" s="26"/>
      <c r="AB115" s="27"/>
      <c r="AC115" s="27"/>
      <c r="AD115" s="26"/>
      <c r="AE115" s="26"/>
      <c r="AF115" s="25">
        <f t="shared" si="18"/>
        <v>-179.99571428571429</v>
      </c>
      <c r="AG115" s="28">
        <f t="shared" si="19"/>
        <v>4.2857142857144481E-3</v>
      </c>
    </row>
    <row r="116" spans="1:33" s="29" customFormat="1" ht="23.25" customHeight="1" x14ac:dyDescent="0.2">
      <c r="A116" s="18">
        <v>43544</v>
      </c>
      <c r="B116" s="19"/>
      <c r="C116" s="20" t="s">
        <v>404</v>
      </c>
      <c r="D116" s="20"/>
      <c r="E116" s="20"/>
      <c r="F116" s="21"/>
      <c r="G116" s="44" t="s">
        <v>414</v>
      </c>
      <c r="H116" s="23">
        <v>40</v>
      </c>
      <c r="I116" s="23"/>
      <c r="J116" s="23"/>
      <c r="K116" s="23"/>
      <c r="L116" s="24"/>
      <c r="M116" s="25">
        <f t="shared" si="15"/>
        <v>40</v>
      </c>
      <c r="N116" s="25">
        <f t="shared" si="16"/>
        <v>0</v>
      </c>
      <c r="O116" s="25">
        <f t="shared" si="17"/>
        <v>0</v>
      </c>
      <c r="P116" s="25"/>
      <c r="Q116" s="26"/>
      <c r="R116" s="26"/>
      <c r="S116" s="27"/>
      <c r="T116" s="27"/>
      <c r="U116" s="27"/>
      <c r="V116" s="27"/>
      <c r="W116" s="27"/>
      <c r="X116" s="26"/>
      <c r="Y116" s="26"/>
      <c r="Z116" s="26"/>
      <c r="AA116" s="26">
        <v>40</v>
      </c>
      <c r="AB116" s="27"/>
      <c r="AC116" s="27"/>
      <c r="AD116" s="26"/>
      <c r="AE116" s="26"/>
      <c r="AF116" s="25">
        <f t="shared" si="18"/>
        <v>-40</v>
      </c>
      <c r="AG116" s="28">
        <f t="shared" si="19"/>
        <v>0</v>
      </c>
    </row>
    <row r="117" spans="1:33" s="29" customFormat="1" ht="23.25" customHeight="1" x14ac:dyDescent="0.2">
      <c r="A117" s="18">
        <v>43544</v>
      </c>
      <c r="B117" s="19"/>
      <c r="C117" s="20" t="s">
        <v>415</v>
      </c>
      <c r="D117" s="20" t="s">
        <v>240</v>
      </c>
      <c r="E117" s="20" t="s">
        <v>241</v>
      </c>
      <c r="F117" s="21">
        <v>113045</v>
      </c>
      <c r="G117" s="44" t="s">
        <v>416</v>
      </c>
      <c r="H117" s="23"/>
      <c r="I117" s="23"/>
      <c r="J117" s="23"/>
      <c r="K117" s="23">
        <v>420</v>
      </c>
      <c r="L117" s="24"/>
      <c r="M117" s="25">
        <f t="shared" si="15"/>
        <v>374.99999999999994</v>
      </c>
      <c r="N117" s="25">
        <f t="shared" si="16"/>
        <v>44.999999999999993</v>
      </c>
      <c r="O117" s="25">
        <f t="shared" si="17"/>
        <v>0</v>
      </c>
      <c r="P117" s="25"/>
      <c r="Q117" s="26">
        <v>375</v>
      </c>
      <c r="R117" s="26"/>
      <c r="S117" s="27"/>
      <c r="T117" s="27"/>
      <c r="U117" s="27"/>
      <c r="V117" s="27"/>
      <c r="W117" s="27"/>
      <c r="X117" s="26"/>
      <c r="Y117" s="26"/>
      <c r="Z117" s="26"/>
      <c r="AA117" s="26"/>
      <c r="AB117" s="27"/>
      <c r="AC117" s="27"/>
      <c r="AD117" s="26"/>
      <c r="AE117" s="26"/>
      <c r="AF117" s="25">
        <f t="shared" si="18"/>
        <v>-420</v>
      </c>
      <c r="AG117" s="28">
        <f t="shared" si="19"/>
        <v>0</v>
      </c>
    </row>
    <row r="118" spans="1:33" s="29" customFormat="1" ht="23.25" customHeight="1" x14ac:dyDescent="0.2">
      <c r="A118" s="18">
        <v>43543</v>
      </c>
      <c r="B118" s="19"/>
      <c r="C118" s="20" t="s">
        <v>37</v>
      </c>
      <c r="D118" s="20" t="s">
        <v>38</v>
      </c>
      <c r="E118" s="20" t="s">
        <v>39</v>
      </c>
      <c r="F118" s="21">
        <v>34720</v>
      </c>
      <c r="G118" s="44" t="s">
        <v>417</v>
      </c>
      <c r="H118" s="23"/>
      <c r="I118" s="23"/>
      <c r="J118" s="23"/>
      <c r="K118" s="23">
        <v>446.85</v>
      </c>
      <c r="L118" s="24"/>
      <c r="M118" s="25">
        <f t="shared" si="15"/>
        <v>398.97321428571428</v>
      </c>
      <c r="N118" s="25">
        <f t="shared" si="16"/>
        <v>47.87678571428571</v>
      </c>
      <c r="O118" s="25">
        <f t="shared" si="17"/>
        <v>0</v>
      </c>
      <c r="P118" s="25">
        <v>398.97</v>
      </c>
      <c r="Q118" s="26"/>
      <c r="R118" s="26"/>
      <c r="S118" s="27"/>
      <c r="T118" s="27"/>
      <c r="U118" s="27"/>
      <c r="V118" s="27"/>
      <c r="W118" s="27"/>
      <c r="X118" s="26"/>
      <c r="Y118" s="26"/>
      <c r="Z118" s="26"/>
      <c r="AA118" s="26"/>
      <c r="AB118" s="27"/>
      <c r="AC118" s="27"/>
      <c r="AD118" s="26"/>
      <c r="AE118" s="26"/>
      <c r="AF118" s="25">
        <f t="shared" si="18"/>
        <v>-446.84678571428572</v>
      </c>
      <c r="AG118" s="28">
        <f t="shared" si="19"/>
        <v>3.2142857143071524E-3</v>
      </c>
    </row>
    <row r="119" spans="1:33" s="29" customFormat="1" ht="23.25" customHeight="1" x14ac:dyDescent="0.2">
      <c r="A119" s="18">
        <v>43544</v>
      </c>
      <c r="B119" s="19"/>
      <c r="C119" s="20" t="s">
        <v>277</v>
      </c>
      <c r="D119" s="20"/>
      <c r="E119" s="20"/>
      <c r="F119" s="21"/>
      <c r="G119" s="44" t="s">
        <v>418</v>
      </c>
      <c r="H119" s="23">
        <f>537*2</f>
        <v>1074</v>
      </c>
      <c r="I119" s="23"/>
      <c r="J119" s="23"/>
      <c r="K119" s="23"/>
      <c r="L119" s="24"/>
      <c r="M119" s="25">
        <f t="shared" si="15"/>
        <v>1074</v>
      </c>
      <c r="N119" s="25">
        <f t="shared" si="16"/>
        <v>0</v>
      </c>
      <c r="O119" s="25">
        <f t="shared" si="17"/>
        <v>0</v>
      </c>
      <c r="P119" s="25"/>
      <c r="Q119" s="26"/>
      <c r="R119" s="26"/>
      <c r="S119" s="27"/>
      <c r="T119" s="27"/>
      <c r="U119" s="27"/>
      <c r="V119" s="27"/>
      <c r="W119" s="27"/>
      <c r="X119" s="26"/>
      <c r="Y119" s="26"/>
      <c r="Z119" s="26"/>
      <c r="AA119" s="26"/>
      <c r="AB119" s="27">
        <v>1074</v>
      </c>
      <c r="AC119" s="27"/>
      <c r="AD119" s="26"/>
      <c r="AE119" s="26"/>
      <c r="AF119" s="25">
        <f t="shared" si="18"/>
        <v>-1074</v>
      </c>
      <c r="AG119" s="28">
        <f t="shared" si="19"/>
        <v>0</v>
      </c>
    </row>
    <row r="120" spans="1:33" s="29" customFormat="1" ht="23.25" customHeight="1" x14ac:dyDescent="0.2">
      <c r="A120" s="18">
        <v>43544</v>
      </c>
      <c r="B120" s="19"/>
      <c r="C120" s="20" t="s">
        <v>37</v>
      </c>
      <c r="D120" s="20" t="s">
        <v>38</v>
      </c>
      <c r="E120" s="20" t="s">
        <v>39</v>
      </c>
      <c r="F120" s="21">
        <v>34721</v>
      </c>
      <c r="G120" s="44" t="s">
        <v>419</v>
      </c>
      <c r="H120" s="23"/>
      <c r="I120" s="23"/>
      <c r="J120" s="23"/>
      <c r="K120" s="23">
        <v>278.75</v>
      </c>
      <c r="L120" s="24"/>
      <c r="M120" s="25">
        <f t="shared" si="15"/>
        <v>248.88392857142856</v>
      </c>
      <c r="N120" s="25">
        <f t="shared" si="16"/>
        <v>29.866071428571427</v>
      </c>
      <c r="O120" s="25">
        <f t="shared" si="17"/>
        <v>0</v>
      </c>
      <c r="P120" s="25">
        <v>248.88</v>
      </c>
      <c r="Q120" s="26"/>
      <c r="R120" s="26"/>
      <c r="S120" s="27"/>
      <c r="T120" s="27"/>
      <c r="U120" s="27"/>
      <c r="V120" s="27"/>
      <c r="W120" s="27"/>
      <c r="X120" s="26"/>
      <c r="Y120" s="26"/>
      <c r="Z120" s="26"/>
      <c r="AA120" s="26"/>
      <c r="AB120" s="27"/>
      <c r="AC120" s="27"/>
      <c r="AD120" s="26"/>
      <c r="AE120" s="26"/>
      <c r="AF120" s="25">
        <f t="shared" si="18"/>
        <v>-278.74607142857144</v>
      </c>
      <c r="AG120" s="28">
        <f t="shared" si="19"/>
        <v>3.9285714285597351E-3</v>
      </c>
    </row>
    <row r="121" spans="1:33" s="29" customFormat="1" ht="23.25" customHeight="1" x14ac:dyDescent="0.2">
      <c r="A121" s="18">
        <v>43544</v>
      </c>
      <c r="B121" s="19"/>
      <c r="C121" s="20" t="s">
        <v>314</v>
      </c>
      <c r="D121" s="20" t="s">
        <v>315</v>
      </c>
      <c r="E121" s="20" t="s">
        <v>47</v>
      </c>
      <c r="F121" s="21">
        <v>1909</v>
      </c>
      <c r="G121" s="44" t="s">
        <v>316</v>
      </c>
      <c r="H121" s="23"/>
      <c r="I121" s="23"/>
      <c r="J121" s="23"/>
      <c r="K121" s="23">
        <v>200</v>
      </c>
      <c r="L121" s="24"/>
      <c r="M121" s="25">
        <f t="shared" si="15"/>
        <v>178.57142857142856</v>
      </c>
      <c r="N121" s="25">
        <f t="shared" si="16"/>
        <v>21.428571428571427</v>
      </c>
      <c r="O121" s="25">
        <f t="shared" si="17"/>
        <v>0</v>
      </c>
      <c r="P121" s="25">
        <v>178.57</v>
      </c>
      <c r="Q121" s="26"/>
      <c r="R121" s="26"/>
      <c r="S121" s="27"/>
      <c r="T121" s="27"/>
      <c r="U121" s="27"/>
      <c r="V121" s="27"/>
      <c r="W121" s="27"/>
      <c r="X121" s="26"/>
      <c r="Y121" s="26"/>
      <c r="Z121" s="26"/>
      <c r="AA121" s="26"/>
      <c r="AB121" s="27"/>
      <c r="AC121" s="27"/>
      <c r="AD121" s="26"/>
      <c r="AE121" s="26"/>
      <c r="AF121" s="25">
        <f t="shared" si="18"/>
        <v>-199.99857142857141</v>
      </c>
      <c r="AG121" s="28">
        <f t="shared" si="19"/>
        <v>1.4285714285904305E-3</v>
      </c>
    </row>
    <row r="122" spans="1:33" s="29" customFormat="1" ht="23.25" customHeight="1" x14ac:dyDescent="0.2">
      <c r="A122" s="18">
        <v>43544</v>
      </c>
      <c r="B122" s="19"/>
      <c r="C122" s="20" t="s">
        <v>185</v>
      </c>
      <c r="D122" s="20" t="s">
        <v>400</v>
      </c>
      <c r="E122" s="20" t="s">
        <v>47</v>
      </c>
      <c r="F122" s="21">
        <v>635076</v>
      </c>
      <c r="G122" s="44" t="s">
        <v>420</v>
      </c>
      <c r="H122" s="23"/>
      <c r="I122" s="23"/>
      <c r="J122" s="23"/>
      <c r="K122" s="23">
        <v>606</v>
      </c>
      <c r="L122" s="24"/>
      <c r="M122" s="25">
        <f t="shared" si="15"/>
        <v>541.07142857142856</v>
      </c>
      <c r="N122" s="25">
        <f t="shared" si="16"/>
        <v>64.928571428571431</v>
      </c>
      <c r="O122" s="25">
        <f t="shared" si="17"/>
        <v>0</v>
      </c>
      <c r="P122" s="25"/>
      <c r="Q122" s="26"/>
      <c r="R122" s="26"/>
      <c r="S122" s="27"/>
      <c r="T122" s="27">
        <v>541.07000000000005</v>
      </c>
      <c r="U122" s="27"/>
      <c r="V122" s="27"/>
      <c r="W122" s="27"/>
      <c r="X122" s="26"/>
      <c r="Y122" s="26"/>
      <c r="Z122" s="26"/>
      <c r="AA122" s="26"/>
      <c r="AB122" s="27"/>
      <c r="AC122" s="27"/>
      <c r="AD122" s="26"/>
      <c r="AE122" s="26"/>
      <c r="AF122" s="25">
        <f t="shared" si="18"/>
        <v>-605.99857142857149</v>
      </c>
      <c r="AG122" s="28">
        <f t="shared" si="19"/>
        <v>1.4285714285051654E-3</v>
      </c>
    </row>
    <row r="123" spans="1:33" s="29" customFormat="1" ht="23.25" customHeight="1" x14ac:dyDescent="0.2">
      <c r="A123" s="18">
        <v>43544</v>
      </c>
      <c r="B123" s="19"/>
      <c r="C123" s="20" t="s">
        <v>45</v>
      </c>
      <c r="D123" s="20" t="s">
        <v>46</v>
      </c>
      <c r="E123" s="20" t="s">
        <v>47</v>
      </c>
      <c r="F123" s="21">
        <v>215558</v>
      </c>
      <c r="G123" s="44" t="s">
        <v>421</v>
      </c>
      <c r="H123" s="23"/>
      <c r="I123" s="23"/>
      <c r="J123" s="23"/>
      <c r="K123" s="23">
        <v>244.85</v>
      </c>
      <c r="L123" s="24"/>
      <c r="M123" s="25">
        <f t="shared" si="15"/>
        <v>218.61607142857142</v>
      </c>
      <c r="N123" s="25">
        <f t="shared" si="16"/>
        <v>26.233928571428567</v>
      </c>
      <c r="O123" s="25">
        <f t="shared" si="17"/>
        <v>0</v>
      </c>
      <c r="P123" s="25">
        <v>218.62</v>
      </c>
      <c r="Q123" s="26"/>
      <c r="R123" s="26"/>
      <c r="S123" s="27"/>
      <c r="T123" s="27"/>
      <c r="U123" s="27"/>
      <c r="V123" s="27"/>
      <c r="W123" s="27"/>
      <c r="X123" s="26"/>
      <c r="Y123" s="26"/>
      <c r="Z123" s="26"/>
      <c r="AA123" s="26"/>
      <c r="AB123" s="27"/>
      <c r="AC123" s="27"/>
      <c r="AD123" s="26"/>
      <c r="AE123" s="26"/>
      <c r="AF123" s="25">
        <f t="shared" si="18"/>
        <v>-244.85392857142858</v>
      </c>
      <c r="AG123" s="28">
        <f t="shared" si="19"/>
        <v>-3.9285714285881568E-3</v>
      </c>
    </row>
    <row r="124" spans="1:33" s="29" customFormat="1" ht="23.25" customHeight="1" x14ac:dyDescent="0.2">
      <c r="A124" s="18">
        <v>43544</v>
      </c>
      <c r="B124" s="19"/>
      <c r="C124" s="20" t="s">
        <v>45</v>
      </c>
      <c r="D124" s="20" t="s">
        <v>46</v>
      </c>
      <c r="E124" s="20" t="s">
        <v>47</v>
      </c>
      <c r="F124" s="21">
        <v>15782</v>
      </c>
      <c r="G124" s="44" t="s">
        <v>422</v>
      </c>
      <c r="H124" s="23"/>
      <c r="I124" s="23"/>
      <c r="J124" s="23"/>
      <c r="K124" s="23">
        <v>292</v>
      </c>
      <c r="L124" s="24"/>
      <c r="M124" s="25">
        <f t="shared" si="15"/>
        <v>260.71428571428567</v>
      </c>
      <c r="N124" s="25">
        <f t="shared" si="16"/>
        <v>31.285714285714278</v>
      </c>
      <c r="O124" s="25">
        <f t="shared" si="17"/>
        <v>0</v>
      </c>
      <c r="P124" s="25">
        <v>260.70999999999998</v>
      </c>
      <c r="Q124" s="26"/>
      <c r="R124" s="26"/>
      <c r="S124" s="27"/>
      <c r="T124" s="27"/>
      <c r="U124" s="27"/>
      <c r="V124" s="27"/>
      <c r="W124" s="27"/>
      <c r="X124" s="26"/>
      <c r="Y124" s="26"/>
      <c r="Z124" s="26"/>
      <c r="AA124" s="26"/>
      <c r="AB124" s="27"/>
      <c r="AC124" s="27"/>
      <c r="AD124" s="26"/>
      <c r="AE124" s="26"/>
      <c r="AF124" s="25">
        <f t="shared" si="18"/>
        <v>-291.99571428571426</v>
      </c>
      <c r="AG124" s="28">
        <f t="shared" si="19"/>
        <v>4.2857142857428698E-3</v>
      </c>
    </row>
    <row r="125" spans="1:33" s="29" customFormat="1" ht="23.25" customHeight="1" x14ac:dyDescent="0.2">
      <c r="A125" s="18">
        <v>43544</v>
      </c>
      <c r="B125" s="19"/>
      <c r="C125" s="20" t="s">
        <v>349</v>
      </c>
      <c r="D125" s="20"/>
      <c r="E125" s="20"/>
      <c r="F125" s="21"/>
      <c r="G125" s="44" t="s">
        <v>423</v>
      </c>
      <c r="H125" s="23">
        <f>537*2</f>
        <v>1074</v>
      </c>
      <c r="I125" s="23"/>
      <c r="J125" s="23"/>
      <c r="K125" s="23"/>
      <c r="L125" s="24"/>
      <c r="M125" s="25">
        <f t="shared" si="15"/>
        <v>1074</v>
      </c>
      <c r="N125" s="25">
        <f t="shared" si="16"/>
        <v>0</v>
      </c>
      <c r="O125" s="25">
        <f t="shared" si="17"/>
        <v>0</v>
      </c>
      <c r="P125" s="25"/>
      <c r="Q125" s="26"/>
      <c r="R125" s="26"/>
      <c r="S125" s="27"/>
      <c r="T125" s="27"/>
      <c r="U125" s="27"/>
      <c r="V125" s="27"/>
      <c r="W125" s="27"/>
      <c r="X125" s="26"/>
      <c r="Y125" s="26"/>
      <c r="Z125" s="26"/>
      <c r="AA125" s="26"/>
      <c r="AB125" s="27">
        <v>1074</v>
      </c>
      <c r="AC125" s="27"/>
      <c r="AD125" s="26"/>
      <c r="AE125" s="26"/>
      <c r="AF125" s="25">
        <f t="shared" si="18"/>
        <v>-1074</v>
      </c>
      <c r="AG125" s="28">
        <f t="shared" si="19"/>
        <v>0</v>
      </c>
    </row>
    <row r="126" spans="1:33" s="29" customFormat="1" ht="23.25" customHeight="1" x14ac:dyDescent="0.2">
      <c r="A126" s="18">
        <v>43545</v>
      </c>
      <c r="B126" s="19"/>
      <c r="C126" s="20" t="s">
        <v>404</v>
      </c>
      <c r="D126" s="20"/>
      <c r="E126" s="20"/>
      <c r="F126" s="21"/>
      <c r="G126" s="44" t="s">
        <v>203</v>
      </c>
      <c r="H126" s="23"/>
      <c r="I126" s="23"/>
      <c r="J126" s="23">
        <v>280</v>
      </c>
      <c r="K126" s="23"/>
      <c r="L126" s="24"/>
      <c r="M126" s="25">
        <f t="shared" si="15"/>
        <v>280</v>
      </c>
      <c r="N126" s="25">
        <f t="shared" si="16"/>
        <v>0</v>
      </c>
      <c r="O126" s="25">
        <f t="shared" si="17"/>
        <v>0</v>
      </c>
      <c r="P126" s="25">
        <v>280</v>
      </c>
      <c r="Q126" s="26"/>
      <c r="R126" s="26"/>
      <c r="S126" s="27"/>
      <c r="T126" s="27"/>
      <c r="U126" s="27"/>
      <c r="V126" s="27"/>
      <c r="W126" s="27"/>
      <c r="X126" s="26"/>
      <c r="Y126" s="26"/>
      <c r="Z126" s="26"/>
      <c r="AA126" s="26"/>
      <c r="AB126" s="27"/>
      <c r="AC126" s="27"/>
      <c r="AD126" s="26"/>
      <c r="AE126" s="26"/>
      <c r="AF126" s="25">
        <f t="shared" si="18"/>
        <v>-280</v>
      </c>
      <c r="AG126" s="28">
        <f t="shared" si="19"/>
        <v>0</v>
      </c>
    </row>
    <row r="127" spans="1:33" s="29" customFormat="1" ht="23.25" customHeight="1" x14ac:dyDescent="0.2">
      <c r="A127" s="18">
        <v>43545</v>
      </c>
      <c r="B127" s="19"/>
      <c r="C127" s="20" t="s">
        <v>347</v>
      </c>
      <c r="D127" s="20"/>
      <c r="E127" s="20"/>
      <c r="F127" s="21"/>
      <c r="G127" s="44" t="s">
        <v>423</v>
      </c>
      <c r="H127" s="23">
        <f>1074</f>
        <v>1074</v>
      </c>
      <c r="I127" s="23"/>
      <c r="J127" s="23"/>
      <c r="K127" s="23"/>
      <c r="L127" s="24"/>
      <c r="M127" s="25">
        <f t="shared" si="15"/>
        <v>1074</v>
      </c>
      <c r="N127" s="25">
        <f t="shared" si="16"/>
        <v>0</v>
      </c>
      <c r="O127" s="25">
        <f t="shared" si="17"/>
        <v>0</v>
      </c>
      <c r="P127" s="25"/>
      <c r="Q127" s="26"/>
      <c r="R127" s="26"/>
      <c r="S127" s="27"/>
      <c r="T127" s="27"/>
      <c r="U127" s="27"/>
      <c r="V127" s="27"/>
      <c r="W127" s="27"/>
      <c r="X127" s="26"/>
      <c r="Y127" s="26"/>
      <c r="Z127" s="26"/>
      <c r="AA127" s="26"/>
      <c r="AB127" s="27">
        <v>1074</v>
      </c>
      <c r="AC127" s="27"/>
      <c r="AD127" s="26"/>
      <c r="AE127" s="26"/>
      <c r="AF127" s="25">
        <f t="shared" si="18"/>
        <v>-1074</v>
      </c>
      <c r="AG127" s="28">
        <f t="shared" si="19"/>
        <v>0</v>
      </c>
    </row>
    <row r="128" spans="1:33" s="29" customFormat="1" ht="23.25" customHeight="1" x14ac:dyDescent="0.2">
      <c r="A128" s="18">
        <v>43545</v>
      </c>
      <c r="B128" s="19"/>
      <c r="C128" s="20" t="s">
        <v>424</v>
      </c>
      <c r="D128" s="20"/>
      <c r="E128" s="20"/>
      <c r="F128" s="21"/>
      <c r="G128" s="44" t="s">
        <v>423</v>
      </c>
      <c r="H128" s="23">
        <v>1074</v>
      </c>
      <c r="I128" s="23"/>
      <c r="J128" s="23"/>
      <c r="K128" s="23"/>
      <c r="L128" s="24"/>
      <c r="M128" s="25">
        <f t="shared" si="15"/>
        <v>1074</v>
      </c>
      <c r="N128" s="25">
        <f t="shared" si="16"/>
        <v>0</v>
      </c>
      <c r="O128" s="25">
        <f t="shared" si="17"/>
        <v>0</v>
      </c>
      <c r="P128" s="25"/>
      <c r="Q128" s="26"/>
      <c r="R128" s="26"/>
      <c r="S128" s="27"/>
      <c r="T128" s="27"/>
      <c r="U128" s="27"/>
      <c r="V128" s="27"/>
      <c r="W128" s="27"/>
      <c r="X128" s="26"/>
      <c r="Y128" s="26"/>
      <c r="Z128" s="26"/>
      <c r="AA128" s="26"/>
      <c r="AB128" s="27">
        <v>1074</v>
      </c>
      <c r="AC128" s="27"/>
      <c r="AD128" s="26"/>
      <c r="AE128" s="26"/>
      <c r="AF128" s="25">
        <f t="shared" si="18"/>
        <v>-1074</v>
      </c>
      <c r="AG128" s="28">
        <f t="shared" si="19"/>
        <v>0</v>
      </c>
    </row>
    <row r="129" spans="1:33" s="29" customFormat="1" ht="23.25" customHeight="1" x14ac:dyDescent="0.2">
      <c r="A129" s="18">
        <v>43545</v>
      </c>
      <c r="B129" s="19"/>
      <c r="C129" s="20" t="s">
        <v>41</v>
      </c>
      <c r="D129" s="20" t="s">
        <v>42</v>
      </c>
      <c r="E129" s="20" t="s">
        <v>43</v>
      </c>
      <c r="F129" s="21">
        <v>192237</v>
      </c>
      <c r="G129" s="44" t="s">
        <v>44</v>
      </c>
      <c r="H129" s="23"/>
      <c r="I129" s="23"/>
      <c r="J129" s="23"/>
      <c r="K129" s="23">
        <v>180</v>
      </c>
      <c r="L129" s="24"/>
      <c r="M129" s="25">
        <f t="shared" si="15"/>
        <v>160.71428571428569</v>
      </c>
      <c r="N129" s="25">
        <f t="shared" si="16"/>
        <v>19.285714285714281</v>
      </c>
      <c r="O129" s="25">
        <f t="shared" si="17"/>
        <v>0</v>
      </c>
      <c r="P129" s="25"/>
      <c r="Q129" s="26">
        <v>160.71</v>
      </c>
      <c r="R129" s="26"/>
      <c r="S129" s="27"/>
      <c r="T129" s="27"/>
      <c r="U129" s="27"/>
      <c r="V129" s="27"/>
      <c r="W129" s="27"/>
      <c r="X129" s="26"/>
      <c r="Y129" s="26"/>
      <c r="Z129" s="26"/>
      <c r="AA129" s="26"/>
      <c r="AB129" s="27"/>
      <c r="AC129" s="27"/>
      <c r="AD129" s="26"/>
      <c r="AE129" s="26"/>
      <c r="AF129" s="25">
        <f t="shared" si="18"/>
        <v>-179.99571428571429</v>
      </c>
      <c r="AG129" s="28">
        <f t="shared" si="19"/>
        <v>4.2857142857144481E-3</v>
      </c>
    </row>
    <row r="130" spans="1:33" s="29" customFormat="1" ht="23.25" customHeight="1" x14ac:dyDescent="0.2">
      <c r="A130" s="18">
        <v>43546</v>
      </c>
      <c r="B130" s="19"/>
      <c r="C130" s="20" t="s">
        <v>41</v>
      </c>
      <c r="D130" s="20" t="s">
        <v>42</v>
      </c>
      <c r="E130" s="20" t="s">
        <v>43</v>
      </c>
      <c r="F130" s="21">
        <v>192284</v>
      </c>
      <c r="G130" s="44" t="s">
        <v>44</v>
      </c>
      <c r="H130" s="23"/>
      <c r="I130" s="23"/>
      <c r="J130" s="23"/>
      <c r="K130" s="23">
        <v>180</v>
      </c>
      <c r="L130" s="24"/>
      <c r="M130" s="25">
        <f t="shared" si="15"/>
        <v>160.71428571428569</v>
      </c>
      <c r="N130" s="25">
        <f t="shared" si="16"/>
        <v>19.285714285714281</v>
      </c>
      <c r="O130" s="25">
        <f t="shared" si="17"/>
        <v>0</v>
      </c>
      <c r="P130" s="25"/>
      <c r="Q130" s="26">
        <v>160.71</v>
      </c>
      <c r="R130" s="26"/>
      <c r="S130" s="27"/>
      <c r="T130" s="27"/>
      <c r="U130" s="27"/>
      <c r="V130" s="27"/>
      <c r="W130" s="27"/>
      <c r="X130" s="26"/>
      <c r="Y130" s="26"/>
      <c r="Z130" s="26"/>
      <c r="AA130" s="26"/>
      <c r="AB130" s="27"/>
      <c r="AC130" s="27"/>
      <c r="AD130" s="26"/>
      <c r="AE130" s="26"/>
      <c r="AF130" s="25">
        <f t="shared" si="18"/>
        <v>-179.99571428571429</v>
      </c>
      <c r="AG130" s="28">
        <f t="shared" si="19"/>
        <v>4.2857142857144481E-3</v>
      </c>
    </row>
    <row r="131" spans="1:33" s="29" customFormat="1" ht="23.25" customHeight="1" x14ac:dyDescent="0.2">
      <c r="A131" s="18">
        <v>43544</v>
      </c>
      <c r="B131" s="19"/>
      <c r="C131" s="20" t="s">
        <v>45</v>
      </c>
      <c r="D131" s="20" t="s">
        <v>46</v>
      </c>
      <c r="E131" s="20" t="s">
        <v>47</v>
      </c>
      <c r="F131" s="21">
        <v>186269</v>
      </c>
      <c r="G131" s="44" t="s">
        <v>425</v>
      </c>
      <c r="H131" s="23"/>
      <c r="I131" s="23"/>
      <c r="J131" s="23"/>
      <c r="K131" s="23">
        <v>27.75</v>
      </c>
      <c r="L131" s="24"/>
      <c r="M131" s="25">
        <f t="shared" si="15"/>
        <v>24.776785714285712</v>
      </c>
      <c r="N131" s="25">
        <f t="shared" si="16"/>
        <v>2.9732142857142851</v>
      </c>
      <c r="O131" s="25">
        <f t="shared" si="17"/>
        <v>0</v>
      </c>
      <c r="P131" s="25">
        <v>24.78</v>
      </c>
      <c r="Q131" s="26"/>
      <c r="R131" s="26"/>
      <c r="S131" s="27"/>
      <c r="T131" s="27"/>
      <c r="U131" s="27"/>
      <c r="V131" s="27"/>
      <c r="W131" s="27"/>
      <c r="X131" s="26"/>
      <c r="Y131" s="26"/>
      <c r="Z131" s="26"/>
      <c r="AA131" s="26"/>
      <c r="AB131" s="27"/>
      <c r="AC131" s="27"/>
      <c r="AD131" s="26"/>
      <c r="AE131" s="26"/>
      <c r="AF131" s="25">
        <f t="shared" si="18"/>
        <v>-27.753214285714286</v>
      </c>
      <c r="AG131" s="28">
        <f t="shared" si="19"/>
        <v>-3.2142857142858361E-3</v>
      </c>
    </row>
    <row r="132" spans="1:33" s="29" customFormat="1" ht="23.25" customHeight="1" x14ac:dyDescent="0.2">
      <c r="A132" s="18">
        <v>43544</v>
      </c>
      <c r="B132" s="19"/>
      <c r="C132" s="20" t="s">
        <v>45</v>
      </c>
      <c r="D132" s="20" t="s">
        <v>46</v>
      </c>
      <c r="E132" s="20" t="s">
        <v>47</v>
      </c>
      <c r="F132" s="21">
        <v>186269</v>
      </c>
      <c r="G132" s="44" t="s">
        <v>426</v>
      </c>
      <c r="H132" s="23"/>
      <c r="I132" s="23"/>
      <c r="J132" s="23">
        <v>113.6</v>
      </c>
      <c r="K132" s="23"/>
      <c r="L132" s="24"/>
      <c r="M132" s="25">
        <f t="shared" si="15"/>
        <v>113.6</v>
      </c>
      <c r="N132" s="25">
        <f t="shared" si="16"/>
        <v>0</v>
      </c>
      <c r="O132" s="25">
        <f t="shared" si="17"/>
        <v>0</v>
      </c>
      <c r="P132" s="25">
        <v>113.6</v>
      </c>
      <c r="Q132" s="26"/>
      <c r="R132" s="26"/>
      <c r="S132" s="27"/>
      <c r="T132" s="27"/>
      <c r="U132" s="27"/>
      <c r="V132" s="27"/>
      <c r="W132" s="27"/>
      <c r="X132" s="26"/>
      <c r="Y132" s="26"/>
      <c r="Z132" s="26"/>
      <c r="AA132" s="26"/>
      <c r="AB132" s="27"/>
      <c r="AC132" s="27"/>
      <c r="AD132" s="26"/>
      <c r="AE132" s="26"/>
      <c r="AF132" s="25">
        <f t="shared" si="18"/>
        <v>-113.6</v>
      </c>
      <c r="AG132" s="28">
        <f t="shared" si="19"/>
        <v>0</v>
      </c>
    </row>
    <row r="133" spans="1:33" s="29" customFormat="1" ht="23.25" customHeight="1" x14ac:dyDescent="0.2">
      <c r="A133" s="18">
        <v>43547</v>
      </c>
      <c r="B133" s="19"/>
      <c r="C133" s="20" t="s">
        <v>427</v>
      </c>
      <c r="D133" s="20" t="s">
        <v>197</v>
      </c>
      <c r="E133" s="20" t="s">
        <v>428</v>
      </c>
      <c r="F133" s="21">
        <v>3493</v>
      </c>
      <c r="G133" s="44" t="s">
        <v>199</v>
      </c>
      <c r="H133" s="23">
        <v>1500</v>
      </c>
      <c r="I133" s="23"/>
      <c r="J133" s="23"/>
      <c r="K133" s="23"/>
      <c r="L133" s="24"/>
      <c r="M133" s="25">
        <f t="shared" ref="M133:M164" si="20">SUM(H133:J133,K133/1.12)</f>
        <v>1500</v>
      </c>
      <c r="N133" s="25">
        <f t="shared" ref="N133:N164" si="21">K133/1.12*0.12</f>
        <v>0</v>
      </c>
      <c r="O133" s="25">
        <f t="shared" ref="O133:O164" si="22">-SUM(I133:J133,K133/1.12)*L133</f>
        <v>0</v>
      </c>
      <c r="P133" s="25"/>
      <c r="Q133" s="26"/>
      <c r="R133" s="26"/>
      <c r="S133" s="27"/>
      <c r="T133" s="27">
        <v>1500</v>
      </c>
      <c r="U133" s="27"/>
      <c r="V133" s="27"/>
      <c r="W133" s="27"/>
      <c r="X133" s="26"/>
      <c r="Y133" s="26"/>
      <c r="Z133" s="26"/>
      <c r="AA133" s="26"/>
      <c r="AB133" s="27"/>
      <c r="AC133" s="27"/>
      <c r="AD133" s="26"/>
      <c r="AE133" s="26"/>
      <c r="AF133" s="25">
        <f t="shared" ref="AF133:AF164" si="23">-SUM(N133:AE133)</f>
        <v>-1500</v>
      </c>
      <c r="AG133" s="28">
        <f t="shared" ref="AG133:AG164" si="24">SUM(H133:K133)+AF133+O133</f>
        <v>0</v>
      </c>
    </row>
    <row r="134" spans="1:33" s="29" customFormat="1" ht="23.25" customHeight="1" x14ac:dyDescent="0.2">
      <c r="A134" s="18">
        <v>43547</v>
      </c>
      <c r="B134" s="19"/>
      <c r="C134" s="20" t="s">
        <v>54</v>
      </c>
      <c r="D134" s="20" t="s">
        <v>55</v>
      </c>
      <c r="E134" s="20" t="s">
        <v>56</v>
      </c>
      <c r="F134" s="21">
        <v>3023</v>
      </c>
      <c r="G134" s="44" t="s">
        <v>369</v>
      </c>
      <c r="H134" s="23"/>
      <c r="I134" s="23"/>
      <c r="J134" s="23">
        <v>860</v>
      </c>
      <c r="K134" s="23"/>
      <c r="L134" s="24"/>
      <c r="M134" s="25">
        <f t="shared" si="20"/>
        <v>860</v>
      </c>
      <c r="N134" s="25">
        <f t="shared" si="21"/>
        <v>0</v>
      </c>
      <c r="O134" s="25">
        <f t="shared" si="22"/>
        <v>0</v>
      </c>
      <c r="P134" s="25">
        <v>860</v>
      </c>
      <c r="Q134" s="26"/>
      <c r="R134" s="26"/>
      <c r="S134" s="27"/>
      <c r="T134" s="27"/>
      <c r="U134" s="27"/>
      <c r="V134" s="27"/>
      <c r="W134" s="27"/>
      <c r="X134" s="26"/>
      <c r="Y134" s="26"/>
      <c r="Z134" s="26"/>
      <c r="AA134" s="26"/>
      <c r="AB134" s="27"/>
      <c r="AC134" s="27"/>
      <c r="AD134" s="26"/>
      <c r="AE134" s="26"/>
      <c r="AF134" s="25">
        <f t="shared" si="23"/>
        <v>-860</v>
      </c>
      <c r="AG134" s="28">
        <f t="shared" si="24"/>
        <v>0</v>
      </c>
    </row>
    <row r="135" spans="1:33" s="29" customFormat="1" ht="23.25" customHeight="1" x14ac:dyDescent="0.2">
      <c r="A135" s="18">
        <v>43547</v>
      </c>
      <c r="B135" s="19"/>
      <c r="C135" s="20" t="s">
        <v>45</v>
      </c>
      <c r="D135" s="20" t="s">
        <v>46</v>
      </c>
      <c r="E135" s="20" t="s">
        <v>47</v>
      </c>
      <c r="F135" s="21">
        <v>137020</v>
      </c>
      <c r="G135" s="44" t="s">
        <v>429</v>
      </c>
      <c r="H135" s="23"/>
      <c r="I135" s="23"/>
      <c r="J135" s="23">
        <v>138.9</v>
      </c>
      <c r="K135" s="23"/>
      <c r="L135" s="24"/>
      <c r="M135" s="25">
        <f t="shared" si="20"/>
        <v>138.9</v>
      </c>
      <c r="N135" s="25">
        <f t="shared" si="21"/>
        <v>0</v>
      </c>
      <c r="O135" s="25">
        <f t="shared" si="22"/>
        <v>0</v>
      </c>
      <c r="P135" s="25">
        <v>138.9</v>
      </c>
      <c r="Q135" s="26"/>
      <c r="R135" s="26"/>
      <c r="S135" s="27"/>
      <c r="T135" s="27"/>
      <c r="U135" s="27"/>
      <c r="V135" s="27"/>
      <c r="W135" s="27"/>
      <c r="X135" s="26"/>
      <c r="Y135" s="26"/>
      <c r="Z135" s="26"/>
      <c r="AA135" s="26"/>
      <c r="AB135" s="27"/>
      <c r="AC135" s="27"/>
      <c r="AD135" s="26"/>
      <c r="AE135" s="26"/>
      <c r="AF135" s="25">
        <f t="shared" si="23"/>
        <v>-138.9</v>
      </c>
      <c r="AG135" s="28">
        <f t="shared" si="24"/>
        <v>0</v>
      </c>
    </row>
    <row r="136" spans="1:33" s="29" customFormat="1" ht="23.25" customHeight="1" x14ac:dyDescent="0.2">
      <c r="A136" s="18">
        <v>43547</v>
      </c>
      <c r="B136" s="19"/>
      <c r="C136" s="20" t="s">
        <v>45</v>
      </c>
      <c r="D136" s="20" t="s">
        <v>46</v>
      </c>
      <c r="E136" s="20" t="s">
        <v>47</v>
      </c>
      <c r="F136" s="21">
        <v>137020</v>
      </c>
      <c r="G136" s="44" t="s">
        <v>430</v>
      </c>
      <c r="H136" s="23"/>
      <c r="I136" s="23"/>
      <c r="J136" s="23"/>
      <c r="K136" s="23">
        <f>427.68+51.32</f>
        <v>479</v>
      </c>
      <c r="L136" s="24"/>
      <c r="M136" s="25">
        <f t="shared" si="20"/>
        <v>427.67857142857139</v>
      </c>
      <c r="N136" s="25">
        <f t="shared" si="21"/>
        <v>51.321428571428562</v>
      </c>
      <c r="O136" s="25">
        <f t="shared" si="22"/>
        <v>0</v>
      </c>
      <c r="P136" s="25">
        <v>427.68</v>
      </c>
      <c r="Q136" s="26"/>
      <c r="R136" s="26"/>
      <c r="S136" s="27"/>
      <c r="T136" s="27"/>
      <c r="U136" s="27"/>
      <c r="V136" s="27"/>
      <c r="W136" s="27"/>
      <c r="X136" s="26"/>
      <c r="Y136" s="26"/>
      <c r="Z136" s="26"/>
      <c r="AA136" s="26"/>
      <c r="AB136" s="27"/>
      <c r="AC136" s="27"/>
      <c r="AD136" s="26"/>
      <c r="AE136" s="26"/>
      <c r="AF136" s="25">
        <f t="shared" si="23"/>
        <v>-479.00142857142856</v>
      </c>
      <c r="AG136" s="28">
        <f t="shared" si="24"/>
        <v>-1.4285714285620088E-3</v>
      </c>
    </row>
    <row r="137" spans="1:33" s="29" customFormat="1" ht="23.25" customHeight="1" x14ac:dyDescent="0.2">
      <c r="A137" s="18">
        <v>43547</v>
      </c>
      <c r="B137" s="19"/>
      <c r="C137" s="20" t="s">
        <v>220</v>
      </c>
      <c r="D137" s="20"/>
      <c r="E137" s="20"/>
      <c r="F137" s="21"/>
      <c r="G137" s="44" t="s">
        <v>431</v>
      </c>
      <c r="H137" s="23"/>
      <c r="I137" s="23"/>
      <c r="J137" s="23">
        <v>100</v>
      </c>
      <c r="K137" s="23"/>
      <c r="L137" s="24"/>
      <c r="M137" s="25">
        <f t="shared" si="20"/>
        <v>100</v>
      </c>
      <c r="N137" s="25">
        <f t="shared" si="21"/>
        <v>0</v>
      </c>
      <c r="O137" s="25">
        <f t="shared" si="22"/>
        <v>0</v>
      </c>
      <c r="P137" s="25">
        <v>100</v>
      </c>
      <c r="Q137" s="26"/>
      <c r="R137" s="26"/>
      <c r="S137" s="27"/>
      <c r="T137" s="27"/>
      <c r="U137" s="27"/>
      <c r="V137" s="27"/>
      <c r="W137" s="27"/>
      <c r="X137" s="26"/>
      <c r="Y137" s="26"/>
      <c r="Z137" s="26"/>
      <c r="AA137" s="26"/>
      <c r="AB137" s="27"/>
      <c r="AC137" s="27"/>
      <c r="AD137" s="26"/>
      <c r="AE137" s="26"/>
      <c r="AF137" s="25">
        <f t="shared" si="23"/>
        <v>-100</v>
      </c>
      <c r="AG137" s="28">
        <f t="shared" si="24"/>
        <v>0</v>
      </c>
    </row>
    <row r="138" spans="1:33" s="29" customFormat="1" ht="23.25" customHeight="1" x14ac:dyDescent="0.2">
      <c r="A138" s="18">
        <v>43547</v>
      </c>
      <c r="B138" s="19"/>
      <c r="C138" s="20" t="s">
        <v>277</v>
      </c>
      <c r="D138" s="20"/>
      <c r="E138" s="20"/>
      <c r="F138" s="21"/>
      <c r="G138" s="44" t="s">
        <v>177</v>
      </c>
      <c r="H138" s="23">
        <v>537</v>
      </c>
      <c r="I138" s="23"/>
      <c r="J138" s="23"/>
      <c r="K138" s="23"/>
      <c r="L138" s="24"/>
      <c r="M138" s="25">
        <f t="shared" si="20"/>
        <v>537</v>
      </c>
      <c r="N138" s="25">
        <f t="shared" si="21"/>
        <v>0</v>
      </c>
      <c r="O138" s="25">
        <f t="shared" si="22"/>
        <v>0</v>
      </c>
      <c r="P138" s="25"/>
      <c r="Q138" s="26"/>
      <c r="R138" s="26"/>
      <c r="S138" s="27"/>
      <c r="T138" s="27"/>
      <c r="U138" s="27"/>
      <c r="V138" s="27"/>
      <c r="W138" s="27"/>
      <c r="X138" s="26"/>
      <c r="Y138" s="26"/>
      <c r="Z138" s="26"/>
      <c r="AA138" s="26"/>
      <c r="AB138" s="27">
        <v>537</v>
      </c>
      <c r="AC138" s="27"/>
      <c r="AD138" s="26"/>
      <c r="AE138" s="26"/>
      <c r="AF138" s="25">
        <f t="shared" si="23"/>
        <v>-537</v>
      </c>
      <c r="AG138" s="28">
        <f t="shared" si="24"/>
        <v>0</v>
      </c>
    </row>
    <row r="139" spans="1:33" s="29" customFormat="1" ht="23.25" customHeight="1" x14ac:dyDescent="0.2">
      <c r="A139" s="18">
        <v>43547</v>
      </c>
      <c r="B139" s="19"/>
      <c r="C139" s="20" t="s">
        <v>58</v>
      </c>
      <c r="D139" s="20"/>
      <c r="E139" s="20"/>
      <c r="F139" s="21"/>
      <c r="G139" s="44" t="s">
        <v>432</v>
      </c>
      <c r="H139" s="23">
        <v>50</v>
      </c>
      <c r="I139" s="23"/>
      <c r="J139" s="23"/>
      <c r="K139" s="23"/>
      <c r="L139" s="24"/>
      <c r="M139" s="25">
        <f t="shared" si="20"/>
        <v>50</v>
      </c>
      <c r="N139" s="25">
        <f t="shared" si="21"/>
        <v>0</v>
      </c>
      <c r="O139" s="25">
        <f t="shared" si="22"/>
        <v>0</v>
      </c>
      <c r="P139" s="25"/>
      <c r="Q139" s="26"/>
      <c r="R139" s="26"/>
      <c r="S139" s="27"/>
      <c r="T139" s="27"/>
      <c r="U139" s="27"/>
      <c r="V139" s="27"/>
      <c r="W139" s="27"/>
      <c r="X139" s="26"/>
      <c r="Y139" s="26"/>
      <c r="Z139" s="26"/>
      <c r="AA139" s="26">
        <v>50</v>
      </c>
      <c r="AB139" s="27"/>
      <c r="AC139" s="27"/>
      <c r="AD139" s="26"/>
      <c r="AE139" s="26"/>
      <c r="AF139" s="25">
        <f t="shared" si="23"/>
        <v>-50</v>
      </c>
      <c r="AG139" s="28">
        <f t="shared" si="24"/>
        <v>0</v>
      </c>
    </row>
    <row r="140" spans="1:33" s="29" customFormat="1" ht="23.25" customHeight="1" x14ac:dyDescent="0.2">
      <c r="A140" s="18">
        <v>43549</v>
      </c>
      <c r="B140" s="19"/>
      <c r="C140" s="20" t="s">
        <v>41</v>
      </c>
      <c r="D140" s="20" t="s">
        <v>42</v>
      </c>
      <c r="E140" s="20" t="s">
        <v>43</v>
      </c>
      <c r="F140" s="21">
        <v>198264</v>
      </c>
      <c r="G140" s="44" t="s">
        <v>44</v>
      </c>
      <c r="H140" s="23"/>
      <c r="I140" s="23"/>
      <c r="J140" s="23"/>
      <c r="K140" s="23">
        <v>180</v>
      </c>
      <c r="L140" s="24"/>
      <c r="M140" s="25">
        <f t="shared" si="20"/>
        <v>160.71428571428569</v>
      </c>
      <c r="N140" s="25">
        <f t="shared" si="21"/>
        <v>19.285714285714281</v>
      </c>
      <c r="O140" s="25">
        <f t="shared" si="22"/>
        <v>0</v>
      </c>
      <c r="P140" s="25"/>
      <c r="Q140" s="26">
        <v>160.71</v>
      </c>
      <c r="R140" s="26"/>
      <c r="S140" s="27"/>
      <c r="T140" s="27"/>
      <c r="U140" s="27"/>
      <c r="V140" s="27"/>
      <c r="W140" s="27"/>
      <c r="X140" s="26"/>
      <c r="Y140" s="26"/>
      <c r="Z140" s="26"/>
      <c r="AA140" s="26"/>
      <c r="AB140" s="27"/>
      <c r="AC140" s="27"/>
      <c r="AD140" s="26"/>
      <c r="AE140" s="26"/>
      <c r="AF140" s="25">
        <f t="shared" si="23"/>
        <v>-179.99571428571429</v>
      </c>
      <c r="AG140" s="28">
        <f t="shared" si="24"/>
        <v>4.2857142857144481E-3</v>
      </c>
    </row>
    <row r="141" spans="1:33" s="29" customFormat="1" ht="23.25" customHeight="1" x14ac:dyDescent="0.2">
      <c r="A141" s="18">
        <v>43549</v>
      </c>
      <c r="B141" s="19"/>
      <c r="C141" s="20" t="s">
        <v>50</v>
      </c>
      <c r="D141" s="20" t="s">
        <v>51</v>
      </c>
      <c r="E141" s="20" t="s">
        <v>47</v>
      </c>
      <c r="F141" s="21">
        <v>56290</v>
      </c>
      <c r="G141" s="44" t="s">
        <v>433</v>
      </c>
      <c r="H141" s="23"/>
      <c r="I141" s="23"/>
      <c r="J141" s="23"/>
      <c r="K141" s="23">
        <v>1307.0999999999999</v>
      </c>
      <c r="L141" s="24"/>
      <c r="M141" s="25">
        <f t="shared" si="20"/>
        <v>1167.0535714285713</v>
      </c>
      <c r="N141" s="25">
        <f t="shared" si="21"/>
        <v>140.04642857142855</v>
      </c>
      <c r="O141" s="25">
        <f t="shared" si="22"/>
        <v>0</v>
      </c>
      <c r="P141" s="25">
        <v>1167.05</v>
      </c>
      <c r="Q141" s="26"/>
      <c r="R141" s="26"/>
      <c r="S141" s="27"/>
      <c r="T141" s="27"/>
      <c r="U141" s="27"/>
      <c r="V141" s="27"/>
      <c r="W141" s="27"/>
      <c r="X141" s="26"/>
      <c r="Y141" s="26"/>
      <c r="Z141" s="26"/>
      <c r="AA141" s="26"/>
      <c r="AB141" s="27"/>
      <c r="AC141" s="27"/>
      <c r="AD141" s="26"/>
      <c r="AE141" s="26"/>
      <c r="AF141" s="25">
        <f t="shared" si="23"/>
        <v>-1307.0964285714285</v>
      </c>
      <c r="AG141" s="28">
        <f t="shared" si="24"/>
        <v>3.5714285713766003E-3</v>
      </c>
    </row>
    <row r="142" spans="1:33" s="29" customFormat="1" ht="23.25" customHeight="1" x14ac:dyDescent="0.2">
      <c r="A142" s="18">
        <v>43549</v>
      </c>
      <c r="B142" s="19"/>
      <c r="C142" s="20" t="s">
        <v>424</v>
      </c>
      <c r="D142" s="20"/>
      <c r="E142" s="20"/>
      <c r="F142" s="21"/>
      <c r="G142" s="44" t="s">
        <v>434</v>
      </c>
      <c r="H142" s="23">
        <v>537</v>
      </c>
      <c r="I142" s="23"/>
      <c r="J142" s="23"/>
      <c r="K142" s="23"/>
      <c r="L142" s="24"/>
      <c r="M142" s="25">
        <f t="shared" si="20"/>
        <v>537</v>
      </c>
      <c r="N142" s="25">
        <f t="shared" si="21"/>
        <v>0</v>
      </c>
      <c r="O142" s="25">
        <f t="shared" si="22"/>
        <v>0</v>
      </c>
      <c r="P142" s="25"/>
      <c r="Q142" s="26"/>
      <c r="R142" s="26"/>
      <c r="S142" s="27"/>
      <c r="T142" s="27"/>
      <c r="U142" s="27"/>
      <c r="V142" s="27"/>
      <c r="W142" s="27"/>
      <c r="X142" s="26"/>
      <c r="Y142" s="26"/>
      <c r="Z142" s="26"/>
      <c r="AA142" s="26"/>
      <c r="AB142" s="27">
        <v>537</v>
      </c>
      <c r="AC142" s="27"/>
      <c r="AD142" s="26"/>
      <c r="AE142" s="26"/>
      <c r="AF142" s="25">
        <f t="shared" si="23"/>
        <v>-537</v>
      </c>
      <c r="AG142" s="28">
        <f t="shared" si="24"/>
        <v>0</v>
      </c>
    </row>
    <row r="143" spans="1:33" s="41" customFormat="1" ht="23.25" customHeight="1" x14ac:dyDescent="0.2">
      <c r="A143" s="30">
        <v>43550</v>
      </c>
      <c r="B143" s="31"/>
      <c r="C143" s="32" t="s">
        <v>41</v>
      </c>
      <c r="D143" s="32" t="s">
        <v>42</v>
      </c>
      <c r="E143" s="32" t="s">
        <v>43</v>
      </c>
      <c r="F143" s="33">
        <v>101393</v>
      </c>
      <c r="G143" s="34" t="s">
        <v>44</v>
      </c>
      <c r="H143" s="35"/>
      <c r="I143" s="35"/>
      <c r="J143" s="35"/>
      <c r="K143" s="35">
        <v>180</v>
      </c>
      <c r="L143" s="36"/>
      <c r="M143" s="37">
        <f t="shared" si="20"/>
        <v>160.71428571428569</v>
      </c>
      <c r="N143" s="37">
        <f t="shared" si="21"/>
        <v>19.285714285714281</v>
      </c>
      <c r="O143" s="37">
        <f t="shared" si="22"/>
        <v>0</v>
      </c>
      <c r="P143" s="37"/>
      <c r="Q143" s="38">
        <v>160.71</v>
      </c>
      <c r="R143" s="38"/>
      <c r="S143" s="39"/>
      <c r="T143" s="39"/>
      <c r="U143" s="39"/>
      <c r="V143" s="39"/>
      <c r="W143" s="39"/>
      <c r="X143" s="38"/>
      <c r="Y143" s="38"/>
      <c r="Z143" s="38"/>
      <c r="AA143" s="38"/>
      <c r="AB143" s="39"/>
      <c r="AC143" s="39"/>
      <c r="AD143" s="38"/>
      <c r="AE143" s="38"/>
      <c r="AF143" s="37">
        <f t="shared" si="23"/>
        <v>-179.99571428571429</v>
      </c>
      <c r="AG143" s="40">
        <f t="shared" si="24"/>
        <v>4.2857142857144481E-3</v>
      </c>
    </row>
    <row r="144" spans="1:33" s="29" customFormat="1" ht="23.25" customHeight="1" x14ac:dyDescent="0.2">
      <c r="A144" s="18">
        <v>43550</v>
      </c>
      <c r="B144" s="19"/>
      <c r="C144" s="20" t="s">
        <v>37</v>
      </c>
      <c r="D144" s="20" t="s">
        <v>38</v>
      </c>
      <c r="E144" s="20" t="s">
        <v>39</v>
      </c>
      <c r="F144" s="21">
        <v>34664</v>
      </c>
      <c r="G144" s="44" t="s">
        <v>435</v>
      </c>
      <c r="H144" s="23"/>
      <c r="I144" s="23"/>
      <c r="J144" s="23"/>
      <c r="K144" s="23">
        <v>230</v>
      </c>
      <c r="L144" s="24"/>
      <c r="M144" s="25">
        <f t="shared" si="20"/>
        <v>205.35714285714283</v>
      </c>
      <c r="N144" s="25">
        <f t="shared" si="21"/>
        <v>24.642857142857139</v>
      </c>
      <c r="O144" s="25">
        <f t="shared" si="22"/>
        <v>0</v>
      </c>
      <c r="P144" s="25">
        <v>205.36</v>
      </c>
      <c r="Q144" s="26"/>
      <c r="R144" s="26"/>
      <c r="S144" s="27"/>
      <c r="T144" s="27"/>
      <c r="U144" s="27"/>
      <c r="V144" s="27"/>
      <c r="W144" s="27"/>
      <c r="X144" s="26"/>
      <c r="Y144" s="26"/>
      <c r="Z144" s="26"/>
      <c r="AA144" s="26"/>
      <c r="AB144" s="27"/>
      <c r="AC144" s="27"/>
      <c r="AD144" s="26"/>
      <c r="AE144" s="26"/>
      <c r="AF144" s="25">
        <f t="shared" si="23"/>
        <v>-230.00285714285715</v>
      </c>
      <c r="AG144" s="28">
        <f t="shared" si="24"/>
        <v>-2.8571428571524393E-3</v>
      </c>
    </row>
    <row r="145" spans="1:33" s="29" customFormat="1" ht="23.25" customHeight="1" x14ac:dyDescent="0.2">
      <c r="A145" s="18">
        <v>43550</v>
      </c>
      <c r="B145" s="19"/>
      <c r="C145" s="20" t="s">
        <v>74</v>
      </c>
      <c r="D145" s="20"/>
      <c r="E145" s="20"/>
      <c r="F145" s="21"/>
      <c r="G145" s="44" t="s">
        <v>75</v>
      </c>
      <c r="H145" s="23"/>
      <c r="I145" s="23"/>
      <c r="J145" s="23">
        <v>1123</v>
      </c>
      <c r="K145" s="23"/>
      <c r="L145" s="24"/>
      <c r="M145" s="25">
        <f t="shared" si="20"/>
        <v>1123</v>
      </c>
      <c r="N145" s="25">
        <f t="shared" si="21"/>
        <v>0</v>
      </c>
      <c r="O145" s="25">
        <f t="shared" si="22"/>
        <v>0</v>
      </c>
      <c r="P145" s="25">
        <v>1123</v>
      </c>
      <c r="Q145" s="26"/>
      <c r="R145" s="26"/>
      <c r="S145" s="27"/>
      <c r="T145" s="27"/>
      <c r="U145" s="27"/>
      <c r="V145" s="27"/>
      <c r="W145" s="27"/>
      <c r="X145" s="26"/>
      <c r="Y145" s="26"/>
      <c r="Z145" s="26"/>
      <c r="AA145" s="26"/>
      <c r="AB145" s="27"/>
      <c r="AC145" s="27"/>
      <c r="AD145" s="26"/>
      <c r="AE145" s="26"/>
      <c r="AF145" s="25">
        <f t="shared" si="23"/>
        <v>-1123</v>
      </c>
      <c r="AG145" s="28">
        <f t="shared" si="24"/>
        <v>0</v>
      </c>
    </row>
    <row r="146" spans="1:33" s="29" customFormat="1" ht="23.25" customHeight="1" x14ac:dyDescent="0.2">
      <c r="A146" s="18">
        <v>43550</v>
      </c>
      <c r="B146" s="19"/>
      <c r="C146" s="20" t="s">
        <v>58</v>
      </c>
      <c r="D146" s="20"/>
      <c r="E146" s="20"/>
      <c r="F146" s="21"/>
      <c r="G146" s="44" t="s">
        <v>436</v>
      </c>
      <c r="H146" s="23">
        <v>100</v>
      </c>
      <c r="I146" s="23"/>
      <c r="J146" s="23"/>
      <c r="K146" s="23"/>
      <c r="L146" s="24"/>
      <c r="M146" s="25">
        <f t="shared" si="20"/>
        <v>100</v>
      </c>
      <c r="N146" s="25">
        <f t="shared" si="21"/>
        <v>0</v>
      </c>
      <c r="O146" s="25">
        <f t="shared" si="22"/>
        <v>0</v>
      </c>
      <c r="P146" s="25"/>
      <c r="Q146" s="26"/>
      <c r="R146" s="26"/>
      <c r="S146" s="27"/>
      <c r="T146" s="27"/>
      <c r="U146" s="27"/>
      <c r="V146" s="27"/>
      <c r="W146" s="27"/>
      <c r="X146" s="26"/>
      <c r="Y146" s="26"/>
      <c r="Z146" s="26"/>
      <c r="AA146" s="26">
        <v>100</v>
      </c>
      <c r="AB146" s="27"/>
      <c r="AC146" s="27"/>
      <c r="AD146" s="26"/>
      <c r="AE146" s="26"/>
      <c r="AF146" s="25">
        <f t="shared" si="23"/>
        <v>-100</v>
      </c>
      <c r="AG146" s="28">
        <f t="shared" si="24"/>
        <v>0</v>
      </c>
    </row>
    <row r="147" spans="1:33" s="29" customFormat="1" ht="23.25" customHeight="1" x14ac:dyDescent="0.2">
      <c r="A147" s="18">
        <v>43550</v>
      </c>
      <c r="B147" s="19"/>
      <c r="C147" s="20" t="s">
        <v>437</v>
      </c>
      <c r="D147" s="20" t="s">
        <v>336</v>
      </c>
      <c r="E147" s="20" t="s">
        <v>47</v>
      </c>
      <c r="F147" s="21">
        <v>504252</v>
      </c>
      <c r="G147" s="44" t="s">
        <v>438</v>
      </c>
      <c r="H147" s="23"/>
      <c r="I147" s="23"/>
      <c r="J147" s="23"/>
      <c r="K147" s="23">
        <v>349.25</v>
      </c>
      <c r="L147" s="24"/>
      <c r="M147" s="25">
        <f t="shared" si="20"/>
        <v>311.83035714285711</v>
      </c>
      <c r="N147" s="25">
        <f t="shared" si="21"/>
        <v>37.419642857142854</v>
      </c>
      <c r="O147" s="25">
        <f t="shared" si="22"/>
        <v>0</v>
      </c>
      <c r="P147" s="25"/>
      <c r="Q147" s="26"/>
      <c r="R147" s="26"/>
      <c r="S147" s="27"/>
      <c r="T147" s="27"/>
      <c r="U147" s="27"/>
      <c r="V147" s="27"/>
      <c r="W147" s="27"/>
      <c r="X147" s="26"/>
      <c r="Y147" s="26">
        <v>311.83</v>
      </c>
      <c r="Z147" s="26"/>
      <c r="AA147" s="26"/>
      <c r="AB147" s="27"/>
      <c r="AC147" s="27"/>
      <c r="AD147" s="26"/>
      <c r="AE147" s="26"/>
      <c r="AF147" s="25">
        <f t="shared" si="23"/>
        <v>-349.24964285714282</v>
      </c>
      <c r="AG147" s="28">
        <f t="shared" si="24"/>
        <v>3.5714285718313477E-4</v>
      </c>
    </row>
    <row r="148" spans="1:33" s="29" customFormat="1" ht="23.25" customHeight="1" x14ac:dyDescent="0.2">
      <c r="A148" s="18">
        <v>43550</v>
      </c>
      <c r="B148" s="19"/>
      <c r="C148" s="20" t="s">
        <v>54</v>
      </c>
      <c r="D148" s="20" t="s">
        <v>55</v>
      </c>
      <c r="E148" s="20" t="s">
        <v>56</v>
      </c>
      <c r="F148" s="21">
        <v>3033</v>
      </c>
      <c r="G148" s="44" t="s">
        <v>247</v>
      </c>
      <c r="H148" s="23"/>
      <c r="I148" s="23"/>
      <c r="J148" s="23">
        <v>850</v>
      </c>
      <c r="K148" s="23"/>
      <c r="L148" s="24"/>
      <c r="M148" s="25">
        <f t="shared" si="20"/>
        <v>850</v>
      </c>
      <c r="N148" s="25">
        <f t="shared" si="21"/>
        <v>0</v>
      </c>
      <c r="O148" s="25">
        <f t="shared" si="22"/>
        <v>0</v>
      </c>
      <c r="P148" s="25">
        <v>850</v>
      </c>
      <c r="Q148" s="26"/>
      <c r="R148" s="26"/>
      <c r="S148" s="27"/>
      <c r="T148" s="27"/>
      <c r="U148" s="27"/>
      <c r="V148" s="27"/>
      <c r="W148" s="27"/>
      <c r="X148" s="26"/>
      <c r="Y148" s="26"/>
      <c r="Z148" s="26"/>
      <c r="AA148" s="26"/>
      <c r="AB148" s="27"/>
      <c r="AC148" s="27"/>
      <c r="AD148" s="26"/>
      <c r="AE148" s="26"/>
      <c r="AF148" s="25">
        <f t="shared" si="23"/>
        <v>-850</v>
      </c>
      <c r="AG148" s="28">
        <f t="shared" si="24"/>
        <v>0</v>
      </c>
    </row>
    <row r="149" spans="1:33" s="29" customFormat="1" ht="23.25" customHeight="1" x14ac:dyDescent="0.2">
      <c r="A149" s="18">
        <v>43551</v>
      </c>
      <c r="B149" s="19"/>
      <c r="C149" s="20" t="s">
        <v>41</v>
      </c>
      <c r="D149" s="20" t="s">
        <v>42</v>
      </c>
      <c r="E149" s="20" t="s">
        <v>43</v>
      </c>
      <c r="F149" s="21">
        <v>54238</v>
      </c>
      <c r="G149" s="44" t="s">
        <v>44</v>
      </c>
      <c r="H149" s="23"/>
      <c r="I149" s="23"/>
      <c r="J149" s="23"/>
      <c r="K149" s="23">
        <v>180</v>
      </c>
      <c r="L149" s="24"/>
      <c r="M149" s="25">
        <f t="shared" si="20"/>
        <v>160.71428571428569</v>
      </c>
      <c r="N149" s="25">
        <f t="shared" si="21"/>
        <v>19.285714285714281</v>
      </c>
      <c r="O149" s="25">
        <f t="shared" si="22"/>
        <v>0</v>
      </c>
      <c r="P149" s="25"/>
      <c r="Q149" s="26">
        <v>160.71</v>
      </c>
      <c r="R149" s="26"/>
      <c r="S149" s="27"/>
      <c r="T149" s="27"/>
      <c r="U149" s="27"/>
      <c r="V149" s="27"/>
      <c r="W149" s="27"/>
      <c r="X149" s="26"/>
      <c r="Y149" s="26"/>
      <c r="Z149" s="26"/>
      <c r="AA149" s="26"/>
      <c r="AB149" s="27"/>
      <c r="AC149" s="27"/>
      <c r="AD149" s="26"/>
      <c r="AE149" s="26"/>
      <c r="AF149" s="25">
        <f t="shared" si="23"/>
        <v>-179.99571428571429</v>
      </c>
      <c r="AG149" s="28">
        <f t="shared" si="24"/>
        <v>4.2857142857144481E-3</v>
      </c>
    </row>
    <row r="150" spans="1:33" s="29" customFormat="1" ht="23.25" customHeight="1" x14ac:dyDescent="0.2">
      <c r="A150" s="18">
        <v>43552</v>
      </c>
      <c r="B150" s="19"/>
      <c r="C150" s="20" t="s">
        <v>41</v>
      </c>
      <c r="D150" s="20" t="s">
        <v>42</v>
      </c>
      <c r="E150" s="20" t="s">
        <v>43</v>
      </c>
      <c r="F150" s="21">
        <v>54286</v>
      </c>
      <c r="G150" s="44" t="s">
        <v>44</v>
      </c>
      <c r="H150" s="23"/>
      <c r="I150" s="23"/>
      <c r="J150" s="23"/>
      <c r="K150" s="23">
        <v>180</v>
      </c>
      <c r="L150" s="24"/>
      <c r="M150" s="25">
        <f t="shared" si="20"/>
        <v>160.71428571428569</v>
      </c>
      <c r="N150" s="25">
        <f t="shared" si="21"/>
        <v>19.285714285714281</v>
      </c>
      <c r="O150" s="25">
        <f t="shared" si="22"/>
        <v>0</v>
      </c>
      <c r="P150" s="25"/>
      <c r="Q150" s="26">
        <v>160.71</v>
      </c>
      <c r="R150" s="26"/>
      <c r="S150" s="27"/>
      <c r="T150" s="27"/>
      <c r="U150" s="27"/>
      <c r="V150" s="27"/>
      <c r="W150" s="27"/>
      <c r="X150" s="26"/>
      <c r="Y150" s="26"/>
      <c r="Z150" s="26"/>
      <c r="AA150" s="26"/>
      <c r="AB150" s="27"/>
      <c r="AC150" s="27"/>
      <c r="AD150" s="26"/>
      <c r="AE150" s="26"/>
      <c r="AF150" s="25">
        <f t="shared" si="23"/>
        <v>-179.99571428571429</v>
      </c>
      <c r="AG150" s="28">
        <f t="shared" si="24"/>
        <v>4.2857142857144481E-3</v>
      </c>
    </row>
    <row r="151" spans="1:33" s="29" customFormat="1" ht="23.25" customHeight="1" x14ac:dyDescent="0.2">
      <c r="A151" s="18">
        <v>43552</v>
      </c>
      <c r="B151" s="19"/>
      <c r="C151" s="20" t="s">
        <v>45</v>
      </c>
      <c r="D151" s="20" t="s">
        <v>46</v>
      </c>
      <c r="E151" s="20" t="s">
        <v>47</v>
      </c>
      <c r="F151" s="21">
        <v>140988</v>
      </c>
      <c r="G151" s="44" t="s">
        <v>439</v>
      </c>
      <c r="H151" s="23"/>
      <c r="I151" s="23"/>
      <c r="J151" s="23"/>
      <c r="K151" s="23">
        <f>628.62+75.43</f>
        <v>704.05</v>
      </c>
      <c r="L151" s="24"/>
      <c r="M151" s="25">
        <f t="shared" si="20"/>
        <v>628.61607142857133</v>
      </c>
      <c r="N151" s="25">
        <f t="shared" si="21"/>
        <v>75.433928571428552</v>
      </c>
      <c r="O151" s="25">
        <f t="shared" si="22"/>
        <v>0</v>
      </c>
      <c r="P151" s="25">
        <v>628.62</v>
      </c>
      <c r="Q151" s="26"/>
      <c r="R151" s="26"/>
      <c r="S151" s="27"/>
      <c r="T151" s="27"/>
      <c r="U151" s="27"/>
      <c r="V151" s="27"/>
      <c r="W151" s="27"/>
      <c r="X151" s="26"/>
      <c r="Y151" s="26"/>
      <c r="Z151" s="26"/>
      <c r="AA151" s="26"/>
      <c r="AB151" s="27"/>
      <c r="AC151" s="27"/>
      <c r="AD151" s="26"/>
      <c r="AE151" s="26"/>
      <c r="AF151" s="25">
        <f t="shared" si="23"/>
        <v>-704.05392857142851</v>
      </c>
      <c r="AG151" s="28">
        <f t="shared" si="24"/>
        <v>-3.9285714285597351E-3</v>
      </c>
    </row>
    <row r="152" spans="1:33" s="29" customFormat="1" ht="23.25" customHeight="1" x14ac:dyDescent="0.2">
      <c r="A152" s="18">
        <v>43552</v>
      </c>
      <c r="B152" s="19"/>
      <c r="C152" s="20" t="s">
        <v>45</v>
      </c>
      <c r="D152" s="20" t="s">
        <v>46</v>
      </c>
      <c r="E152" s="20" t="s">
        <v>47</v>
      </c>
      <c r="F152" s="21">
        <v>140988</v>
      </c>
      <c r="G152" s="44" t="s">
        <v>203</v>
      </c>
      <c r="H152" s="23"/>
      <c r="I152" s="23"/>
      <c r="J152" s="23">
        <v>179.85</v>
      </c>
      <c r="K152" s="23"/>
      <c r="L152" s="24"/>
      <c r="M152" s="25">
        <f t="shared" si="20"/>
        <v>179.85</v>
      </c>
      <c r="N152" s="25">
        <f t="shared" si="21"/>
        <v>0</v>
      </c>
      <c r="O152" s="25">
        <f t="shared" si="22"/>
        <v>0</v>
      </c>
      <c r="P152" s="25">
        <v>179.85</v>
      </c>
      <c r="Q152" s="26"/>
      <c r="R152" s="26"/>
      <c r="S152" s="27"/>
      <c r="T152" s="27"/>
      <c r="U152" s="27"/>
      <c r="V152" s="27"/>
      <c r="W152" s="27"/>
      <c r="X152" s="26"/>
      <c r="Y152" s="26"/>
      <c r="Z152" s="26"/>
      <c r="AA152" s="26"/>
      <c r="AB152" s="27"/>
      <c r="AC152" s="27"/>
      <c r="AD152" s="26"/>
      <c r="AE152" s="26"/>
      <c r="AF152" s="25">
        <f t="shared" si="23"/>
        <v>-179.85</v>
      </c>
      <c r="AG152" s="28">
        <f t="shared" si="24"/>
        <v>0</v>
      </c>
    </row>
    <row r="153" spans="1:33" s="29" customFormat="1" ht="23.25" customHeight="1" x14ac:dyDescent="0.2">
      <c r="A153" s="18">
        <v>43552</v>
      </c>
      <c r="B153" s="19"/>
      <c r="C153" s="20" t="s">
        <v>440</v>
      </c>
      <c r="D153" s="20" t="s">
        <v>441</v>
      </c>
      <c r="E153" s="20" t="s">
        <v>442</v>
      </c>
      <c r="F153" s="21">
        <v>43988</v>
      </c>
      <c r="G153" s="44" t="s">
        <v>443</v>
      </c>
      <c r="H153" s="23"/>
      <c r="I153" s="23"/>
      <c r="J153" s="23"/>
      <c r="K153" s="23">
        <v>85</v>
      </c>
      <c r="L153" s="24"/>
      <c r="M153" s="25">
        <f t="shared" si="20"/>
        <v>75.892857142857139</v>
      </c>
      <c r="N153" s="25">
        <f t="shared" si="21"/>
        <v>9.1071428571428559</v>
      </c>
      <c r="O153" s="25">
        <f t="shared" si="22"/>
        <v>0</v>
      </c>
      <c r="P153" s="25"/>
      <c r="Q153" s="26"/>
      <c r="R153" s="26"/>
      <c r="S153" s="27"/>
      <c r="T153" s="27"/>
      <c r="U153" s="27"/>
      <c r="V153" s="27">
        <v>75.89</v>
      </c>
      <c r="W153" s="27"/>
      <c r="X153" s="26"/>
      <c r="Y153" s="26"/>
      <c r="Z153" s="26"/>
      <c r="AA153" s="26"/>
      <c r="AB153" s="27"/>
      <c r="AC153" s="27"/>
      <c r="AD153" s="26"/>
      <c r="AE153" s="26"/>
      <c r="AF153" s="25">
        <f t="shared" si="23"/>
        <v>-84.997142857142862</v>
      </c>
      <c r="AG153" s="28">
        <f t="shared" si="24"/>
        <v>2.8571428571382285E-3</v>
      </c>
    </row>
    <row r="154" spans="1:33" s="29" customFormat="1" ht="23.25" customHeight="1" x14ac:dyDescent="0.2">
      <c r="A154" s="18">
        <v>43552</v>
      </c>
      <c r="B154" s="19"/>
      <c r="C154" s="20" t="s">
        <v>45</v>
      </c>
      <c r="D154" s="20" t="s">
        <v>46</v>
      </c>
      <c r="E154" s="20" t="s">
        <v>47</v>
      </c>
      <c r="F154" s="21">
        <v>174192</v>
      </c>
      <c r="G154" s="44" t="s">
        <v>380</v>
      </c>
      <c r="H154" s="23"/>
      <c r="I154" s="23"/>
      <c r="J154" s="23"/>
      <c r="K154" s="23">
        <v>322.5</v>
      </c>
      <c r="L154" s="24"/>
      <c r="M154" s="25">
        <f t="shared" si="20"/>
        <v>287.94642857142856</v>
      </c>
      <c r="N154" s="25">
        <f t="shared" si="21"/>
        <v>34.553571428571423</v>
      </c>
      <c r="O154" s="25">
        <f t="shared" si="22"/>
        <v>0</v>
      </c>
      <c r="P154" s="25">
        <v>287.95</v>
      </c>
      <c r="Q154" s="26"/>
      <c r="R154" s="26"/>
      <c r="S154" s="27"/>
      <c r="T154" s="27"/>
      <c r="U154" s="27"/>
      <c r="V154" s="27"/>
      <c r="W154" s="27"/>
      <c r="X154" s="26"/>
      <c r="Y154" s="26"/>
      <c r="Z154" s="26"/>
      <c r="AA154" s="26"/>
      <c r="AB154" s="27"/>
      <c r="AC154" s="27"/>
      <c r="AD154" s="26"/>
      <c r="AE154" s="26"/>
      <c r="AF154" s="25">
        <f t="shared" si="23"/>
        <v>-322.50357142857143</v>
      </c>
      <c r="AG154" s="28">
        <f t="shared" si="24"/>
        <v>-3.5714285714334437E-3</v>
      </c>
    </row>
    <row r="155" spans="1:33" s="29" customFormat="1" ht="23.25" customHeight="1" x14ac:dyDescent="0.2">
      <c r="A155" s="18">
        <v>43552</v>
      </c>
      <c r="B155" s="19"/>
      <c r="C155" s="20" t="s">
        <v>444</v>
      </c>
      <c r="D155" s="20" t="s">
        <v>445</v>
      </c>
      <c r="E155" s="20" t="s">
        <v>47</v>
      </c>
      <c r="F155" s="21">
        <v>26647</v>
      </c>
      <c r="G155" s="44" t="s">
        <v>446</v>
      </c>
      <c r="H155" s="23"/>
      <c r="I155" s="23"/>
      <c r="J155" s="23"/>
      <c r="K155" s="23">
        <v>170</v>
      </c>
      <c r="L155" s="24"/>
      <c r="M155" s="25">
        <f t="shared" si="20"/>
        <v>151.78571428571428</v>
      </c>
      <c r="N155" s="25">
        <f t="shared" si="21"/>
        <v>18.214285714285712</v>
      </c>
      <c r="O155" s="25">
        <f t="shared" si="22"/>
        <v>0</v>
      </c>
      <c r="P155" s="25"/>
      <c r="Q155" s="26"/>
      <c r="R155" s="26"/>
      <c r="S155" s="27"/>
      <c r="T155" s="27"/>
      <c r="U155" s="27"/>
      <c r="V155" s="27">
        <v>151.79</v>
      </c>
      <c r="W155" s="27"/>
      <c r="X155" s="26"/>
      <c r="Y155" s="26"/>
      <c r="Z155" s="26"/>
      <c r="AA155" s="26"/>
      <c r="AB155" s="27"/>
      <c r="AC155" s="27"/>
      <c r="AD155" s="26"/>
      <c r="AE155" s="26"/>
      <c r="AF155" s="25">
        <f t="shared" si="23"/>
        <v>-170.00428571428571</v>
      </c>
      <c r="AG155" s="28">
        <f t="shared" si="24"/>
        <v>-4.2857142857144481E-3</v>
      </c>
    </row>
    <row r="156" spans="1:33" s="29" customFormat="1" ht="23.25" customHeight="1" x14ac:dyDescent="0.2">
      <c r="A156" s="18">
        <v>43552</v>
      </c>
      <c r="B156" s="19"/>
      <c r="C156" s="20" t="s">
        <v>157</v>
      </c>
      <c r="D156" s="20"/>
      <c r="E156" s="20"/>
      <c r="F156" s="21"/>
      <c r="G156" s="44" t="s">
        <v>447</v>
      </c>
      <c r="H156" s="23">
        <v>18</v>
      </c>
      <c r="I156" s="23"/>
      <c r="J156" s="23"/>
      <c r="K156" s="23"/>
      <c r="L156" s="24"/>
      <c r="M156" s="25">
        <f t="shared" si="20"/>
        <v>18</v>
      </c>
      <c r="N156" s="25">
        <f t="shared" si="21"/>
        <v>0</v>
      </c>
      <c r="O156" s="25">
        <f t="shared" si="22"/>
        <v>0</v>
      </c>
      <c r="P156" s="25"/>
      <c r="Q156" s="26"/>
      <c r="R156" s="26"/>
      <c r="S156" s="27"/>
      <c r="T156" s="27"/>
      <c r="U156" s="27"/>
      <c r="V156" s="27"/>
      <c r="W156" s="27"/>
      <c r="X156" s="26"/>
      <c r="Y156" s="26"/>
      <c r="Z156" s="26"/>
      <c r="AA156" s="26">
        <v>18</v>
      </c>
      <c r="AB156" s="27"/>
      <c r="AC156" s="27"/>
      <c r="AD156" s="26"/>
      <c r="AE156" s="26"/>
      <c r="AF156" s="25">
        <f t="shared" si="23"/>
        <v>-18</v>
      </c>
      <c r="AG156" s="28">
        <f t="shared" si="24"/>
        <v>0</v>
      </c>
    </row>
    <row r="157" spans="1:33" s="29" customFormat="1" ht="23.25" customHeight="1" x14ac:dyDescent="0.2">
      <c r="A157" s="18">
        <v>43552</v>
      </c>
      <c r="B157" s="19"/>
      <c r="C157" s="20" t="s">
        <v>374</v>
      </c>
      <c r="D157" s="20" t="s">
        <v>448</v>
      </c>
      <c r="E157" s="20" t="s">
        <v>442</v>
      </c>
      <c r="F157" s="21">
        <v>163984</v>
      </c>
      <c r="G157" s="44" t="s">
        <v>449</v>
      </c>
      <c r="H157" s="23"/>
      <c r="I157" s="23"/>
      <c r="J157" s="23"/>
      <c r="K157" s="23">
        <v>150</v>
      </c>
      <c r="L157" s="24"/>
      <c r="M157" s="25">
        <f t="shared" si="20"/>
        <v>133.92857142857142</v>
      </c>
      <c r="N157" s="25">
        <f t="shared" si="21"/>
        <v>16.071428571428569</v>
      </c>
      <c r="O157" s="25">
        <f t="shared" si="22"/>
        <v>0</v>
      </c>
      <c r="P157" s="25"/>
      <c r="Q157" s="26"/>
      <c r="R157" s="26"/>
      <c r="S157" s="27"/>
      <c r="T157" s="27"/>
      <c r="U157" s="27"/>
      <c r="V157" s="27"/>
      <c r="W157" s="27"/>
      <c r="X157" s="26"/>
      <c r="Y157" s="26"/>
      <c r="Z157" s="26">
        <v>133.93</v>
      </c>
      <c r="AA157" s="26"/>
      <c r="AB157" s="27"/>
      <c r="AC157" s="27"/>
      <c r="AD157" s="26"/>
      <c r="AE157" s="26"/>
      <c r="AF157" s="25">
        <f t="shared" si="23"/>
        <v>-150.00142857142856</v>
      </c>
      <c r="AG157" s="28">
        <f t="shared" si="24"/>
        <v>-1.4285714285620088E-3</v>
      </c>
    </row>
    <row r="158" spans="1:33" s="29" customFormat="1" ht="23.25" customHeight="1" x14ac:dyDescent="0.2">
      <c r="A158" s="18">
        <v>43553</v>
      </c>
      <c r="B158" s="19"/>
      <c r="C158" s="20" t="s">
        <v>41</v>
      </c>
      <c r="D158" s="20" t="s">
        <v>42</v>
      </c>
      <c r="E158" s="20" t="s">
        <v>43</v>
      </c>
      <c r="F158" s="21">
        <v>54327</v>
      </c>
      <c r="G158" s="44" t="s">
        <v>44</v>
      </c>
      <c r="H158" s="23"/>
      <c r="I158" s="23"/>
      <c r="J158" s="23"/>
      <c r="K158" s="23">
        <v>180</v>
      </c>
      <c r="L158" s="24"/>
      <c r="M158" s="25">
        <f t="shared" si="20"/>
        <v>160.71428571428569</v>
      </c>
      <c r="N158" s="25">
        <f t="shared" si="21"/>
        <v>19.285714285714281</v>
      </c>
      <c r="O158" s="25">
        <f t="shared" si="22"/>
        <v>0</v>
      </c>
      <c r="P158" s="25"/>
      <c r="Q158" s="26">
        <v>160.71</v>
      </c>
      <c r="R158" s="26"/>
      <c r="S158" s="27"/>
      <c r="T158" s="27"/>
      <c r="U158" s="27"/>
      <c r="V158" s="27"/>
      <c r="W158" s="27"/>
      <c r="X158" s="26"/>
      <c r="Y158" s="26"/>
      <c r="Z158" s="26"/>
      <c r="AA158" s="26"/>
      <c r="AB158" s="27"/>
      <c r="AC158" s="27"/>
      <c r="AD158" s="26"/>
      <c r="AE158" s="26"/>
      <c r="AF158" s="25">
        <f t="shared" si="23"/>
        <v>-179.99571428571429</v>
      </c>
      <c r="AG158" s="28">
        <f t="shared" si="24"/>
        <v>4.2857142857144481E-3</v>
      </c>
    </row>
    <row r="159" spans="1:33" s="29" customFormat="1" ht="23.25" customHeight="1" x14ac:dyDescent="0.2">
      <c r="A159" s="18">
        <v>43553</v>
      </c>
      <c r="B159" s="19"/>
      <c r="C159" s="20" t="s">
        <v>277</v>
      </c>
      <c r="D159" s="20"/>
      <c r="E159" s="20"/>
      <c r="F159" s="21"/>
      <c r="G159" s="44" t="s">
        <v>450</v>
      </c>
      <c r="H159" s="23">
        <v>604.13</v>
      </c>
      <c r="I159" s="23"/>
      <c r="J159" s="23"/>
      <c r="K159" s="23"/>
      <c r="L159" s="24"/>
      <c r="M159" s="25">
        <f t="shared" si="20"/>
        <v>604.13</v>
      </c>
      <c r="N159" s="25">
        <f t="shared" si="21"/>
        <v>0</v>
      </c>
      <c r="O159" s="25">
        <f t="shared" si="22"/>
        <v>0</v>
      </c>
      <c r="P159" s="25"/>
      <c r="Q159" s="26"/>
      <c r="R159" s="26"/>
      <c r="S159" s="27"/>
      <c r="T159" s="27"/>
      <c r="U159" s="27"/>
      <c r="V159" s="27"/>
      <c r="W159" s="27"/>
      <c r="X159" s="26"/>
      <c r="Y159" s="26"/>
      <c r="Z159" s="26"/>
      <c r="AA159" s="26"/>
      <c r="AB159" s="27">
        <v>604.13</v>
      </c>
      <c r="AC159" s="27"/>
      <c r="AD159" s="26"/>
      <c r="AE159" s="26"/>
      <c r="AF159" s="25">
        <f t="shared" si="23"/>
        <v>-604.13</v>
      </c>
      <c r="AG159" s="28">
        <f t="shared" si="24"/>
        <v>0</v>
      </c>
    </row>
    <row r="160" spans="1:33" s="29" customFormat="1" ht="23.25" customHeight="1" x14ac:dyDescent="0.2">
      <c r="A160" s="18">
        <v>43553</v>
      </c>
      <c r="B160" s="19"/>
      <c r="C160" s="20" t="s">
        <v>347</v>
      </c>
      <c r="D160" s="20"/>
      <c r="E160" s="20"/>
      <c r="F160" s="21"/>
      <c r="G160" s="44" t="s">
        <v>451</v>
      </c>
      <c r="H160" s="23">
        <v>537</v>
      </c>
      <c r="I160" s="23"/>
      <c r="J160" s="23"/>
      <c r="K160" s="23"/>
      <c r="L160" s="24"/>
      <c r="M160" s="25">
        <f t="shared" si="20"/>
        <v>537</v>
      </c>
      <c r="N160" s="25">
        <f t="shared" si="21"/>
        <v>0</v>
      </c>
      <c r="O160" s="25">
        <f t="shared" si="22"/>
        <v>0</v>
      </c>
      <c r="P160" s="25"/>
      <c r="Q160" s="26"/>
      <c r="R160" s="26"/>
      <c r="S160" s="27"/>
      <c r="T160" s="27"/>
      <c r="U160" s="27"/>
      <c r="V160" s="27"/>
      <c r="W160" s="27"/>
      <c r="X160" s="26"/>
      <c r="Y160" s="26"/>
      <c r="Z160" s="26"/>
      <c r="AA160" s="26"/>
      <c r="AB160" s="27">
        <v>537</v>
      </c>
      <c r="AC160" s="27"/>
      <c r="AD160" s="26"/>
      <c r="AE160" s="26"/>
      <c r="AF160" s="25">
        <f t="shared" si="23"/>
        <v>-537</v>
      </c>
      <c r="AG160" s="28">
        <f t="shared" si="24"/>
        <v>0</v>
      </c>
    </row>
    <row r="161" spans="1:33" s="29" customFormat="1" ht="23.25" customHeight="1" x14ac:dyDescent="0.2">
      <c r="A161" s="18">
        <v>43553</v>
      </c>
      <c r="B161" s="19"/>
      <c r="C161" s="20" t="s">
        <v>37</v>
      </c>
      <c r="D161" s="20" t="s">
        <v>38</v>
      </c>
      <c r="E161" s="20" t="s">
        <v>39</v>
      </c>
      <c r="F161" s="21">
        <v>34894</v>
      </c>
      <c r="G161" s="44" t="s">
        <v>452</v>
      </c>
      <c r="H161" s="23"/>
      <c r="I161" s="23"/>
      <c r="J161" s="23"/>
      <c r="K161" s="23">
        <v>345</v>
      </c>
      <c r="L161" s="24"/>
      <c r="M161" s="25">
        <f t="shared" si="20"/>
        <v>308.03571428571428</v>
      </c>
      <c r="N161" s="25">
        <f t="shared" si="21"/>
        <v>36.964285714285715</v>
      </c>
      <c r="O161" s="25">
        <f t="shared" si="22"/>
        <v>0</v>
      </c>
      <c r="P161" s="25">
        <v>308.04000000000002</v>
      </c>
      <c r="Q161" s="26"/>
      <c r="R161" s="26"/>
      <c r="S161" s="27"/>
      <c r="T161" s="27"/>
      <c r="U161" s="27"/>
      <c r="V161" s="27"/>
      <c r="W161" s="27"/>
      <c r="X161" s="26"/>
      <c r="Y161" s="26"/>
      <c r="Z161" s="26"/>
      <c r="AA161" s="26"/>
      <c r="AB161" s="27"/>
      <c r="AC161" s="27"/>
      <c r="AD161" s="26"/>
      <c r="AE161" s="26"/>
      <c r="AF161" s="25">
        <f t="shared" si="23"/>
        <v>-345.00428571428574</v>
      </c>
      <c r="AG161" s="28">
        <f t="shared" si="24"/>
        <v>-4.2857142857428698E-3</v>
      </c>
    </row>
    <row r="162" spans="1:33" s="29" customFormat="1" ht="23.25" customHeight="1" x14ac:dyDescent="0.2">
      <c r="A162" s="18">
        <v>43553</v>
      </c>
      <c r="B162" s="19"/>
      <c r="C162" s="20" t="s">
        <v>45</v>
      </c>
      <c r="D162" s="20" t="s">
        <v>46</v>
      </c>
      <c r="E162" s="20" t="s">
        <v>47</v>
      </c>
      <c r="F162" s="21">
        <v>159778</v>
      </c>
      <c r="G162" s="44" t="s">
        <v>453</v>
      </c>
      <c r="H162" s="23"/>
      <c r="I162" s="23"/>
      <c r="J162" s="23"/>
      <c r="K162" s="23">
        <v>925.2</v>
      </c>
      <c r="L162" s="24"/>
      <c r="M162" s="25">
        <f t="shared" si="20"/>
        <v>826.07142857142856</v>
      </c>
      <c r="N162" s="25">
        <f t="shared" si="21"/>
        <v>99.128571428571419</v>
      </c>
      <c r="O162" s="25">
        <f t="shared" si="22"/>
        <v>0</v>
      </c>
      <c r="P162" s="25">
        <v>826.07</v>
      </c>
      <c r="Q162" s="26"/>
      <c r="R162" s="26"/>
      <c r="S162" s="27"/>
      <c r="T162" s="27"/>
      <c r="U162" s="27"/>
      <c r="V162" s="27"/>
      <c r="W162" s="27"/>
      <c r="X162" s="26"/>
      <c r="Y162" s="26"/>
      <c r="Z162" s="26"/>
      <c r="AA162" s="26"/>
      <c r="AB162" s="27"/>
      <c r="AC162" s="27"/>
      <c r="AD162" s="26"/>
      <c r="AE162" s="26"/>
      <c r="AF162" s="25">
        <f t="shared" si="23"/>
        <v>-925.19857142857143</v>
      </c>
      <c r="AG162" s="28">
        <f t="shared" si="24"/>
        <v>1.4285714286188522E-3</v>
      </c>
    </row>
    <row r="163" spans="1:33" s="29" customFormat="1" ht="23.25" customHeight="1" x14ac:dyDescent="0.2">
      <c r="A163" s="18">
        <v>43554</v>
      </c>
      <c r="B163" s="19"/>
      <c r="C163" s="20" t="s">
        <v>454</v>
      </c>
      <c r="D163" s="20" t="s">
        <v>455</v>
      </c>
      <c r="E163" s="20" t="s">
        <v>47</v>
      </c>
      <c r="F163" s="21">
        <v>822</v>
      </c>
      <c r="G163" s="44" t="s">
        <v>456</v>
      </c>
      <c r="H163" s="23"/>
      <c r="I163" s="23"/>
      <c r="J163" s="23"/>
      <c r="K163" s="23">
        <v>76</v>
      </c>
      <c r="L163" s="24"/>
      <c r="M163" s="25">
        <f t="shared" si="20"/>
        <v>67.857142857142847</v>
      </c>
      <c r="N163" s="25">
        <f t="shared" si="21"/>
        <v>8.1428571428571406</v>
      </c>
      <c r="O163" s="25">
        <f t="shared" si="22"/>
        <v>0</v>
      </c>
      <c r="P163" s="25"/>
      <c r="Q163" s="26">
        <v>67.86</v>
      </c>
      <c r="R163" s="26"/>
      <c r="S163" s="27"/>
      <c r="T163" s="27"/>
      <c r="U163" s="27"/>
      <c r="V163" s="27"/>
      <c r="W163" s="27"/>
      <c r="X163" s="26"/>
      <c r="Y163" s="26"/>
      <c r="Z163" s="26"/>
      <c r="AA163" s="26"/>
      <c r="AB163" s="27"/>
      <c r="AC163" s="27"/>
      <c r="AD163" s="26"/>
      <c r="AE163" s="26"/>
      <c r="AF163" s="25">
        <f t="shared" si="23"/>
        <v>-76.002857142857138</v>
      </c>
      <c r="AG163" s="28">
        <f t="shared" si="24"/>
        <v>-2.8571428571382285E-3</v>
      </c>
    </row>
    <row r="164" spans="1:33" s="29" customFormat="1" ht="23.25" customHeight="1" x14ac:dyDescent="0.2">
      <c r="A164" s="18">
        <v>43554</v>
      </c>
      <c r="B164" s="19"/>
      <c r="C164" s="20" t="s">
        <v>415</v>
      </c>
      <c r="D164" s="20" t="s">
        <v>240</v>
      </c>
      <c r="E164" s="20" t="s">
        <v>241</v>
      </c>
      <c r="F164" s="21">
        <v>113230</v>
      </c>
      <c r="G164" s="44" t="s">
        <v>457</v>
      </c>
      <c r="H164" s="23"/>
      <c r="I164" s="23"/>
      <c r="J164" s="23"/>
      <c r="K164" s="23">
        <v>440</v>
      </c>
      <c r="L164" s="24"/>
      <c r="M164" s="25">
        <f t="shared" si="20"/>
        <v>392.85714285714283</v>
      </c>
      <c r="N164" s="25">
        <f t="shared" si="21"/>
        <v>47.142857142857139</v>
      </c>
      <c r="O164" s="25">
        <f t="shared" si="22"/>
        <v>0</v>
      </c>
      <c r="P164" s="25"/>
      <c r="Q164" s="26">
        <v>392.86</v>
      </c>
      <c r="R164" s="26"/>
      <c r="S164" s="27"/>
      <c r="T164" s="27"/>
      <c r="U164" s="27"/>
      <c r="V164" s="27"/>
      <c r="W164" s="27"/>
      <c r="X164" s="26"/>
      <c r="Y164" s="26"/>
      <c r="Z164" s="26"/>
      <c r="AA164" s="26"/>
      <c r="AB164" s="27"/>
      <c r="AC164" s="27"/>
      <c r="AD164" s="26"/>
      <c r="AE164" s="26"/>
      <c r="AF164" s="25">
        <f t="shared" si="23"/>
        <v>-440.00285714285712</v>
      </c>
      <c r="AG164" s="28">
        <f t="shared" si="24"/>
        <v>-2.8571428571240176E-3</v>
      </c>
    </row>
    <row r="165" spans="1:33" s="29" customFormat="1" ht="23.25" customHeight="1" x14ac:dyDescent="0.2">
      <c r="A165" s="18">
        <v>43554</v>
      </c>
      <c r="B165" s="19"/>
      <c r="C165" s="20" t="s">
        <v>62</v>
      </c>
      <c r="D165" s="20"/>
      <c r="E165" s="20"/>
      <c r="F165" s="21"/>
      <c r="G165" s="44" t="s">
        <v>233</v>
      </c>
      <c r="H165" s="23">
        <v>40</v>
      </c>
      <c r="I165" s="23"/>
      <c r="J165" s="23"/>
      <c r="K165" s="23"/>
      <c r="L165" s="24"/>
      <c r="M165" s="25">
        <f t="shared" ref="M165:M175" si="25">SUM(H165:J165,K165/1.12)</f>
        <v>40</v>
      </c>
      <c r="N165" s="25">
        <f t="shared" ref="N165:N175" si="26">K165/1.12*0.12</f>
        <v>0</v>
      </c>
      <c r="O165" s="25">
        <f t="shared" ref="O165:O175" si="27">-SUM(I165:J165,K165/1.12)*L165</f>
        <v>0</v>
      </c>
      <c r="P165" s="25"/>
      <c r="Q165" s="26"/>
      <c r="R165" s="26"/>
      <c r="S165" s="27"/>
      <c r="T165" s="27"/>
      <c r="U165" s="27"/>
      <c r="V165" s="27"/>
      <c r="W165" s="27"/>
      <c r="X165" s="26"/>
      <c r="Y165" s="26"/>
      <c r="Z165" s="26"/>
      <c r="AA165" s="26">
        <v>40</v>
      </c>
      <c r="AB165" s="27"/>
      <c r="AC165" s="27"/>
      <c r="AD165" s="26"/>
      <c r="AE165" s="26"/>
      <c r="AF165" s="25">
        <f t="shared" ref="AF165:AF175" si="28">-SUM(N165:AE165)</f>
        <v>-40</v>
      </c>
      <c r="AG165" s="28">
        <f t="shared" ref="AG165:AG175" si="29">SUM(H165:K165)+AF165+O165</f>
        <v>0</v>
      </c>
    </row>
    <row r="166" spans="1:33" s="29" customFormat="1" ht="23.25" customHeight="1" x14ac:dyDescent="0.2">
      <c r="A166" s="18">
        <v>43554</v>
      </c>
      <c r="B166" s="19"/>
      <c r="C166" s="20" t="s">
        <v>37</v>
      </c>
      <c r="D166" s="20" t="s">
        <v>38</v>
      </c>
      <c r="E166" s="20" t="s">
        <v>39</v>
      </c>
      <c r="F166" s="21">
        <v>34896</v>
      </c>
      <c r="G166" s="44" t="s">
        <v>458</v>
      </c>
      <c r="H166" s="23"/>
      <c r="I166" s="23"/>
      <c r="J166" s="23"/>
      <c r="K166" s="23">
        <v>152</v>
      </c>
      <c r="L166" s="24"/>
      <c r="M166" s="25">
        <f t="shared" si="25"/>
        <v>135.71428571428569</v>
      </c>
      <c r="N166" s="25">
        <f t="shared" si="26"/>
        <v>16.285714285714281</v>
      </c>
      <c r="O166" s="25">
        <f t="shared" si="27"/>
        <v>0</v>
      </c>
      <c r="P166" s="25"/>
      <c r="Q166" s="26"/>
      <c r="R166" s="26">
        <v>135.71</v>
      </c>
      <c r="S166" s="27"/>
      <c r="T166" s="27"/>
      <c r="U166" s="27"/>
      <c r="V166" s="27"/>
      <c r="W166" s="27"/>
      <c r="X166" s="26"/>
      <c r="Y166" s="26"/>
      <c r="Z166" s="26"/>
      <c r="AA166" s="26"/>
      <c r="AB166" s="27"/>
      <c r="AC166" s="27"/>
      <c r="AD166" s="26"/>
      <c r="AE166" s="26"/>
      <c r="AF166" s="25">
        <f t="shared" si="28"/>
        <v>-151.99571428571429</v>
      </c>
      <c r="AG166" s="28">
        <f t="shared" si="29"/>
        <v>4.2857142857144481E-3</v>
      </c>
    </row>
    <row r="167" spans="1:33" s="29" customFormat="1" ht="23.25" customHeight="1" x14ac:dyDescent="0.2">
      <c r="A167" s="18">
        <v>43549</v>
      </c>
      <c r="B167" s="19"/>
      <c r="C167" s="20" t="s">
        <v>45</v>
      </c>
      <c r="D167" s="20" t="s">
        <v>46</v>
      </c>
      <c r="E167" s="20" t="s">
        <v>47</v>
      </c>
      <c r="F167" s="21">
        <v>150388</v>
      </c>
      <c r="G167" s="44" t="s">
        <v>459</v>
      </c>
      <c r="H167" s="23"/>
      <c r="I167" s="23"/>
      <c r="J167" s="23"/>
      <c r="K167" s="23">
        <v>657.55</v>
      </c>
      <c r="L167" s="24"/>
      <c r="M167" s="25">
        <f t="shared" si="25"/>
        <v>587.09821428571422</v>
      </c>
      <c r="N167" s="25">
        <f t="shared" si="26"/>
        <v>70.451785714285705</v>
      </c>
      <c r="O167" s="25">
        <f t="shared" si="27"/>
        <v>0</v>
      </c>
      <c r="P167" s="25">
        <v>587.1</v>
      </c>
      <c r="Q167" s="26"/>
      <c r="R167" s="26"/>
      <c r="S167" s="27"/>
      <c r="T167" s="27"/>
      <c r="U167" s="27"/>
      <c r="V167" s="27"/>
      <c r="W167" s="27"/>
      <c r="X167" s="26"/>
      <c r="Y167" s="26"/>
      <c r="Z167" s="26"/>
      <c r="AA167" s="26"/>
      <c r="AB167" s="27"/>
      <c r="AC167" s="27"/>
      <c r="AD167" s="26"/>
      <c r="AE167" s="26"/>
      <c r="AF167" s="25">
        <f t="shared" si="28"/>
        <v>-657.55178571428576</v>
      </c>
      <c r="AG167" s="28">
        <f t="shared" si="29"/>
        <v>-1.785714285801987E-3</v>
      </c>
    </row>
    <row r="168" spans="1:33" s="29" customFormat="1" ht="23.25" customHeight="1" x14ac:dyDescent="0.2">
      <c r="A168" s="18">
        <v>43554</v>
      </c>
      <c r="B168" s="19"/>
      <c r="C168" s="20" t="s">
        <v>185</v>
      </c>
      <c r="D168" s="20" t="s">
        <v>106</v>
      </c>
      <c r="E168" s="20" t="s">
        <v>47</v>
      </c>
      <c r="F168" s="21">
        <v>739900</v>
      </c>
      <c r="G168" s="44" t="s">
        <v>460</v>
      </c>
      <c r="H168" s="23"/>
      <c r="I168" s="23"/>
      <c r="J168" s="23"/>
      <c r="K168" s="23">
        <v>63</v>
      </c>
      <c r="L168" s="24"/>
      <c r="M168" s="25">
        <f t="shared" si="25"/>
        <v>56.249999999999993</v>
      </c>
      <c r="N168" s="25">
        <f t="shared" si="26"/>
        <v>6.7499999999999991</v>
      </c>
      <c r="O168" s="25">
        <f t="shared" si="27"/>
        <v>0</v>
      </c>
      <c r="P168" s="25"/>
      <c r="Q168" s="26"/>
      <c r="R168" s="26"/>
      <c r="S168" s="27"/>
      <c r="T168" s="27">
        <v>56.25</v>
      </c>
      <c r="U168" s="27"/>
      <c r="V168" s="27"/>
      <c r="W168" s="27"/>
      <c r="X168" s="26"/>
      <c r="Y168" s="26"/>
      <c r="Z168" s="26"/>
      <c r="AA168" s="26"/>
      <c r="AB168" s="27"/>
      <c r="AC168" s="27"/>
      <c r="AD168" s="26"/>
      <c r="AE168" s="26"/>
      <c r="AF168" s="25">
        <f t="shared" si="28"/>
        <v>-63</v>
      </c>
      <c r="AG168" s="28">
        <f t="shared" si="29"/>
        <v>0</v>
      </c>
    </row>
    <row r="169" spans="1:33" s="29" customFormat="1" ht="23.25" customHeight="1" x14ac:dyDescent="0.2">
      <c r="A169" s="18">
        <v>43554</v>
      </c>
      <c r="B169" s="19"/>
      <c r="C169" s="20" t="s">
        <v>185</v>
      </c>
      <c r="D169" s="20" t="s">
        <v>106</v>
      </c>
      <c r="E169" s="20" t="s">
        <v>47</v>
      </c>
      <c r="F169" s="21">
        <v>739900</v>
      </c>
      <c r="G169" s="44" t="s">
        <v>461</v>
      </c>
      <c r="H169" s="23"/>
      <c r="I169" s="23"/>
      <c r="J169" s="23"/>
      <c r="K169" s="23">
        <v>65</v>
      </c>
      <c r="L169" s="24"/>
      <c r="M169" s="25">
        <f t="shared" si="25"/>
        <v>58.035714285714278</v>
      </c>
      <c r="N169" s="25">
        <f t="shared" si="26"/>
        <v>6.9642857142857126</v>
      </c>
      <c r="O169" s="25">
        <f t="shared" si="27"/>
        <v>0</v>
      </c>
      <c r="P169" s="25"/>
      <c r="Q169" s="26"/>
      <c r="R169" s="26">
        <v>58.04</v>
      </c>
      <c r="S169" s="27"/>
      <c r="T169" s="27"/>
      <c r="U169" s="27"/>
      <c r="V169" s="27"/>
      <c r="W169" s="27"/>
      <c r="X169" s="26"/>
      <c r="Y169" s="26"/>
      <c r="Z169" s="26"/>
      <c r="AA169" s="26"/>
      <c r="AB169" s="27"/>
      <c r="AC169" s="27"/>
      <c r="AD169" s="26"/>
      <c r="AE169" s="26"/>
      <c r="AF169" s="25">
        <f t="shared" si="28"/>
        <v>-65.004285714285714</v>
      </c>
      <c r="AG169" s="28">
        <f t="shared" si="29"/>
        <v>-4.2857142857144481E-3</v>
      </c>
    </row>
    <row r="170" spans="1:33" s="29" customFormat="1" ht="23.25" customHeight="1" x14ac:dyDescent="0.2">
      <c r="A170" s="18">
        <v>43554</v>
      </c>
      <c r="B170" s="19"/>
      <c r="C170" s="20" t="s">
        <v>37</v>
      </c>
      <c r="D170" s="20" t="s">
        <v>38</v>
      </c>
      <c r="E170" s="20" t="s">
        <v>39</v>
      </c>
      <c r="F170" s="21">
        <v>34901</v>
      </c>
      <c r="G170" s="44" t="s">
        <v>307</v>
      </c>
      <c r="H170" s="23"/>
      <c r="I170" s="23"/>
      <c r="J170" s="23"/>
      <c r="K170" s="23">
        <v>92</v>
      </c>
      <c r="L170" s="24"/>
      <c r="M170" s="25">
        <f t="shared" si="25"/>
        <v>82.142857142857139</v>
      </c>
      <c r="N170" s="25">
        <f t="shared" si="26"/>
        <v>9.8571428571428559</v>
      </c>
      <c r="O170" s="25">
        <f t="shared" si="27"/>
        <v>0</v>
      </c>
      <c r="P170" s="25">
        <v>82.14</v>
      </c>
      <c r="Q170" s="26"/>
      <c r="R170" s="26"/>
      <c r="S170" s="27"/>
      <c r="T170" s="27"/>
      <c r="U170" s="27"/>
      <c r="V170" s="27"/>
      <c r="W170" s="27"/>
      <c r="X170" s="26"/>
      <c r="Y170" s="26"/>
      <c r="Z170" s="26"/>
      <c r="AA170" s="26"/>
      <c r="AB170" s="27"/>
      <c r="AC170" s="27"/>
      <c r="AD170" s="26"/>
      <c r="AE170" s="26"/>
      <c r="AF170" s="25">
        <f t="shared" si="28"/>
        <v>-91.997142857142862</v>
      </c>
      <c r="AG170" s="28">
        <f t="shared" si="29"/>
        <v>2.8571428571382285E-3</v>
      </c>
    </row>
    <row r="171" spans="1:33" s="29" customFormat="1" ht="23.25" customHeight="1" x14ac:dyDescent="0.2">
      <c r="A171" s="18">
        <v>43554</v>
      </c>
      <c r="B171" s="19"/>
      <c r="C171" s="20" t="s">
        <v>37</v>
      </c>
      <c r="D171" s="20" t="s">
        <v>38</v>
      </c>
      <c r="E171" s="20" t="s">
        <v>39</v>
      </c>
      <c r="F171" s="21">
        <v>34903</v>
      </c>
      <c r="G171" s="44" t="s">
        <v>462</v>
      </c>
      <c r="H171" s="23"/>
      <c r="I171" s="23"/>
      <c r="J171" s="23"/>
      <c r="K171" s="23">
        <v>321</v>
      </c>
      <c r="L171" s="24"/>
      <c r="M171" s="25">
        <f t="shared" si="25"/>
        <v>286.60714285714283</v>
      </c>
      <c r="N171" s="25">
        <f t="shared" si="26"/>
        <v>34.392857142857139</v>
      </c>
      <c r="O171" s="25">
        <f t="shared" si="27"/>
        <v>0</v>
      </c>
      <c r="P171" s="25">
        <v>286.61</v>
      </c>
      <c r="Q171" s="26"/>
      <c r="R171" s="26"/>
      <c r="S171" s="27"/>
      <c r="T171" s="27"/>
      <c r="U171" s="27"/>
      <c r="V171" s="27"/>
      <c r="W171" s="27"/>
      <c r="X171" s="26"/>
      <c r="Y171" s="26"/>
      <c r="Z171" s="26"/>
      <c r="AA171" s="26"/>
      <c r="AB171" s="27"/>
      <c r="AC171" s="27"/>
      <c r="AD171" s="26"/>
      <c r="AE171" s="26"/>
      <c r="AF171" s="25">
        <f t="shared" si="28"/>
        <v>-321.00285714285712</v>
      </c>
      <c r="AG171" s="28">
        <f t="shared" si="29"/>
        <v>-2.8571428571240176E-3</v>
      </c>
    </row>
    <row r="172" spans="1:33" s="29" customFormat="1" ht="23.25" customHeight="1" x14ac:dyDescent="0.2">
      <c r="A172" s="18">
        <v>43554</v>
      </c>
      <c r="B172" s="19"/>
      <c r="C172" s="20" t="s">
        <v>277</v>
      </c>
      <c r="D172" s="20"/>
      <c r="E172" s="20"/>
      <c r="F172" s="21"/>
      <c r="G172" s="44" t="s">
        <v>450</v>
      </c>
      <c r="H172" s="23">
        <v>604.13</v>
      </c>
      <c r="I172" s="23"/>
      <c r="J172" s="23"/>
      <c r="K172" s="23"/>
      <c r="L172" s="24"/>
      <c r="M172" s="25">
        <f t="shared" si="25"/>
        <v>604.13</v>
      </c>
      <c r="N172" s="25">
        <f t="shared" si="26"/>
        <v>0</v>
      </c>
      <c r="O172" s="25">
        <f t="shared" si="27"/>
        <v>0</v>
      </c>
      <c r="P172" s="25"/>
      <c r="Q172" s="26"/>
      <c r="R172" s="26"/>
      <c r="S172" s="27"/>
      <c r="T172" s="27"/>
      <c r="U172" s="27"/>
      <c r="V172" s="27"/>
      <c r="W172" s="27"/>
      <c r="X172" s="26"/>
      <c r="Y172" s="26"/>
      <c r="Z172" s="26"/>
      <c r="AA172" s="26"/>
      <c r="AB172" s="27">
        <v>604.13</v>
      </c>
      <c r="AC172" s="27"/>
      <c r="AD172" s="26"/>
      <c r="AE172" s="26"/>
      <c r="AF172" s="25">
        <f t="shared" si="28"/>
        <v>-604.13</v>
      </c>
      <c r="AG172" s="28">
        <f t="shared" si="29"/>
        <v>0</v>
      </c>
    </row>
    <row r="173" spans="1:33" s="29" customFormat="1" ht="23.25" customHeight="1" x14ac:dyDescent="0.2">
      <c r="A173" s="18"/>
      <c r="B173" s="19"/>
      <c r="C173" s="20"/>
      <c r="D173" s="20"/>
      <c r="E173" s="20"/>
      <c r="F173" s="21"/>
      <c r="G173" s="22"/>
      <c r="H173" s="23"/>
      <c r="I173" s="23"/>
      <c r="J173" s="23"/>
      <c r="K173" s="23"/>
      <c r="L173" s="24"/>
      <c r="M173" s="25">
        <f t="shared" si="25"/>
        <v>0</v>
      </c>
      <c r="N173" s="25">
        <f t="shared" si="26"/>
        <v>0</v>
      </c>
      <c r="O173" s="25">
        <f t="shared" si="27"/>
        <v>0</v>
      </c>
      <c r="P173" s="25"/>
      <c r="Q173" s="26"/>
      <c r="R173" s="26"/>
      <c r="S173" s="27"/>
      <c r="T173" s="27"/>
      <c r="U173" s="27"/>
      <c r="V173" s="27"/>
      <c r="W173" s="27"/>
      <c r="X173" s="27"/>
      <c r="Y173" s="26"/>
      <c r="Z173" s="26"/>
      <c r="AA173" s="26"/>
      <c r="AB173" s="27"/>
      <c r="AC173" s="27"/>
      <c r="AD173" s="27"/>
      <c r="AE173" s="26"/>
      <c r="AF173" s="25">
        <f t="shared" si="28"/>
        <v>0</v>
      </c>
      <c r="AG173" s="28">
        <f t="shared" si="29"/>
        <v>0</v>
      </c>
    </row>
    <row r="174" spans="1:33" s="29" customFormat="1" ht="21.75" customHeight="1" x14ac:dyDescent="0.2">
      <c r="A174" s="18"/>
      <c r="B174" s="19"/>
      <c r="C174" s="20"/>
      <c r="D174" s="20"/>
      <c r="E174" s="20"/>
      <c r="F174" s="21"/>
      <c r="G174" s="22"/>
      <c r="H174" s="23"/>
      <c r="I174" s="23"/>
      <c r="J174" s="23"/>
      <c r="K174" s="23"/>
      <c r="L174" s="24"/>
      <c r="M174" s="25">
        <f t="shared" si="25"/>
        <v>0</v>
      </c>
      <c r="N174" s="25">
        <f t="shared" si="26"/>
        <v>0</v>
      </c>
      <c r="O174" s="25">
        <f t="shared" si="27"/>
        <v>0</v>
      </c>
      <c r="P174" s="25"/>
      <c r="Q174" s="26"/>
      <c r="R174" s="26"/>
      <c r="S174" s="26"/>
      <c r="T174" s="27"/>
      <c r="U174" s="27"/>
      <c r="V174" s="27"/>
      <c r="W174" s="27"/>
      <c r="X174" s="27"/>
      <c r="Y174" s="26"/>
      <c r="Z174" s="26"/>
      <c r="AA174" s="26"/>
      <c r="AB174" s="26"/>
      <c r="AC174" s="27"/>
      <c r="AD174" s="27"/>
      <c r="AE174" s="26"/>
      <c r="AF174" s="25">
        <f t="shared" si="28"/>
        <v>0</v>
      </c>
      <c r="AG174" s="28">
        <f t="shared" si="29"/>
        <v>0</v>
      </c>
    </row>
    <row r="175" spans="1:33" s="29" customFormat="1" ht="19.5" customHeight="1" x14ac:dyDescent="0.2">
      <c r="A175" s="18"/>
      <c r="B175" s="19"/>
      <c r="C175" s="45"/>
      <c r="D175" s="45"/>
      <c r="E175" s="45"/>
      <c r="F175" s="21"/>
      <c r="G175" s="22"/>
      <c r="H175" s="23"/>
      <c r="I175" s="23"/>
      <c r="J175" s="23"/>
      <c r="K175" s="23"/>
      <c r="L175" s="24"/>
      <c r="M175" s="26">
        <f t="shared" si="25"/>
        <v>0</v>
      </c>
      <c r="N175" s="26">
        <f t="shared" si="26"/>
        <v>0</v>
      </c>
      <c r="O175" s="26">
        <f t="shared" si="27"/>
        <v>0</v>
      </c>
      <c r="P175" s="26"/>
      <c r="Q175" s="26"/>
      <c r="R175" s="26"/>
      <c r="S175" s="26"/>
      <c r="T175" s="27"/>
      <c r="U175" s="27"/>
      <c r="V175" s="27"/>
      <c r="W175" s="27"/>
      <c r="X175" s="27"/>
      <c r="Y175" s="46"/>
      <c r="Z175" s="26"/>
      <c r="AA175" s="26"/>
      <c r="AB175" s="26"/>
      <c r="AC175" s="27"/>
      <c r="AD175" s="27"/>
      <c r="AE175" s="47"/>
      <c r="AF175" s="25">
        <f t="shared" si="28"/>
        <v>0</v>
      </c>
      <c r="AG175" s="28">
        <f t="shared" si="29"/>
        <v>0</v>
      </c>
    </row>
    <row r="176" spans="1:33" s="57" customFormat="1" ht="12" customHeight="1" x14ac:dyDescent="0.2">
      <c r="A176" s="49"/>
      <c r="B176" s="50"/>
      <c r="C176" s="51"/>
      <c r="D176" s="52"/>
      <c r="E176" s="52"/>
      <c r="F176" s="53"/>
      <c r="G176" s="51"/>
      <c r="H176" s="54">
        <f t="shared" ref="H176:AG176" si="30">SUM(H5:H175)</f>
        <v>19436.350000000002</v>
      </c>
      <c r="I176" s="54">
        <f t="shared" si="30"/>
        <v>0</v>
      </c>
      <c r="J176" s="54">
        <f t="shared" si="30"/>
        <v>16972.53</v>
      </c>
      <c r="K176" s="54">
        <f t="shared" si="30"/>
        <v>47151.200000000004</v>
      </c>
      <c r="L176" s="54">
        <f t="shared" si="30"/>
        <v>0.11</v>
      </c>
      <c r="M176" s="54">
        <f t="shared" si="30"/>
        <v>78508.165714285671</v>
      </c>
      <c r="N176" s="54">
        <f t="shared" si="30"/>
        <v>5051.9142857142879</v>
      </c>
      <c r="O176" s="54">
        <f t="shared" si="30"/>
        <v>-123.78571428571428</v>
      </c>
      <c r="P176" s="54">
        <f t="shared" si="30"/>
        <v>47753.419999999991</v>
      </c>
      <c r="Q176" s="54">
        <f t="shared" si="30"/>
        <v>5114.21</v>
      </c>
      <c r="R176" s="54">
        <f t="shared" si="30"/>
        <v>193.75</v>
      </c>
      <c r="S176" s="54">
        <f t="shared" si="30"/>
        <v>1130.3600000000001</v>
      </c>
      <c r="T176" s="54">
        <f t="shared" si="30"/>
        <v>2209.6</v>
      </c>
      <c r="U176" s="54">
        <f t="shared" si="30"/>
        <v>0</v>
      </c>
      <c r="V176" s="54">
        <f t="shared" si="30"/>
        <v>227.68</v>
      </c>
      <c r="W176" s="54">
        <f t="shared" si="30"/>
        <v>0</v>
      </c>
      <c r="X176" s="54">
        <f t="shared" si="30"/>
        <v>2093.52</v>
      </c>
      <c r="Y176" s="54">
        <f t="shared" si="30"/>
        <v>1314.99</v>
      </c>
      <c r="Z176" s="54">
        <f t="shared" si="30"/>
        <v>267.86</v>
      </c>
      <c r="AA176" s="54">
        <f t="shared" si="30"/>
        <v>2644</v>
      </c>
      <c r="AB176" s="54">
        <f t="shared" si="30"/>
        <v>15292.349999999999</v>
      </c>
      <c r="AC176" s="54">
        <f t="shared" si="30"/>
        <v>0</v>
      </c>
      <c r="AD176" s="54">
        <f t="shared" si="30"/>
        <v>266.38</v>
      </c>
      <c r="AE176" s="54">
        <f t="shared" si="30"/>
        <v>0</v>
      </c>
      <c r="AF176" s="54">
        <f t="shared" si="30"/>
        <v>-83436.248571428572</v>
      </c>
      <c r="AG176" s="54">
        <f t="shared" si="30"/>
        <v>4.5714285714225866E-2</v>
      </c>
    </row>
    <row r="182" spans="17:17" x14ac:dyDescent="0.25">
      <c r="Q182" s="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03"/>
  <sheetViews>
    <sheetView topLeftCell="A79" zoomScale="90" zoomScaleNormal="90" workbookViewId="0">
      <selection activeCell="D97" sqref="A97:XFD102"/>
    </sheetView>
  </sheetViews>
  <sheetFormatPr defaultRowHeight="13.2" x14ac:dyDescent="0.25"/>
  <cols>
    <col min="1" max="1" width="10.21875" style="1" customWidth="1"/>
    <col min="2" max="2" width="30.21875" style="3" customWidth="1"/>
    <col min="3" max="3" width="17.6640625" style="4" customWidth="1"/>
    <col min="4" max="4" width="35.33203125" style="4" customWidth="1"/>
    <col min="5" max="5" width="9.88671875" style="2" customWidth="1"/>
    <col min="6" max="6" width="39.77734375" style="3" customWidth="1"/>
    <col min="7" max="7" width="13.88671875" style="5" customWidth="1"/>
    <col min="8" max="8" width="10.6640625" style="5" customWidth="1"/>
    <col min="9" max="9" width="12.21875" style="5" customWidth="1"/>
    <col min="10" max="10" width="13.109375" style="5" customWidth="1"/>
    <col min="11" max="11" width="9.88671875" style="6" customWidth="1"/>
    <col min="12" max="12" width="12.21875" style="5" customWidth="1"/>
    <col min="13" max="13" width="10.77734375" style="5" customWidth="1"/>
    <col min="14" max="14" width="11.33203125" style="5" customWidth="1"/>
    <col min="15" max="15" width="12.44140625" style="5" customWidth="1"/>
    <col min="16" max="16" width="9.88671875" style="5" customWidth="1"/>
    <col min="17" max="17" width="13.44140625" style="5" customWidth="1"/>
    <col min="18" max="18" width="10.21875" style="5" customWidth="1"/>
    <col min="19" max="20" width="11.5546875" style="5"/>
    <col min="21" max="21" width="13.33203125" style="5" customWidth="1"/>
    <col min="22" max="22" width="10.21875" style="5" customWidth="1"/>
    <col min="23" max="23" width="12.44140625" style="5" customWidth="1"/>
    <col min="24" max="24" width="11.6640625" style="5" customWidth="1"/>
    <col min="25" max="25" width="10.44140625" style="5" customWidth="1"/>
    <col min="26" max="26" width="11" style="5" customWidth="1"/>
    <col min="27" max="27" width="12.109375" style="5" customWidth="1"/>
    <col min="28" max="29" width="10.109375" style="5" customWidth="1"/>
    <col min="30" max="30" width="12.77734375" style="5" customWidth="1"/>
    <col min="31" max="31" width="13.44140625" style="5" customWidth="1"/>
    <col min="32" max="32" width="13.44140625" style="3" customWidth="1"/>
    <col min="33" max="1025" width="11.5546875" style="3"/>
  </cols>
  <sheetData>
    <row r="1" spans="1:32" ht="12" customHeight="1" x14ac:dyDescent="0.25">
      <c r="A1" s="7" t="s">
        <v>0</v>
      </c>
      <c r="B1" s="8"/>
    </row>
    <row r="2" spans="1:32" ht="12" customHeight="1" x14ac:dyDescent="0.25">
      <c r="A2" s="7" t="s">
        <v>1</v>
      </c>
    </row>
    <row r="3" spans="1:32" ht="12" customHeight="1" x14ac:dyDescent="0.25">
      <c r="A3" s="7" t="s">
        <v>463</v>
      </c>
      <c r="B3" s="9"/>
      <c r="M3" s="10">
        <v>1301</v>
      </c>
      <c r="N3" s="10">
        <v>2402</v>
      </c>
      <c r="O3" s="10">
        <v>5001</v>
      </c>
      <c r="P3" s="10">
        <v>5002</v>
      </c>
      <c r="Q3" s="10">
        <v>6220</v>
      </c>
      <c r="R3" s="10">
        <v>6219</v>
      </c>
      <c r="S3" s="10">
        <v>6212</v>
      </c>
      <c r="T3" s="10"/>
      <c r="U3" s="10"/>
      <c r="V3" s="10"/>
      <c r="W3" s="10"/>
      <c r="X3" s="10" t="s">
        <v>3</v>
      </c>
      <c r="Y3" s="10"/>
      <c r="Z3" s="10">
        <v>6230</v>
      </c>
      <c r="AA3" s="10" t="s">
        <v>4</v>
      </c>
      <c r="AB3" s="10">
        <v>6202</v>
      </c>
      <c r="AC3" s="10"/>
      <c r="AD3" s="10">
        <v>6109</v>
      </c>
      <c r="AE3" s="10">
        <v>1002</v>
      </c>
    </row>
    <row r="4" spans="1:32" s="17" customFormat="1" ht="43.5" customHeight="1" x14ac:dyDescent="0.25">
      <c r="A4" s="11" t="s">
        <v>5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  <c r="I4" s="12" t="s">
        <v>14</v>
      </c>
      <c r="J4" s="12" t="s">
        <v>15</v>
      </c>
      <c r="K4" s="13" t="s">
        <v>16</v>
      </c>
      <c r="L4" s="12" t="s">
        <v>17</v>
      </c>
      <c r="M4" s="13" t="s">
        <v>18</v>
      </c>
      <c r="N4" s="13" t="s">
        <v>19</v>
      </c>
      <c r="O4" s="13" t="s">
        <v>20</v>
      </c>
      <c r="P4" s="13" t="s">
        <v>21</v>
      </c>
      <c r="Q4" s="13" t="s">
        <v>22</v>
      </c>
      <c r="R4" s="13" t="s">
        <v>23</v>
      </c>
      <c r="S4" s="13" t="s">
        <v>24</v>
      </c>
      <c r="T4" s="13" t="s">
        <v>25</v>
      </c>
      <c r="U4" s="13" t="s">
        <v>26</v>
      </c>
      <c r="V4" s="13" t="s">
        <v>27</v>
      </c>
      <c r="W4" s="13" t="s">
        <v>28</v>
      </c>
      <c r="X4" s="13" t="s">
        <v>29</v>
      </c>
      <c r="Y4" s="13" t="s">
        <v>30</v>
      </c>
      <c r="Z4" s="13" t="s">
        <v>31</v>
      </c>
      <c r="AA4" s="13" t="s">
        <v>32</v>
      </c>
      <c r="AB4" s="14" t="s">
        <v>33</v>
      </c>
      <c r="AC4" s="13" t="s">
        <v>34</v>
      </c>
      <c r="AD4" s="15" t="s">
        <v>35</v>
      </c>
      <c r="AE4" s="16" t="s">
        <v>36</v>
      </c>
    </row>
    <row r="5" spans="1:32" s="29" customFormat="1" ht="23.25" customHeight="1" x14ac:dyDescent="0.2">
      <c r="A5" s="18">
        <v>43557</v>
      </c>
      <c r="B5" s="20" t="s">
        <v>37</v>
      </c>
      <c r="C5" s="20" t="s">
        <v>38</v>
      </c>
      <c r="D5" s="20" t="s">
        <v>39</v>
      </c>
      <c r="E5" s="21">
        <v>34939</v>
      </c>
      <c r="F5" s="44" t="s">
        <v>464</v>
      </c>
      <c r="G5" s="23"/>
      <c r="H5" s="23"/>
      <c r="I5" s="23"/>
      <c r="J5" s="23">
        <v>98.5</v>
      </c>
      <c r="K5" s="24"/>
      <c r="L5" s="25">
        <f t="shared" ref="L5:L36" si="0">SUM(G5:I5,J5/1.12)</f>
        <v>87.946428571428569</v>
      </c>
      <c r="M5" s="25">
        <f t="shared" ref="M5:M36" si="1">J5/1.12*0.12</f>
        <v>10.553571428571427</v>
      </c>
      <c r="N5" s="25">
        <f t="shared" ref="N5:N50" si="2">-SUM(H5:I5,J5/1.12)*K5</f>
        <v>0</v>
      </c>
      <c r="O5" s="25">
        <v>87.95</v>
      </c>
      <c r="P5" s="26"/>
      <c r="Q5" s="26"/>
      <c r="R5" s="27"/>
      <c r="S5" s="27"/>
      <c r="T5" s="27"/>
      <c r="U5" s="27"/>
      <c r="V5" s="27"/>
      <c r="W5" s="26"/>
      <c r="X5" s="26"/>
      <c r="Y5" s="26"/>
      <c r="Z5" s="26"/>
      <c r="AA5" s="27"/>
      <c r="AB5" s="27"/>
      <c r="AC5" s="26"/>
      <c r="AD5" s="26"/>
      <c r="AE5" s="25">
        <f t="shared" ref="AE5:AE36" si="3">-SUM(M5:AD5)</f>
        <v>-98.503571428571433</v>
      </c>
      <c r="AF5" s="28">
        <f t="shared" ref="AF5:AF36" si="4">SUM(G5:J5)+AE5+N5</f>
        <v>-3.5714285714334437E-3</v>
      </c>
    </row>
    <row r="6" spans="1:32" s="29" customFormat="1" ht="23.25" customHeight="1" x14ac:dyDescent="0.2">
      <c r="A6" s="18">
        <v>43557</v>
      </c>
      <c r="B6" s="20" t="s">
        <v>37</v>
      </c>
      <c r="C6" s="20" t="s">
        <v>38</v>
      </c>
      <c r="D6" s="20" t="s">
        <v>39</v>
      </c>
      <c r="E6" s="21">
        <v>34939</v>
      </c>
      <c r="F6" s="44" t="s">
        <v>288</v>
      </c>
      <c r="G6" s="23"/>
      <c r="H6" s="23"/>
      <c r="I6" s="23"/>
      <c r="J6" s="23">
        <v>320</v>
      </c>
      <c r="K6" s="24"/>
      <c r="L6" s="25">
        <f t="shared" si="0"/>
        <v>285.71428571428567</v>
      </c>
      <c r="M6" s="25">
        <f t="shared" si="1"/>
        <v>34.285714285714278</v>
      </c>
      <c r="N6" s="25">
        <f t="shared" si="2"/>
        <v>0</v>
      </c>
      <c r="O6" s="25"/>
      <c r="P6" s="26"/>
      <c r="Q6" s="26"/>
      <c r="R6" s="27">
        <v>285.70999999999998</v>
      </c>
      <c r="S6" s="27"/>
      <c r="T6" s="27"/>
      <c r="U6" s="27"/>
      <c r="V6" s="27"/>
      <c r="W6" s="26"/>
      <c r="X6" s="26"/>
      <c r="Y6" s="26"/>
      <c r="Z6" s="26"/>
      <c r="AA6" s="27"/>
      <c r="AB6" s="27"/>
      <c r="AC6" s="26"/>
      <c r="AD6" s="26"/>
      <c r="AE6" s="25">
        <f t="shared" si="3"/>
        <v>-319.99571428571426</v>
      </c>
      <c r="AF6" s="28">
        <f t="shared" si="4"/>
        <v>4.2857142857428698E-3</v>
      </c>
    </row>
    <row r="7" spans="1:32" s="29" customFormat="1" ht="23.25" customHeight="1" x14ac:dyDescent="0.2">
      <c r="A7" s="18">
        <v>43557</v>
      </c>
      <c r="B7" s="20" t="s">
        <v>239</v>
      </c>
      <c r="C7" s="20" t="s">
        <v>240</v>
      </c>
      <c r="D7" s="20" t="s">
        <v>241</v>
      </c>
      <c r="E7" s="21">
        <v>113271</v>
      </c>
      <c r="F7" s="44" t="s">
        <v>465</v>
      </c>
      <c r="G7" s="23"/>
      <c r="H7" s="23"/>
      <c r="I7" s="23"/>
      <c r="J7" s="23">
        <v>2360</v>
      </c>
      <c r="K7" s="24"/>
      <c r="L7" s="25">
        <f t="shared" si="0"/>
        <v>2107.1428571428569</v>
      </c>
      <c r="M7" s="25">
        <f t="shared" si="1"/>
        <v>252.8571428571428</v>
      </c>
      <c r="N7" s="25">
        <f t="shared" si="2"/>
        <v>0</v>
      </c>
      <c r="O7" s="25">
        <v>2107.14</v>
      </c>
      <c r="P7" s="26"/>
      <c r="Q7" s="26"/>
      <c r="R7" s="27"/>
      <c r="S7" s="27"/>
      <c r="T7" s="27"/>
      <c r="U7" s="27"/>
      <c r="V7" s="27"/>
      <c r="W7" s="26"/>
      <c r="X7" s="26"/>
      <c r="Y7" s="26"/>
      <c r="Z7" s="26"/>
      <c r="AA7" s="27"/>
      <c r="AB7" s="27"/>
      <c r="AC7" s="26"/>
      <c r="AD7" s="26"/>
      <c r="AE7" s="25">
        <f t="shared" si="3"/>
        <v>-2359.9971428571425</v>
      </c>
      <c r="AF7" s="28">
        <f t="shared" si="4"/>
        <v>2.8571428574650781E-3</v>
      </c>
    </row>
    <row r="8" spans="1:32" s="29" customFormat="1" ht="23.25" customHeight="1" x14ac:dyDescent="0.2">
      <c r="A8" s="18">
        <v>43557</v>
      </c>
      <c r="B8" s="20" t="s">
        <v>62</v>
      </c>
      <c r="C8" s="20"/>
      <c r="D8" s="20"/>
      <c r="E8" s="21"/>
      <c r="F8" s="44" t="s">
        <v>466</v>
      </c>
      <c r="G8" s="23">
        <v>40</v>
      </c>
      <c r="H8" s="23"/>
      <c r="I8" s="23"/>
      <c r="J8" s="23"/>
      <c r="K8" s="24"/>
      <c r="L8" s="25">
        <f t="shared" si="0"/>
        <v>40</v>
      </c>
      <c r="M8" s="25">
        <f t="shared" si="1"/>
        <v>0</v>
      </c>
      <c r="N8" s="25">
        <f t="shared" si="2"/>
        <v>0</v>
      </c>
      <c r="O8" s="25"/>
      <c r="P8" s="26"/>
      <c r="Q8" s="26"/>
      <c r="R8" s="27"/>
      <c r="S8" s="27"/>
      <c r="T8" s="27"/>
      <c r="U8" s="27"/>
      <c r="V8" s="27"/>
      <c r="W8" s="26"/>
      <c r="X8" s="26"/>
      <c r="Y8" s="26"/>
      <c r="Z8" s="26">
        <v>40</v>
      </c>
      <c r="AA8" s="27"/>
      <c r="AB8" s="27"/>
      <c r="AC8" s="26"/>
      <c r="AD8" s="26"/>
      <c r="AE8" s="25">
        <f t="shared" si="3"/>
        <v>-40</v>
      </c>
      <c r="AF8" s="28">
        <f t="shared" si="4"/>
        <v>0</v>
      </c>
    </row>
    <row r="9" spans="1:32" s="29" customFormat="1" ht="23.25" customHeight="1" x14ac:dyDescent="0.2">
      <c r="A9" s="18">
        <v>43557</v>
      </c>
      <c r="B9" s="20" t="s">
        <v>157</v>
      </c>
      <c r="C9" s="20"/>
      <c r="D9" s="20"/>
      <c r="E9" s="21"/>
      <c r="F9" s="44" t="s">
        <v>467</v>
      </c>
      <c r="G9" s="23">
        <v>300</v>
      </c>
      <c r="H9" s="23"/>
      <c r="I9" s="23"/>
      <c r="J9" s="23"/>
      <c r="K9" s="24"/>
      <c r="L9" s="25">
        <f t="shared" si="0"/>
        <v>300</v>
      </c>
      <c r="M9" s="25">
        <f t="shared" si="1"/>
        <v>0</v>
      </c>
      <c r="N9" s="25">
        <f t="shared" si="2"/>
        <v>0</v>
      </c>
      <c r="O9" s="25"/>
      <c r="P9" s="26"/>
      <c r="Q9" s="26"/>
      <c r="R9" s="27"/>
      <c r="S9" s="27"/>
      <c r="T9" s="27"/>
      <c r="U9" s="27"/>
      <c r="V9" s="27"/>
      <c r="W9" s="26"/>
      <c r="X9" s="26"/>
      <c r="Y9" s="26"/>
      <c r="Z9" s="26">
        <v>300</v>
      </c>
      <c r="AA9" s="27"/>
      <c r="AB9" s="27"/>
      <c r="AC9" s="26"/>
      <c r="AD9" s="26"/>
      <c r="AE9" s="25">
        <f t="shared" si="3"/>
        <v>-300</v>
      </c>
      <c r="AF9" s="28">
        <f t="shared" si="4"/>
        <v>0</v>
      </c>
    </row>
    <row r="10" spans="1:32" s="29" customFormat="1" ht="23.25" customHeight="1" x14ac:dyDescent="0.2">
      <c r="A10" s="18">
        <v>43558</v>
      </c>
      <c r="B10" s="20" t="s">
        <v>347</v>
      </c>
      <c r="C10" s="20"/>
      <c r="D10" s="20"/>
      <c r="E10" s="21"/>
      <c r="F10" s="44" t="s">
        <v>177</v>
      </c>
      <c r="G10" s="23">
        <v>537</v>
      </c>
      <c r="H10" s="23"/>
      <c r="I10" s="23"/>
      <c r="J10" s="23"/>
      <c r="K10" s="24"/>
      <c r="L10" s="25">
        <f t="shared" si="0"/>
        <v>537</v>
      </c>
      <c r="M10" s="25">
        <f t="shared" si="1"/>
        <v>0</v>
      </c>
      <c r="N10" s="25">
        <f t="shared" si="2"/>
        <v>0</v>
      </c>
      <c r="O10" s="25"/>
      <c r="P10" s="26"/>
      <c r="Q10" s="26"/>
      <c r="R10" s="27"/>
      <c r="S10" s="27"/>
      <c r="T10" s="27"/>
      <c r="U10" s="27"/>
      <c r="V10" s="27"/>
      <c r="W10" s="26"/>
      <c r="X10" s="26"/>
      <c r="Y10" s="26"/>
      <c r="Z10" s="26"/>
      <c r="AA10" s="27">
        <v>537</v>
      </c>
      <c r="AB10" s="27"/>
      <c r="AC10" s="26"/>
      <c r="AD10" s="26"/>
      <c r="AE10" s="25">
        <f t="shared" si="3"/>
        <v>-537</v>
      </c>
      <c r="AF10" s="28">
        <f t="shared" si="4"/>
        <v>0</v>
      </c>
    </row>
    <row r="11" spans="1:32" s="29" customFormat="1" ht="23.25" customHeight="1" x14ac:dyDescent="0.2">
      <c r="A11" s="18">
        <v>43558</v>
      </c>
      <c r="B11" s="20" t="s">
        <v>41</v>
      </c>
      <c r="C11" s="20" t="s">
        <v>42</v>
      </c>
      <c r="D11" s="20" t="s">
        <v>43</v>
      </c>
      <c r="E11" s="21">
        <v>58515</v>
      </c>
      <c r="F11" s="44" t="s">
        <v>44</v>
      </c>
      <c r="G11" s="23"/>
      <c r="H11" s="23"/>
      <c r="I11" s="23"/>
      <c r="J11" s="23">
        <v>180</v>
      </c>
      <c r="K11" s="24"/>
      <c r="L11" s="25">
        <f t="shared" si="0"/>
        <v>160.71428571428569</v>
      </c>
      <c r="M11" s="25">
        <f t="shared" si="1"/>
        <v>19.285714285714281</v>
      </c>
      <c r="N11" s="25">
        <f t="shared" si="2"/>
        <v>0</v>
      </c>
      <c r="O11" s="25"/>
      <c r="P11" s="26">
        <v>160.71</v>
      </c>
      <c r="Q11" s="26"/>
      <c r="R11" s="27"/>
      <c r="S11" s="27"/>
      <c r="T11" s="27"/>
      <c r="U11" s="27"/>
      <c r="V11" s="27"/>
      <c r="W11" s="26"/>
      <c r="X11" s="26"/>
      <c r="Y11" s="26"/>
      <c r="Z11" s="26"/>
      <c r="AA11" s="27"/>
      <c r="AB11" s="27"/>
      <c r="AC11" s="26"/>
      <c r="AD11" s="26"/>
      <c r="AE11" s="25">
        <f t="shared" si="3"/>
        <v>-179.99571428571429</v>
      </c>
      <c r="AF11" s="28">
        <f t="shared" si="4"/>
        <v>4.2857142857144481E-3</v>
      </c>
    </row>
    <row r="12" spans="1:32" s="29" customFormat="1" ht="23.25" customHeight="1" x14ac:dyDescent="0.2">
      <c r="A12" s="18">
        <v>43559</v>
      </c>
      <c r="B12" s="20" t="s">
        <v>41</v>
      </c>
      <c r="C12" s="20" t="s">
        <v>42</v>
      </c>
      <c r="D12" s="20" t="s">
        <v>43</v>
      </c>
      <c r="E12" s="21">
        <v>58563</v>
      </c>
      <c r="F12" s="44" t="s">
        <v>44</v>
      </c>
      <c r="G12" s="23"/>
      <c r="H12" s="23"/>
      <c r="I12" s="23"/>
      <c r="J12" s="23">
        <v>180</v>
      </c>
      <c r="K12" s="24"/>
      <c r="L12" s="25">
        <f t="shared" si="0"/>
        <v>160.71428571428569</v>
      </c>
      <c r="M12" s="25">
        <f t="shared" si="1"/>
        <v>19.285714285714281</v>
      </c>
      <c r="N12" s="25">
        <f t="shared" si="2"/>
        <v>0</v>
      </c>
      <c r="O12" s="25"/>
      <c r="P12" s="26">
        <v>160.71</v>
      </c>
      <c r="Q12" s="26"/>
      <c r="R12" s="27"/>
      <c r="S12" s="27"/>
      <c r="T12" s="27"/>
      <c r="U12" s="27"/>
      <c r="V12" s="27"/>
      <c r="W12" s="26"/>
      <c r="X12" s="26"/>
      <c r="Y12" s="26"/>
      <c r="Z12" s="26"/>
      <c r="AA12" s="27"/>
      <c r="AB12" s="27"/>
      <c r="AC12" s="26"/>
      <c r="AD12" s="26"/>
      <c r="AE12" s="25">
        <f t="shared" si="3"/>
        <v>-179.99571428571429</v>
      </c>
      <c r="AF12" s="28">
        <f t="shared" si="4"/>
        <v>4.2857142857144481E-3</v>
      </c>
    </row>
    <row r="13" spans="1:32" s="29" customFormat="1" ht="23.25" customHeight="1" x14ac:dyDescent="0.2">
      <c r="A13" s="18">
        <v>43559</v>
      </c>
      <c r="B13" s="20" t="s">
        <v>45</v>
      </c>
      <c r="C13" s="20" t="s">
        <v>46</v>
      </c>
      <c r="D13" s="20" t="s">
        <v>47</v>
      </c>
      <c r="E13" s="21">
        <v>160286</v>
      </c>
      <c r="F13" s="44" t="s">
        <v>468</v>
      </c>
      <c r="G13" s="23"/>
      <c r="H13" s="23"/>
      <c r="I13" s="23"/>
      <c r="J13" s="23">
        <v>1756.15</v>
      </c>
      <c r="K13" s="24"/>
      <c r="L13" s="25">
        <f t="shared" si="0"/>
        <v>1567.9910714285713</v>
      </c>
      <c r="M13" s="25">
        <f t="shared" si="1"/>
        <v>188.15892857142856</v>
      </c>
      <c r="N13" s="25">
        <f t="shared" si="2"/>
        <v>0</v>
      </c>
      <c r="O13" s="25">
        <v>1567.99</v>
      </c>
      <c r="P13" s="26"/>
      <c r="Q13" s="26"/>
      <c r="R13" s="27"/>
      <c r="S13" s="27"/>
      <c r="T13" s="27"/>
      <c r="U13" s="27"/>
      <c r="V13" s="27"/>
      <c r="W13" s="26"/>
      <c r="X13" s="26"/>
      <c r="Y13" s="26"/>
      <c r="Z13" s="26"/>
      <c r="AA13" s="27"/>
      <c r="AB13" s="27"/>
      <c r="AC13" s="26"/>
      <c r="AD13" s="26"/>
      <c r="AE13" s="25">
        <f t="shared" si="3"/>
        <v>-1756.1489285714285</v>
      </c>
      <c r="AF13" s="28">
        <f t="shared" si="4"/>
        <v>1.0714285715494043E-3</v>
      </c>
    </row>
    <row r="14" spans="1:32" s="29" customFormat="1" ht="23.25" customHeight="1" x14ac:dyDescent="0.2">
      <c r="A14" s="18">
        <v>43559</v>
      </c>
      <c r="B14" s="20" t="s">
        <v>45</v>
      </c>
      <c r="C14" s="20" t="s">
        <v>46</v>
      </c>
      <c r="D14" s="20" t="s">
        <v>47</v>
      </c>
      <c r="E14" s="21">
        <v>161296</v>
      </c>
      <c r="F14" s="60" t="s">
        <v>469</v>
      </c>
      <c r="G14" s="23"/>
      <c r="H14" s="23"/>
      <c r="I14" s="23"/>
      <c r="J14" s="23">
        <f>976.7+117.2</f>
        <v>1093.9000000000001</v>
      </c>
      <c r="K14" s="24"/>
      <c r="L14" s="25">
        <f t="shared" si="0"/>
        <v>976.69642857142856</v>
      </c>
      <c r="M14" s="25">
        <f t="shared" si="1"/>
        <v>117.20357142857142</v>
      </c>
      <c r="N14" s="25">
        <f t="shared" si="2"/>
        <v>0</v>
      </c>
      <c r="O14" s="25">
        <v>976.7</v>
      </c>
      <c r="P14" s="26"/>
      <c r="Q14" s="26"/>
      <c r="R14" s="27"/>
      <c r="S14" s="27"/>
      <c r="T14" s="27"/>
      <c r="U14" s="27"/>
      <c r="V14" s="27"/>
      <c r="W14" s="26"/>
      <c r="X14" s="26"/>
      <c r="Y14" s="26"/>
      <c r="Z14" s="26"/>
      <c r="AA14" s="27"/>
      <c r="AB14" s="27"/>
      <c r="AC14" s="26"/>
      <c r="AD14" s="26"/>
      <c r="AE14" s="25">
        <f t="shared" si="3"/>
        <v>-1093.9035714285715</v>
      </c>
      <c r="AF14" s="28">
        <f t="shared" si="4"/>
        <v>-3.5714285713766003E-3</v>
      </c>
    </row>
    <row r="15" spans="1:32" s="29" customFormat="1" ht="23.25" customHeight="1" x14ac:dyDescent="0.2">
      <c r="A15" s="18">
        <v>43559</v>
      </c>
      <c r="B15" s="20" t="s">
        <v>45</v>
      </c>
      <c r="C15" s="20" t="s">
        <v>46</v>
      </c>
      <c r="D15" s="20" t="s">
        <v>47</v>
      </c>
      <c r="E15" s="21">
        <v>161296</v>
      </c>
      <c r="F15" s="44" t="s">
        <v>470</v>
      </c>
      <c r="G15" s="23"/>
      <c r="H15" s="23"/>
      <c r="I15" s="23">
        <v>126.75</v>
      </c>
      <c r="J15" s="23"/>
      <c r="K15" s="24"/>
      <c r="L15" s="25">
        <f t="shared" si="0"/>
        <v>126.75</v>
      </c>
      <c r="M15" s="25">
        <f t="shared" si="1"/>
        <v>0</v>
      </c>
      <c r="N15" s="25">
        <f t="shared" si="2"/>
        <v>0</v>
      </c>
      <c r="O15" s="25">
        <v>126.75</v>
      </c>
      <c r="P15" s="26"/>
      <c r="Q15" s="26"/>
      <c r="R15" s="27"/>
      <c r="S15" s="27"/>
      <c r="T15" s="27"/>
      <c r="U15" s="27"/>
      <c r="V15" s="27"/>
      <c r="W15" s="26"/>
      <c r="X15" s="26"/>
      <c r="Y15" s="26"/>
      <c r="Z15" s="26"/>
      <c r="AA15" s="27"/>
      <c r="AB15" s="27"/>
      <c r="AC15" s="26"/>
      <c r="AD15" s="26"/>
      <c r="AE15" s="25">
        <f t="shared" si="3"/>
        <v>-126.75</v>
      </c>
      <c r="AF15" s="28">
        <f t="shared" si="4"/>
        <v>0</v>
      </c>
    </row>
    <row r="16" spans="1:32" s="29" customFormat="1" ht="23.25" customHeight="1" x14ac:dyDescent="0.2">
      <c r="A16" s="18">
        <v>43559</v>
      </c>
      <c r="B16" s="20" t="s">
        <v>277</v>
      </c>
      <c r="C16" s="20"/>
      <c r="D16" s="20"/>
      <c r="E16" s="21"/>
      <c r="F16" s="44" t="s">
        <v>177</v>
      </c>
      <c r="G16" s="23">
        <v>537</v>
      </c>
      <c r="H16" s="23"/>
      <c r="I16" s="23"/>
      <c r="J16" s="23"/>
      <c r="K16" s="24"/>
      <c r="L16" s="25">
        <f t="shared" si="0"/>
        <v>537</v>
      </c>
      <c r="M16" s="25">
        <f t="shared" si="1"/>
        <v>0</v>
      </c>
      <c r="N16" s="25">
        <f t="shared" si="2"/>
        <v>0</v>
      </c>
      <c r="O16" s="25"/>
      <c r="P16" s="26"/>
      <c r="Q16" s="26"/>
      <c r="R16" s="27"/>
      <c r="S16" s="27"/>
      <c r="T16" s="27"/>
      <c r="U16" s="27"/>
      <c r="V16" s="27"/>
      <c r="W16" s="26"/>
      <c r="X16" s="26"/>
      <c r="Y16" s="26"/>
      <c r="Z16" s="26"/>
      <c r="AA16" s="27">
        <v>537</v>
      </c>
      <c r="AB16" s="27"/>
      <c r="AC16" s="26"/>
      <c r="AD16" s="26"/>
      <c r="AE16" s="25">
        <f t="shared" si="3"/>
        <v>-537</v>
      </c>
      <c r="AF16" s="28">
        <f t="shared" si="4"/>
        <v>0</v>
      </c>
    </row>
    <row r="17" spans="1:32" s="29" customFormat="1" ht="23.25" customHeight="1" x14ac:dyDescent="0.2">
      <c r="A17" s="18">
        <v>43559</v>
      </c>
      <c r="B17" s="20" t="s">
        <v>185</v>
      </c>
      <c r="C17" s="20" t="s">
        <v>106</v>
      </c>
      <c r="D17" s="20" t="s">
        <v>47</v>
      </c>
      <c r="E17" s="21">
        <v>701207</v>
      </c>
      <c r="F17" s="44" t="s">
        <v>471</v>
      </c>
      <c r="G17" s="23"/>
      <c r="H17" s="23"/>
      <c r="I17" s="23"/>
      <c r="J17" s="23">
        <v>218.25</v>
      </c>
      <c r="K17" s="24"/>
      <c r="L17" s="25">
        <f t="shared" si="0"/>
        <v>194.86607142857142</v>
      </c>
      <c r="M17" s="25">
        <f t="shared" si="1"/>
        <v>23.383928571428569</v>
      </c>
      <c r="N17" s="25">
        <f t="shared" si="2"/>
        <v>0</v>
      </c>
      <c r="O17" s="25"/>
      <c r="P17" s="26"/>
      <c r="Q17" s="26"/>
      <c r="R17" s="27"/>
      <c r="S17" s="27">
        <v>194.87</v>
      </c>
      <c r="T17" s="27"/>
      <c r="U17" s="27"/>
      <c r="V17" s="27"/>
      <c r="W17" s="26"/>
      <c r="X17" s="26"/>
      <c r="Y17" s="26"/>
      <c r="Z17" s="26"/>
      <c r="AA17" s="27"/>
      <c r="AB17" s="27"/>
      <c r="AC17" s="26"/>
      <c r="AD17" s="26"/>
      <c r="AE17" s="25">
        <f t="shared" si="3"/>
        <v>-218.25392857142856</v>
      </c>
      <c r="AF17" s="28">
        <f t="shared" si="4"/>
        <v>-3.9285714285597351E-3</v>
      </c>
    </row>
    <row r="18" spans="1:32" s="29" customFormat="1" ht="23.25" customHeight="1" x14ac:dyDescent="0.2">
      <c r="A18" s="18">
        <v>43560</v>
      </c>
      <c r="B18" s="20" t="s">
        <v>45</v>
      </c>
      <c r="C18" s="20" t="s">
        <v>46</v>
      </c>
      <c r="D18" s="20" t="s">
        <v>47</v>
      </c>
      <c r="E18" s="21">
        <v>199371</v>
      </c>
      <c r="F18" s="44" t="s">
        <v>472</v>
      </c>
      <c r="G18" s="23"/>
      <c r="H18" s="23"/>
      <c r="I18" s="23"/>
      <c r="J18" s="23">
        <v>454.4</v>
      </c>
      <c r="K18" s="24"/>
      <c r="L18" s="25">
        <f t="shared" si="0"/>
        <v>405.71428571428567</v>
      </c>
      <c r="M18" s="25">
        <f t="shared" si="1"/>
        <v>48.685714285714276</v>
      </c>
      <c r="N18" s="25">
        <f t="shared" si="2"/>
        <v>0</v>
      </c>
      <c r="O18" s="25">
        <v>405.71</v>
      </c>
      <c r="P18" s="26"/>
      <c r="Q18" s="26"/>
      <c r="R18" s="27"/>
      <c r="S18" s="27"/>
      <c r="T18" s="27"/>
      <c r="U18" s="27"/>
      <c r="V18" s="27"/>
      <c r="W18" s="26"/>
      <c r="X18" s="26"/>
      <c r="Y18" s="26"/>
      <c r="Z18" s="26"/>
      <c r="AA18" s="27"/>
      <c r="AB18" s="27"/>
      <c r="AC18" s="26"/>
      <c r="AD18" s="26"/>
      <c r="AE18" s="25">
        <f t="shared" si="3"/>
        <v>-454.39571428571423</v>
      </c>
      <c r="AF18" s="28">
        <f t="shared" si="4"/>
        <v>4.2857142857428698E-3</v>
      </c>
    </row>
    <row r="19" spans="1:32" s="29" customFormat="1" ht="23.25" customHeight="1" x14ac:dyDescent="0.2">
      <c r="A19" s="18">
        <v>43561</v>
      </c>
      <c r="B19" s="20" t="s">
        <v>37</v>
      </c>
      <c r="C19" s="20" t="s">
        <v>38</v>
      </c>
      <c r="D19" s="20" t="s">
        <v>39</v>
      </c>
      <c r="E19" s="21">
        <v>35018</v>
      </c>
      <c r="F19" s="44" t="s">
        <v>473</v>
      </c>
      <c r="G19" s="23"/>
      <c r="H19" s="23"/>
      <c r="I19" s="23"/>
      <c r="J19" s="23">
        <v>105</v>
      </c>
      <c r="K19" s="24"/>
      <c r="L19" s="25">
        <f t="shared" si="0"/>
        <v>93.749999999999986</v>
      </c>
      <c r="M19" s="25">
        <f t="shared" si="1"/>
        <v>11.249999999999998</v>
      </c>
      <c r="N19" s="25">
        <f t="shared" si="2"/>
        <v>0</v>
      </c>
      <c r="O19" s="25"/>
      <c r="P19" s="26"/>
      <c r="Q19" s="26"/>
      <c r="R19" s="27">
        <v>93.75</v>
      </c>
      <c r="S19" s="27"/>
      <c r="T19" s="27"/>
      <c r="U19" s="27"/>
      <c r="V19" s="27"/>
      <c r="W19" s="26"/>
      <c r="X19" s="26"/>
      <c r="Y19" s="26"/>
      <c r="Z19" s="26"/>
      <c r="AA19" s="27"/>
      <c r="AB19" s="27"/>
      <c r="AC19" s="26"/>
      <c r="AD19" s="26"/>
      <c r="AE19" s="25">
        <f t="shared" si="3"/>
        <v>-105</v>
      </c>
      <c r="AF19" s="28">
        <f t="shared" si="4"/>
        <v>0</v>
      </c>
    </row>
    <row r="20" spans="1:32" s="29" customFormat="1" ht="23.25" customHeight="1" x14ac:dyDescent="0.2">
      <c r="A20" s="18">
        <v>43563</v>
      </c>
      <c r="B20" s="20" t="s">
        <v>474</v>
      </c>
      <c r="C20" s="20" t="s">
        <v>475</v>
      </c>
      <c r="D20" s="20" t="s">
        <v>47</v>
      </c>
      <c r="E20" s="21">
        <v>42741</v>
      </c>
      <c r="F20" s="44" t="s">
        <v>476</v>
      </c>
      <c r="G20" s="23"/>
      <c r="H20" s="23"/>
      <c r="I20" s="23"/>
      <c r="J20" s="23">
        <v>2000</v>
      </c>
      <c r="K20" s="24"/>
      <c r="L20" s="25">
        <f t="shared" si="0"/>
        <v>1785.7142857142856</v>
      </c>
      <c r="M20" s="25">
        <f t="shared" si="1"/>
        <v>214.28571428571425</v>
      </c>
      <c r="N20" s="25">
        <f t="shared" si="2"/>
        <v>0</v>
      </c>
      <c r="O20" s="25"/>
      <c r="P20" s="26"/>
      <c r="Q20" s="26">
        <v>1785.71</v>
      </c>
      <c r="R20" s="27"/>
      <c r="S20" s="27"/>
      <c r="T20" s="27"/>
      <c r="U20" s="27"/>
      <c r="V20" s="27"/>
      <c r="W20" s="26"/>
      <c r="X20" s="26"/>
      <c r="Y20" s="26"/>
      <c r="Z20" s="26"/>
      <c r="AA20" s="27"/>
      <c r="AB20" s="27"/>
      <c r="AC20" s="26"/>
      <c r="AD20" s="26"/>
      <c r="AE20" s="25">
        <f t="shared" si="3"/>
        <v>-1999.9957142857143</v>
      </c>
      <c r="AF20" s="28">
        <f t="shared" si="4"/>
        <v>4.2857142857428698E-3</v>
      </c>
    </row>
    <row r="21" spans="1:32" s="29" customFormat="1" ht="23.25" customHeight="1" x14ac:dyDescent="0.2">
      <c r="A21" s="18">
        <v>43563</v>
      </c>
      <c r="B21" s="20" t="s">
        <v>41</v>
      </c>
      <c r="C21" s="20" t="s">
        <v>42</v>
      </c>
      <c r="D21" s="20" t="s">
        <v>43</v>
      </c>
      <c r="E21" s="21">
        <v>68836</v>
      </c>
      <c r="F21" s="44" t="s">
        <v>44</v>
      </c>
      <c r="G21" s="23"/>
      <c r="H21" s="23"/>
      <c r="I21" s="23"/>
      <c r="J21" s="23">
        <v>180</v>
      </c>
      <c r="K21" s="24"/>
      <c r="L21" s="25">
        <f t="shared" si="0"/>
        <v>160.71428571428569</v>
      </c>
      <c r="M21" s="25">
        <f t="shared" si="1"/>
        <v>19.285714285714281</v>
      </c>
      <c r="N21" s="25">
        <f t="shared" si="2"/>
        <v>0</v>
      </c>
      <c r="O21" s="25"/>
      <c r="P21" s="26">
        <v>160.71</v>
      </c>
      <c r="Q21" s="26"/>
      <c r="R21" s="27"/>
      <c r="S21" s="27"/>
      <c r="T21" s="27"/>
      <c r="U21" s="27"/>
      <c r="V21" s="27"/>
      <c r="W21" s="26"/>
      <c r="X21" s="26"/>
      <c r="Y21" s="26"/>
      <c r="Z21" s="26"/>
      <c r="AA21" s="27"/>
      <c r="AB21" s="27"/>
      <c r="AC21" s="26"/>
      <c r="AD21" s="26"/>
      <c r="AE21" s="25">
        <f t="shared" si="3"/>
        <v>-179.99571428571429</v>
      </c>
      <c r="AF21" s="28">
        <f t="shared" si="4"/>
        <v>4.2857142857144481E-3</v>
      </c>
    </row>
    <row r="22" spans="1:32" s="29" customFormat="1" ht="23.25" customHeight="1" x14ac:dyDescent="0.2">
      <c r="A22" s="18">
        <v>43563</v>
      </c>
      <c r="B22" s="20" t="s">
        <v>37</v>
      </c>
      <c r="C22" s="20" t="s">
        <v>38</v>
      </c>
      <c r="D22" s="20" t="s">
        <v>39</v>
      </c>
      <c r="E22" s="21">
        <v>35030</v>
      </c>
      <c r="F22" s="44" t="s">
        <v>477</v>
      </c>
      <c r="G22" s="23"/>
      <c r="H22" s="23"/>
      <c r="I22" s="23"/>
      <c r="J22" s="23">
        <v>560</v>
      </c>
      <c r="K22" s="24"/>
      <c r="L22" s="25">
        <f t="shared" si="0"/>
        <v>499.99999999999994</v>
      </c>
      <c r="M22" s="25">
        <f t="shared" si="1"/>
        <v>59.999999999999993</v>
      </c>
      <c r="N22" s="25">
        <f t="shared" si="2"/>
        <v>0</v>
      </c>
      <c r="O22" s="25">
        <v>500</v>
      </c>
      <c r="P22" s="26"/>
      <c r="Q22" s="26"/>
      <c r="R22" s="27"/>
      <c r="S22" s="27"/>
      <c r="T22" s="27"/>
      <c r="U22" s="27"/>
      <c r="V22" s="27"/>
      <c r="W22" s="26"/>
      <c r="X22" s="26"/>
      <c r="Y22" s="26"/>
      <c r="Z22" s="26"/>
      <c r="AA22" s="27"/>
      <c r="AB22" s="27"/>
      <c r="AC22" s="26"/>
      <c r="AD22" s="26"/>
      <c r="AE22" s="25">
        <f t="shared" si="3"/>
        <v>-560</v>
      </c>
      <c r="AF22" s="28">
        <f t="shared" si="4"/>
        <v>0</v>
      </c>
    </row>
    <row r="23" spans="1:32" s="29" customFormat="1" ht="23.25" customHeight="1" x14ac:dyDescent="0.2">
      <c r="A23" s="18">
        <v>43563</v>
      </c>
      <c r="B23" s="20" t="s">
        <v>478</v>
      </c>
      <c r="C23" s="20"/>
      <c r="D23" s="20" t="s">
        <v>47</v>
      </c>
      <c r="E23" s="21"/>
      <c r="F23" s="44" t="s">
        <v>479</v>
      </c>
      <c r="G23" s="23">
        <v>20</v>
      </c>
      <c r="H23" s="23"/>
      <c r="I23" s="23"/>
      <c r="J23" s="23"/>
      <c r="K23" s="24"/>
      <c r="L23" s="25">
        <f t="shared" si="0"/>
        <v>20</v>
      </c>
      <c r="M23" s="25">
        <f t="shared" si="1"/>
        <v>0</v>
      </c>
      <c r="N23" s="25">
        <f t="shared" si="2"/>
        <v>0</v>
      </c>
      <c r="O23" s="25"/>
      <c r="P23" s="26"/>
      <c r="Q23" s="26"/>
      <c r="R23" s="27"/>
      <c r="S23" s="27"/>
      <c r="T23" s="27"/>
      <c r="U23" s="27"/>
      <c r="V23" s="27"/>
      <c r="W23" s="26"/>
      <c r="X23" s="26"/>
      <c r="Y23" s="26">
        <v>20</v>
      </c>
      <c r="Z23" s="26"/>
      <c r="AA23" s="27"/>
      <c r="AB23" s="27"/>
      <c r="AC23" s="26"/>
      <c r="AD23" s="26"/>
      <c r="AE23" s="25">
        <f t="shared" si="3"/>
        <v>-20</v>
      </c>
      <c r="AF23" s="28">
        <f t="shared" si="4"/>
        <v>0</v>
      </c>
    </row>
    <row r="24" spans="1:32" s="29" customFormat="1" ht="23.25" customHeight="1" x14ac:dyDescent="0.2">
      <c r="A24" s="18">
        <v>43563</v>
      </c>
      <c r="B24" s="20" t="s">
        <v>480</v>
      </c>
      <c r="C24" s="20" t="s">
        <v>481</v>
      </c>
      <c r="D24" s="20" t="s">
        <v>482</v>
      </c>
      <c r="E24" s="21">
        <v>50489</v>
      </c>
      <c r="F24" s="44" t="s">
        <v>483</v>
      </c>
      <c r="G24" s="23"/>
      <c r="H24" s="23"/>
      <c r="I24" s="23"/>
      <c r="J24" s="23">
        <v>200</v>
      </c>
      <c r="K24" s="24"/>
      <c r="L24" s="25">
        <f t="shared" si="0"/>
        <v>178.57142857142856</v>
      </c>
      <c r="M24" s="25">
        <f t="shared" si="1"/>
        <v>21.428571428571427</v>
      </c>
      <c r="N24" s="25">
        <f t="shared" si="2"/>
        <v>0</v>
      </c>
      <c r="O24" s="25"/>
      <c r="P24" s="26"/>
      <c r="Q24" s="26"/>
      <c r="R24" s="27"/>
      <c r="S24" s="27"/>
      <c r="T24" s="27"/>
      <c r="U24" s="27"/>
      <c r="V24" s="27"/>
      <c r="W24" s="26"/>
      <c r="X24" s="26"/>
      <c r="Y24" s="26">
        <v>178.57</v>
      </c>
      <c r="Z24" s="26"/>
      <c r="AA24" s="27"/>
      <c r="AB24" s="27"/>
      <c r="AC24" s="26"/>
      <c r="AD24" s="26"/>
      <c r="AE24" s="25">
        <f t="shared" si="3"/>
        <v>-199.99857142857141</v>
      </c>
      <c r="AF24" s="28">
        <f t="shared" si="4"/>
        <v>1.4285714285904305E-3</v>
      </c>
    </row>
    <row r="25" spans="1:32" s="29" customFormat="1" ht="23.25" customHeight="1" x14ac:dyDescent="0.2">
      <c r="A25" s="18">
        <v>43563</v>
      </c>
      <c r="B25" s="20" t="s">
        <v>480</v>
      </c>
      <c r="C25" s="20" t="s">
        <v>481</v>
      </c>
      <c r="D25" s="20" t="s">
        <v>482</v>
      </c>
      <c r="E25" s="21">
        <v>50489</v>
      </c>
      <c r="F25" s="44" t="s">
        <v>484</v>
      </c>
      <c r="G25" s="23"/>
      <c r="H25" s="23"/>
      <c r="I25" s="23"/>
      <c r="J25" s="23">
        <v>120</v>
      </c>
      <c r="K25" s="24"/>
      <c r="L25" s="25">
        <f t="shared" si="0"/>
        <v>107.14285714285714</v>
      </c>
      <c r="M25" s="25">
        <f t="shared" si="1"/>
        <v>12.857142857142856</v>
      </c>
      <c r="N25" s="25">
        <f t="shared" si="2"/>
        <v>0</v>
      </c>
      <c r="O25" s="25"/>
      <c r="P25" s="26"/>
      <c r="Q25" s="26"/>
      <c r="R25" s="27"/>
      <c r="S25" s="27"/>
      <c r="T25" s="27"/>
      <c r="U25" s="27"/>
      <c r="V25" s="27"/>
      <c r="W25" s="26"/>
      <c r="X25" s="26"/>
      <c r="Y25" s="26">
        <v>107.14</v>
      </c>
      <c r="Z25" s="26"/>
      <c r="AA25" s="27"/>
      <c r="AB25" s="27"/>
      <c r="AC25" s="26"/>
      <c r="AD25" s="26"/>
      <c r="AE25" s="25">
        <f t="shared" si="3"/>
        <v>-119.99714285714286</v>
      </c>
      <c r="AF25" s="28">
        <f t="shared" si="4"/>
        <v>2.8571428571382285E-3</v>
      </c>
    </row>
    <row r="26" spans="1:32" s="29" customFormat="1" ht="23.25" customHeight="1" x14ac:dyDescent="0.2">
      <c r="A26" s="18">
        <v>43563</v>
      </c>
      <c r="B26" s="20" t="s">
        <v>154</v>
      </c>
      <c r="C26" s="20"/>
      <c r="D26" s="20"/>
      <c r="E26" s="21"/>
      <c r="F26" s="44" t="s">
        <v>485</v>
      </c>
      <c r="G26" s="23">
        <v>9</v>
      </c>
      <c r="H26" s="23"/>
      <c r="I26" s="23"/>
      <c r="J26" s="23"/>
      <c r="K26" s="24"/>
      <c r="L26" s="25">
        <f t="shared" si="0"/>
        <v>9</v>
      </c>
      <c r="M26" s="25">
        <f t="shared" si="1"/>
        <v>0</v>
      </c>
      <c r="N26" s="25">
        <f t="shared" si="2"/>
        <v>0</v>
      </c>
      <c r="O26" s="25"/>
      <c r="P26" s="26"/>
      <c r="Q26" s="26"/>
      <c r="R26" s="27"/>
      <c r="S26" s="27"/>
      <c r="T26" s="27"/>
      <c r="U26" s="27"/>
      <c r="V26" s="27"/>
      <c r="W26" s="26"/>
      <c r="X26" s="26"/>
      <c r="Y26" s="26"/>
      <c r="Z26" s="26">
        <v>9</v>
      </c>
      <c r="AA26" s="27"/>
      <c r="AB26" s="27"/>
      <c r="AC26" s="26"/>
      <c r="AD26" s="26"/>
      <c r="AE26" s="25">
        <f t="shared" si="3"/>
        <v>-9</v>
      </c>
      <c r="AF26" s="28">
        <f t="shared" si="4"/>
        <v>0</v>
      </c>
    </row>
    <row r="27" spans="1:32" s="29" customFormat="1" ht="23.25" customHeight="1" x14ac:dyDescent="0.2">
      <c r="A27" s="18">
        <v>43563</v>
      </c>
      <c r="B27" s="20" t="s">
        <v>321</v>
      </c>
      <c r="C27" s="20" t="s">
        <v>322</v>
      </c>
      <c r="D27" s="20" t="s">
        <v>486</v>
      </c>
      <c r="E27" s="21">
        <v>216589</v>
      </c>
      <c r="F27" s="44" t="s">
        <v>487</v>
      </c>
      <c r="G27" s="23"/>
      <c r="H27" s="23"/>
      <c r="I27" s="23"/>
      <c r="J27" s="23">
        <v>37</v>
      </c>
      <c r="K27" s="24"/>
      <c r="L27" s="25">
        <f t="shared" si="0"/>
        <v>33.035714285714285</v>
      </c>
      <c r="M27" s="25">
        <f t="shared" si="1"/>
        <v>3.964285714285714</v>
      </c>
      <c r="N27" s="25">
        <f t="shared" si="2"/>
        <v>0</v>
      </c>
      <c r="O27" s="25"/>
      <c r="P27" s="26">
        <v>33.04</v>
      </c>
      <c r="Q27" s="26"/>
      <c r="R27" s="27"/>
      <c r="S27" s="27"/>
      <c r="T27" s="27"/>
      <c r="U27" s="27"/>
      <c r="V27" s="27"/>
      <c r="W27" s="26"/>
      <c r="X27" s="26"/>
      <c r="Y27" s="26"/>
      <c r="Z27" s="26"/>
      <c r="AA27" s="27"/>
      <c r="AB27" s="27"/>
      <c r="AC27" s="26"/>
      <c r="AD27" s="26"/>
      <c r="AE27" s="25">
        <f t="shared" si="3"/>
        <v>-37.004285714285714</v>
      </c>
      <c r="AF27" s="28">
        <f t="shared" si="4"/>
        <v>-4.2857142857144481E-3</v>
      </c>
    </row>
    <row r="28" spans="1:32" s="41" customFormat="1" ht="23.25" customHeight="1" x14ac:dyDescent="0.2">
      <c r="A28" s="30">
        <v>43565</v>
      </c>
      <c r="B28" s="32" t="s">
        <v>41</v>
      </c>
      <c r="C28" s="32" t="s">
        <v>42</v>
      </c>
      <c r="D28" s="32" t="s">
        <v>43</v>
      </c>
      <c r="E28" s="33">
        <v>67612</v>
      </c>
      <c r="F28" s="34" t="s">
        <v>44</v>
      </c>
      <c r="G28" s="35"/>
      <c r="H28" s="35"/>
      <c r="I28" s="35"/>
      <c r="J28" s="35">
        <v>180</v>
      </c>
      <c r="K28" s="36"/>
      <c r="L28" s="37">
        <f t="shared" si="0"/>
        <v>160.71428571428569</v>
      </c>
      <c r="M28" s="37">
        <f t="shared" si="1"/>
        <v>19.285714285714281</v>
      </c>
      <c r="N28" s="37">
        <f t="shared" si="2"/>
        <v>0</v>
      </c>
      <c r="O28" s="37"/>
      <c r="P28" s="38">
        <v>160.71</v>
      </c>
      <c r="Q28" s="38"/>
      <c r="R28" s="39"/>
      <c r="S28" s="39"/>
      <c r="T28" s="39"/>
      <c r="U28" s="39"/>
      <c r="V28" s="39"/>
      <c r="W28" s="38"/>
      <c r="X28" s="38"/>
      <c r="Y28" s="38"/>
      <c r="Z28" s="38"/>
      <c r="AA28" s="39"/>
      <c r="AB28" s="39"/>
      <c r="AC28" s="38"/>
      <c r="AD28" s="38"/>
      <c r="AE28" s="37">
        <f t="shared" si="3"/>
        <v>-179.99571428571429</v>
      </c>
      <c r="AF28" s="40">
        <f t="shared" si="4"/>
        <v>4.2857142857144481E-3</v>
      </c>
    </row>
    <row r="29" spans="1:32" s="29" customFormat="1" ht="23.25" customHeight="1" x14ac:dyDescent="0.2">
      <c r="A29" s="18">
        <v>43565</v>
      </c>
      <c r="B29" s="20" t="s">
        <v>488</v>
      </c>
      <c r="C29" s="20"/>
      <c r="D29" s="20"/>
      <c r="E29" s="21"/>
      <c r="F29" s="44" t="s">
        <v>489</v>
      </c>
      <c r="G29" s="23">
        <v>1000</v>
      </c>
      <c r="H29" s="23"/>
      <c r="I29" s="23"/>
      <c r="J29" s="23"/>
      <c r="K29" s="24"/>
      <c r="L29" s="25">
        <f t="shared" si="0"/>
        <v>1000</v>
      </c>
      <c r="M29" s="25">
        <f t="shared" si="1"/>
        <v>0</v>
      </c>
      <c r="N29" s="25">
        <f t="shared" si="2"/>
        <v>0</v>
      </c>
      <c r="O29" s="25"/>
      <c r="P29" s="26"/>
      <c r="Q29" s="26"/>
      <c r="R29" s="27"/>
      <c r="S29" s="27"/>
      <c r="T29" s="27"/>
      <c r="U29" s="27"/>
      <c r="V29" s="27"/>
      <c r="W29" s="26"/>
      <c r="X29" s="26"/>
      <c r="Y29" s="26"/>
      <c r="Z29" s="26"/>
      <c r="AA29" s="27"/>
      <c r="AB29" s="27"/>
      <c r="AC29" s="26">
        <v>1000</v>
      </c>
      <c r="AD29" s="26"/>
      <c r="AE29" s="25">
        <f t="shared" si="3"/>
        <v>-1000</v>
      </c>
      <c r="AF29" s="28">
        <f t="shared" si="4"/>
        <v>0</v>
      </c>
    </row>
    <row r="30" spans="1:32" s="29" customFormat="1" ht="23.25" customHeight="1" x14ac:dyDescent="0.2">
      <c r="A30" s="18">
        <v>43565</v>
      </c>
      <c r="B30" s="20" t="s">
        <v>54</v>
      </c>
      <c r="C30" s="20" t="s">
        <v>55</v>
      </c>
      <c r="D30" s="20" t="s">
        <v>490</v>
      </c>
      <c r="E30" s="21">
        <v>3074</v>
      </c>
      <c r="F30" s="44" t="s">
        <v>491</v>
      </c>
      <c r="G30" s="23"/>
      <c r="H30" s="23"/>
      <c r="I30" s="23">
        <v>1710</v>
      </c>
      <c r="J30" s="23"/>
      <c r="K30" s="24"/>
      <c r="L30" s="25">
        <f t="shared" si="0"/>
        <v>1710</v>
      </c>
      <c r="M30" s="25">
        <f t="shared" si="1"/>
        <v>0</v>
      </c>
      <c r="N30" s="25">
        <f t="shared" si="2"/>
        <v>0</v>
      </c>
      <c r="O30" s="25">
        <v>1710</v>
      </c>
      <c r="P30" s="26"/>
      <c r="Q30" s="26"/>
      <c r="R30" s="27"/>
      <c r="S30" s="27"/>
      <c r="T30" s="27"/>
      <c r="U30" s="27"/>
      <c r="V30" s="27"/>
      <c r="W30" s="26"/>
      <c r="X30" s="26"/>
      <c r="Y30" s="26"/>
      <c r="Z30" s="26"/>
      <c r="AA30" s="27"/>
      <c r="AB30" s="27"/>
      <c r="AC30" s="26"/>
      <c r="AD30" s="26"/>
      <c r="AE30" s="25">
        <f t="shared" si="3"/>
        <v>-1710</v>
      </c>
      <c r="AF30" s="28">
        <f t="shared" si="4"/>
        <v>0</v>
      </c>
    </row>
    <row r="31" spans="1:32" s="29" customFormat="1" ht="23.25" customHeight="1" x14ac:dyDescent="0.2">
      <c r="A31" s="18">
        <v>43565</v>
      </c>
      <c r="B31" s="20" t="s">
        <v>58</v>
      </c>
      <c r="C31" s="20"/>
      <c r="D31" s="20"/>
      <c r="E31" s="21"/>
      <c r="F31" s="44" t="s">
        <v>209</v>
      </c>
      <c r="G31" s="23">
        <v>100</v>
      </c>
      <c r="H31" s="23"/>
      <c r="I31" s="23"/>
      <c r="J31" s="23"/>
      <c r="K31" s="24"/>
      <c r="L31" s="25">
        <f t="shared" si="0"/>
        <v>100</v>
      </c>
      <c r="M31" s="25">
        <f t="shared" si="1"/>
        <v>0</v>
      </c>
      <c r="N31" s="25">
        <f t="shared" si="2"/>
        <v>0</v>
      </c>
      <c r="O31" s="25"/>
      <c r="P31" s="26"/>
      <c r="Q31" s="26"/>
      <c r="R31" s="27"/>
      <c r="S31" s="27"/>
      <c r="T31" s="27"/>
      <c r="U31" s="27"/>
      <c r="V31" s="27"/>
      <c r="W31" s="26"/>
      <c r="X31" s="26"/>
      <c r="Y31" s="26"/>
      <c r="Z31" s="26">
        <v>100</v>
      </c>
      <c r="AA31" s="27"/>
      <c r="AB31" s="27"/>
      <c r="AC31" s="26"/>
      <c r="AD31" s="26"/>
      <c r="AE31" s="25">
        <f t="shared" si="3"/>
        <v>-100</v>
      </c>
      <c r="AF31" s="28">
        <f t="shared" si="4"/>
        <v>0</v>
      </c>
    </row>
    <row r="32" spans="1:32" s="29" customFormat="1" ht="23.25" customHeight="1" x14ac:dyDescent="0.2">
      <c r="A32" s="18">
        <v>43566</v>
      </c>
      <c r="B32" s="20" t="s">
        <v>37</v>
      </c>
      <c r="C32" s="20" t="s">
        <v>38</v>
      </c>
      <c r="D32" s="20" t="s">
        <v>39</v>
      </c>
      <c r="E32" s="21">
        <v>55207</v>
      </c>
      <c r="F32" s="44" t="s">
        <v>273</v>
      </c>
      <c r="G32" s="23"/>
      <c r="H32" s="23"/>
      <c r="I32" s="23"/>
      <c r="J32" s="23">
        <v>138</v>
      </c>
      <c r="K32" s="24"/>
      <c r="L32" s="25">
        <f t="shared" si="0"/>
        <v>123.21428571428571</v>
      </c>
      <c r="M32" s="25">
        <f t="shared" si="1"/>
        <v>14.785714285714285</v>
      </c>
      <c r="N32" s="25">
        <f t="shared" si="2"/>
        <v>0</v>
      </c>
      <c r="O32" s="25">
        <v>123.21</v>
      </c>
      <c r="P32" s="26"/>
      <c r="Q32" s="26"/>
      <c r="R32" s="27"/>
      <c r="S32" s="27"/>
      <c r="T32" s="27"/>
      <c r="U32" s="27"/>
      <c r="V32" s="27"/>
      <c r="W32" s="26"/>
      <c r="X32" s="26"/>
      <c r="Y32" s="26"/>
      <c r="Z32" s="26"/>
      <c r="AA32" s="27"/>
      <c r="AB32" s="27"/>
      <c r="AC32" s="26"/>
      <c r="AD32" s="26"/>
      <c r="AE32" s="25">
        <f t="shared" si="3"/>
        <v>-137.99571428571429</v>
      </c>
      <c r="AF32" s="28">
        <f t="shared" si="4"/>
        <v>4.2857142857144481E-3</v>
      </c>
    </row>
    <row r="33" spans="1:32" s="29" customFormat="1" ht="23.25" customHeight="1" x14ac:dyDescent="0.2">
      <c r="A33" s="18">
        <v>43566</v>
      </c>
      <c r="B33" s="20" t="s">
        <v>41</v>
      </c>
      <c r="C33" s="20" t="s">
        <v>42</v>
      </c>
      <c r="D33" s="20" t="s">
        <v>43</v>
      </c>
      <c r="E33" s="21">
        <v>67556</v>
      </c>
      <c r="F33" s="44" t="s">
        <v>44</v>
      </c>
      <c r="G33" s="23"/>
      <c r="H33" s="23"/>
      <c r="I33" s="23"/>
      <c r="J33" s="23">
        <v>180</v>
      </c>
      <c r="K33" s="24"/>
      <c r="L33" s="25">
        <f t="shared" si="0"/>
        <v>160.71428571428569</v>
      </c>
      <c r="M33" s="25">
        <f t="shared" si="1"/>
        <v>19.285714285714281</v>
      </c>
      <c r="N33" s="25">
        <f t="shared" si="2"/>
        <v>0</v>
      </c>
      <c r="O33" s="25"/>
      <c r="P33" s="26">
        <v>160.71</v>
      </c>
      <c r="Q33" s="26"/>
      <c r="R33" s="27"/>
      <c r="S33" s="27"/>
      <c r="T33" s="27"/>
      <c r="U33" s="27"/>
      <c r="V33" s="27"/>
      <c r="W33" s="26"/>
      <c r="X33" s="26"/>
      <c r="Y33" s="26"/>
      <c r="Z33" s="26"/>
      <c r="AA33" s="27"/>
      <c r="AB33" s="27"/>
      <c r="AC33" s="26"/>
      <c r="AD33" s="26"/>
      <c r="AE33" s="25">
        <f t="shared" si="3"/>
        <v>-179.99571428571429</v>
      </c>
      <c r="AF33" s="28">
        <f t="shared" si="4"/>
        <v>4.2857142857144481E-3</v>
      </c>
    </row>
    <row r="34" spans="1:32" s="29" customFormat="1" ht="23.25" customHeight="1" x14ac:dyDescent="0.2">
      <c r="A34" s="18">
        <v>43566</v>
      </c>
      <c r="B34" s="20" t="s">
        <v>45</v>
      </c>
      <c r="C34" s="20" t="s">
        <v>46</v>
      </c>
      <c r="D34" s="20" t="s">
        <v>47</v>
      </c>
      <c r="E34" s="21">
        <v>147649</v>
      </c>
      <c r="F34" s="44" t="s">
        <v>492</v>
      </c>
      <c r="G34" s="23"/>
      <c r="H34" s="23"/>
      <c r="I34" s="23"/>
      <c r="J34" s="23">
        <f>478.35+57.4</f>
        <v>535.75</v>
      </c>
      <c r="K34" s="24"/>
      <c r="L34" s="25">
        <f t="shared" si="0"/>
        <v>478.34821428571422</v>
      </c>
      <c r="M34" s="25">
        <f t="shared" si="1"/>
        <v>57.401785714285701</v>
      </c>
      <c r="N34" s="25">
        <f t="shared" si="2"/>
        <v>0</v>
      </c>
      <c r="O34" s="25"/>
      <c r="P34" s="26">
        <v>478.35</v>
      </c>
      <c r="Q34" s="26"/>
      <c r="R34" s="27"/>
      <c r="S34" s="27"/>
      <c r="T34" s="27"/>
      <c r="U34" s="27"/>
      <c r="V34" s="27"/>
      <c r="W34" s="26"/>
      <c r="X34" s="26"/>
      <c r="Y34" s="26"/>
      <c r="Z34" s="26"/>
      <c r="AA34" s="27"/>
      <c r="AB34" s="27"/>
      <c r="AC34" s="26"/>
      <c r="AD34" s="26"/>
      <c r="AE34" s="25">
        <f t="shared" si="3"/>
        <v>-535.75178571428569</v>
      </c>
      <c r="AF34" s="28">
        <f t="shared" si="4"/>
        <v>-1.7857142856883002E-3</v>
      </c>
    </row>
    <row r="35" spans="1:32" s="29" customFormat="1" ht="23.25" customHeight="1" x14ac:dyDescent="0.2">
      <c r="A35" s="18">
        <v>43566</v>
      </c>
      <c r="B35" s="20" t="s">
        <v>45</v>
      </c>
      <c r="C35" s="20" t="s">
        <v>46</v>
      </c>
      <c r="D35" s="20" t="s">
        <v>47</v>
      </c>
      <c r="E35" s="21">
        <v>147649</v>
      </c>
      <c r="F35" s="44" t="s">
        <v>493</v>
      </c>
      <c r="G35" s="23"/>
      <c r="H35" s="23"/>
      <c r="I35" s="23">
        <v>132.19999999999999</v>
      </c>
      <c r="J35" s="23"/>
      <c r="K35" s="24"/>
      <c r="L35" s="25">
        <f t="shared" si="0"/>
        <v>132.19999999999999</v>
      </c>
      <c r="M35" s="25">
        <f t="shared" si="1"/>
        <v>0</v>
      </c>
      <c r="N35" s="25">
        <f t="shared" si="2"/>
        <v>0</v>
      </c>
      <c r="O35" s="25"/>
      <c r="P35" s="26">
        <v>132.19999999999999</v>
      </c>
      <c r="Q35" s="26"/>
      <c r="R35" s="27"/>
      <c r="S35" s="27"/>
      <c r="T35" s="27"/>
      <c r="U35" s="27"/>
      <c r="V35" s="27"/>
      <c r="W35" s="26"/>
      <c r="X35" s="26"/>
      <c r="Y35" s="26"/>
      <c r="Z35" s="26"/>
      <c r="AA35" s="27"/>
      <c r="AB35" s="27"/>
      <c r="AC35" s="26"/>
      <c r="AD35" s="26"/>
      <c r="AE35" s="25">
        <f t="shared" si="3"/>
        <v>-132.19999999999999</v>
      </c>
      <c r="AF35" s="28">
        <f t="shared" si="4"/>
        <v>0</v>
      </c>
    </row>
    <row r="36" spans="1:32" s="29" customFormat="1" ht="23.25" customHeight="1" x14ac:dyDescent="0.2">
      <c r="A36" s="18">
        <v>43566</v>
      </c>
      <c r="B36" s="20" t="s">
        <v>37</v>
      </c>
      <c r="C36" s="20" t="s">
        <v>38</v>
      </c>
      <c r="D36" s="20" t="s">
        <v>39</v>
      </c>
      <c r="E36" s="21">
        <v>35093</v>
      </c>
      <c r="F36" s="44" t="s">
        <v>426</v>
      </c>
      <c r="G36" s="23"/>
      <c r="H36" s="23"/>
      <c r="I36" s="23"/>
      <c r="J36" s="23">
        <v>85.06</v>
      </c>
      <c r="K36" s="24"/>
      <c r="L36" s="25">
        <f t="shared" si="0"/>
        <v>75.946428571428569</v>
      </c>
      <c r="M36" s="25">
        <f t="shared" si="1"/>
        <v>9.1135714285714275</v>
      </c>
      <c r="N36" s="25">
        <f t="shared" si="2"/>
        <v>0</v>
      </c>
      <c r="O36" s="25">
        <v>75.95</v>
      </c>
      <c r="P36" s="26"/>
      <c r="Q36" s="26"/>
      <c r="R36" s="27"/>
      <c r="S36" s="27"/>
      <c r="T36" s="27"/>
      <c r="U36" s="27"/>
      <c r="V36" s="27"/>
      <c r="W36" s="26"/>
      <c r="X36" s="26"/>
      <c r="Y36" s="26"/>
      <c r="Z36" s="26"/>
      <c r="AA36" s="27"/>
      <c r="AB36" s="27"/>
      <c r="AC36" s="26"/>
      <c r="AD36" s="26"/>
      <c r="AE36" s="25">
        <f t="shared" si="3"/>
        <v>-85.063571428571436</v>
      </c>
      <c r="AF36" s="28">
        <f t="shared" si="4"/>
        <v>-3.5714285714334437E-3</v>
      </c>
    </row>
    <row r="37" spans="1:32" s="29" customFormat="1" ht="23.25" customHeight="1" x14ac:dyDescent="0.2">
      <c r="A37" s="18">
        <v>43566</v>
      </c>
      <c r="B37" s="20" t="s">
        <v>376</v>
      </c>
      <c r="C37" s="20"/>
      <c r="D37" s="20"/>
      <c r="E37" s="21"/>
      <c r="F37" s="44" t="s">
        <v>494</v>
      </c>
      <c r="G37" s="23">
        <f>624.97+339.49</f>
        <v>964.46</v>
      </c>
      <c r="H37" s="23"/>
      <c r="I37" s="23"/>
      <c r="J37" s="23"/>
      <c r="K37" s="24"/>
      <c r="L37" s="25">
        <f t="shared" ref="L37:L68" si="5">SUM(G37:I37,J37/1.12)</f>
        <v>964.46</v>
      </c>
      <c r="M37" s="25">
        <f t="shared" ref="M37:M68" si="6">J37/1.12*0.12</f>
        <v>0</v>
      </c>
      <c r="N37" s="25">
        <f t="shared" si="2"/>
        <v>0</v>
      </c>
      <c r="O37" s="25"/>
      <c r="P37" s="26"/>
      <c r="Q37" s="26"/>
      <c r="R37" s="27"/>
      <c r="S37" s="27"/>
      <c r="T37" s="27"/>
      <c r="U37" s="27"/>
      <c r="V37" s="27"/>
      <c r="W37" s="26"/>
      <c r="X37" s="26"/>
      <c r="Y37" s="26"/>
      <c r="Z37" s="26"/>
      <c r="AA37" s="27">
        <v>964.46</v>
      </c>
      <c r="AB37" s="27"/>
      <c r="AC37" s="26"/>
      <c r="AD37" s="26"/>
      <c r="AE37" s="25">
        <f t="shared" ref="AE37:AE68" si="7">-SUM(M37:AD37)</f>
        <v>-964.46</v>
      </c>
      <c r="AF37" s="28">
        <f t="shared" ref="AF37:AF68" si="8">SUM(G37:J37)+AE37+N37</f>
        <v>0</v>
      </c>
    </row>
    <row r="38" spans="1:32" s="29" customFormat="1" ht="23.25" customHeight="1" x14ac:dyDescent="0.2">
      <c r="A38" s="18">
        <v>43566</v>
      </c>
      <c r="B38" s="20" t="s">
        <v>376</v>
      </c>
      <c r="C38" s="20"/>
      <c r="D38" s="20"/>
      <c r="E38" s="21"/>
      <c r="F38" s="44" t="s">
        <v>495</v>
      </c>
      <c r="G38" s="23">
        <v>80</v>
      </c>
      <c r="H38" s="23"/>
      <c r="I38" s="23"/>
      <c r="J38" s="23"/>
      <c r="K38" s="24"/>
      <c r="L38" s="25">
        <f t="shared" si="5"/>
        <v>80</v>
      </c>
      <c r="M38" s="25">
        <f t="shared" si="6"/>
        <v>0</v>
      </c>
      <c r="N38" s="25">
        <f t="shared" si="2"/>
        <v>0</v>
      </c>
      <c r="O38" s="25"/>
      <c r="P38" s="26"/>
      <c r="Q38" s="26"/>
      <c r="R38" s="27"/>
      <c r="S38" s="27"/>
      <c r="T38" s="27"/>
      <c r="U38" s="27"/>
      <c r="V38" s="27"/>
      <c r="W38" s="26"/>
      <c r="X38" s="26"/>
      <c r="Y38" s="26"/>
      <c r="Z38" s="26">
        <v>80</v>
      </c>
      <c r="AA38" s="27"/>
      <c r="AB38" s="27"/>
      <c r="AC38" s="26"/>
      <c r="AD38" s="26"/>
      <c r="AE38" s="25">
        <f t="shared" si="7"/>
        <v>-80</v>
      </c>
      <c r="AF38" s="28">
        <f t="shared" si="8"/>
        <v>0</v>
      </c>
    </row>
    <row r="39" spans="1:32" s="29" customFormat="1" ht="23.25" customHeight="1" x14ac:dyDescent="0.2">
      <c r="A39" s="18">
        <v>43566</v>
      </c>
      <c r="B39" s="20" t="s">
        <v>347</v>
      </c>
      <c r="C39" s="20"/>
      <c r="D39" s="20"/>
      <c r="E39" s="21"/>
      <c r="F39" s="44" t="s">
        <v>177</v>
      </c>
      <c r="G39" s="23">
        <v>537</v>
      </c>
      <c r="H39" s="23"/>
      <c r="I39" s="23"/>
      <c r="J39" s="23"/>
      <c r="K39" s="24"/>
      <c r="L39" s="25">
        <f t="shared" si="5"/>
        <v>537</v>
      </c>
      <c r="M39" s="25">
        <f t="shared" si="6"/>
        <v>0</v>
      </c>
      <c r="N39" s="25">
        <f t="shared" si="2"/>
        <v>0</v>
      </c>
      <c r="O39" s="25"/>
      <c r="P39" s="26"/>
      <c r="Q39" s="26"/>
      <c r="R39" s="27"/>
      <c r="S39" s="27"/>
      <c r="T39" s="27"/>
      <c r="U39" s="27"/>
      <c r="V39" s="27"/>
      <c r="W39" s="26"/>
      <c r="X39" s="26"/>
      <c r="Y39" s="26"/>
      <c r="Z39" s="26"/>
      <c r="AA39" s="27">
        <v>537</v>
      </c>
      <c r="AB39" s="27"/>
      <c r="AC39" s="26"/>
      <c r="AD39" s="26"/>
      <c r="AE39" s="25">
        <f t="shared" si="7"/>
        <v>-537</v>
      </c>
      <c r="AF39" s="28">
        <f t="shared" si="8"/>
        <v>0</v>
      </c>
    </row>
    <row r="40" spans="1:32" s="29" customFormat="1" ht="23.25" customHeight="1" x14ac:dyDescent="0.2">
      <c r="A40" s="18">
        <v>43566</v>
      </c>
      <c r="B40" s="20" t="s">
        <v>496</v>
      </c>
      <c r="C40" s="20"/>
      <c r="D40" s="20"/>
      <c r="E40" s="21"/>
      <c r="F40" s="44" t="s">
        <v>177</v>
      </c>
      <c r="G40" s="23">
        <v>537</v>
      </c>
      <c r="H40" s="23"/>
      <c r="I40" s="23"/>
      <c r="J40" s="23"/>
      <c r="K40" s="24"/>
      <c r="L40" s="25">
        <f t="shared" si="5"/>
        <v>537</v>
      </c>
      <c r="M40" s="25">
        <f t="shared" si="6"/>
        <v>0</v>
      </c>
      <c r="N40" s="25">
        <f t="shared" si="2"/>
        <v>0</v>
      </c>
      <c r="O40" s="25"/>
      <c r="P40" s="26"/>
      <c r="Q40" s="26"/>
      <c r="R40" s="27"/>
      <c r="S40" s="27"/>
      <c r="T40" s="27"/>
      <c r="U40" s="27"/>
      <c r="V40" s="27"/>
      <c r="W40" s="26"/>
      <c r="X40" s="26"/>
      <c r="Y40" s="26"/>
      <c r="Z40" s="26"/>
      <c r="AA40" s="27">
        <v>537</v>
      </c>
      <c r="AB40" s="27"/>
      <c r="AC40" s="26"/>
      <c r="AD40" s="26"/>
      <c r="AE40" s="25">
        <f t="shared" si="7"/>
        <v>-537</v>
      </c>
      <c r="AF40" s="28">
        <f t="shared" si="8"/>
        <v>0</v>
      </c>
    </row>
    <row r="41" spans="1:32" s="29" customFormat="1" ht="23.25" customHeight="1" x14ac:dyDescent="0.2">
      <c r="A41" s="18">
        <v>43567</v>
      </c>
      <c r="B41" s="20" t="s">
        <v>74</v>
      </c>
      <c r="C41" s="20"/>
      <c r="D41" s="20"/>
      <c r="E41" s="21"/>
      <c r="F41" s="44" t="s">
        <v>75</v>
      </c>
      <c r="G41" s="23"/>
      <c r="H41" s="23"/>
      <c r="I41" s="23">
        <v>1123</v>
      </c>
      <c r="J41" s="23"/>
      <c r="K41" s="24"/>
      <c r="L41" s="25">
        <f t="shared" si="5"/>
        <v>1123</v>
      </c>
      <c r="M41" s="25">
        <f t="shared" si="6"/>
        <v>0</v>
      </c>
      <c r="N41" s="25">
        <f t="shared" si="2"/>
        <v>0</v>
      </c>
      <c r="O41" s="25">
        <v>1123</v>
      </c>
      <c r="P41" s="26"/>
      <c r="Q41" s="26"/>
      <c r="R41" s="27"/>
      <c r="S41" s="27"/>
      <c r="T41" s="27"/>
      <c r="U41" s="27"/>
      <c r="V41" s="27"/>
      <c r="W41" s="26"/>
      <c r="X41" s="26"/>
      <c r="Y41" s="26"/>
      <c r="Z41" s="26"/>
      <c r="AA41" s="27"/>
      <c r="AB41" s="27"/>
      <c r="AC41" s="26"/>
      <c r="AD41" s="26"/>
      <c r="AE41" s="25">
        <f t="shared" si="7"/>
        <v>-1123</v>
      </c>
      <c r="AF41" s="28">
        <f t="shared" si="8"/>
        <v>0</v>
      </c>
    </row>
    <row r="42" spans="1:32" s="29" customFormat="1" ht="23.25" customHeight="1" x14ac:dyDescent="0.2">
      <c r="A42" s="18">
        <v>43567</v>
      </c>
      <c r="B42" s="20" t="s">
        <v>58</v>
      </c>
      <c r="C42" s="20"/>
      <c r="D42" s="20"/>
      <c r="E42" s="21"/>
      <c r="F42" s="44" t="s">
        <v>497</v>
      </c>
      <c r="G42" s="23">
        <v>50</v>
      </c>
      <c r="H42" s="23"/>
      <c r="I42" s="23"/>
      <c r="J42" s="23"/>
      <c r="K42" s="24"/>
      <c r="L42" s="25">
        <f t="shared" si="5"/>
        <v>50</v>
      </c>
      <c r="M42" s="25">
        <f t="shared" si="6"/>
        <v>0</v>
      </c>
      <c r="N42" s="25">
        <f t="shared" si="2"/>
        <v>0</v>
      </c>
      <c r="O42" s="25"/>
      <c r="P42" s="26"/>
      <c r="Q42" s="26"/>
      <c r="R42" s="27"/>
      <c r="S42" s="27"/>
      <c r="T42" s="27"/>
      <c r="U42" s="27"/>
      <c r="V42" s="27"/>
      <c r="W42" s="26"/>
      <c r="X42" s="26"/>
      <c r="Y42" s="26"/>
      <c r="Z42" s="26">
        <v>50</v>
      </c>
      <c r="AA42" s="27"/>
      <c r="AB42" s="27"/>
      <c r="AC42" s="26"/>
      <c r="AD42" s="26"/>
      <c r="AE42" s="25">
        <f t="shared" si="7"/>
        <v>-50</v>
      </c>
      <c r="AF42" s="28">
        <f t="shared" si="8"/>
        <v>0</v>
      </c>
    </row>
    <row r="43" spans="1:32" s="29" customFormat="1" ht="23.25" customHeight="1" x14ac:dyDescent="0.2">
      <c r="A43" s="18">
        <v>43567</v>
      </c>
      <c r="B43" s="20" t="s">
        <v>41</v>
      </c>
      <c r="C43" s="20" t="s">
        <v>42</v>
      </c>
      <c r="D43" s="20" t="s">
        <v>43</v>
      </c>
      <c r="E43" s="21">
        <v>80954</v>
      </c>
      <c r="F43" s="44" t="s">
        <v>44</v>
      </c>
      <c r="G43" s="23"/>
      <c r="H43" s="23"/>
      <c r="I43" s="23"/>
      <c r="J43" s="23">
        <v>180</v>
      </c>
      <c r="K43" s="24"/>
      <c r="L43" s="25">
        <f t="shared" si="5"/>
        <v>160.71428571428569</v>
      </c>
      <c r="M43" s="25">
        <f t="shared" si="6"/>
        <v>19.285714285714281</v>
      </c>
      <c r="N43" s="25">
        <f t="shared" si="2"/>
        <v>0</v>
      </c>
      <c r="O43" s="25"/>
      <c r="P43" s="26">
        <v>160.71</v>
      </c>
      <c r="Q43" s="26"/>
      <c r="R43" s="27"/>
      <c r="S43" s="27"/>
      <c r="T43" s="27"/>
      <c r="U43" s="27"/>
      <c r="V43" s="27"/>
      <c r="W43" s="26"/>
      <c r="X43" s="26"/>
      <c r="Y43" s="26"/>
      <c r="Z43" s="26"/>
      <c r="AA43" s="27"/>
      <c r="AB43" s="27"/>
      <c r="AC43" s="26"/>
      <c r="AD43" s="26"/>
      <c r="AE43" s="25">
        <f t="shared" si="7"/>
        <v>-179.99571428571429</v>
      </c>
      <c r="AF43" s="28">
        <f t="shared" si="8"/>
        <v>4.2857142857144481E-3</v>
      </c>
    </row>
    <row r="44" spans="1:32" s="29" customFormat="1" ht="23.25" customHeight="1" x14ac:dyDescent="0.2">
      <c r="A44" s="18">
        <v>43567</v>
      </c>
      <c r="B44" s="20" t="s">
        <v>498</v>
      </c>
      <c r="C44" s="20"/>
      <c r="D44" s="20"/>
      <c r="E44" s="21"/>
      <c r="F44" s="44" t="s">
        <v>499</v>
      </c>
      <c r="G44" s="23">
        <v>124</v>
      </c>
      <c r="H44" s="23"/>
      <c r="I44" s="23"/>
      <c r="J44" s="23"/>
      <c r="K44" s="24"/>
      <c r="L44" s="25">
        <f t="shared" si="5"/>
        <v>124</v>
      </c>
      <c r="M44" s="25">
        <f t="shared" si="6"/>
        <v>0</v>
      </c>
      <c r="N44" s="25">
        <f t="shared" si="2"/>
        <v>0</v>
      </c>
      <c r="O44" s="25"/>
      <c r="P44" s="26"/>
      <c r="Q44" s="26"/>
      <c r="R44" s="27"/>
      <c r="S44" s="27"/>
      <c r="T44" s="27"/>
      <c r="U44" s="27"/>
      <c r="V44" s="27"/>
      <c r="W44" s="26"/>
      <c r="X44" s="26"/>
      <c r="Y44" s="26"/>
      <c r="Z44" s="26">
        <v>124</v>
      </c>
      <c r="AA44" s="27"/>
      <c r="AB44" s="27"/>
      <c r="AC44" s="26"/>
      <c r="AD44" s="26"/>
      <c r="AE44" s="25">
        <f t="shared" si="7"/>
        <v>-124</v>
      </c>
      <c r="AF44" s="28">
        <f t="shared" si="8"/>
        <v>0</v>
      </c>
    </row>
    <row r="45" spans="1:32" s="29" customFormat="1" ht="23.25" customHeight="1" x14ac:dyDescent="0.2">
      <c r="A45" s="18">
        <v>43567</v>
      </c>
      <c r="B45" s="20" t="s">
        <v>45</v>
      </c>
      <c r="C45" s="20" t="s">
        <v>46</v>
      </c>
      <c r="D45" s="20" t="s">
        <v>47</v>
      </c>
      <c r="E45" s="21">
        <v>159820</v>
      </c>
      <c r="F45" s="44" t="s">
        <v>500</v>
      </c>
      <c r="G45" s="23"/>
      <c r="H45" s="23"/>
      <c r="I45" s="23">
        <v>494.95</v>
      </c>
      <c r="J45" s="23"/>
      <c r="K45" s="24"/>
      <c r="L45" s="25">
        <f t="shared" si="5"/>
        <v>494.95</v>
      </c>
      <c r="M45" s="25">
        <f t="shared" si="6"/>
        <v>0</v>
      </c>
      <c r="N45" s="25">
        <f t="shared" si="2"/>
        <v>0</v>
      </c>
      <c r="O45" s="25">
        <v>494.95</v>
      </c>
      <c r="P45" s="26"/>
      <c r="Q45" s="26"/>
      <c r="R45" s="27"/>
      <c r="S45" s="27"/>
      <c r="T45" s="27"/>
      <c r="U45" s="27"/>
      <c r="V45" s="27"/>
      <c r="W45" s="26"/>
      <c r="X45" s="26"/>
      <c r="Y45" s="26"/>
      <c r="Z45" s="26"/>
      <c r="AA45" s="27"/>
      <c r="AB45" s="27"/>
      <c r="AC45" s="26"/>
      <c r="AD45" s="26"/>
      <c r="AE45" s="25">
        <f t="shared" si="7"/>
        <v>-494.95</v>
      </c>
      <c r="AF45" s="28">
        <f t="shared" si="8"/>
        <v>0</v>
      </c>
    </row>
    <row r="46" spans="1:32" s="29" customFormat="1" ht="23.25" customHeight="1" x14ac:dyDescent="0.2">
      <c r="A46" s="18">
        <v>43567</v>
      </c>
      <c r="B46" s="20" t="s">
        <v>45</v>
      </c>
      <c r="C46" s="20" t="s">
        <v>46</v>
      </c>
      <c r="D46" s="20" t="s">
        <v>47</v>
      </c>
      <c r="E46" s="21">
        <v>159820</v>
      </c>
      <c r="F46" s="44" t="s">
        <v>501</v>
      </c>
      <c r="G46" s="23"/>
      <c r="H46" s="23"/>
      <c r="I46" s="23"/>
      <c r="J46" s="23">
        <f>243.17+29.18</f>
        <v>272.34999999999997</v>
      </c>
      <c r="K46" s="24"/>
      <c r="L46" s="25">
        <f t="shared" si="5"/>
        <v>243.1696428571428</v>
      </c>
      <c r="M46" s="25">
        <f t="shared" si="6"/>
        <v>29.180357142857137</v>
      </c>
      <c r="N46" s="25">
        <f t="shared" si="2"/>
        <v>0</v>
      </c>
      <c r="O46" s="25">
        <v>243.17</v>
      </c>
      <c r="P46" s="26"/>
      <c r="Q46" s="26"/>
      <c r="R46" s="27"/>
      <c r="S46" s="27"/>
      <c r="T46" s="27"/>
      <c r="U46" s="27"/>
      <c r="V46" s="27"/>
      <c r="W46" s="26"/>
      <c r="X46" s="26"/>
      <c r="Y46" s="26"/>
      <c r="Z46" s="26"/>
      <c r="AA46" s="27"/>
      <c r="AB46" s="27"/>
      <c r="AC46" s="26"/>
      <c r="AD46" s="26"/>
      <c r="AE46" s="25">
        <f t="shared" si="7"/>
        <v>-272.35035714285715</v>
      </c>
      <c r="AF46" s="28">
        <f t="shared" si="8"/>
        <v>-3.5714285718313477E-4</v>
      </c>
    </row>
    <row r="47" spans="1:32" s="29" customFormat="1" ht="23.25" customHeight="1" x14ac:dyDescent="0.2">
      <c r="A47" s="18">
        <v>43568</v>
      </c>
      <c r="B47" s="20" t="s">
        <v>58</v>
      </c>
      <c r="C47" s="20"/>
      <c r="D47" s="20"/>
      <c r="E47" s="21"/>
      <c r="F47" s="44" t="s">
        <v>502</v>
      </c>
      <c r="G47" s="23">
        <v>50</v>
      </c>
      <c r="H47" s="23"/>
      <c r="I47" s="23"/>
      <c r="J47" s="23"/>
      <c r="K47" s="24"/>
      <c r="L47" s="25">
        <f t="shared" si="5"/>
        <v>50</v>
      </c>
      <c r="M47" s="25">
        <f t="shared" si="6"/>
        <v>0</v>
      </c>
      <c r="N47" s="25">
        <f t="shared" si="2"/>
        <v>0</v>
      </c>
      <c r="O47" s="25"/>
      <c r="P47" s="26"/>
      <c r="Q47" s="26"/>
      <c r="R47" s="27"/>
      <c r="S47" s="27"/>
      <c r="T47" s="27"/>
      <c r="U47" s="27"/>
      <c r="V47" s="27"/>
      <c r="W47" s="26"/>
      <c r="X47" s="26"/>
      <c r="Y47" s="26"/>
      <c r="Z47" s="26">
        <v>50</v>
      </c>
      <c r="AA47" s="27"/>
      <c r="AB47" s="27"/>
      <c r="AC47" s="26"/>
      <c r="AD47" s="26"/>
      <c r="AE47" s="25">
        <f t="shared" si="7"/>
        <v>-50</v>
      </c>
      <c r="AF47" s="28">
        <f t="shared" si="8"/>
        <v>0</v>
      </c>
    </row>
    <row r="48" spans="1:32" s="29" customFormat="1" ht="23.25" customHeight="1" x14ac:dyDescent="0.2">
      <c r="A48" s="18">
        <v>43570</v>
      </c>
      <c r="B48" s="20" t="s">
        <v>41</v>
      </c>
      <c r="C48" s="20" t="s">
        <v>42</v>
      </c>
      <c r="D48" s="20" t="s">
        <v>43</v>
      </c>
      <c r="E48" s="21">
        <v>73278</v>
      </c>
      <c r="F48" s="44" t="s">
        <v>44</v>
      </c>
      <c r="G48" s="23"/>
      <c r="H48" s="23"/>
      <c r="I48" s="23"/>
      <c r="J48" s="23">
        <v>180</v>
      </c>
      <c r="K48" s="24"/>
      <c r="L48" s="25">
        <f t="shared" si="5"/>
        <v>160.71428571428569</v>
      </c>
      <c r="M48" s="25">
        <f t="shared" si="6"/>
        <v>19.285714285714281</v>
      </c>
      <c r="N48" s="25">
        <f t="shared" si="2"/>
        <v>0</v>
      </c>
      <c r="O48" s="25"/>
      <c r="P48" s="26">
        <v>160.71</v>
      </c>
      <c r="Q48" s="26"/>
      <c r="R48" s="27"/>
      <c r="S48" s="27"/>
      <c r="T48" s="27"/>
      <c r="U48" s="27"/>
      <c r="V48" s="27"/>
      <c r="W48" s="26"/>
      <c r="X48" s="26"/>
      <c r="Y48" s="26"/>
      <c r="Z48" s="26"/>
      <c r="AA48" s="27"/>
      <c r="AB48" s="27"/>
      <c r="AC48" s="26"/>
      <c r="AD48" s="26"/>
      <c r="AE48" s="25">
        <f t="shared" si="7"/>
        <v>-179.99571428571429</v>
      </c>
      <c r="AF48" s="28">
        <f t="shared" si="8"/>
        <v>4.2857142857144481E-3</v>
      </c>
    </row>
    <row r="49" spans="1:32" s="29" customFormat="1" ht="23.25" customHeight="1" x14ac:dyDescent="0.2">
      <c r="A49" s="18">
        <v>43570</v>
      </c>
      <c r="B49" s="20" t="s">
        <v>503</v>
      </c>
      <c r="C49" s="20" t="s">
        <v>504</v>
      </c>
      <c r="D49" s="20" t="s">
        <v>505</v>
      </c>
      <c r="E49" s="21">
        <v>50205001</v>
      </c>
      <c r="F49" s="44" t="s">
        <v>506</v>
      </c>
      <c r="G49" s="23"/>
      <c r="H49" s="23"/>
      <c r="I49" s="23"/>
      <c r="J49" s="23">
        <f>16*3</f>
        <v>48</v>
      </c>
      <c r="K49" s="24"/>
      <c r="L49" s="25">
        <f t="shared" si="5"/>
        <v>42.857142857142854</v>
      </c>
      <c r="M49" s="25">
        <f t="shared" si="6"/>
        <v>5.1428571428571423</v>
      </c>
      <c r="N49" s="25">
        <f t="shared" si="2"/>
        <v>0</v>
      </c>
      <c r="O49" s="25"/>
      <c r="P49" s="26"/>
      <c r="Q49" s="26"/>
      <c r="R49" s="27"/>
      <c r="S49" s="27">
        <v>42.86</v>
      </c>
      <c r="T49" s="27"/>
      <c r="U49" s="27"/>
      <c r="V49" s="27"/>
      <c r="W49" s="26"/>
      <c r="X49" s="26"/>
      <c r="Y49" s="26"/>
      <c r="Z49" s="26"/>
      <c r="AA49" s="27"/>
      <c r="AB49" s="27"/>
      <c r="AC49" s="26"/>
      <c r="AD49" s="26"/>
      <c r="AE49" s="25">
        <f t="shared" si="7"/>
        <v>-48.002857142857138</v>
      </c>
      <c r="AF49" s="28">
        <f t="shared" si="8"/>
        <v>-2.8571428571382285E-3</v>
      </c>
    </row>
    <row r="50" spans="1:32" s="29" customFormat="1" ht="23.25" customHeight="1" x14ac:dyDescent="0.2">
      <c r="A50" s="18">
        <v>43571</v>
      </c>
      <c r="B50" s="20" t="s">
        <v>41</v>
      </c>
      <c r="C50" s="20" t="s">
        <v>42</v>
      </c>
      <c r="D50" s="20" t="s">
        <v>43</v>
      </c>
      <c r="E50" s="21">
        <v>70675</v>
      </c>
      <c r="F50" s="44" t="s">
        <v>44</v>
      </c>
      <c r="G50" s="23"/>
      <c r="H50" s="23"/>
      <c r="I50" s="23"/>
      <c r="J50" s="23">
        <v>180</v>
      </c>
      <c r="K50" s="24"/>
      <c r="L50" s="25">
        <f t="shared" si="5"/>
        <v>160.71428571428569</v>
      </c>
      <c r="M50" s="25">
        <f t="shared" si="6"/>
        <v>19.285714285714281</v>
      </c>
      <c r="N50" s="25">
        <f t="shared" si="2"/>
        <v>0</v>
      </c>
      <c r="O50" s="25"/>
      <c r="P50" s="26">
        <v>160.71</v>
      </c>
      <c r="Q50" s="26"/>
      <c r="R50" s="27"/>
      <c r="S50" s="27"/>
      <c r="T50" s="27"/>
      <c r="U50" s="27"/>
      <c r="V50" s="27"/>
      <c r="W50" s="26"/>
      <c r="X50" s="26"/>
      <c r="Y50" s="26"/>
      <c r="Z50" s="26"/>
      <c r="AA50" s="27"/>
      <c r="AB50" s="27"/>
      <c r="AC50" s="26"/>
      <c r="AD50" s="26"/>
      <c r="AE50" s="25">
        <f t="shared" si="7"/>
        <v>-179.99571428571429</v>
      </c>
      <c r="AF50" s="28">
        <f t="shared" si="8"/>
        <v>4.2857142857144481E-3</v>
      </c>
    </row>
    <row r="51" spans="1:32" s="29" customFormat="1" ht="23.25" customHeight="1" x14ac:dyDescent="0.2">
      <c r="A51" s="18">
        <v>43571</v>
      </c>
      <c r="B51" s="20" t="s">
        <v>50</v>
      </c>
      <c r="C51" s="20" t="s">
        <v>51</v>
      </c>
      <c r="D51" s="20" t="s">
        <v>47</v>
      </c>
      <c r="E51" s="21">
        <v>56622</v>
      </c>
      <c r="F51" s="44" t="s">
        <v>507</v>
      </c>
      <c r="G51" s="23"/>
      <c r="H51" s="23"/>
      <c r="I51" s="23"/>
      <c r="J51" s="23">
        <v>1298.67</v>
      </c>
      <c r="K51" s="24"/>
      <c r="L51" s="25">
        <f t="shared" si="5"/>
        <v>1159.5267857142858</v>
      </c>
      <c r="M51" s="25">
        <f t="shared" si="6"/>
        <v>139.14321428571429</v>
      </c>
      <c r="N51" s="25"/>
      <c r="O51" s="25">
        <v>1159.53</v>
      </c>
      <c r="P51" s="26"/>
      <c r="Q51" s="26"/>
      <c r="R51" s="27"/>
      <c r="S51" s="27"/>
      <c r="T51" s="27"/>
      <c r="U51" s="27"/>
      <c r="V51" s="27"/>
      <c r="W51" s="26"/>
      <c r="X51" s="26"/>
      <c r="Y51" s="26"/>
      <c r="Z51" s="26"/>
      <c r="AA51" s="27"/>
      <c r="AB51" s="27"/>
      <c r="AC51" s="26"/>
      <c r="AD51" s="26"/>
      <c r="AE51" s="25">
        <f t="shared" si="7"/>
        <v>-1298.6732142857143</v>
      </c>
      <c r="AF51" s="28">
        <f t="shared" si="8"/>
        <v>-3.2142857141934655E-3</v>
      </c>
    </row>
    <row r="52" spans="1:32" s="29" customFormat="1" ht="23.25" customHeight="1" x14ac:dyDescent="0.2">
      <c r="A52" s="18">
        <v>43571</v>
      </c>
      <c r="B52" s="20" t="s">
        <v>62</v>
      </c>
      <c r="C52" s="20"/>
      <c r="D52" s="20"/>
      <c r="E52" s="21"/>
      <c r="F52" s="44" t="s">
        <v>158</v>
      </c>
      <c r="G52" s="23">
        <v>120</v>
      </c>
      <c r="H52" s="23"/>
      <c r="I52" s="23"/>
      <c r="J52" s="23"/>
      <c r="K52" s="24"/>
      <c r="L52" s="25">
        <f t="shared" si="5"/>
        <v>120</v>
      </c>
      <c r="M52" s="25">
        <f t="shared" si="6"/>
        <v>0</v>
      </c>
      <c r="N52" s="25"/>
      <c r="O52" s="25"/>
      <c r="P52" s="26"/>
      <c r="Q52" s="26"/>
      <c r="R52" s="27"/>
      <c r="S52" s="27"/>
      <c r="T52" s="27"/>
      <c r="U52" s="27"/>
      <c r="V52" s="27"/>
      <c r="W52" s="26"/>
      <c r="X52" s="26"/>
      <c r="Y52" s="26"/>
      <c r="Z52" s="26">
        <v>120</v>
      </c>
      <c r="AA52" s="27"/>
      <c r="AB52" s="27"/>
      <c r="AC52" s="26"/>
      <c r="AD52" s="26"/>
      <c r="AE52" s="25">
        <f t="shared" si="7"/>
        <v>-120</v>
      </c>
      <c r="AF52" s="28">
        <f t="shared" si="8"/>
        <v>0</v>
      </c>
    </row>
    <row r="53" spans="1:32" s="29" customFormat="1" ht="23.25" customHeight="1" x14ac:dyDescent="0.2">
      <c r="A53" s="18">
        <v>43571</v>
      </c>
      <c r="B53" s="20" t="s">
        <v>508</v>
      </c>
      <c r="C53" s="20" t="s">
        <v>509</v>
      </c>
      <c r="D53" s="20" t="s">
        <v>161</v>
      </c>
      <c r="E53" s="21">
        <v>105795</v>
      </c>
      <c r="F53" s="44" t="s">
        <v>162</v>
      </c>
      <c r="G53" s="23"/>
      <c r="H53" s="23"/>
      <c r="I53" s="23"/>
      <c r="J53" s="23">
        <v>1680</v>
      </c>
      <c r="K53" s="24"/>
      <c r="L53" s="25">
        <f t="shared" si="5"/>
        <v>1499.9999999999998</v>
      </c>
      <c r="M53" s="25">
        <f t="shared" si="6"/>
        <v>179.99999999999997</v>
      </c>
      <c r="N53" s="25"/>
      <c r="O53" s="25"/>
      <c r="P53" s="26"/>
      <c r="Q53" s="26"/>
      <c r="R53" s="27">
        <v>1500</v>
      </c>
      <c r="S53" s="27"/>
      <c r="T53" s="27"/>
      <c r="U53" s="27"/>
      <c r="V53" s="27"/>
      <c r="W53" s="26"/>
      <c r="X53" s="26"/>
      <c r="Y53" s="26"/>
      <c r="Z53" s="26"/>
      <c r="AA53" s="27"/>
      <c r="AB53" s="27"/>
      <c r="AC53" s="26"/>
      <c r="AD53" s="26"/>
      <c r="AE53" s="25">
        <f t="shared" si="7"/>
        <v>-1680</v>
      </c>
      <c r="AF53" s="28">
        <f t="shared" si="8"/>
        <v>0</v>
      </c>
    </row>
    <row r="54" spans="1:32" s="29" customFormat="1" ht="23.25" customHeight="1" x14ac:dyDescent="0.2">
      <c r="A54" s="18">
        <v>43571</v>
      </c>
      <c r="B54" s="20" t="s">
        <v>154</v>
      </c>
      <c r="C54" s="20"/>
      <c r="D54" s="20"/>
      <c r="E54" s="21"/>
      <c r="F54" s="44" t="s">
        <v>510</v>
      </c>
      <c r="G54" s="23">
        <v>68</v>
      </c>
      <c r="H54" s="23"/>
      <c r="I54" s="23"/>
      <c r="J54" s="23"/>
      <c r="K54" s="24"/>
      <c r="L54" s="25">
        <f t="shared" si="5"/>
        <v>68</v>
      </c>
      <c r="M54" s="25">
        <f t="shared" si="6"/>
        <v>0</v>
      </c>
      <c r="N54" s="25"/>
      <c r="O54" s="25"/>
      <c r="P54" s="26"/>
      <c r="Q54" s="26"/>
      <c r="R54" s="27"/>
      <c r="S54" s="27"/>
      <c r="T54" s="27"/>
      <c r="U54" s="27"/>
      <c r="V54" s="27"/>
      <c r="W54" s="26"/>
      <c r="X54" s="26"/>
      <c r="Y54" s="26"/>
      <c r="Z54" s="26">
        <v>68</v>
      </c>
      <c r="AA54" s="27"/>
      <c r="AB54" s="27"/>
      <c r="AC54" s="26"/>
      <c r="AD54" s="26"/>
      <c r="AE54" s="25">
        <f t="shared" si="7"/>
        <v>-68</v>
      </c>
      <c r="AF54" s="28">
        <f t="shared" si="8"/>
        <v>0</v>
      </c>
    </row>
    <row r="55" spans="1:32" s="29" customFormat="1" ht="23.25" customHeight="1" x14ac:dyDescent="0.2">
      <c r="A55" s="18">
        <v>43571</v>
      </c>
      <c r="B55" s="20" t="s">
        <v>511</v>
      </c>
      <c r="C55" s="20"/>
      <c r="D55" s="20"/>
      <c r="E55" s="21"/>
      <c r="F55" s="44" t="s">
        <v>125</v>
      </c>
      <c r="G55" s="23">
        <v>537</v>
      </c>
      <c r="H55" s="23"/>
      <c r="I55" s="23"/>
      <c r="J55" s="23"/>
      <c r="K55" s="24"/>
      <c r="L55" s="25">
        <f t="shared" si="5"/>
        <v>537</v>
      </c>
      <c r="M55" s="25">
        <f t="shared" si="6"/>
        <v>0</v>
      </c>
      <c r="N55" s="25"/>
      <c r="O55" s="25"/>
      <c r="P55" s="26"/>
      <c r="Q55" s="26"/>
      <c r="R55" s="27"/>
      <c r="S55" s="27"/>
      <c r="T55" s="27"/>
      <c r="U55" s="27"/>
      <c r="V55" s="27"/>
      <c r="W55" s="26"/>
      <c r="X55" s="26"/>
      <c r="Y55" s="26"/>
      <c r="Z55" s="26"/>
      <c r="AA55" s="27">
        <v>537</v>
      </c>
      <c r="AB55" s="27"/>
      <c r="AC55" s="26"/>
      <c r="AD55" s="26"/>
      <c r="AE55" s="25">
        <f t="shared" si="7"/>
        <v>-537</v>
      </c>
      <c r="AF55" s="28">
        <f t="shared" si="8"/>
        <v>0</v>
      </c>
    </row>
    <row r="56" spans="1:32" s="29" customFormat="1" ht="23.25" customHeight="1" x14ac:dyDescent="0.2">
      <c r="A56" s="18">
        <v>43572</v>
      </c>
      <c r="B56" s="20" t="s">
        <v>41</v>
      </c>
      <c r="C56" s="20" t="s">
        <v>42</v>
      </c>
      <c r="D56" s="20" t="s">
        <v>43</v>
      </c>
      <c r="E56" s="21">
        <v>70722</v>
      </c>
      <c r="F56" s="44" t="s">
        <v>44</v>
      </c>
      <c r="G56" s="23"/>
      <c r="H56" s="23"/>
      <c r="I56" s="23"/>
      <c r="J56" s="23">
        <v>180</v>
      </c>
      <c r="K56" s="24"/>
      <c r="L56" s="25">
        <f t="shared" si="5"/>
        <v>160.71428571428569</v>
      </c>
      <c r="M56" s="25">
        <f t="shared" si="6"/>
        <v>19.285714285714281</v>
      </c>
      <c r="N56" s="25">
        <f>-SUM(H56:I56,J56/1.12)*K56</f>
        <v>0</v>
      </c>
      <c r="O56" s="25"/>
      <c r="P56" s="26">
        <v>160.71</v>
      </c>
      <c r="Q56" s="26"/>
      <c r="R56" s="27"/>
      <c r="S56" s="27"/>
      <c r="T56" s="27"/>
      <c r="U56" s="27"/>
      <c r="V56" s="27"/>
      <c r="W56" s="26"/>
      <c r="X56" s="26"/>
      <c r="Y56" s="26"/>
      <c r="Z56" s="26"/>
      <c r="AA56" s="27"/>
      <c r="AB56" s="27"/>
      <c r="AC56" s="26"/>
      <c r="AD56" s="26"/>
      <c r="AE56" s="25">
        <f t="shared" si="7"/>
        <v>-179.99571428571429</v>
      </c>
      <c r="AF56" s="28">
        <f t="shared" si="8"/>
        <v>4.2857142857144481E-3</v>
      </c>
    </row>
    <row r="57" spans="1:32" s="29" customFormat="1" ht="23.25" customHeight="1" x14ac:dyDescent="0.2">
      <c r="A57" s="18">
        <v>43572</v>
      </c>
      <c r="B57" s="20" t="s">
        <v>512</v>
      </c>
      <c r="C57" s="20"/>
      <c r="D57" s="20"/>
      <c r="E57" s="21"/>
      <c r="F57" s="44" t="s">
        <v>513</v>
      </c>
      <c r="G57" s="23">
        <f>537*3</f>
        <v>1611</v>
      </c>
      <c r="H57" s="23"/>
      <c r="I57" s="23"/>
      <c r="J57" s="23"/>
      <c r="K57" s="24"/>
      <c r="L57" s="25">
        <f t="shared" si="5"/>
        <v>1611</v>
      </c>
      <c r="M57" s="25">
        <f t="shared" si="6"/>
        <v>0</v>
      </c>
      <c r="N57" s="25"/>
      <c r="O57" s="25"/>
      <c r="P57" s="26"/>
      <c r="Q57" s="26"/>
      <c r="R57" s="27"/>
      <c r="S57" s="27"/>
      <c r="T57" s="27"/>
      <c r="U57" s="27"/>
      <c r="V57" s="27"/>
      <c r="W57" s="26"/>
      <c r="X57" s="26"/>
      <c r="Y57" s="26"/>
      <c r="Z57" s="26"/>
      <c r="AA57" s="27">
        <v>1611</v>
      </c>
      <c r="AB57" s="27"/>
      <c r="AC57" s="26"/>
      <c r="AD57" s="26"/>
      <c r="AE57" s="25">
        <f t="shared" si="7"/>
        <v>-1611</v>
      </c>
      <c r="AF57" s="28">
        <f t="shared" si="8"/>
        <v>0</v>
      </c>
    </row>
    <row r="58" spans="1:32" s="29" customFormat="1" ht="23.25" customHeight="1" x14ac:dyDescent="0.2">
      <c r="A58" s="18">
        <v>43577</v>
      </c>
      <c r="B58" s="20" t="s">
        <v>37</v>
      </c>
      <c r="C58" s="20" t="s">
        <v>38</v>
      </c>
      <c r="D58" s="20" t="s">
        <v>39</v>
      </c>
      <c r="E58" s="21">
        <v>71968</v>
      </c>
      <c r="F58" s="44" t="s">
        <v>288</v>
      </c>
      <c r="G58" s="23"/>
      <c r="H58" s="23"/>
      <c r="I58" s="23"/>
      <c r="J58" s="23">
        <v>80</v>
      </c>
      <c r="K58" s="24"/>
      <c r="L58" s="25">
        <f t="shared" si="5"/>
        <v>71.428571428571416</v>
      </c>
      <c r="M58" s="25">
        <f t="shared" si="6"/>
        <v>8.5714285714285694</v>
      </c>
      <c r="N58" s="25"/>
      <c r="O58" s="25"/>
      <c r="P58" s="26"/>
      <c r="Q58" s="26"/>
      <c r="R58" s="27">
        <v>71.430000000000007</v>
      </c>
      <c r="S58" s="27"/>
      <c r="T58" s="27"/>
      <c r="U58" s="27"/>
      <c r="V58" s="27"/>
      <c r="W58" s="26"/>
      <c r="X58" s="26"/>
      <c r="Y58" s="26"/>
      <c r="Z58" s="26"/>
      <c r="AA58" s="27"/>
      <c r="AB58" s="27"/>
      <c r="AC58" s="26"/>
      <c r="AD58" s="26"/>
      <c r="AE58" s="25">
        <f t="shared" si="7"/>
        <v>-80.001428571428576</v>
      </c>
      <c r="AF58" s="28">
        <f t="shared" si="8"/>
        <v>-1.4285714285762197E-3</v>
      </c>
    </row>
    <row r="59" spans="1:32" s="29" customFormat="1" ht="23.25" customHeight="1" x14ac:dyDescent="0.2">
      <c r="A59" s="18">
        <v>43577</v>
      </c>
      <c r="B59" s="20" t="s">
        <v>514</v>
      </c>
      <c r="C59" s="20" t="s">
        <v>336</v>
      </c>
      <c r="D59" s="20" t="s">
        <v>47</v>
      </c>
      <c r="E59" s="21">
        <v>1606205</v>
      </c>
      <c r="F59" s="44" t="s">
        <v>515</v>
      </c>
      <c r="G59" s="23"/>
      <c r="H59" s="23"/>
      <c r="I59" s="23"/>
      <c r="J59" s="23">
        <v>504.25</v>
      </c>
      <c r="K59" s="24"/>
      <c r="L59" s="25">
        <f t="shared" si="5"/>
        <v>450.22321428571422</v>
      </c>
      <c r="M59" s="25">
        <f t="shared" si="6"/>
        <v>54.026785714285701</v>
      </c>
      <c r="N59" s="25"/>
      <c r="O59" s="25"/>
      <c r="P59" s="26"/>
      <c r="Q59" s="26"/>
      <c r="R59" s="27"/>
      <c r="S59" s="27"/>
      <c r="T59" s="27"/>
      <c r="U59" s="27"/>
      <c r="V59" s="27"/>
      <c r="W59" s="26"/>
      <c r="X59" s="26">
        <v>450.22</v>
      </c>
      <c r="Y59" s="26"/>
      <c r="Z59" s="26"/>
      <c r="AA59" s="27"/>
      <c r="AB59" s="27"/>
      <c r="AC59" s="26"/>
      <c r="AD59" s="26"/>
      <c r="AE59" s="25">
        <f t="shared" si="7"/>
        <v>-504.24678571428575</v>
      </c>
      <c r="AF59" s="28">
        <f t="shared" si="8"/>
        <v>3.214285714250309E-3</v>
      </c>
    </row>
    <row r="60" spans="1:32" s="29" customFormat="1" ht="23.25" customHeight="1" x14ac:dyDescent="0.2">
      <c r="A60" s="18">
        <v>43577</v>
      </c>
      <c r="B60" s="20" t="s">
        <v>41</v>
      </c>
      <c r="C60" s="20" t="s">
        <v>42</v>
      </c>
      <c r="D60" s="20" t="s">
        <v>43</v>
      </c>
      <c r="E60" s="21">
        <v>81017</v>
      </c>
      <c r="F60" s="44" t="s">
        <v>44</v>
      </c>
      <c r="G60" s="23"/>
      <c r="H60" s="23"/>
      <c r="I60" s="23"/>
      <c r="J60" s="23">
        <v>180</v>
      </c>
      <c r="K60" s="24"/>
      <c r="L60" s="25">
        <f t="shared" si="5"/>
        <v>160.71428571428569</v>
      </c>
      <c r="M60" s="25">
        <f t="shared" si="6"/>
        <v>19.285714285714281</v>
      </c>
      <c r="N60" s="25">
        <f t="shared" ref="N60:N94" si="9">-SUM(H60:I60,J60/1.12)*K60</f>
        <v>0</v>
      </c>
      <c r="O60" s="25"/>
      <c r="P60" s="26">
        <v>160.71</v>
      </c>
      <c r="Q60" s="26"/>
      <c r="R60" s="27"/>
      <c r="S60" s="27"/>
      <c r="T60" s="27"/>
      <c r="U60" s="27"/>
      <c r="V60" s="27"/>
      <c r="W60" s="26"/>
      <c r="X60" s="26"/>
      <c r="Y60" s="26"/>
      <c r="Z60" s="26"/>
      <c r="AA60" s="27"/>
      <c r="AB60" s="27"/>
      <c r="AC60" s="26"/>
      <c r="AD60" s="26"/>
      <c r="AE60" s="25">
        <f t="shared" si="7"/>
        <v>-179.99571428571429</v>
      </c>
      <c r="AF60" s="28">
        <f t="shared" si="8"/>
        <v>4.2857142857144481E-3</v>
      </c>
    </row>
    <row r="61" spans="1:32" s="41" customFormat="1" ht="23.25" customHeight="1" x14ac:dyDescent="0.2">
      <c r="A61" s="30">
        <v>43577</v>
      </c>
      <c r="B61" s="32" t="s">
        <v>45</v>
      </c>
      <c r="C61" s="32" t="s">
        <v>46</v>
      </c>
      <c r="D61" s="32" t="s">
        <v>47</v>
      </c>
      <c r="E61" s="33">
        <v>144560</v>
      </c>
      <c r="F61" s="34" t="s">
        <v>516</v>
      </c>
      <c r="G61" s="35"/>
      <c r="H61" s="35"/>
      <c r="I61" s="35"/>
      <c r="J61" s="35">
        <v>429.5</v>
      </c>
      <c r="K61" s="36"/>
      <c r="L61" s="37">
        <f t="shared" si="5"/>
        <v>383.48214285714283</v>
      </c>
      <c r="M61" s="37">
        <f t="shared" si="6"/>
        <v>46.017857142857139</v>
      </c>
      <c r="N61" s="37">
        <f t="shared" si="9"/>
        <v>0</v>
      </c>
      <c r="O61" s="37">
        <v>383.48</v>
      </c>
      <c r="P61" s="38"/>
      <c r="Q61" s="38"/>
      <c r="R61" s="39"/>
      <c r="S61" s="39"/>
      <c r="T61" s="39"/>
      <c r="U61" s="39"/>
      <c r="V61" s="39"/>
      <c r="W61" s="38"/>
      <c r="X61" s="38"/>
      <c r="Y61" s="38"/>
      <c r="Z61" s="38"/>
      <c r="AA61" s="39"/>
      <c r="AB61" s="39"/>
      <c r="AC61" s="38"/>
      <c r="AD61" s="38"/>
      <c r="AE61" s="37">
        <f t="shared" si="7"/>
        <v>-429.49785714285713</v>
      </c>
      <c r="AF61" s="40">
        <f t="shared" si="8"/>
        <v>2.1428571428714349E-3</v>
      </c>
    </row>
    <row r="62" spans="1:32" s="29" customFormat="1" ht="23.25" customHeight="1" x14ac:dyDescent="0.2">
      <c r="A62" s="18">
        <v>43578</v>
      </c>
      <c r="B62" s="20" t="s">
        <v>185</v>
      </c>
      <c r="C62" s="20" t="s">
        <v>106</v>
      </c>
      <c r="D62" s="20" t="s">
        <v>47</v>
      </c>
      <c r="E62" s="21">
        <v>743412</v>
      </c>
      <c r="F62" s="44" t="s">
        <v>517</v>
      </c>
      <c r="G62" s="23"/>
      <c r="H62" s="23"/>
      <c r="I62" s="23"/>
      <c r="J62" s="23">
        <v>260</v>
      </c>
      <c r="K62" s="24"/>
      <c r="L62" s="25">
        <f t="shared" si="5"/>
        <v>232.14285714285711</v>
      </c>
      <c r="M62" s="25">
        <f t="shared" si="6"/>
        <v>27.857142857142851</v>
      </c>
      <c r="N62" s="25">
        <f t="shared" si="9"/>
        <v>0</v>
      </c>
      <c r="O62" s="25"/>
      <c r="P62" s="26"/>
      <c r="Q62" s="26"/>
      <c r="R62" s="27"/>
      <c r="S62" s="27">
        <v>232.14</v>
      </c>
      <c r="T62" s="27"/>
      <c r="U62" s="27"/>
      <c r="V62" s="27"/>
      <c r="W62" s="26"/>
      <c r="X62" s="26"/>
      <c r="Y62" s="26"/>
      <c r="Z62" s="26"/>
      <c r="AA62" s="27"/>
      <c r="AB62" s="27"/>
      <c r="AC62" s="26"/>
      <c r="AD62" s="26"/>
      <c r="AE62" s="25">
        <f t="shared" si="7"/>
        <v>-259.99714285714282</v>
      </c>
      <c r="AF62" s="28">
        <f t="shared" si="8"/>
        <v>2.857142857180861E-3</v>
      </c>
    </row>
    <row r="63" spans="1:32" s="29" customFormat="1" ht="23.25" customHeight="1" x14ac:dyDescent="0.2">
      <c r="A63" s="18">
        <v>43578</v>
      </c>
      <c r="B63" s="20" t="s">
        <v>45</v>
      </c>
      <c r="C63" s="20" t="s">
        <v>46</v>
      </c>
      <c r="D63" s="20" t="s">
        <v>47</v>
      </c>
      <c r="E63" s="21">
        <v>154682</v>
      </c>
      <c r="F63" s="44" t="s">
        <v>49</v>
      </c>
      <c r="G63" s="23"/>
      <c r="H63" s="23"/>
      <c r="I63" s="23">
        <v>43.15</v>
      </c>
      <c r="J63" s="23"/>
      <c r="K63" s="24"/>
      <c r="L63" s="25">
        <f t="shared" si="5"/>
        <v>43.15</v>
      </c>
      <c r="M63" s="25">
        <f t="shared" si="6"/>
        <v>0</v>
      </c>
      <c r="N63" s="25">
        <f t="shared" si="9"/>
        <v>0</v>
      </c>
      <c r="O63" s="25">
        <v>43.15</v>
      </c>
      <c r="P63" s="26"/>
      <c r="Q63" s="26"/>
      <c r="R63" s="27"/>
      <c r="S63" s="27"/>
      <c r="T63" s="27"/>
      <c r="U63" s="27"/>
      <c r="V63" s="27"/>
      <c r="W63" s="26"/>
      <c r="X63" s="26"/>
      <c r="Y63" s="26"/>
      <c r="Z63" s="26"/>
      <c r="AA63" s="27"/>
      <c r="AB63" s="27"/>
      <c r="AC63" s="26"/>
      <c r="AD63" s="26"/>
      <c r="AE63" s="25">
        <f t="shared" si="7"/>
        <v>-43.15</v>
      </c>
      <c r="AF63" s="28">
        <f t="shared" si="8"/>
        <v>0</v>
      </c>
    </row>
    <row r="64" spans="1:32" s="29" customFormat="1" ht="23.25" customHeight="1" x14ac:dyDescent="0.2">
      <c r="A64" s="18">
        <v>43578</v>
      </c>
      <c r="B64" s="20" t="s">
        <v>45</v>
      </c>
      <c r="C64" s="20" t="s">
        <v>46</v>
      </c>
      <c r="D64" s="20" t="s">
        <v>47</v>
      </c>
      <c r="E64" s="21">
        <v>154682</v>
      </c>
      <c r="F64" s="44" t="s">
        <v>518</v>
      </c>
      <c r="G64" s="23"/>
      <c r="H64" s="23"/>
      <c r="I64" s="23"/>
      <c r="J64" s="23">
        <f>93.3+11.2</f>
        <v>104.5</v>
      </c>
      <c r="K64" s="24"/>
      <c r="L64" s="25">
        <f t="shared" si="5"/>
        <v>93.303571428571416</v>
      </c>
      <c r="M64" s="25">
        <f t="shared" si="6"/>
        <v>11.196428571428569</v>
      </c>
      <c r="N64" s="25">
        <f t="shared" si="9"/>
        <v>0</v>
      </c>
      <c r="O64" s="25">
        <v>93.3</v>
      </c>
      <c r="P64" s="26"/>
      <c r="Q64" s="26"/>
      <c r="R64" s="27"/>
      <c r="S64" s="27"/>
      <c r="T64" s="27"/>
      <c r="U64" s="27"/>
      <c r="V64" s="27"/>
      <c r="W64" s="26"/>
      <c r="X64" s="26"/>
      <c r="Y64" s="26"/>
      <c r="Z64" s="26"/>
      <c r="AA64" s="27"/>
      <c r="AB64" s="27"/>
      <c r="AC64" s="26"/>
      <c r="AD64" s="26"/>
      <c r="AE64" s="25">
        <f t="shared" si="7"/>
        <v>-104.49642857142857</v>
      </c>
      <c r="AF64" s="28">
        <f t="shared" si="8"/>
        <v>3.5714285714334437E-3</v>
      </c>
    </row>
    <row r="65" spans="1:32" s="29" customFormat="1" ht="23.25" customHeight="1" x14ac:dyDescent="0.2">
      <c r="A65" s="18">
        <v>43578</v>
      </c>
      <c r="B65" s="20" t="s">
        <v>41</v>
      </c>
      <c r="C65" s="20" t="s">
        <v>42</v>
      </c>
      <c r="D65" s="20" t="s">
        <v>43</v>
      </c>
      <c r="E65" s="21">
        <v>87010</v>
      </c>
      <c r="F65" s="44" t="s">
        <v>44</v>
      </c>
      <c r="G65" s="23"/>
      <c r="H65" s="23"/>
      <c r="I65" s="23"/>
      <c r="J65" s="23">
        <v>180</v>
      </c>
      <c r="K65" s="24"/>
      <c r="L65" s="25">
        <f t="shared" si="5"/>
        <v>160.71428571428569</v>
      </c>
      <c r="M65" s="25">
        <f t="shared" si="6"/>
        <v>19.285714285714281</v>
      </c>
      <c r="N65" s="25">
        <f t="shared" si="9"/>
        <v>0</v>
      </c>
      <c r="O65" s="25"/>
      <c r="P65" s="26">
        <v>160.71</v>
      </c>
      <c r="Q65" s="26"/>
      <c r="R65" s="27"/>
      <c r="S65" s="27"/>
      <c r="T65" s="27"/>
      <c r="U65" s="27"/>
      <c r="V65" s="27"/>
      <c r="W65" s="26"/>
      <c r="X65" s="26"/>
      <c r="Y65" s="26"/>
      <c r="Z65" s="26"/>
      <c r="AA65" s="27"/>
      <c r="AB65" s="27"/>
      <c r="AC65" s="26"/>
      <c r="AD65" s="26"/>
      <c r="AE65" s="25">
        <f t="shared" si="7"/>
        <v>-179.99571428571429</v>
      </c>
      <c r="AF65" s="28">
        <f t="shared" si="8"/>
        <v>4.2857142857144481E-3</v>
      </c>
    </row>
    <row r="66" spans="1:32" s="29" customFormat="1" ht="23.25" customHeight="1" x14ac:dyDescent="0.2">
      <c r="A66" s="18">
        <v>43578</v>
      </c>
      <c r="B66" s="20" t="s">
        <v>45</v>
      </c>
      <c r="C66" s="20" t="s">
        <v>46</v>
      </c>
      <c r="D66" s="20" t="s">
        <v>47</v>
      </c>
      <c r="E66" s="21">
        <v>144560</v>
      </c>
      <c r="F66" s="44" t="s">
        <v>516</v>
      </c>
      <c r="G66" s="23"/>
      <c r="H66" s="23"/>
      <c r="I66" s="23"/>
      <c r="J66" s="23">
        <v>429.5</v>
      </c>
      <c r="K66" s="24"/>
      <c r="L66" s="25">
        <f t="shared" si="5"/>
        <v>383.48214285714283</v>
      </c>
      <c r="M66" s="25">
        <f t="shared" si="6"/>
        <v>46.017857142857139</v>
      </c>
      <c r="N66" s="25">
        <f t="shared" si="9"/>
        <v>0</v>
      </c>
      <c r="O66" s="25">
        <v>383.48</v>
      </c>
      <c r="P66" s="26"/>
      <c r="Q66" s="26"/>
      <c r="R66" s="27"/>
      <c r="S66" s="27"/>
      <c r="T66" s="27"/>
      <c r="U66" s="27"/>
      <c r="V66" s="27"/>
      <c r="W66" s="26"/>
      <c r="X66" s="26"/>
      <c r="Y66" s="26"/>
      <c r="Z66" s="26"/>
      <c r="AA66" s="27"/>
      <c r="AB66" s="27"/>
      <c r="AC66" s="26"/>
      <c r="AD66" s="26"/>
      <c r="AE66" s="25">
        <f t="shared" si="7"/>
        <v>-429.49785714285713</v>
      </c>
      <c r="AF66" s="28">
        <f t="shared" si="8"/>
        <v>2.1428571428714349E-3</v>
      </c>
    </row>
    <row r="67" spans="1:32" s="29" customFormat="1" ht="23.25" customHeight="1" x14ac:dyDescent="0.2">
      <c r="A67" s="18">
        <v>43579</v>
      </c>
      <c r="B67" s="20" t="s">
        <v>519</v>
      </c>
      <c r="C67" s="20"/>
      <c r="D67" s="20"/>
      <c r="E67" s="21"/>
      <c r="F67" s="44" t="s">
        <v>520</v>
      </c>
      <c r="G67" s="23">
        <v>3000</v>
      </c>
      <c r="H67" s="23"/>
      <c r="I67" s="23"/>
      <c r="J67" s="23"/>
      <c r="K67" s="24"/>
      <c r="L67" s="25">
        <f t="shared" si="5"/>
        <v>3000</v>
      </c>
      <c r="M67" s="25">
        <f t="shared" si="6"/>
        <v>0</v>
      </c>
      <c r="N67" s="25">
        <f t="shared" si="9"/>
        <v>0</v>
      </c>
      <c r="O67" s="25"/>
      <c r="P67" s="26"/>
      <c r="Q67" s="26"/>
      <c r="R67" s="27"/>
      <c r="S67" s="27"/>
      <c r="T67" s="27"/>
      <c r="U67" s="27"/>
      <c r="V67" s="27"/>
      <c r="W67" s="26"/>
      <c r="X67" s="26">
        <v>3000</v>
      </c>
      <c r="Y67" s="26"/>
      <c r="Z67" s="26"/>
      <c r="AA67" s="27"/>
      <c r="AB67" s="27"/>
      <c r="AC67" s="26"/>
      <c r="AD67" s="26"/>
      <c r="AE67" s="25">
        <f t="shared" si="7"/>
        <v>-3000</v>
      </c>
      <c r="AF67" s="28">
        <f t="shared" si="8"/>
        <v>0</v>
      </c>
    </row>
    <row r="68" spans="1:32" s="29" customFormat="1" ht="23.25" customHeight="1" x14ac:dyDescent="0.2">
      <c r="A68" s="18">
        <v>43579</v>
      </c>
      <c r="B68" s="20" t="s">
        <v>41</v>
      </c>
      <c r="C68" s="20" t="s">
        <v>42</v>
      </c>
      <c r="D68" s="20" t="s">
        <v>43</v>
      </c>
      <c r="E68" s="21">
        <v>87056</v>
      </c>
      <c r="F68" s="44" t="s">
        <v>44</v>
      </c>
      <c r="G68" s="23"/>
      <c r="H68" s="23"/>
      <c r="I68" s="23"/>
      <c r="J68" s="23">
        <v>180</v>
      </c>
      <c r="K68" s="24"/>
      <c r="L68" s="25">
        <f t="shared" si="5"/>
        <v>160.71428571428569</v>
      </c>
      <c r="M68" s="25">
        <f t="shared" si="6"/>
        <v>19.285714285714281</v>
      </c>
      <c r="N68" s="25">
        <f t="shared" si="9"/>
        <v>0</v>
      </c>
      <c r="O68" s="25"/>
      <c r="P68" s="26">
        <v>160.71</v>
      </c>
      <c r="Q68" s="26"/>
      <c r="R68" s="27"/>
      <c r="S68" s="27"/>
      <c r="T68" s="27"/>
      <c r="U68" s="27"/>
      <c r="V68" s="27"/>
      <c r="W68" s="26"/>
      <c r="X68" s="26"/>
      <c r="Y68" s="26"/>
      <c r="Z68" s="26"/>
      <c r="AA68" s="27"/>
      <c r="AB68" s="27"/>
      <c r="AC68" s="26"/>
      <c r="AD68" s="26"/>
      <c r="AE68" s="25">
        <f t="shared" si="7"/>
        <v>-179.99571428571429</v>
      </c>
      <c r="AF68" s="28">
        <f t="shared" si="8"/>
        <v>4.2857142857144481E-3</v>
      </c>
    </row>
    <row r="69" spans="1:32" s="29" customFormat="1" ht="23.25" customHeight="1" x14ac:dyDescent="0.2">
      <c r="A69" s="18">
        <v>43579</v>
      </c>
      <c r="B69" s="20" t="s">
        <v>58</v>
      </c>
      <c r="C69" s="20"/>
      <c r="D69" s="20"/>
      <c r="E69" s="21"/>
      <c r="F69" s="44" t="s">
        <v>521</v>
      </c>
      <c r="G69" s="23">
        <v>100</v>
      </c>
      <c r="H69" s="23"/>
      <c r="I69" s="23"/>
      <c r="J69" s="23"/>
      <c r="K69" s="24"/>
      <c r="L69" s="25">
        <f t="shared" ref="L69:L94" si="10">SUM(G69:I69,J69/1.12)</f>
        <v>100</v>
      </c>
      <c r="M69" s="25">
        <f t="shared" ref="M69:M94" si="11">J69/1.12*0.12</f>
        <v>0</v>
      </c>
      <c r="N69" s="25">
        <f t="shared" si="9"/>
        <v>0</v>
      </c>
      <c r="O69" s="25"/>
      <c r="P69" s="26"/>
      <c r="Q69" s="26"/>
      <c r="R69" s="27"/>
      <c r="S69" s="27"/>
      <c r="T69" s="27"/>
      <c r="U69" s="27"/>
      <c r="V69" s="27"/>
      <c r="W69" s="26"/>
      <c r="X69" s="26"/>
      <c r="Y69" s="26"/>
      <c r="Z69" s="26">
        <v>100</v>
      </c>
      <c r="AA69" s="27"/>
      <c r="AB69" s="27"/>
      <c r="AC69" s="26"/>
      <c r="AD69" s="26"/>
      <c r="AE69" s="25">
        <f t="shared" ref="AE69:AE94" si="12">-SUM(M69:AD69)</f>
        <v>-100</v>
      </c>
      <c r="AF69" s="28">
        <f t="shared" ref="AF69:AF94" si="13">SUM(G69:J69)+AE69+N69</f>
        <v>0</v>
      </c>
    </row>
    <row r="70" spans="1:32" s="29" customFormat="1" ht="23.25" customHeight="1" x14ac:dyDescent="0.2">
      <c r="A70" s="18">
        <v>43579</v>
      </c>
      <c r="B70" s="20" t="s">
        <v>45</v>
      </c>
      <c r="C70" s="20" t="s">
        <v>46</v>
      </c>
      <c r="D70" s="20" t="s">
        <v>47</v>
      </c>
      <c r="E70" s="21">
        <v>164768</v>
      </c>
      <c r="F70" s="44" t="s">
        <v>522</v>
      </c>
      <c r="G70" s="23"/>
      <c r="H70" s="23"/>
      <c r="I70" s="23">
        <v>50</v>
      </c>
      <c r="J70" s="23"/>
      <c r="K70" s="24"/>
      <c r="L70" s="25">
        <f t="shared" si="10"/>
        <v>50</v>
      </c>
      <c r="M70" s="25">
        <f t="shared" si="11"/>
        <v>0</v>
      </c>
      <c r="N70" s="25">
        <f t="shared" si="9"/>
        <v>0</v>
      </c>
      <c r="O70" s="25">
        <v>50</v>
      </c>
      <c r="P70" s="26"/>
      <c r="Q70" s="26"/>
      <c r="R70" s="27"/>
      <c r="S70" s="27"/>
      <c r="T70" s="27"/>
      <c r="U70" s="27"/>
      <c r="V70" s="27"/>
      <c r="W70" s="26"/>
      <c r="X70" s="26"/>
      <c r="Y70" s="26"/>
      <c r="Z70" s="26"/>
      <c r="AA70" s="27"/>
      <c r="AB70" s="27"/>
      <c r="AC70" s="26"/>
      <c r="AD70" s="26"/>
      <c r="AE70" s="25">
        <f t="shared" si="12"/>
        <v>-50</v>
      </c>
      <c r="AF70" s="28">
        <f t="shared" si="13"/>
        <v>0</v>
      </c>
    </row>
    <row r="71" spans="1:32" s="29" customFormat="1" ht="23.25" customHeight="1" x14ac:dyDescent="0.2">
      <c r="A71" s="18">
        <v>43579</v>
      </c>
      <c r="B71" s="20" t="s">
        <v>45</v>
      </c>
      <c r="C71" s="20" t="s">
        <v>46</v>
      </c>
      <c r="D71" s="20" t="s">
        <v>47</v>
      </c>
      <c r="E71" s="21">
        <v>164768</v>
      </c>
      <c r="F71" s="44" t="s">
        <v>523</v>
      </c>
      <c r="G71" s="23"/>
      <c r="H71" s="23"/>
      <c r="I71" s="23"/>
      <c r="J71" s="23">
        <f>1626.65+195.2</f>
        <v>1821.8500000000001</v>
      </c>
      <c r="K71" s="24"/>
      <c r="L71" s="25">
        <f t="shared" si="10"/>
        <v>1626.6517857142858</v>
      </c>
      <c r="M71" s="25">
        <f t="shared" si="11"/>
        <v>195.1982142857143</v>
      </c>
      <c r="N71" s="25">
        <f t="shared" si="9"/>
        <v>0</v>
      </c>
      <c r="O71" s="25">
        <v>1626.65</v>
      </c>
      <c r="P71" s="26"/>
      <c r="Q71" s="26"/>
      <c r="R71" s="27"/>
      <c r="S71" s="27"/>
      <c r="T71" s="27"/>
      <c r="U71" s="27"/>
      <c r="V71" s="27"/>
      <c r="W71" s="26"/>
      <c r="X71" s="26"/>
      <c r="Y71" s="26"/>
      <c r="Z71" s="26"/>
      <c r="AA71" s="27"/>
      <c r="AB71" s="27"/>
      <c r="AC71" s="26"/>
      <c r="AD71" s="26"/>
      <c r="AE71" s="25">
        <f t="shared" si="12"/>
        <v>-1821.8482142857144</v>
      </c>
      <c r="AF71" s="28">
        <f t="shared" si="13"/>
        <v>1.7857142856883002E-3</v>
      </c>
    </row>
    <row r="72" spans="1:32" s="29" customFormat="1" ht="23.25" customHeight="1" x14ac:dyDescent="0.2">
      <c r="A72" s="18">
        <v>43579</v>
      </c>
      <c r="B72" s="20" t="s">
        <v>54</v>
      </c>
      <c r="C72" s="20" t="s">
        <v>55</v>
      </c>
      <c r="D72" s="20" t="s">
        <v>56</v>
      </c>
      <c r="E72" s="21">
        <v>3095</v>
      </c>
      <c r="F72" s="44" t="s">
        <v>524</v>
      </c>
      <c r="G72" s="23"/>
      <c r="H72" s="23"/>
      <c r="I72" s="23">
        <v>1950</v>
      </c>
      <c r="J72" s="23"/>
      <c r="K72" s="24"/>
      <c r="L72" s="25">
        <f t="shared" si="10"/>
        <v>1950</v>
      </c>
      <c r="M72" s="25">
        <f t="shared" si="11"/>
        <v>0</v>
      </c>
      <c r="N72" s="25">
        <f t="shared" si="9"/>
        <v>0</v>
      </c>
      <c r="O72" s="25">
        <v>1950</v>
      </c>
      <c r="P72" s="26"/>
      <c r="Q72" s="26"/>
      <c r="R72" s="27"/>
      <c r="S72" s="27"/>
      <c r="T72" s="27"/>
      <c r="U72" s="27"/>
      <c r="V72" s="27"/>
      <c r="W72" s="26"/>
      <c r="X72" s="26"/>
      <c r="Y72" s="26"/>
      <c r="Z72" s="26"/>
      <c r="AA72" s="27"/>
      <c r="AB72" s="27"/>
      <c r="AC72" s="26"/>
      <c r="AD72" s="26"/>
      <c r="AE72" s="25">
        <f t="shared" si="12"/>
        <v>-1950</v>
      </c>
      <c r="AF72" s="28">
        <f t="shared" si="13"/>
        <v>0</v>
      </c>
    </row>
    <row r="73" spans="1:32" s="29" customFormat="1" ht="23.25" customHeight="1" x14ac:dyDescent="0.2">
      <c r="A73" s="18">
        <v>43579</v>
      </c>
      <c r="B73" s="20" t="s">
        <v>74</v>
      </c>
      <c r="C73" s="20"/>
      <c r="D73" s="20"/>
      <c r="E73" s="21"/>
      <c r="F73" s="44" t="s">
        <v>75</v>
      </c>
      <c r="G73" s="23"/>
      <c r="H73" s="23"/>
      <c r="I73" s="23">
        <v>1123</v>
      </c>
      <c r="J73" s="23"/>
      <c r="K73" s="24"/>
      <c r="L73" s="25">
        <f t="shared" si="10"/>
        <v>1123</v>
      </c>
      <c r="M73" s="25">
        <f t="shared" si="11"/>
        <v>0</v>
      </c>
      <c r="N73" s="25">
        <f t="shared" si="9"/>
        <v>0</v>
      </c>
      <c r="O73" s="25">
        <v>1123</v>
      </c>
      <c r="P73" s="26"/>
      <c r="Q73" s="26"/>
      <c r="R73" s="27"/>
      <c r="S73" s="27"/>
      <c r="T73" s="27"/>
      <c r="U73" s="27"/>
      <c r="V73" s="27"/>
      <c r="W73" s="26"/>
      <c r="X73" s="26"/>
      <c r="Y73" s="26"/>
      <c r="Z73" s="26"/>
      <c r="AA73" s="27"/>
      <c r="AB73" s="27"/>
      <c r="AC73" s="26"/>
      <c r="AD73" s="26"/>
      <c r="AE73" s="25">
        <f t="shared" si="12"/>
        <v>-1123</v>
      </c>
      <c r="AF73" s="28">
        <f t="shared" si="13"/>
        <v>0</v>
      </c>
    </row>
    <row r="74" spans="1:32" s="29" customFormat="1" ht="23.25" customHeight="1" x14ac:dyDescent="0.2">
      <c r="A74" s="18">
        <v>43580</v>
      </c>
      <c r="B74" s="20" t="s">
        <v>37</v>
      </c>
      <c r="C74" s="20" t="s">
        <v>38</v>
      </c>
      <c r="D74" s="20" t="s">
        <v>39</v>
      </c>
      <c r="E74" s="21">
        <v>35287</v>
      </c>
      <c r="F74" s="44" t="s">
        <v>525</v>
      </c>
      <c r="G74" s="23"/>
      <c r="H74" s="23"/>
      <c r="I74" s="23"/>
      <c r="J74" s="23">
        <v>47.5</v>
      </c>
      <c r="K74" s="24"/>
      <c r="L74" s="25">
        <f t="shared" si="10"/>
        <v>42.410714285714285</v>
      </c>
      <c r="M74" s="25">
        <f t="shared" si="11"/>
        <v>5.0892857142857144</v>
      </c>
      <c r="N74" s="25">
        <f t="shared" si="9"/>
        <v>0</v>
      </c>
      <c r="O74" s="25"/>
      <c r="P74" s="26"/>
      <c r="Q74" s="26"/>
      <c r="R74" s="27"/>
      <c r="S74" s="27"/>
      <c r="T74" s="27"/>
      <c r="U74" s="27"/>
      <c r="V74" s="27"/>
      <c r="W74" s="26"/>
      <c r="X74" s="26"/>
      <c r="Y74" s="26"/>
      <c r="Z74" s="26"/>
      <c r="AA74" s="27"/>
      <c r="AB74" s="27"/>
      <c r="AC74" s="26"/>
      <c r="AD74" s="26">
        <v>42.41</v>
      </c>
      <c r="AE74" s="25">
        <f t="shared" si="12"/>
        <v>-47.499285714285712</v>
      </c>
      <c r="AF74" s="28">
        <f t="shared" si="13"/>
        <v>7.1428571428810983E-4</v>
      </c>
    </row>
    <row r="75" spans="1:32" s="29" customFormat="1" ht="23.25" customHeight="1" x14ac:dyDescent="0.2">
      <c r="A75" s="18">
        <v>43580</v>
      </c>
      <c r="B75" s="20" t="s">
        <v>41</v>
      </c>
      <c r="C75" s="20" t="s">
        <v>42</v>
      </c>
      <c r="D75" s="20" t="s">
        <v>43</v>
      </c>
      <c r="E75" s="21">
        <v>87133</v>
      </c>
      <c r="F75" s="44" t="s">
        <v>44</v>
      </c>
      <c r="G75" s="23"/>
      <c r="H75" s="23"/>
      <c r="I75" s="23"/>
      <c r="J75" s="23">
        <v>180</v>
      </c>
      <c r="K75" s="24"/>
      <c r="L75" s="25">
        <f t="shared" si="10"/>
        <v>160.71428571428569</v>
      </c>
      <c r="M75" s="25">
        <f t="shared" si="11"/>
        <v>19.285714285714281</v>
      </c>
      <c r="N75" s="25">
        <f t="shared" si="9"/>
        <v>0</v>
      </c>
      <c r="O75" s="25"/>
      <c r="P75" s="26">
        <v>160.71</v>
      </c>
      <c r="Q75" s="26"/>
      <c r="R75" s="27"/>
      <c r="S75" s="27"/>
      <c r="T75" s="27"/>
      <c r="U75" s="27"/>
      <c r="V75" s="27"/>
      <c r="W75" s="26"/>
      <c r="X75" s="26"/>
      <c r="Y75" s="26"/>
      <c r="Z75" s="26"/>
      <c r="AA75" s="27"/>
      <c r="AB75" s="27"/>
      <c r="AC75" s="26"/>
      <c r="AD75" s="26"/>
      <c r="AE75" s="25">
        <f t="shared" si="12"/>
        <v>-179.99571428571429</v>
      </c>
      <c r="AF75" s="28">
        <f t="shared" si="13"/>
        <v>4.2857142857144481E-3</v>
      </c>
    </row>
    <row r="76" spans="1:32" s="29" customFormat="1" ht="23.25" customHeight="1" x14ac:dyDescent="0.2">
      <c r="A76" s="18">
        <v>43580</v>
      </c>
      <c r="B76" s="20" t="s">
        <v>526</v>
      </c>
      <c r="C76" s="20" t="s">
        <v>527</v>
      </c>
      <c r="D76" s="20" t="s">
        <v>47</v>
      </c>
      <c r="E76" s="21">
        <v>1587234</v>
      </c>
      <c r="F76" s="44" t="s">
        <v>528</v>
      </c>
      <c r="G76" s="23"/>
      <c r="H76" s="23"/>
      <c r="I76" s="23"/>
      <c r="J76" s="23">
        <v>314.25</v>
      </c>
      <c r="K76" s="24"/>
      <c r="L76" s="25">
        <f t="shared" si="10"/>
        <v>280.58035714285711</v>
      </c>
      <c r="M76" s="25">
        <f t="shared" si="11"/>
        <v>33.669642857142854</v>
      </c>
      <c r="N76" s="25">
        <f t="shared" si="9"/>
        <v>0</v>
      </c>
      <c r="O76" s="25"/>
      <c r="P76" s="26"/>
      <c r="Q76" s="26"/>
      <c r="R76" s="27"/>
      <c r="S76" s="27"/>
      <c r="T76" s="27"/>
      <c r="U76" s="27"/>
      <c r="V76" s="27"/>
      <c r="W76" s="26"/>
      <c r="X76" s="26">
        <v>280.58</v>
      </c>
      <c r="Y76" s="26"/>
      <c r="Z76" s="26"/>
      <c r="AA76" s="27"/>
      <c r="AB76" s="27"/>
      <c r="AC76" s="26"/>
      <c r="AD76" s="26"/>
      <c r="AE76" s="25">
        <f t="shared" si="12"/>
        <v>-314.24964285714282</v>
      </c>
      <c r="AF76" s="28">
        <f t="shared" si="13"/>
        <v>3.5714285718313477E-4</v>
      </c>
    </row>
    <row r="77" spans="1:32" s="29" customFormat="1" ht="23.25" customHeight="1" x14ac:dyDescent="0.2">
      <c r="A77" s="18">
        <v>43580</v>
      </c>
      <c r="B77" s="20" t="s">
        <v>529</v>
      </c>
      <c r="C77" s="20" t="s">
        <v>530</v>
      </c>
      <c r="D77" s="20" t="s">
        <v>47</v>
      </c>
      <c r="E77" s="21">
        <v>592</v>
      </c>
      <c r="F77" s="44" t="s">
        <v>531</v>
      </c>
      <c r="G77" s="23"/>
      <c r="H77" s="23"/>
      <c r="I77" s="23"/>
      <c r="J77" s="23">
        <v>3632</v>
      </c>
      <c r="K77" s="24"/>
      <c r="L77" s="25">
        <f t="shared" si="10"/>
        <v>3242.8571428571427</v>
      </c>
      <c r="M77" s="25">
        <f t="shared" si="11"/>
        <v>389.14285714285711</v>
      </c>
      <c r="N77" s="25">
        <f t="shared" si="9"/>
        <v>0</v>
      </c>
      <c r="O77" s="25"/>
      <c r="P77" s="26"/>
      <c r="Q77" s="26"/>
      <c r="R77" s="27"/>
      <c r="S77" s="27"/>
      <c r="T77" s="27"/>
      <c r="U77" s="27"/>
      <c r="V77" s="27"/>
      <c r="W77" s="26"/>
      <c r="X77" s="26">
        <v>3242.86</v>
      </c>
      <c r="Y77" s="26"/>
      <c r="Z77" s="26"/>
      <c r="AA77" s="27"/>
      <c r="AB77" s="27"/>
      <c r="AC77" s="26"/>
      <c r="AD77" s="26"/>
      <c r="AE77" s="25">
        <f t="shared" si="12"/>
        <v>-3632.0028571428575</v>
      </c>
      <c r="AF77" s="28">
        <f t="shared" si="13"/>
        <v>-2.8571428574650781E-3</v>
      </c>
    </row>
    <row r="78" spans="1:32" s="29" customFormat="1" ht="23.25" customHeight="1" x14ac:dyDescent="0.2">
      <c r="A78" s="18">
        <v>43581</v>
      </c>
      <c r="B78" s="20" t="s">
        <v>45</v>
      </c>
      <c r="C78" s="20" t="s">
        <v>46</v>
      </c>
      <c r="D78" s="20" t="s">
        <v>47</v>
      </c>
      <c r="E78" s="21">
        <v>161651</v>
      </c>
      <c r="F78" s="44" t="s">
        <v>426</v>
      </c>
      <c r="G78" s="23"/>
      <c r="H78" s="23"/>
      <c r="I78" s="23">
        <v>193</v>
      </c>
      <c r="J78" s="23"/>
      <c r="K78" s="24"/>
      <c r="L78" s="25">
        <f t="shared" si="10"/>
        <v>193</v>
      </c>
      <c r="M78" s="25">
        <f t="shared" si="11"/>
        <v>0</v>
      </c>
      <c r="N78" s="25">
        <f t="shared" si="9"/>
        <v>0</v>
      </c>
      <c r="O78" s="25">
        <v>193</v>
      </c>
      <c r="P78" s="26"/>
      <c r="Q78" s="26"/>
      <c r="R78" s="27"/>
      <c r="S78" s="27"/>
      <c r="T78" s="27"/>
      <c r="U78" s="27"/>
      <c r="V78" s="27"/>
      <c r="W78" s="26"/>
      <c r="X78" s="26"/>
      <c r="Y78" s="26"/>
      <c r="Z78" s="26"/>
      <c r="AA78" s="27"/>
      <c r="AB78" s="27"/>
      <c r="AC78" s="26"/>
      <c r="AD78" s="26"/>
      <c r="AE78" s="25">
        <f t="shared" si="12"/>
        <v>-193</v>
      </c>
      <c r="AF78" s="28">
        <f t="shared" si="13"/>
        <v>0</v>
      </c>
    </row>
    <row r="79" spans="1:32" s="29" customFormat="1" ht="23.25" customHeight="1" x14ac:dyDescent="0.2">
      <c r="A79" s="18">
        <v>43581</v>
      </c>
      <c r="B79" s="20" t="s">
        <v>45</v>
      </c>
      <c r="C79" s="20" t="s">
        <v>46</v>
      </c>
      <c r="D79" s="20" t="s">
        <v>47</v>
      </c>
      <c r="E79" s="21">
        <v>161651</v>
      </c>
      <c r="F79" s="44" t="s">
        <v>532</v>
      </c>
      <c r="G79" s="23"/>
      <c r="H79" s="23"/>
      <c r="I79" s="23"/>
      <c r="J79" s="23">
        <f>424.55+50.95</f>
        <v>475.5</v>
      </c>
      <c r="K79" s="24"/>
      <c r="L79" s="25">
        <f t="shared" si="10"/>
        <v>424.55357142857139</v>
      </c>
      <c r="M79" s="25">
        <f t="shared" si="11"/>
        <v>50.946428571428562</v>
      </c>
      <c r="N79" s="25">
        <f t="shared" si="9"/>
        <v>0</v>
      </c>
      <c r="O79" s="25">
        <v>424.55</v>
      </c>
      <c r="P79" s="26"/>
      <c r="Q79" s="26"/>
      <c r="R79" s="27"/>
      <c r="S79" s="27"/>
      <c r="T79" s="27"/>
      <c r="U79" s="27"/>
      <c r="V79" s="27"/>
      <c r="W79" s="26"/>
      <c r="X79" s="26"/>
      <c r="Y79" s="26"/>
      <c r="Z79" s="26"/>
      <c r="AA79" s="27"/>
      <c r="AB79" s="27"/>
      <c r="AC79" s="26"/>
      <c r="AD79" s="26"/>
      <c r="AE79" s="25">
        <f t="shared" si="12"/>
        <v>-475.49642857142857</v>
      </c>
      <c r="AF79" s="28">
        <f t="shared" si="13"/>
        <v>3.5714285714334437E-3</v>
      </c>
    </row>
    <row r="80" spans="1:32" s="29" customFormat="1" ht="23.25" customHeight="1" x14ac:dyDescent="0.2">
      <c r="A80" s="18">
        <v>43581</v>
      </c>
      <c r="B80" s="20" t="s">
        <v>37</v>
      </c>
      <c r="C80" s="20" t="s">
        <v>38</v>
      </c>
      <c r="D80" s="20" t="s">
        <v>39</v>
      </c>
      <c r="E80" s="21">
        <v>35306</v>
      </c>
      <c r="F80" s="44" t="s">
        <v>533</v>
      </c>
      <c r="G80" s="23"/>
      <c r="H80" s="23"/>
      <c r="I80" s="23"/>
      <c r="J80" s="23">
        <v>240</v>
      </c>
      <c r="K80" s="24"/>
      <c r="L80" s="25">
        <f t="shared" si="10"/>
        <v>214.28571428571428</v>
      </c>
      <c r="M80" s="25">
        <f t="shared" si="11"/>
        <v>25.714285714285712</v>
      </c>
      <c r="N80" s="25">
        <f t="shared" si="9"/>
        <v>0</v>
      </c>
      <c r="O80" s="25">
        <v>214.29</v>
      </c>
      <c r="P80" s="26"/>
      <c r="Q80" s="26"/>
      <c r="R80" s="27"/>
      <c r="S80" s="27"/>
      <c r="T80" s="27"/>
      <c r="U80" s="27"/>
      <c r="V80" s="27"/>
      <c r="W80" s="26"/>
      <c r="X80" s="26"/>
      <c r="Y80" s="26"/>
      <c r="Z80" s="26"/>
      <c r="AA80" s="27"/>
      <c r="AB80" s="27"/>
      <c r="AC80" s="26"/>
      <c r="AD80" s="26"/>
      <c r="AE80" s="25">
        <f t="shared" si="12"/>
        <v>-240.00428571428571</v>
      </c>
      <c r="AF80" s="28">
        <f t="shared" si="13"/>
        <v>-4.2857142857144481E-3</v>
      </c>
    </row>
    <row r="81" spans="1:32" s="29" customFormat="1" ht="23.25" customHeight="1" x14ac:dyDescent="0.2">
      <c r="A81" s="18">
        <v>43581</v>
      </c>
      <c r="B81" s="20" t="s">
        <v>41</v>
      </c>
      <c r="C81" s="20" t="s">
        <v>42</v>
      </c>
      <c r="D81" s="20" t="s">
        <v>43</v>
      </c>
      <c r="E81" s="21">
        <v>87150</v>
      </c>
      <c r="F81" s="44" t="s">
        <v>44</v>
      </c>
      <c r="G81" s="23"/>
      <c r="H81" s="23"/>
      <c r="I81" s="23"/>
      <c r="J81" s="23">
        <v>180</v>
      </c>
      <c r="K81" s="24"/>
      <c r="L81" s="25">
        <f t="shared" si="10"/>
        <v>160.71428571428569</v>
      </c>
      <c r="M81" s="25">
        <f t="shared" si="11"/>
        <v>19.285714285714281</v>
      </c>
      <c r="N81" s="25">
        <f t="shared" si="9"/>
        <v>0</v>
      </c>
      <c r="O81" s="25"/>
      <c r="P81" s="26">
        <v>160.71</v>
      </c>
      <c r="Q81" s="26"/>
      <c r="R81" s="27"/>
      <c r="S81" s="27"/>
      <c r="T81" s="27"/>
      <c r="U81" s="27"/>
      <c r="V81" s="27"/>
      <c r="W81" s="26"/>
      <c r="X81" s="26"/>
      <c r="Y81" s="26"/>
      <c r="Z81" s="26"/>
      <c r="AA81" s="27"/>
      <c r="AB81" s="27"/>
      <c r="AC81" s="26"/>
      <c r="AD81" s="26"/>
      <c r="AE81" s="25">
        <f t="shared" si="12"/>
        <v>-179.99571428571429</v>
      </c>
      <c r="AF81" s="28">
        <f t="shared" si="13"/>
        <v>4.2857142857144481E-3</v>
      </c>
    </row>
    <row r="82" spans="1:32" s="29" customFormat="1" ht="23.25" customHeight="1" x14ac:dyDescent="0.2">
      <c r="A82" s="18">
        <v>43582</v>
      </c>
      <c r="B82" s="20" t="s">
        <v>196</v>
      </c>
      <c r="C82" s="20" t="s">
        <v>197</v>
      </c>
      <c r="D82" s="20" t="s">
        <v>198</v>
      </c>
      <c r="E82" s="21">
        <v>3898</v>
      </c>
      <c r="F82" s="44" t="s">
        <v>199</v>
      </c>
      <c r="G82" s="23"/>
      <c r="H82" s="23"/>
      <c r="I82" s="23"/>
      <c r="J82" s="23">
        <v>1500</v>
      </c>
      <c r="K82" s="24"/>
      <c r="L82" s="25">
        <f t="shared" si="10"/>
        <v>1339.2857142857142</v>
      </c>
      <c r="M82" s="25">
        <f t="shared" si="11"/>
        <v>160.71428571428569</v>
      </c>
      <c r="N82" s="25">
        <f t="shared" si="9"/>
        <v>0</v>
      </c>
      <c r="O82" s="25"/>
      <c r="P82" s="26"/>
      <c r="Q82" s="26">
        <v>1339.29</v>
      </c>
      <c r="R82" s="27"/>
      <c r="S82" s="27"/>
      <c r="T82" s="27"/>
      <c r="U82" s="27"/>
      <c r="V82" s="27"/>
      <c r="W82" s="26"/>
      <c r="X82" s="26"/>
      <c r="Y82" s="26"/>
      <c r="Z82" s="26"/>
      <c r="AA82" s="27"/>
      <c r="AB82" s="27"/>
      <c r="AC82" s="26"/>
      <c r="AD82" s="26"/>
      <c r="AE82" s="25">
        <f t="shared" si="12"/>
        <v>-1500.0042857142857</v>
      </c>
      <c r="AF82" s="28">
        <f t="shared" si="13"/>
        <v>-4.2857142857428698E-3</v>
      </c>
    </row>
    <row r="83" spans="1:32" s="29" customFormat="1" ht="23.25" customHeight="1" x14ac:dyDescent="0.2">
      <c r="A83" s="18">
        <v>43582</v>
      </c>
      <c r="B83" s="20" t="s">
        <v>534</v>
      </c>
      <c r="C83" s="20"/>
      <c r="D83" s="20"/>
      <c r="E83" s="21"/>
      <c r="F83" s="44" t="s">
        <v>177</v>
      </c>
      <c r="G83" s="23">
        <v>537</v>
      </c>
      <c r="H83" s="23"/>
      <c r="I83" s="23"/>
      <c r="J83" s="23"/>
      <c r="K83" s="24"/>
      <c r="L83" s="25">
        <f t="shared" si="10"/>
        <v>537</v>
      </c>
      <c r="M83" s="25">
        <f t="shared" si="11"/>
        <v>0</v>
      </c>
      <c r="N83" s="25">
        <f t="shared" si="9"/>
        <v>0</v>
      </c>
      <c r="O83" s="25"/>
      <c r="P83" s="26"/>
      <c r="Q83" s="26"/>
      <c r="R83" s="27"/>
      <c r="S83" s="27"/>
      <c r="T83" s="27"/>
      <c r="U83" s="27"/>
      <c r="V83" s="27"/>
      <c r="W83" s="26"/>
      <c r="X83" s="26"/>
      <c r="Y83" s="26"/>
      <c r="Z83" s="26"/>
      <c r="AA83" s="27">
        <v>537</v>
      </c>
      <c r="AB83" s="27"/>
      <c r="AC83" s="26"/>
      <c r="AD83" s="26"/>
      <c r="AE83" s="25">
        <f t="shared" si="12"/>
        <v>-537</v>
      </c>
      <c r="AF83" s="28">
        <f t="shared" si="13"/>
        <v>0</v>
      </c>
    </row>
    <row r="84" spans="1:32" s="29" customFormat="1" ht="23.25" customHeight="1" x14ac:dyDescent="0.2">
      <c r="A84" s="18">
        <v>43582</v>
      </c>
      <c r="B84" s="20" t="s">
        <v>535</v>
      </c>
      <c r="C84" s="20" t="s">
        <v>536</v>
      </c>
      <c r="D84" s="20" t="s">
        <v>47</v>
      </c>
      <c r="E84" s="21">
        <v>274422</v>
      </c>
      <c r="F84" s="44" t="s">
        <v>537</v>
      </c>
      <c r="G84" s="23"/>
      <c r="H84" s="23"/>
      <c r="I84" s="23"/>
      <c r="J84" s="23">
        <v>60</v>
      </c>
      <c r="K84" s="24"/>
      <c r="L84" s="25">
        <f t="shared" si="10"/>
        <v>53.571428571428569</v>
      </c>
      <c r="M84" s="25">
        <f t="shared" si="11"/>
        <v>6.4285714285714279</v>
      </c>
      <c r="N84" s="25">
        <f t="shared" si="9"/>
        <v>0</v>
      </c>
      <c r="O84" s="25"/>
      <c r="P84" s="26"/>
      <c r="Q84" s="26"/>
      <c r="R84" s="27"/>
      <c r="S84" s="27"/>
      <c r="T84" s="27"/>
      <c r="U84" s="27"/>
      <c r="V84" s="27"/>
      <c r="W84" s="26"/>
      <c r="X84" s="26">
        <v>53.57</v>
      </c>
      <c r="Y84" s="26"/>
      <c r="Z84" s="26"/>
      <c r="AA84" s="27"/>
      <c r="AB84" s="27"/>
      <c r="AC84" s="26"/>
      <c r="AD84" s="26"/>
      <c r="AE84" s="25">
        <f t="shared" si="12"/>
        <v>-59.998571428571431</v>
      </c>
      <c r="AF84" s="28">
        <f t="shared" si="13"/>
        <v>1.4285714285691142E-3</v>
      </c>
    </row>
    <row r="85" spans="1:32" s="29" customFormat="1" ht="23.25" customHeight="1" x14ac:dyDescent="0.2">
      <c r="A85" s="18">
        <v>43582</v>
      </c>
      <c r="B85" s="20" t="s">
        <v>45</v>
      </c>
      <c r="C85" s="20" t="s">
        <v>46</v>
      </c>
      <c r="D85" s="20" t="s">
        <v>47</v>
      </c>
      <c r="E85" s="21">
        <v>164034</v>
      </c>
      <c r="F85" s="44" t="s">
        <v>538</v>
      </c>
      <c r="G85" s="23"/>
      <c r="H85" s="23"/>
      <c r="I85" s="23"/>
      <c r="J85" s="23">
        <v>254.7</v>
      </c>
      <c r="K85" s="24"/>
      <c r="L85" s="25">
        <f t="shared" si="10"/>
        <v>227.41071428571425</v>
      </c>
      <c r="M85" s="25">
        <f t="shared" si="11"/>
        <v>27.289285714285707</v>
      </c>
      <c r="N85" s="25">
        <f t="shared" si="9"/>
        <v>0</v>
      </c>
      <c r="O85" s="25">
        <v>227.41</v>
      </c>
      <c r="P85" s="26"/>
      <c r="Q85" s="26"/>
      <c r="R85" s="27"/>
      <c r="S85" s="27"/>
      <c r="T85" s="27"/>
      <c r="U85" s="27"/>
      <c r="V85" s="27"/>
      <c r="W85" s="26"/>
      <c r="X85" s="26"/>
      <c r="Y85" s="26"/>
      <c r="Z85" s="26"/>
      <c r="AA85" s="27"/>
      <c r="AB85" s="27"/>
      <c r="AC85" s="26"/>
      <c r="AD85" s="26"/>
      <c r="AE85" s="25">
        <f t="shared" si="12"/>
        <v>-254.69928571428571</v>
      </c>
      <c r="AF85" s="28">
        <f t="shared" si="13"/>
        <v>7.142857142810044E-4</v>
      </c>
    </row>
    <row r="86" spans="1:32" s="29" customFormat="1" ht="23.25" customHeight="1" x14ac:dyDescent="0.2">
      <c r="A86" s="18">
        <v>43581</v>
      </c>
      <c r="B86" s="20" t="s">
        <v>74</v>
      </c>
      <c r="C86" s="20"/>
      <c r="D86" s="20"/>
      <c r="E86" s="21"/>
      <c r="F86" s="44" t="s">
        <v>75</v>
      </c>
      <c r="G86" s="23"/>
      <c r="H86" s="23"/>
      <c r="I86" s="23">
        <v>566</v>
      </c>
      <c r="J86" s="23"/>
      <c r="K86" s="24"/>
      <c r="L86" s="25">
        <f t="shared" si="10"/>
        <v>566</v>
      </c>
      <c r="M86" s="25">
        <f t="shared" si="11"/>
        <v>0</v>
      </c>
      <c r="N86" s="25">
        <f t="shared" si="9"/>
        <v>0</v>
      </c>
      <c r="O86" s="25">
        <v>566</v>
      </c>
      <c r="P86" s="26"/>
      <c r="Q86" s="26"/>
      <c r="R86" s="27"/>
      <c r="S86" s="27"/>
      <c r="T86" s="27"/>
      <c r="U86" s="27"/>
      <c r="V86" s="27"/>
      <c r="W86" s="26"/>
      <c r="X86" s="26"/>
      <c r="Y86" s="26"/>
      <c r="Z86" s="26"/>
      <c r="AA86" s="27"/>
      <c r="AB86" s="27"/>
      <c r="AC86" s="26"/>
      <c r="AD86" s="26"/>
      <c r="AE86" s="25">
        <f t="shared" si="12"/>
        <v>-566</v>
      </c>
      <c r="AF86" s="28">
        <f t="shared" si="13"/>
        <v>0</v>
      </c>
    </row>
    <row r="87" spans="1:32" s="29" customFormat="1" ht="23.25" customHeight="1" x14ac:dyDescent="0.2">
      <c r="A87" s="18">
        <v>43581</v>
      </c>
      <c r="B87" s="20" t="s">
        <v>58</v>
      </c>
      <c r="C87" s="20"/>
      <c r="D87" s="20"/>
      <c r="E87" s="21"/>
      <c r="F87" s="44" t="s">
        <v>212</v>
      </c>
      <c r="G87" s="23">
        <v>50</v>
      </c>
      <c r="H87" s="23"/>
      <c r="I87" s="23"/>
      <c r="J87" s="23"/>
      <c r="K87" s="24"/>
      <c r="L87" s="25">
        <f t="shared" si="10"/>
        <v>50</v>
      </c>
      <c r="M87" s="25">
        <f t="shared" si="11"/>
        <v>0</v>
      </c>
      <c r="N87" s="25">
        <f t="shared" si="9"/>
        <v>0</v>
      </c>
      <c r="O87" s="25"/>
      <c r="P87" s="26"/>
      <c r="Q87" s="26"/>
      <c r="R87" s="27"/>
      <c r="S87" s="27"/>
      <c r="T87" s="27"/>
      <c r="U87" s="27"/>
      <c r="V87" s="27"/>
      <c r="W87" s="26"/>
      <c r="X87" s="26"/>
      <c r="Y87" s="26"/>
      <c r="Z87" s="26">
        <v>50</v>
      </c>
      <c r="AA87" s="27"/>
      <c r="AB87" s="27"/>
      <c r="AC87" s="26"/>
      <c r="AD87" s="26"/>
      <c r="AE87" s="25">
        <f t="shared" si="12"/>
        <v>-50</v>
      </c>
      <c r="AF87" s="28">
        <f t="shared" si="13"/>
        <v>0</v>
      </c>
    </row>
    <row r="88" spans="1:32" s="29" customFormat="1" ht="23.25" customHeight="1" x14ac:dyDescent="0.2">
      <c r="A88" s="18">
        <v>43584</v>
      </c>
      <c r="B88" s="20" t="s">
        <v>62</v>
      </c>
      <c r="C88" s="20"/>
      <c r="D88" s="20"/>
      <c r="E88" s="21"/>
      <c r="F88" s="44" t="s">
        <v>201</v>
      </c>
      <c r="G88" s="23">
        <v>40</v>
      </c>
      <c r="H88" s="23"/>
      <c r="I88" s="23"/>
      <c r="J88" s="23"/>
      <c r="K88" s="24"/>
      <c r="L88" s="25">
        <f t="shared" si="10"/>
        <v>40</v>
      </c>
      <c r="M88" s="25">
        <f t="shared" si="11"/>
        <v>0</v>
      </c>
      <c r="N88" s="25">
        <f t="shared" si="9"/>
        <v>0</v>
      </c>
      <c r="O88" s="25"/>
      <c r="P88" s="26"/>
      <c r="Q88" s="26"/>
      <c r="R88" s="27"/>
      <c r="S88" s="27"/>
      <c r="T88" s="27"/>
      <c r="U88" s="27"/>
      <c r="V88" s="27"/>
      <c r="W88" s="26"/>
      <c r="X88" s="26"/>
      <c r="Y88" s="26"/>
      <c r="Z88" s="26">
        <v>40</v>
      </c>
      <c r="AA88" s="27"/>
      <c r="AB88" s="27"/>
      <c r="AC88" s="26"/>
      <c r="AD88" s="26"/>
      <c r="AE88" s="25">
        <f t="shared" si="12"/>
        <v>-40</v>
      </c>
      <c r="AF88" s="28">
        <f t="shared" si="13"/>
        <v>0</v>
      </c>
    </row>
    <row r="89" spans="1:32" s="29" customFormat="1" ht="23.25" customHeight="1" x14ac:dyDescent="0.2">
      <c r="A89" s="18">
        <v>43584</v>
      </c>
      <c r="B89" s="20" t="s">
        <v>41</v>
      </c>
      <c r="C89" s="20" t="s">
        <v>42</v>
      </c>
      <c r="D89" s="20" t="s">
        <v>43</v>
      </c>
      <c r="E89" s="21">
        <v>94132</v>
      </c>
      <c r="F89" s="44" t="s">
        <v>44</v>
      </c>
      <c r="G89" s="23"/>
      <c r="H89" s="23"/>
      <c r="I89" s="23"/>
      <c r="J89" s="23">
        <v>180</v>
      </c>
      <c r="K89" s="24"/>
      <c r="L89" s="25">
        <f t="shared" si="10"/>
        <v>160.71428571428569</v>
      </c>
      <c r="M89" s="25">
        <f t="shared" si="11"/>
        <v>19.285714285714281</v>
      </c>
      <c r="N89" s="25">
        <f t="shared" si="9"/>
        <v>0</v>
      </c>
      <c r="O89" s="25"/>
      <c r="P89" s="26">
        <v>160.71</v>
      </c>
      <c r="Q89" s="26"/>
      <c r="R89" s="27"/>
      <c r="S89" s="27"/>
      <c r="T89" s="27"/>
      <c r="U89" s="27"/>
      <c r="V89" s="27"/>
      <c r="W89" s="26"/>
      <c r="X89" s="26"/>
      <c r="Y89" s="26"/>
      <c r="Z89" s="26"/>
      <c r="AA89" s="27"/>
      <c r="AB89" s="27"/>
      <c r="AC89" s="26"/>
      <c r="AD89" s="26"/>
      <c r="AE89" s="25">
        <f t="shared" si="12"/>
        <v>-179.99571428571429</v>
      </c>
      <c r="AF89" s="28">
        <f t="shared" si="13"/>
        <v>4.2857142857144481E-3</v>
      </c>
    </row>
    <row r="90" spans="1:32" s="29" customFormat="1" ht="23.25" customHeight="1" x14ac:dyDescent="0.2">
      <c r="A90" s="18">
        <v>43584</v>
      </c>
      <c r="B90" s="20" t="s">
        <v>37</v>
      </c>
      <c r="C90" s="20" t="s">
        <v>38</v>
      </c>
      <c r="D90" s="20" t="s">
        <v>39</v>
      </c>
      <c r="E90" s="21">
        <v>35330</v>
      </c>
      <c r="F90" s="44" t="s">
        <v>297</v>
      </c>
      <c r="G90" s="23"/>
      <c r="H90" s="23"/>
      <c r="I90" s="23"/>
      <c r="J90" s="23">
        <v>640</v>
      </c>
      <c r="K90" s="24"/>
      <c r="L90" s="25">
        <f t="shared" si="10"/>
        <v>571.42857142857133</v>
      </c>
      <c r="M90" s="25">
        <f t="shared" si="11"/>
        <v>68.571428571428555</v>
      </c>
      <c r="N90" s="25">
        <f t="shared" si="9"/>
        <v>0</v>
      </c>
      <c r="O90" s="25">
        <v>571.42999999999995</v>
      </c>
      <c r="P90" s="26"/>
      <c r="Q90" s="26"/>
      <c r="R90" s="27"/>
      <c r="S90" s="27"/>
      <c r="T90" s="27"/>
      <c r="U90" s="27"/>
      <c r="V90" s="27"/>
      <c r="W90" s="26"/>
      <c r="X90" s="26"/>
      <c r="Y90" s="26"/>
      <c r="Z90" s="26"/>
      <c r="AA90" s="27"/>
      <c r="AB90" s="27"/>
      <c r="AC90" s="26"/>
      <c r="AD90" s="26"/>
      <c r="AE90" s="25">
        <f t="shared" si="12"/>
        <v>-640.00142857142851</v>
      </c>
      <c r="AF90" s="28">
        <f t="shared" si="13"/>
        <v>-1.4285714285051654E-3</v>
      </c>
    </row>
    <row r="91" spans="1:32" s="29" customFormat="1" ht="23.25" customHeight="1" x14ac:dyDescent="0.2">
      <c r="A91" s="18">
        <v>43584</v>
      </c>
      <c r="B91" s="20" t="s">
        <v>45</v>
      </c>
      <c r="C91" s="20" t="s">
        <v>46</v>
      </c>
      <c r="D91" s="20" t="s">
        <v>47</v>
      </c>
      <c r="E91" s="21">
        <v>140051</v>
      </c>
      <c r="F91" s="44" t="s">
        <v>539</v>
      </c>
      <c r="G91" s="23"/>
      <c r="H91" s="23"/>
      <c r="I91" s="23"/>
      <c r="J91" s="23">
        <v>1640.45</v>
      </c>
      <c r="K91" s="24"/>
      <c r="L91" s="25">
        <f t="shared" si="10"/>
        <v>1464.6875</v>
      </c>
      <c r="M91" s="25">
        <f t="shared" si="11"/>
        <v>175.76249999999999</v>
      </c>
      <c r="N91" s="25">
        <f t="shared" si="9"/>
        <v>0</v>
      </c>
      <c r="O91" s="25">
        <v>1464.69</v>
      </c>
      <c r="P91" s="26"/>
      <c r="Q91" s="26"/>
      <c r="R91" s="27"/>
      <c r="S91" s="27"/>
      <c r="T91" s="27"/>
      <c r="U91" s="27"/>
      <c r="V91" s="27"/>
      <c r="W91" s="26"/>
      <c r="X91" s="26"/>
      <c r="Y91" s="26"/>
      <c r="Z91" s="26"/>
      <c r="AA91" s="27"/>
      <c r="AB91" s="27"/>
      <c r="AC91" s="26"/>
      <c r="AD91" s="26"/>
      <c r="AE91" s="25">
        <f t="shared" si="12"/>
        <v>-1640.4525000000001</v>
      </c>
      <c r="AF91" s="28">
        <f t="shared" si="13"/>
        <v>-2.5000000000545697E-3</v>
      </c>
    </row>
    <row r="92" spans="1:32" s="29" customFormat="1" ht="23.25" customHeight="1" x14ac:dyDescent="0.2">
      <c r="A92" s="18">
        <v>43584</v>
      </c>
      <c r="B92" s="20" t="s">
        <v>534</v>
      </c>
      <c r="C92" s="20"/>
      <c r="D92" s="20"/>
      <c r="E92" s="21"/>
      <c r="F92" s="44" t="s">
        <v>177</v>
      </c>
      <c r="G92" s="23">
        <v>537</v>
      </c>
      <c r="H92" s="23"/>
      <c r="I92" s="23"/>
      <c r="J92" s="23"/>
      <c r="K92" s="24"/>
      <c r="L92" s="25">
        <f t="shared" si="10"/>
        <v>537</v>
      </c>
      <c r="M92" s="25">
        <f t="shared" si="11"/>
        <v>0</v>
      </c>
      <c r="N92" s="25">
        <f t="shared" si="9"/>
        <v>0</v>
      </c>
      <c r="O92" s="25"/>
      <c r="P92" s="26"/>
      <c r="Q92" s="26"/>
      <c r="R92" s="27"/>
      <c r="S92" s="27"/>
      <c r="T92" s="27"/>
      <c r="U92" s="27"/>
      <c r="V92" s="27"/>
      <c r="W92" s="26"/>
      <c r="X92" s="26"/>
      <c r="Y92" s="26"/>
      <c r="Z92" s="26"/>
      <c r="AA92" s="27">
        <v>537</v>
      </c>
      <c r="AB92" s="27"/>
      <c r="AC92" s="26"/>
      <c r="AD92" s="26"/>
      <c r="AE92" s="25">
        <f t="shared" si="12"/>
        <v>-537</v>
      </c>
      <c r="AF92" s="28">
        <f t="shared" si="13"/>
        <v>0</v>
      </c>
    </row>
    <row r="93" spans="1:32" s="29" customFormat="1" ht="23.25" customHeight="1" x14ac:dyDescent="0.2">
      <c r="A93" s="18">
        <v>43585</v>
      </c>
      <c r="B93" s="20" t="s">
        <v>41</v>
      </c>
      <c r="C93" s="20" t="s">
        <v>42</v>
      </c>
      <c r="D93" s="20" t="s">
        <v>43</v>
      </c>
      <c r="E93" s="21">
        <v>94174</v>
      </c>
      <c r="F93" s="44" t="s">
        <v>44</v>
      </c>
      <c r="G93" s="23"/>
      <c r="H93" s="23"/>
      <c r="I93" s="23"/>
      <c r="J93" s="23">
        <v>180</v>
      </c>
      <c r="K93" s="24"/>
      <c r="L93" s="25">
        <f t="shared" si="10"/>
        <v>160.71428571428569</v>
      </c>
      <c r="M93" s="25">
        <f t="shared" si="11"/>
        <v>19.285714285714281</v>
      </c>
      <c r="N93" s="25">
        <f t="shared" si="9"/>
        <v>0</v>
      </c>
      <c r="O93" s="25"/>
      <c r="P93" s="26">
        <v>160.71</v>
      </c>
      <c r="Q93" s="26"/>
      <c r="R93" s="27"/>
      <c r="S93" s="27"/>
      <c r="T93" s="27"/>
      <c r="U93" s="27"/>
      <c r="V93" s="27"/>
      <c r="W93" s="26"/>
      <c r="X93" s="26"/>
      <c r="Y93" s="26"/>
      <c r="Z93" s="26"/>
      <c r="AA93" s="27"/>
      <c r="AB93" s="27"/>
      <c r="AC93" s="26"/>
      <c r="AD93" s="26"/>
      <c r="AE93" s="25">
        <f t="shared" si="12"/>
        <v>-179.99571428571429</v>
      </c>
      <c r="AF93" s="28">
        <f t="shared" si="13"/>
        <v>4.2857142857144481E-3</v>
      </c>
    </row>
    <row r="94" spans="1:32" s="29" customFormat="1" ht="19.5" customHeight="1" x14ac:dyDescent="0.2">
      <c r="A94" s="18"/>
      <c r="B94" s="45"/>
      <c r="C94" s="45"/>
      <c r="D94" s="45"/>
      <c r="E94" s="21"/>
      <c r="F94" s="22"/>
      <c r="G94" s="23"/>
      <c r="H94" s="23"/>
      <c r="I94" s="23"/>
      <c r="J94" s="23"/>
      <c r="K94" s="24"/>
      <c r="L94" s="26">
        <f t="shared" si="10"/>
        <v>0</v>
      </c>
      <c r="M94" s="26">
        <f t="shared" si="11"/>
        <v>0</v>
      </c>
      <c r="N94" s="26">
        <f t="shared" si="9"/>
        <v>0</v>
      </c>
      <c r="O94" s="26"/>
      <c r="P94" s="26"/>
      <c r="Q94" s="26"/>
      <c r="R94" s="26"/>
      <c r="S94" s="27"/>
      <c r="T94" s="27"/>
      <c r="U94" s="27"/>
      <c r="V94" s="27"/>
      <c r="W94" s="27"/>
      <c r="X94" s="46"/>
      <c r="Y94" s="26"/>
      <c r="Z94" s="26"/>
      <c r="AA94" s="26"/>
      <c r="AB94" s="27"/>
      <c r="AC94" s="27"/>
      <c r="AD94" s="47"/>
      <c r="AE94" s="25">
        <f t="shared" si="12"/>
        <v>0</v>
      </c>
      <c r="AF94" s="28">
        <f t="shared" si="13"/>
        <v>0</v>
      </c>
    </row>
    <row r="95" spans="1:32" s="57" customFormat="1" ht="12" customHeight="1" x14ac:dyDescent="0.2">
      <c r="A95" s="49"/>
      <c r="B95" s="51"/>
      <c r="C95" s="52"/>
      <c r="D95" s="52"/>
      <c r="E95" s="53"/>
      <c r="F95" s="51"/>
      <c r="G95" s="54">
        <f t="shared" ref="G95:AF95" si="14">SUM(G5:G94)</f>
        <v>11485.46</v>
      </c>
      <c r="H95" s="54">
        <f t="shared" si="14"/>
        <v>0</v>
      </c>
      <c r="I95" s="54">
        <f t="shared" si="14"/>
        <v>7512.0499999999993</v>
      </c>
      <c r="J95" s="54">
        <f t="shared" si="14"/>
        <v>28695.03</v>
      </c>
      <c r="K95" s="54">
        <f t="shared" si="14"/>
        <v>0</v>
      </c>
      <c r="L95" s="54">
        <f t="shared" si="14"/>
        <v>44618.072500000002</v>
      </c>
      <c r="M95" s="54">
        <f t="shared" si="14"/>
        <v>3074.4674999999988</v>
      </c>
      <c r="N95" s="54">
        <f t="shared" si="14"/>
        <v>0</v>
      </c>
      <c r="O95" s="54">
        <f t="shared" si="14"/>
        <v>20016.48</v>
      </c>
      <c r="P95" s="54">
        <f t="shared" si="14"/>
        <v>3214.9500000000003</v>
      </c>
      <c r="Q95" s="54">
        <f t="shared" si="14"/>
        <v>3125</v>
      </c>
      <c r="R95" s="54">
        <f t="shared" si="14"/>
        <v>1950.89</v>
      </c>
      <c r="S95" s="54">
        <f t="shared" si="14"/>
        <v>469.87</v>
      </c>
      <c r="T95" s="54">
        <f t="shared" si="14"/>
        <v>0</v>
      </c>
      <c r="U95" s="54">
        <f t="shared" si="14"/>
        <v>0</v>
      </c>
      <c r="V95" s="54">
        <f t="shared" si="14"/>
        <v>0</v>
      </c>
      <c r="W95" s="54">
        <f t="shared" si="14"/>
        <v>0</v>
      </c>
      <c r="X95" s="54">
        <f t="shared" si="14"/>
        <v>7027.23</v>
      </c>
      <c r="Y95" s="54">
        <f t="shared" si="14"/>
        <v>305.70999999999998</v>
      </c>
      <c r="Z95" s="54">
        <f t="shared" si="14"/>
        <v>1131</v>
      </c>
      <c r="AA95" s="54">
        <f t="shared" si="14"/>
        <v>6334.46</v>
      </c>
      <c r="AB95" s="54">
        <f t="shared" si="14"/>
        <v>0</v>
      </c>
      <c r="AC95" s="54">
        <f t="shared" si="14"/>
        <v>1000</v>
      </c>
      <c r="AD95" s="54">
        <f t="shared" si="14"/>
        <v>42.41</v>
      </c>
      <c r="AE95" s="54">
        <f t="shared" si="14"/>
        <v>-47692.467499999992</v>
      </c>
      <c r="AF95" s="54">
        <f t="shared" si="14"/>
        <v>7.2500000000388809E-2</v>
      </c>
    </row>
    <row r="96" spans="1:32" ht="12" customHeight="1" x14ac:dyDescent="0.25"/>
    <row r="103" spans="16:16" x14ac:dyDescent="0.25">
      <c r="P103" s="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25"/>
  <sheetViews>
    <sheetView topLeftCell="A13" zoomScale="90" zoomScaleNormal="90" workbookViewId="0">
      <selection activeCell="G19" sqref="A19:XFD25"/>
    </sheetView>
  </sheetViews>
  <sheetFormatPr defaultRowHeight="13.2" x14ac:dyDescent="0.25"/>
  <cols>
    <col min="1" max="1" width="10.21875" style="1" customWidth="1"/>
    <col min="2" max="2" width="9.21875" style="2" hidden="1" customWidth="1"/>
    <col min="3" max="3" width="30.21875" style="3" customWidth="1"/>
    <col min="4" max="4" width="17.6640625" style="4" hidden="1" customWidth="1"/>
    <col min="5" max="5" width="35.33203125" style="4" hidden="1" customWidth="1"/>
    <col min="6" max="6" width="9.88671875" style="2" customWidth="1"/>
    <col min="7" max="7" width="39.77734375" style="3" customWidth="1"/>
    <col min="8" max="8" width="13.88671875" style="5" customWidth="1"/>
    <col min="9" max="9" width="10.6640625" style="5" hidden="1" customWidth="1"/>
    <col min="10" max="10" width="12.21875" style="5" customWidth="1"/>
    <col min="11" max="11" width="13.109375" style="5" customWidth="1"/>
    <col min="12" max="12" width="9.88671875" style="6" hidden="1" customWidth="1"/>
    <col min="13" max="13" width="12.21875" style="5" customWidth="1"/>
    <col min="14" max="14" width="10.77734375" style="5" customWidth="1"/>
    <col min="15" max="15" width="11.33203125" style="5" hidden="1" customWidth="1"/>
    <col min="16" max="16" width="12.44140625" style="5" customWidth="1"/>
    <col min="17" max="17" width="9.88671875" style="5" customWidth="1"/>
    <col min="18" max="18" width="13.44140625" style="5" customWidth="1"/>
    <col min="19" max="19" width="10.21875" style="5" customWidth="1"/>
    <col min="20" max="20" width="11.5546875" style="5"/>
    <col min="21" max="21" width="11.5546875" style="5" hidden="1"/>
    <col min="22" max="22" width="13.33203125" style="5" hidden="1" customWidth="1"/>
    <col min="23" max="23" width="10.21875" style="5" hidden="1" customWidth="1"/>
    <col min="24" max="24" width="12.44140625" style="5" hidden="1" customWidth="1"/>
    <col min="25" max="25" width="11.6640625" style="5" hidden="1" customWidth="1"/>
    <col min="26" max="26" width="10.44140625" style="5" customWidth="1"/>
    <col min="27" max="27" width="11" style="5" customWidth="1"/>
    <col min="28" max="28" width="12.109375" style="5" customWidth="1"/>
    <col min="29" max="30" width="10.109375" style="5" hidden="1" customWidth="1"/>
    <col min="31" max="31" width="12.77734375" style="5" hidden="1" customWidth="1"/>
    <col min="32" max="32" width="13.44140625" style="5" customWidth="1"/>
    <col min="33" max="33" width="13.44140625" style="3" customWidth="1"/>
    <col min="34" max="1025" width="11.5546875" style="3"/>
  </cols>
  <sheetData>
    <row r="1" spans="1:33" ht="12" customHeight="1" x14ac:dyDescent="0.25">
      <c r="A1" s="7" t="s">
        <v>0</v>
      </c>
      <c r="C1" s="8"/>
    </row>
    <row r="2" spans="1:33" ht="12" customHeight="1" x14ac:dyDescent="0.25">
      <c r="A2" s="7" t="s">
        <v>1</v>
      </c>
    </row>
    <row r="3" spans="1:33" ht="12" customHeight="1" x14ac:dyDescent="0.25">
      <c r="A3" s="7" t="s">
        <v>463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/>
      <c r="W3" s="10"/>
      <c r="X3" s="10"/>
      <c r="Y3" s="10" t="s">
        <v>3</v>
      </c>
      <c r="Z3" s="10"/>
      <c r="AA3" s="10">
        <v>6230</v>
      </c>
      <c r="AB3" s="10" t="s">
        <v>4</v>
      </c>
      <c r="AC3" s="10">
        <v>6202</v>
      </c>
      <c r="AD3" s="10"/>
      <c r="AE3" s="10">
        <v>6109</v>
      </c>
      <c r="AF3" s="10">
        <v>1002</v>
      </c>
    </row>
    <row r="4" spans="1:33" s="17" customFormat="1" ht="43.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pans="1:33" s="29" customFormat="1" ht="23.25" customHeight="1" x14ac:dyDescent="0.2">
      <c r="A5" s="18">
        <v>43557</v>
      </c>
      <c r="B5" s="19"/>
      <c r="C5" s="20" t="s">
        <v>37</v>
      </c>
      <c r="D5" s="20" t="s">
        <v>38</v>
      </c>
      <c r="E5" s="20" t="s">
        <v>39</v>
      </c>
      <c r="F5" s="21">
        <v>34939</v>
      </c>
      <c r="G5" s="34" t="s">
        <v>464</v>
      </c>
      <c r="H5" s="23"/>
      <c r="I5" s="23"/>
      <c r="J5" s="23"/>
      <c r="K5" s="23">
        <v>98.5</v>
      </c>
      <c r="L5" s="24"/>
      <c r="M5" s="25">
        <f t="shared" ref="M5:M17" si="0">SUM(H5:J5,K5/1.12)</f>
        <v>87.946428571428569</v>
      </c>
      <c r="N5" s="25">
        <f t="shared" ref="N5:N17" si="1">K5/1.12*0.12</f>
        <v>10.553571428571427</v>
      </c>
      <c r="O5" s="25">
        <f t="shared" ref="O5:O17" si="2">-SUM(I5:J5,K5/1.12)*L5</f>
        <v>0</v>
      </c>
      <c r="P5" s="25">
        <v>87.95</v>
      </c>
      <c r="Q5" s="26"/>
      <c r="R5" s="26"/>
      <c r="S5" s="27"/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>
        <f t="shared" ref="AF5:AF17" si="3">-SUM(N5:AE5)</f>
        <v>-98.503571428571433</v>
      </c>
      <c r="AG5" s="28">
        <f t="shared" ref="AG5:AG17" si="4">SUM(H5:K5)+AF5+O5</f>
        <v>-3.5714285714334437E-3</v>
      </c>
    </row>
    <row r="6" spans="1:33" s="29" customFormat="1" ht="23.25" customHeight="1" x14ac:dyDescent="0.2">
      <c r="A6" s="18">
        <v>43557</v>
      </c>
      <c r="B6" s="19"/>
      <c r="C6" s="20" t="s">
        <v>239</v>
      </c>
      <c r="D6" s="20" t="s">
        <v>240</v>
      </c>
      <c r="E6" s="20" t="s">
        <v>241</v>
      </c>
      <c r="F6" s="21">
        <v>113271</v>
      </c>
      <c r="G6" s="34" t="s">
        <v>465</v>
      </c>
      <c r="H6" s="23"/>
      <c r="I6" s="23"/>
      <c r="J6" s="23"/>
      <c r="K6" s="23">
        <v>2360</v>
      </c>
      <c r="L6" s="24"/>
      <c r="M6" s="25">
        <f t="shared" si="0"/>
        <v>2107.1428571428569</v>
      </c>
      <c r="N6" s="25">
        <f t="shared" si="1"/>
        <v>252.8571428571428</v>
      </c>
      <c r="O6" s="25">
        <f t="shared" si="2"/>
        <v>0</v>
      </c>
      <c r="P6" s="25">
        <v>2107.14</v>
      </c>
      <c r="Q6" s="26"/>
      <c r="R6" s="26"/>
      <c r="S6" s="27"/>
      <c r="T6" s="27"/>
      <c r="U6" s="27"/>
      <c r="V6" s="27"/>
      <c r="W6" s="27"/>
      <c r="X6" s="26"/>
      <c r="Y6" s="26"/>
      <c r="Z6" s="26"/>
      <c r="AA6" s="26"/>
      <c r="AB6" s="27"/>
      <c r="AC6" s="27"/>
      <c r="AD6" s="26"/>
      <c r="AE6" s="26"/>
      <c r="AF6" s="25">
        <f t="shared" si="3"/>
        <v>-2359.9971428571425</v>
      </c>
      <c r="AG6" s="28">
        <f t="shared" si="4"/>
        <v>2.8571428574650781E-3</v>
      </c>
    </row>
    <row r="7" spans="1:33" s="29" customFormat="1" ht="23.25" customHeight="1" x14ac:dyDescent="0.2">
      <c r="A7" s="18">
        <v>43558</v>
      </c>
      <c r="B7" s="19"/>
      <c r="C7" s="20" t="s">
        <v>41</v>
      </c>
      <c r="D7" s="20" t="s">
        <v>42</v>
      </c>
      <c r="E7" s="20" t="s">
        <v>43</v>
      </c>
      <c r="F7" s="21">
        <v>58515</v>
      </c>
      <c r="G7" s="34" t="s">
        <v>44</v>
      </c>
      <c r="H7" s="23"/>
      <c r="I7" s="23"/>
      <c r="J7" s="23"/>
      <c r="K7" s="23">
        <v>180</v>
      </c>
      <c r="L7" s="24"/>
      <c r="M7" s="25">
        <f t="shared" si="0"/>
        <v>160.71428571428569</v>
      </c>
      <c r="N7" s="25">
        <f t="shared" si="1"/>
        <v>19.285714285714281</v>
      </c>
      <c r="O7" s="25">
        <f t="shared" si="2"/>
        <v>0</v>
      </c>
      <c r="P7" s="25"/>
      <c r="Q7" s="26">
        <v>160.71</v>
      </c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>
        <f t="shared" si="3"/>
        <v>-179.99571428571429</v>
      </c>
      <c r="AG7" s="28">
        <f t="shared" si="4"/>
        <v>4.2857142857144481E-3</v>
      </c>
    </row>
    <row r="8" spans="1:33" s="29" customFormat="1" ht="23.25" customHeight="1" x14ac:dyDescent="0.2">
      <c r="A8" s="18">
        <v>43559</v>
      </c>
      <c r="B8" s="19"/>
      <c r="C8" s="20" t="s">
        <v>41</v>
      </c>
      <c r="D8" s="20" t="s">
        <v>42</v>
      </c>
      <c r="E8" s="20" t="s">
        <v>43</v>
      </c>
      <c r="F8" s="21">
        <v>58563</v>
      </c>
      <c r="G8" s="34" t="s">
        <v>44</v>
      </c>
      <c r="H8" s="23"/>
      <c r="I8" s="23"/>
      <c r="J8" s="23"/>
      <c r="K8" s="23">
        <v>180</v>
      </c>
      <c r="L8" s="24"/>
      <c r="M8" s="25">
        <f t="shared" si="0"/>
        <v>160.71428571428569</v>
      </c>
      <c r="N8" s="25">
        <f t="shared" si="1"/>
        <v>19.285714285714281</v>
      </c>
      <c r="O8" s="25">
        <f t="shared" si="2"/>
        <v>0</v>
      </c>
      <c r="P8" s="25"/>
      <c r="Q8" s="26">
        <v>160.71</v>
      </c>
      <c r="R8" s="26"/>
      <c r="S8" s="27"/>
      <c r="T8" s="27"/>
      <c r="U8" s="27"/>
      <c r="V8" s="27"/>
      <c r="W8" s="27"/>
      <c r="X8" s="26"/>
      <c r="Y8" s="26"/>
      <c r="Z8" s="26"/>
      <c r="AA8" s="26"/>
      <c r="AB8" s="27"/>
      <c r="AC8" s="27"/>
      <c r="AD8" s="26"/>
      <c r="AE8" s="26"/>
      <c r="AF8" s="25">
        <f t="shared" si="3"/>
        <v>-179.99571428571429</v>
      </c>
      <c r="AG8" s="28">
        <f t="shared" si="4"/>
        <v>4.2857142857144481E-3</v>
      </c>
    </row>
    <row r="9" spans="1:33" s="29" customFormat="1" ht="23.25" customHeight="1" x14ac:dyDescent="0.2">
      <c r="A9" s="18">
        <v>43559</v>
      </c>
      <c r="B9" s="19"/>
      <c r="C9" s="20" t="s">
        <v>45</v>
      </c>
      <c r="D9" s="20" t="s">
        <v>46</v>
      </c>
      <c r="E9" s="20" t="s">
        <v>47</v>
      </c>
      <c r="F9" s="21">
        <v>160286</v>
      </c>
      <c r="G9" s="34" t="s">
        <v>468</v>
      </c>
      <c r="H9" s="23"/>
      <c r="I9" s="23"/>
      <c r="J9" s="23"/>
      <c r="K9" s="23">
        <v>1756.15</v>
      </c>
      <c r="L9" s="24"/>
      <c r="M9" s="25">
        <f t="shared" si="0"/>
        <v>1567.9910714285713</v>
      </c>
      <c r="N9" s="25">
        <f t="shared" si="1"/>
        <v>188.15892857142856</v>
      </c>
      <c r="O9" s="25">
        <f t="shared" si="2"/>
        <v>0</v>
      </c>
      <c r="P9" s="25">
        <v>1567.99</v>
      </c>
      <c r="Q9" s="26"/>
      <c r="R9" s="26"/>
      <c r="S9" s="27"/>
      <c r="T9" s="27"/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>
        <f t="shared" si="3"/>
        <v>-1756.1489285714285</v>
      </c>
      <c r="AG9" s="28">
        <f t="shared" si="4"/>
        <v>1.0714285715494043E-3</v>
      </c>
    </row>
    <row r="10" spans="1:33" s="29" customFormat="1" ht="23.25" customHeight="1" x14ac:dyDescent="0.2">
      <c r="A10" s="18">
        <v>43559</v>
      </c>
      <c r="B10" s="19"/>
      <c r="C10" s="20" t="s">
        <v>45</v>
      </c>
      <c r="D10" s="20" t="s">
        <v>46</v>
      </c>
      <c r="E10" s="20" t="s">
        <v>47</v>
      </c>
      <c r="F10" s="21">
        <v>161296</v>
      </c>
      <c r="G10" s="61" t="s">
        <v>469</v>
      </c>
      <c r="H10" s="23"/>
      <c r="I10" s="23"/>
      <c r="J10" s="23"/>
      <c r="K10" s="23">
        <f>976.7+117.2</f>
        <v>1093.9000000000001</v>
      </c>
      <c r="L10" s="24"/>
      <c r="M10" s="25">
        <f t="shared" si="0"/>
        <v>976.69642857142856</v>
      </c>
      <c r="N10" s="25">
        <f t="shared" si="1"/>
        <v>117.20357142857142</v>
      </c>
      <c r="O10" s="25">
        <f t="shared" si="2"/>
        <v>0</v>
      </c>
      <c r="P10" s="25">
        <v>976.7</v>
      </c>
      <c r="Q10" s="26"/>
      <c r="R10" s="26"/>
      <c r="S10" s="27"/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>
        <f t="shared" si="3"/>
        <v>-1093.9035714285715</v>
      </c>
      <c r="AG10" s="28">
        <f t="shared" si="4"/>
        <v>-3.5714285713766003E-3</v>
      </c>
    </row>
    <row r="11" spans="1:33" s="29" customFormat="1" ht="23.25" customHeight="1" x14ac:dyDescent="0.2">
      <c r="A11" s="18">
        <v>43559</v>
      </c>
      <c r="B11" s="19"/>
      <c r="C11" s="20" t="s">
        <v>45</v>
      </c>
      <c r="D11" s="20" t="s">
        <v>46</v>
      </c>
      <c r="E11" s="20" t="s">
        <v>47</v>
      </c>
      <c r="F11" s="21">
        <v>161296</v>
      </c>
      <c r="G11" s="34" t="s">
        <v>470</v>
      </c>
      <c r="H11" s="23"/>
      <c r="I11" s="23"/>
      <c r="J11" s="23">
        <v>126.75</v>
      </c>
      <c r="K11" s="23"/>
      <c r="L11" s="24"/>
      <c r="M11" s="25">
        <f t="shared" si="0"/>
        <v>126.75</v>
      </c>
      <c r="N11" s="25">
        <f t="shared" si="1"/>
        <v>0</v>
      </c>
      <c r="O11" s="25">
        <f t="shared" si="2"/>
        <v>0</v>
      </c>
      <c r="P11" s="25">
        <v>126.75</v>
      </c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>
        <f t="shared" si="3"/>
        <v>-126.75</v>
      </c>
      <c r="AG11" s="28">
        <f t="shared" si="4"/>
        <v>0</v>
      </c>
    </row>
    <row r="12" spans="1:33" s="29" customFormat="1" ht="23.25" customHeight="1" x14ac:dyDescent="0.2">
      <c r="A12" s="18">
        <v>43560</v>
      </c>
      <c r="B12" s="19"/>
      <c r="C12" s="20" t="s">
        <v>45</v>
      </c>
      <c r="D12" s="20" t="s">
        <v>46</v>
      </c>
      <c r="E12" s="20" t="s">
        <v>47</v>
      </c>
      <c r="F12" s="21">
        <v>199371</v>
      </c>
      <c r="G12" s="34" t="s">
        <v>472</v>
      </c>
      <c r="H12" s="23"/>
      <c r="I12" s="23"/>
      <c r="J12" s="23"/>
      <c r="K12" s="23">
        <v>454.4</v>
      </c>
      <c r="L12" s="24"/>
      <c r="M12" s="25">
        <f t="shared" si="0"/>
        <v>405.71428571428567</v>
      </c>
      <c r="N12" s="25">
        <f t="shared" si="1"/>
        <v>48.685714285714276</v>
      </c>
      <c r="O12" s="25">
        <f t="shared" si="2"/>
        <v>0</v>
      </c>
      <c r="P12" s="25">
        <v>405.71</v>
      </c>
      <c r="Q12" s="26"/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>
        <f t="shared" si="3"/>
        <v>-454.39571428571423</v>
      </c>
      <c r="AG12" s="28">
        <f t="shared" si="4"/>
        <v>4.2857142857428698E-3</v>
      </c>
    </row>
    <row r="13" spans="1:33" s="29" customFormat="1" ht="23.25" customHeight="1" x14ac:dyDescent="0.2">
      <c r="A13" s="18">
        <v>43563</v>
      </c>
      <c r="B13" s="19"/>
      <c r="C13" s="20" t="s">
        <v>41</v>
      </c>
      <c r="D13" s="20" t="s">
        <v>42</v>
      </c>
      <c r="E13" s="20" t="s">
        <v>43</v>
      </c>
      <c r="F13" s="21">
        <v>68836</v>
      </c>
      <c r="G13" s="34" t="s">
        <v>44</v>
      </c>
      <c r="H13" s="23"/>
      <c r="I13" s="23"/>
      <c r="J13" s="23"/>
      <c r="K13" s="23">
        <v>180</v>
      </c>
      <c r="L13" s="24"/>
      <c r="M13" s="25">
        <f t="shared" si="0"/>
        <v>160.71428571428569</v>
      </c>
      <c r="N13" s="25">
        <f t="shared" si="1"/>
        <v>19.285714285714281</v>
      </c>
      <c r="O13" s="25">
        <f t="shared" si="2"/>
        <v>0</v>
      </c>
      <c r="P13" s="25"/>
      <c r="Q13" s="26">
        <v>160.71</v>
      </c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>
        <f t="shared" si="3"/>
        <v>-179.99571428571429</v>
      </c>
      <c r="AG13" s="28">
        <f t="shared" si="4"/>
        <v>4.2857142857144481E-3</v>
      </c>
    </row>
    <row r="14" spans="1:33" s="29" customFormat="1" ht="23.25" customHeight="1" x14ac:dyDescent="0.2">
      <c r="A14" s="18">
        <v>43563</v>
      </c>
      <c r="B14" s="19"/>
      <c r="C14" s="20" t="s">
        <v>37</v>
      </c>
      <c r="D14" s="20" t="s">
        <v>38</v>
      </c>
      <c r="E14" s="20" t="s">
        <v>39</v>
      </c>
      <c r="F14" s="21">
        <v>35030</v>
      </c>
      <c r="G14" s="34" t="s">
        <v>477</v>
      </c>
      <c r="H14" s="23"/>
      <c r="I14" s="23"/>
      <c r="J14" s="23"/>
      <c r="K14" s="23">
        <v>560</v>
      </c>
      <c r="L14" s="24"/>
      <c r="M14" s="25">
        <f t="shared" si="0"/>
        <v>499.99999999999994</v>
      </c>
      <c r="N14" s="25">
        <f t="shared" si="1"/>
        <v>59.999999999999993</v>
      </c>
      <c r="O14" s="25">
        <f t="shared" si="2"/>
        <v>0</v>
      </c>
      <c r="P14" s="25">
        <v>500</v>
      </c>
      <c r="Q14" s="26"/>
      <c r="R14" s="26"/>
      <c r="S14" s="27"/>
      <c r="T14" s="27"/>
      <c r="U14" s="27"/>
      <c r="V14" s="27"/>
      <c r="W14" s="27"/>
      <c r="X14" s="26"/>
      <c r="Y14" s="26"/>
      <c r="Z14" s="26"/>
      <c r="AA14" s="26"/>
      <c r="AB14" s="27"/>
      <c r="AC14" s="27"/>
      <c r="AD14" s="26"/>
      <c r="AE14" s="26"/>
      <c r="AF14" s="25">
        <f t="shared" si="3"/>
        <v>-560</v>
      </c>
      <c r="AG14" s="28">
        <f t="shared" si="4"/>
        <v>0</v>
      </c>
    </row>
    <row r="15" spans="1:33" s="29" customFormat="1" ht="23.25" customHeight="1" x14ac:dyDescent="0.2">
      <c r="A15" s="18">
        <v>43563</v>
      </c>
      <c r="B15" s="19"/>
      <c r="C15" s="20" t="s">
        <v>321</v>
      </c>
      <c r="D15" s="20" t="s">
        <v>322</v>
      </c>
      <c r="E15" s="20" t="s">
        <v>486</v>
      </c>
      <c r="F15" s="21">
        <v>216589</v>
      </c>
      <c r="G15" s="34" t="s">
        <v>487</v>
      </c>
      <c r="H15" s="23"/>
      <c r="I15" s="23"/>
      <c r="J15" s="23"/>
      <c r="K15" s="23">
        <v>37</v>
      </c>
      <c r="L15" s="24"/>
      <c r="M15" s="25">
        <f t="shared" si="0"/>
        <v>33.035714285714285</v>
      </c>
      <c r="N15" s="25">
        <f t="shared" si="1"/>
        <v>3.964285714285714</v>
      </c>
      <c r="O15" s="25">
        <f t="shared" si="2"/>
        <v>0</v>
      </c>
      <c r="P15" s="25"/>
      <c r="Q15" s="26">
        <v>33.04</v>
      </c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>
        <f t="shared" si="3"/>
        <v>-37.004285714285714</v>
      </c>
      <c r="AG15" s="28">
        <f t="shared" si="4"/>
        <v>-4.2857142857144481E-3</v>
      </c>
    </row>
    <row r="16" spans="1:33" s="29" customFormat="1" ht="23.25" customHeight="1" x14ac:dyDescent="0.2">
      <c r="A16" s="18">
        <v>43565</v>
      </c>
      <c r="B16" s="19"/>
      <c r="C16" s="20" t="s">
        <v>41</v>
      </c>
      <c r="D16" s="20" t="s">
        <v>42</v>
      </c>
      <c r="E16" s="20" t="s">
        <v>43</v>
      </c>
      <c r="F16" s="21">
        <v>67612</v>
      </c>
      <c r="G16" s="34" t="s">
        <v>44</v>
      </c>
      <c r="H16" s="23"/>
      <c r="I16" s="23"/>
      <c r="J16" s="23"/>
      <c r="K16" s="23">
        <v>180</v>
      </c>
      <c r="L16" s="24"/>
      <c r="M16" s="25">
        <f t="shared" si="0"/>
        <v>160.71428571428569</v>
      </c>
      <c r="N16" s="25">
        <f t="shared" si="1"/>
        <v>19.285714285714281</v>
      </c>
      <c r="O16" s="25">
        <f t="shared" si="2"/>
        <v>0</v>
      </c>
      <c r="P16" s="25"/>
      <c r="Q16" s="26">
        <v>160.71</v>
      </c>
      <c r="R16" s="26"/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/>
      <c r="AE16" s="26"/>
      <c r="AF16" s="25">
        <f t="shared" si="3"/>
        <v>-179.99571428571429</v>
      </c>
      <c r="AG16" s="28">
        <f t="shared" si="4"/>
        <v>4.2857142857144481E-3</v>
      </c>
    </row>
    <row r="17" spans="1:33" s="29" customFormat="1" ht="19.5" customHeight="1" x14ac:dyDescent="0.2">
      <c r="A17" s="18"/>
      <c r="B17" s="19"/>
      <c r="C17" s="45"/>
      <c r="D17" s="45"/>
      <c r="E17" s="45"/>
      <c r="F17" s="21"/>
      <c r="G17" s="22"/>
      <c r="H17" s="23"/>
      <c r="I17" s="23"/>
      <c r="J17" s="23"/>
      <c r="K17" s="23"/>
      <c r="L17" s="24"/>
      <c r="M17" s="26">
        <f t="shared" si="0"/>
        <v>0</v>
      </c>
      <c r="N17" s="26">
        <f t="shared" si="1"/>
        <v>0</v>
      </c>
      <c r="O17" s="26">
        <f t="shared" si="2"/>
        <v>0</v>
      </c>
      <c r="P17" s="26"/>
      <c r="Q17" s="26"/>
      <c r="R17" s="26"/>
      <c r="S17" s="26"/>
      <c r="T17" s="27"/>
      <c r="U17" s="27"/>
      <c r="V17" s="27"/>
      <c r="W17" s="27"/>
      <c r="X17" s="27"/>
      <c r="Y17" s="46"/>
      <c r="Z17" s="26"/>
      <c r="AA17" s="26"/>
      <c r="AB17" s="26"/>
      <c r="AC17" s="27"/>
      <c r="AD17" s="27"/>
      <c r="AE17" s="47"/>
      <c r="AF17" s="25">
        <f t="shared" si="3"/>
        <v>0</v>
      </c>
      <c r="AG17" s="28">
        <f t="shared" si="4"/>
        <v>0</v>
      </c>
    </row>
    <row r="18" spans="1:33" s="57" customFormat="1" ht="12" customHeight="1" x14ac:dyDescent="0.2">
      <c r="A18" s="49"/>
      <c r="B18" s="50"/>
      <c r="C18" s="51"/>
      <c r="D18" s="52"/>
      <c r="E18" s="52"/>
      <c r="F18" s="53"/>
      <c r="G18" s="51"/>
      <c r="H18" s="54">
        <f t="shared" ref="H18:AG18" si="5">SUM(H5:H17)</f>
        <v>0</v>
      </c>
      <c r="I18" s="54">
        <f t="shared" si="5"/>
        <v>0</v>
      </c>
      <c r="J18" s="54">
        <f t="shared" si="5"/>
        <v>126.75</v>
      </c>
      <c r="K18" s="54">
        <f t="shared" si="5"/>
        <v>7079.9499999999989</v>
      </c>
      <c r="L18" s="54">
        <f t="shared" si="5"/>
        <v>0</v>
      </c>
      <c r="M18" s="54">
        <f t="shared" si="5"/>
        <v>6448.1339285714275</v>
      </c>
      <c r="N18" s="54">
        <f t="shared" si="5"/>
        <v>758.56607142857138</v>
      </c>
      <c r="O18" s="54">
        <f t="shared" si="5"/>
        <v>0</v>
      </c>
      <c r="P18" s="54">
        <f t="shared" si="5"/>
        <v>5772.24</v>
      </c>
      <c r="Q18" s="54">
        <f t="shared" si="5"/>
        <v>675.88</v>
      </c>
      <c r="R18" s="54">
        <f t="shared" si="5"/>
        <v>0</v>
      </c>
      <c r="S18" s="54">
        <f t="shared" si="5"/>
        <v>0</v>
      </c>
      <c r="T18" s="54">
        <f t="shared" si="5"/>
        <v>0</v>
      </c>
      <c r="U18" s="54">
        <f t="shared" si="5"/>
        <v>0</v>
      </c>
      <c r="V18" s="54">
        <f t="shared" si="5"/>
        <v>0</v>
      </c>
      <c r="W18" s="54">
        <f t="shared" si="5"/>
        <v>0</v>
      </c>
      <c r="X18" s="54">
        <f t="shared" si="5"/>
        <v>0</v>
      </c>
      <c r="Y18" s="54">
        <f t="shared" si="5"/>
        <v>0</v>
      </c>
      <c r="Z18" s="54">
        <f t="shared" si="5"/>
        <v>0</v>
      </c>
      <c r="AA18" s="54">
        <f t="shared" si="5"/>
        <v>0</v>
      </c>
      <c r="AB18" s="54">
        <f t="shared" si="5"/>
        <v>0</v>
      </c>
      <c r="AC18" s="54">
        <f t="shared" si="5"/>
        <v>0</v>
      </c>
      <c r="AD18" s="54">
        <f t="shared" si="5"/>
        <v>0</v>
      </c>
      <c r="AE18" s="54">
        <f t="shared" si="5"/>
        <v>0</v>
      </c>
      <c r="AF18" s="54">
        <f t="shared" si="5"/>
        <v>-7206.6860714285722</v>
      </c>
      <c r="AG18" s="54">
        <f t="shared" si="5"/>
        <v>1.3928571429090653E-2</v>
      </c>
    </row>
    <row r="25" spans="1:33" x14ac:dyDescent="0.25">
      <c r="Q25" s="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23"/>
  <sheetViews>
    <sheetView topLeftCell="A5" zoomScale="90" zoomScaleNormal="90" workbookViewId="0">
      <selection activeCell="G19" sqref="A19:XFD27"/>
    </sheetView>
  </sheetViews>
  <sheetFormatPr defaultRowHeight="13.2" x14ac:dyDescent="0.25"/>
  <cols>
    <col min="1" max="1" width="10.21875" style="1" customWidth="1"/>
    <col min="2" max="2" width="9.21875" style="2" hidden="1" customWidth="1"/>
    <col min="3" max="3" width="30.21875" style="3" customWidth="1"/>
    <col min="4" max="4" width="17.6640625" style="4" hidden="1" customWidth="1"/>
    <col min="5" max="5" width="35.33203125" style="4" hidden="1" customWidth="1"/>
    <col min="6" max="6" width="9.88671875" style="2" customWidth="1"/>
    <col min="7" max="7" width="39.77734375" style="3" customWidth="1"/>
    <col min="8" max="8" width="13.88671875" style="5" customWidth="1"/>
    <col min="9" max="9" width="10.6640625" style="5" hidden="1" customWidth="1"/>
    <col min="10" max="10" width="12.21875" style="5" customWidth="1"/>
    <col min="11" max="11" width="13.109375" style="5" customWidth="1"/>
    <col min="12" max="12" width="9.88671875" style="6" hidden="1" customWidth="1"/>
    <col min="13" max="13" width="12.21875" style="5" customWidth="1"/>
    <col min="14" max="14" width="10.77734375" style="5" customWidth="1"/>
    <col min="15" max="15" width="11.33203125" style="5" hidden="1" customWidth="1"/>
    <col min="16" max="16" width="12.44140625" style="5" customWidth="1"/>
    <col min="17" max="17" width="9.88671875" style="5" customWidth="1"/>
    <col min="18" max="18" width="13.44140625" style="5" customWidth="1"/>
    <col min="19" max="19" width="10.21875" style="5" customWidth="1"/>
    <col min="20" max="20" width="11.5546875" style="5"/>
    <col min="21" max="21" width="11.5546875" style="5" hidden="1"/>
    <col min="22" max="22" width="13.33203125" style="5" hidden="1" customWidth="1"/>
    <col min="23" max="23" width="10.21875" style="5" hidden="1" customWidth="1"/>
    <col min="24" max="24" width="12.44140625" style="5" hidden="1" customWidth="1"/>
    <col min="25" max="25" width="11.6640625" style="5" hidden="1" customWidth="1"/>
    <col min="26" max="26" width="10.44140625" style="5" customWidth="1"/>
    <col min="27" max="27" width="11" style="5" customWidth="1"/>
    <col min="28" max="28" width="12.109375" style="5" customWidth="1"/>
    <col min="29" max="30" width="10.109375" style="5" hidden="1" customWidth="1"/>
    <col min="31" max="31" width="12.77734375" style="5" hidden="1" customWidth="1"/>
    <col min="32" max="32" width="13.44140625" style="5" customWidth="1"/>
    <col min="33" max="33" width="13.44140625" style="3" customWidth="1"/>
    <col min="34" max="1025" width="11.5546875" style="3"/>
  </cols>
  <sheetData>
    <row r="1" spans="1:33" ht="12" customHeight="1" x14ac:dyDescent="0.25">
      <c r="A1" s="7" t="s">
        <v>0</v>
      </c>
      <c r="C1" s="8"/>
    </row>
    <row r="2" spans="1:33" ht="12" customHeight="1" x14ac:dyDescent="0.25">
      <c r="A2" s="7" t="s">
        <v>1</v>
      </c>
    </row>
    <row r="3" spans="1:33" ht="12" customHeight="1" x14ac:dyDescent="0.25">
      <c r="A3" s="7" t="s">
        <v>463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/>
      <c r="W3" s="10"/>
      <c r="X3" s="10"/>
      <c r="Y3" s="10" t="s">
        <v>3</v>
      </c>
      <c r="Z3" s="10"/>
      <c r="AA3" s="10">
        <v>6230</v>
      </c>
      <c r="AB3" s="10" t="s">
        <v>4</v>
      </c>
      <c r="AC3" s="10">
        <v>6202</v>
      </c>
      <c r="AD3" s="10"/>
      <c r="AE3" s="10">
        <v>6109</v>
      </c>
      <c r="AF3" s="10">
        <v>1002</v>
      </c>
    </row>
    <row r="4" spans="1:33" s="17" customFormat="1" ht="43.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pans="1:33" s="29" customFormat="1" ht="23.25" customHeight="1" x14ac:dyDescent="0.2">
      <c r="A5" s="18">
        <v>43557</v>
      </c>
      <c r="B5" s="19"/>
      <c r="C5" s="20" t="s">
        <v>37</v>
      </c>
      <c r="D5" s="20" t="s">
        <v>38</v>
      </c>
      <c r="E5" s="20" t="s">
        <v>39</v>
      </c>
      <c r="F5" s="21">
        <v>34939</v>
      </c>
      <c r="G5" s="44" t="s">
        <v>288</v>
      </c>
      <c r="H5" s="23"/>
      <c r="I5" s="23"/>
      <c r="J5" s="23"/>
      <c r="K5" s="23">
        <v>320</v>
      </c>
      <c r="L5" s="24"/>
      <c r="M5" s="25">
        <f t="shared" ref="M5:M17" si="0">SUM(H5:J5,K5/1.12)</f>
        <v>285.71428571428567</v>
      </c>
      <c r="N5" s="25">
        <f t="shared" ref="N5:N17" si="1">K5/1.12*0.12</f>
        <v>34.285714285714278</v>
      </c>
      <c r="O5" s="25">
        <f t="shared" ref="O5:O17" si="2">-SUM(I5:J5,K5/1.12)*L5</f>
        <v>0</v>
      </c>
      <c r="P5" s="25"/>
      <c r="Q5" s="26"/>
      <c r="R5" s="26"/>
      <c r="S5" s="27">
        <v>285.70999999999998</v>
      </c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>
        <f t="shared" ref="AF5:AF17" si="3">-SUM(N5:AE5)</f>
        <v>-319.99571428571426</v>
      </c>
      <c r="AG5" s="28">
        <f t="shared" ref="AG5:AG17" si="4">SUM(H5:K5)+AF5+O5</f>
        <v>4.2857142857428698E-3</v>
      </c>
    </row>
    <row r="6" spans="1:33" s="29" customFormat="1" ht="23.25" customHeight="1" x14ac:dyDescent="0.2">
      <c r="A6" s="18">
        <v>43557</v>
      </c>
      <c r="B6" s="19"/>
      <c r="C6" s="20" t="s">
        <v>62</v>
      </c>
      <c r="D6" s="20"/>
      <c r="E6" s="20"/>
      <c r="F6" s="21"/>
      <c r="G6" s="44" t="s">
        <v>466</v>
      </c>
      <c r="H6" s="23">
        <v>40</v>
      </c>
      <c r="I6" s="23"/>
      <c r="J6" s="23"/>
      <c r="K6" s="23"/>
      <c r="L6" s="24"/>
      <c r="M6" s="25">
        <f t="shared" si="0"/>
        <v>40</v>
      </c>
      <c r="N6" s="25">
        <f t="shared" si="1"/>
        <v>0</v>
      </c>
      <c r="O6" s="25">
        <f t="shared" si="2"/>
        <v>0</v>
      </c>
      <c r="P6" s="25"/>
      <c r="Q6" s="26"/>
      <c r="R6" s="26"/>
      <c r="S6" s="27"/>
      <c r="T6" s="27"/>
      <c r="U6" s="27"/>
      <c r="V6" s="27"/>
      <c r="W6" s="27"/>
      <c r="X6" s="26"/>
      <c r="Y6" s="26"/>
      <c r="Z6" s="26"/>
      <c r="AA6" s="26">
        <v>40</v>
      </c>
      <c r="AB6" s="27"/>
      <c r="AC6" s="27"/>
      <c r="AD6" s="26"/>
      <c r="AE6" s="26"/>
      <c r="AF6" s="25">
        <f t="shared" si="3"/>
        <v>-40</v>
      </c>
      <c r="AG6" s="28">
        <f t="shared" si="4"/>
        <v>0</v>
      </c>
    </row>
    <row r="7" spans="1:33" s="29" customFormat="1" ht="23.25" customHeight="1" x14ac:dyDescent="0.2">
      <c r="A7" s="18">
        <v>43557</v>
      </c>
      <c r="B7" s="19"/>
      <c r="C7" s="20" t="s">
        <v>157</v>
      </c>
      <c r="D7" s="20"/>
      <c r="E7" s="20"/>
      <c r="F7" s="21"/>
      <c r="G7" s="44" t="s">
        <v>467</v>
      </c>
      <c r="H7" s="23">
        <v>300</v>
      </c>
      <c r="I7" s="23"/>
      <c r="J7" s="23"/>
      <c r="K7" s="23"/>
      <c r="L7" s="24"/>
      <c r="M7" s="25">
        <f t="shared" si="0"/>
        <v>300</v>
      </c>
      <c r="N7" s="25">
        <f t="shared" si="1"/>
        <v>0</v>
      </c>
      <c r="O7" s="25">
        <f t="shared" si="2"/>
        <v>0</v>
      </c>
      <c r="P7" s="25"/>
      <c r="Q7" s="26"/>
      <c r="R7" s="26"/>
      <c r="S7" s="27"/>
      <c r="T7" s="27"/>
      <c r="U7" s="27"/>
      <c r="V7" s="27"/>
      <c r="W7" s="27"/>
      <c r="X7" s="26"/>
      <c r="Y7" s="26"/>
      <c r="Z7" s="26"/>
      <c r="AA7" s="26">
        <v>300</v>
      </c>
      <c r="AB7" s="27"/>
      <c r="AC7" s="27"/>
      <c r="AD7" s="26"/>
      <c r="AE7" s="26"/>
      <c r="AF7" s="25">
        <f t="shared" si="3"/>
        <v>-300</v>
      </c>
      <c r="AG7" s="28">
        <f t="shared" si="4"/>
        <v>0</v>
      </c>
    </row>
    <row r="8" spans="1:33" s="29" customFormat="1" ht="23.25" customHeight="1" x14ac:dyDescent="0.2">
      <c r="A8" s="18">
        <v>43558</v>
      </c>
      <c r="B8" s="19"/>
      <c r="C8" s="20" t="s">
        <v>347</v>
      </c>
      <c r="D8" s="20"/>
      <c r="E8" s="20"/>
      <c r="F8" s="21"/>
      <c r="G8" s="44" t="s">
        <v>177</v>
      </c>
      <c r="H8" s="23">
        <v>537</v>
      </c>
      <c r="I8" s="23"/>
      <c r="J8" s="23"/>
      <c r="K8" s="23"/>
      <c r="L8" s="24"/>
      <c r="M8" s="25">
        <f t="shared" si="0"/>
        <v>537</v>
      </c>
      <c r="N8" s="25">
        <f t="shared" si="1"/>
        <v>0</v>
      </c>
      <c r="O8" s="25">
        <f t="shared" si="2"/>
        <v>0</v>
      </c>
      <c r="P8" s="25"/>
      <c r="Q8" s="26"/>
      <c r="R8" s="26"/>
      <c r="S8" s="27"/>
      <c r="T8" s="27"/>
      <c r="U8" s="27"/>
      <c r="V8" s="27"/>
      <c r="W8" s="27"/>
      <c r="X8" s="26"/>
      <c r="Y8" s="26"/>
      <c r="Z8" s="26"/>
      <c r="AA8" s="26"/>
      <c r="AB8" s="27">
        <v>537</v>
      </c>
      <c r="AC8" s="27"/>
      <c r="AD8" s="26"/>
      <c r="AE8" s="26"/>
      <c r="AF8" s="25">
        <f t="shared" si="3"/>
        <v>-537</v>
      </c>
      <c r="AG8" s="28">
        <f t="shared" si="4"/>
        <v>0</v>
      </c>
    </row>
    <row r="9" spans="1:33" s="29" customFormat="1" ht="23.25" customHeight="1" x14ac:dyDescent="0.2">
      <c r="A9" s="18">
        <v>43559</v>
      </c>
      <c r="B9" s="19"/>
      <c r="C9" s="20" t="s">
        <v>277</v>
      </c>
      <c r="D9" s="20"/>
      <c r="E9" s="20"/>
      <c r="F9" s="21"/>
      <c r="G9" s="44" t="s">
        <v>177</v>
      </c>
      <c r="H9" s="23">
        <v>537</v>
      </c>
      <c r="I9" s="23"/>
      <c r="J9" s="23"/>
      <c r="K9" s="23"/>
      <c r="L9" s="24"/>
      <c r="M9" s="25">
        <f t="shared" si="0"/>
        <v>537</v>
      </c>
      <c r="N9" s="25">
        <f t="shared" si="1"/>
        <v>0</v>
      </c>
      <c r="O9" s="25">
        <f t="shared" si="2"/>
        <v>0</v>
      </c>
      <c r="P9" s="25"/>
      <c r="Q9" s="26"/>
      <c r="R9" s="26"/>
      <c r="S9" s="27"/>
      <c r="T9" s="27"/>
      <c r="U9" s="27"/>
      <c r="V9" s="27"/>
      <c r="W9" s="27"/>
      <c r="X9" s="26"/>
      <c r="Y9" s="26"/>
      <c r="Z9" s="26"/>
      <c r="AA9" s="26"/>
      <c r="AB9" s="27">
        <v>537</v>
      </c>
      <c r="AC9" s="27"/>
      <c r="AD9" s="26"/>
      <c r="AE9" s="26"/>
      <c r="AF9" s="25">
        <f t="shared" si="3"/>
        <v>-537</v>
      </c>
      <c r="AG9" s="28">
        <f t="shared" si="4"/>
        <v>0</v>
      </c>
    </row>
    <row r="10" spans="1:33" s="29" customFormat="1" ht="23.25" customHeight="1" x14ac:dyDescent="0.2">
      <c r="A10" s="18">
        <v>43559</v>
      </c>
      <c r="B10" s="19"/>
      <c r="C10" s="20" t="s">
        <v>185</v>
      </c>
      <c r="D10" s="20" t="s">
        <v>106</v>
      </c>
      <c r="E10" s="20" t="s">
        <v>47</v>
      </c>
      <c r="F10" s="21">
        <v>701207</v>
      </c>
      <c r="G10" s="44" t="s">
        <v>471</v>
      </c>
      <c r="H10" s="23"/>
      <c r="I10" s="23"/>
      <c r="J10" s="23"/>
      <c r="K10" s="23">
        <v>218.25</v>
      </c>
      <c r="L10" s="24"/>
      <c r="M10" s="25">
        <f t="shared" si="0"/>
        <v>194.86607142857142</v>
      </c>
      <c r="N10" s="25">
        <f t="shared" si="1"/>
        <v>23.383928571428569</v>
      </c>
      <c r="O10" s="25">
        <f t="shared" si="2"/>
        <v>0</v>
      </c>
      <c r="P10" s="25"/>
      <c r="Q10" s="26"/>
      <c r="R10" s="26"/>
      <c r="S10" s="27"/>
      <c r="T10" s="27">
        <v>194.87</v>
      </c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>
        <f t="shared" si="3"/>
        <v>-218.25392857142856</v>
      </c>
      <c r="AG10" s="28">
        <f t="shared" si="4"/>
        <v>-3.9285714285597351E-3</v>
      </c>
    </row>
    <row r="11" spans="1:33" s="29" customFormat="1" ht="23.25" customHeight="1" x14ac:dyDescent="0.2">
      <c r="A11" s="18">
        <v>43561</v>
      </c>
      <c r="B11" s="19"/>
      <c r="C11" s="20" t="s">
        <v>37</v>
      </c>
      <c r="D11" s="20" t="s">
        <v>38</v>
      </c>
      <c r="E11" s="20" t="s">
        <v>39</v>
      </c>
      <c r="F11" s="21">
        <v>35018</v>
      </c>
      <c r="G11" s="44" t="s">
        <v>473</v>
      </c>
      <c r="H11" s="23"/>
      <c r="I11" s="23"/>
      <c r="J11" s="23"/>
      <c r="K11" s="23">
        <v>105</v>
      </c>
      <c r="L11" s="24"/>
      <c r="M11" s="25">
        <f t="shared" si="0"/>
        <v>93.749999999999986</v>
      </c>
      <c r="N11" s="25">
        <f t="shared" si="1"/>
        <v>11.249999999999998</v>
      </c>
      <c r="O11" s="25">
        <f t="shared" si="2"/>
        <v>0</v>
      </c>
      <c r="P11" s="25"/>
      <c r="Q11" s="26"/>
      <c r="R11" s="26"/>
      <c r="S11" s="27">
        <v>93.75</v>
      </c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>
        <f t="shared" si="3"/>
        <v>-105</v>
      </c>
      <c r="AG11" s="28">
        <f t="shared" si="4"/>
        <v>0</v>
      </c>
    </row>
    <row r="12" spans="1:33" s="29" customFormat="1" ht="23.25" customHeight="1" x14ac:dyDescent="0.2">
      <c r="A12" s="18">
        <v>43563</v>
      </c>
      <c r="B12" s="19"/>
      <c r="C12" s="20" t="s">
        <v>474</v>
      </c>
      <c r="D12" s="20" t="s">
        <v>475</v>
      </c>
      <c r="E12" s="20" t="s">
        <v>47</v>
      </c>
      <c r="F12" s="21">
        <v>42741</v>
      </c>
      <c r="G12" s="44" t="s">
        <v>476</v>
      </c>
      <c r="H12" s="23"/>
      <c r="I12" s="23"/>
      <c r="J12" s="23"/>
      <c r="K12" s="23">
        <v>2000</v>
      </c>
      <c r="L12" s="24"/>
      <c r="M12" s="25">
        <f t="shared" si="0"/>
        <v>1785.7142857142856</v>
      </c>
      <c r="N12" s="25">
        <f t="shared" si="1"/>
        <v>214.28571428571425</v>
      </c>
      <c r="O12" s="25">
        <f t="shared" si="2"/>
        <v>0</v>
      </c>
      <c r="P12" s="25"/>
      <c r="Q12" s="26"/>
      <c r="R12" s="26">
        <v>1785.71</v>
      </c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>
        <f t="shared" si="3"/>
        <v>-1999.9957142857143</v>
      </c>
      <c r="AG12" s="28">
        <f t="shared" si="4"/>
        <v>4.2857142857428698E-3</v>
      </c>
    </row>
    <row r="13" spans="1:33" s="29" customFormat="1" ht="23.25" customHeight="1" x14ac:dyDescent="0.2">
      <c r="A13" s="18">
        <v>43563</v>
      </c>
      <c r="B13" s="19"/>
      <c r="C13" s="20" t="s">
        <v>478</v>
      </c>
      <c r="D13" s="20"/>
      <c r="E13" s="20" t="s">
        <v>47</v>
      </c>
      <c r="F13" s="21"/>
      <c r="G13" s="44" t="s">
        <v>479</v>
      </c>
      <c r="H13" s="23">
        <v>20</v>
      </c>
      <c r="I13" s="23"/>
      <c r="J13" s="23"/>
      <c r="K13" s="23"/>
      <c r="L13" s="24"/>
      <c r="M13" s="25">
        <f t="shared" si="0"/>
        <v>20</v>
      </c>
      <c r="N13" s="25">
        <f t="shared" si="1"/>
        <v>0</v>
      </c>
      <c r="O13" s="25">
        <f t="shared" si="2"/>
        <v>0</v>
      </c>
      <c r="P13" s="25"/>
      <c r="Q13" s="26"/>
      <c r="R13" s="26"/>
      <c r="S13" s="27"/>
      <c r="T13" s="27"/>
      <c r="U13" s="27"/>
      <c r="V13" s="27"/>
      <c r="W13" s="27"/>
      <c r="X13" s="26"/>
      <c r="Y13" s="26"/>
      <c r="Z13" s="26">
        <v>20</v>
      </c>
      <c r="AA13" s="26"/>
      <c r="AB13" s="27"/>
      <c r="AC13" s="27"/>
      <c r="AD13" s="26"/>
      <c r="AE13" s="26"/>
      <c r="AF13" s="25">
        <f t="shared" si="3"/>
        <v>-20</v>
      </c>
      <c r="AG13" s="28">
        <f t="shared" si="4"/>
        <v>0</v>
      </c>
    </row>
    <row r="14" spans="1:33" s="29" customFormat="1" ht="23.25" customHeight="1" x14ac:dyDescent="0.2">
      <c r="A14" s="18">
        <v>43563</v>
      </c>
      <c r="B14" s="19"/>
      <c r="C14" s="20" t="s">
        <v>480</v>
      </c>
      <c r="D14" s="20" t="s">
        <v>481</v>
      </c>
      <c r="E14" s="20" t="s">
        <v>482</v>
      </c>
      <c r="F14" s="21">
        <v>50489</v>
      </c>
      <c r="G14" s="44" t="s">
        <v>483</v>
      </c>
      <c r="H14" s="23"/>
      <c r="I14" s="23"/>
      <c r="J14" s="23"/>
      <c r="K14" s="23">
        <v>200</v>
      </c>
      <c r="L14" s="24"/>
      <c r="M14" s="25">
        <f t="shared" si="0"/>
        <v>178.57142857142856</v>
      </c>
      <c r="N14" s="25">
        <f t="shared" si="1"/>
        <v>21.428571428571427</v>
      </c>
      <c r="O14" s="25">
        <f t="shared" si="2"/>
        <v>0</v>
      </c>
      <c r="P14" s="25"/>
      <c r="Q14" s="26"/>
      <c r="R14" s="26"/>
      <c r="S14" s="27"/>
      <c r="T14" s="27"/>
      <c r="U14" s="27"/>
      <c r="V14" s="27"/>
      <c r="W14" s="27"/>
      <c r="X14" s="26"/>
      <c r="Y14" s="26"/>
      <c r="Z14" s="26">
        <v>178.57</v>
      </c>
      <c r="AA14" s="26"/>
      <c r="AB14" s="27"/>
      <c r="AC14" s="27"/>
      <c r="AD14" s="26"/>
      <c r="AE14" s="26"/>
      <c r="AF14" s="25">
        <f t="shared" si="3"/>
        <v>-199.99857142857141</v>
      </c>
      <c r="AG14" s="28">
        <f t="shared" si="4"/>
        <v>1.4285714285904305E-3</v>
      </c>
    </row>
    <row r="15" spans="1:33" s="29" customFormat="1" ht="23.25" customHeight="1" x14ac:dyDescent="0.2">
      <c r="A15" s="18">
        <v>43563</v>
      </c>
      <c r="B15" s="19"/>
      <c r="C15" s="20" t="s">
        <v>480</v>
      </c>
      <c r="D15" s="20" t="s">
        <v>481</v>
      </c>
      <c r="E15" s="20" t="s">
        <v>482</v>
      </c>
      <c r="F15" s="21">
        <v>50489</v>
      </c>
      <c r="G15" s="44" t="s">
        <v>484</v>
      </c>
      <c r="H15" s="23"/>
      <c r="I15" s="23"/>
      <c r="J15" s="23"/>
      <c r="K15" s="23">
        <v>120</v>
      </c>
      <c r="L15" s="24"/>
      <c r="M15" s="25">
        <f t="shared" si="0"/>
        <v>107.14285714285714</v>
      </c>
      <c r="N15" s="25">
        <f t="shared" si="1"/>
        <v>12.857142857142856</v>
      </c>
      <c r="O15" s="25">
        <f t="shared" si="2"/>
        <v>0</v>
      </c>
      <c r="P15" s="25"/>
      <c r="Q15" s="26"/>
      <c r="R15" s="26"/>
      <c r="S15" s="27"/>
      <c r="T15" s="27"/>
      <c r="U15" s="27"/>
      <c r="V15" s="27"/>
      <c r="W15" s="27"/>
      <c r="X15" s="26"/>
      <c r="Y15" s="26"/>
      <c r="Z15" s="26">
        <v>107.14</v>
      </c>
      <c r="AA15" s="26"/>
      <c r="AB15" s="27"/>
      <c r="AC15" s="27"/>
      <c r="AD15" s="26"/>
      <c r="AE15" s="26"/>
      <c r="AF15" s="25">
        <f t="shared" si="3"/>
        <v>-119.99714285714286</v>
      </c>
      <c r="AG15" s="28">
        <f t="shared" si="4"/>
        <v>2.8571428571382285E-3</v>
      </c>
    </row>
    <row r="16" spans="1:33" s="29" customFormat="1" ht="23.25" customHeight="1" x14ac:dyDescent="0.2">
      <c r="A16" s="18">
        <v>43563</v>
      </c>
      <c r="B16" s="19"/>
      <c r="C16" s="20" t="s">
        <v>154</v>
      </c>
      <c r="D16" s="20"/>
      <c r="E16" s="20"/>
      <c r="F16" s="21"/>
      <c r="G16" s="44" t="s">
        <v>485</v>
      </c>
      <c r="H16" s="23">
        <v>9</v>
      </c>
      <c r="I16" s="23"/>
      <c r="J16" s="23"/>
      <c r="K16" s="23"/>
      <c r="L16" s="24"/>
      <c r="M16" s="25">
        <f t="shared" si="0"/>
        <v>9</v>
      </c>
      <c r="N16" s="25">
        <f t="shared" si="1"/>
        <v>0</v>
      </c>
      <c r="O16" s="25">
        <f t="shared" si="2"/>
        <v>0</v>
      </c>
      <c r="P16" s="25"/>
      <c r="Q16" s="26"/>
      <c r="R16" s="26"/>
      <c r="S16" s="27"/>
      <c r="T16" s="27"/>
      <c r="U16" s="27"/>
      <c r="V16" s="27"/>
      <c r="W16" s="27"/>
      <c r="X16" s="26"/>
      <c r="Y16" s="26"/>
      <c r="Z16" s="26"/>
      <c r="AA16" s="26">
        <v>9</v>
      </c>
      <c r="AB16" s="27"/>
      <c r="AC16" s="27"/>
      <c r="AD16" s="26"/>
      <c r="AE16" s="26"/>
      <c r="AF16" s="25">
        <f t="shared" si="3"/>
        <v>-9</v>
      </c>
      <c r="AG16" s="28">
        <f t="shared" si="4"/>
        <v>0</v>
      </c>
    </row>
    <row r="17" spans="1:33" s="29" customFormat="1" ht="19.5" customHeight="1" x14ac:dyDescent="0.2">
      <c r="A17" s="18"/>
      <c r="B17" s="19"/>
      <c r="C17" s="45"/>
      <c r="D17" s="45"/>
      <c r="E17" s="45"/>
      <c r="F17" s="21"/>
      <c r="G17" s="22"/>
      <c r="H17" s="23"/>
      <c r="I17" s="23"/>
      <c r="J17" s="23"/>
      <c r="K17" s="23"/>
      <c r="L17" s="24"/>
      <c r="M17" s="26">
        <f t="shared" si="0"/>
        <v>0</v>
      </c>
      <c r="N17" s="26">
        <f t="shared" si="1"/>
        <v>0</v>
      </c>
      <c r="O17" s="26">
        <f t="shared" si="2"/>
        <v>0</v>
      </c>
      <c r="P17" s="26"/>
      <c r="Q17" s="26"/>
      <c r="R17" s="26"/>
      <c r="S17" s="26"/>
      <c r="T17" s="27"/>
      <c r="U17" s="27"/>
      <c r="V17" s="27"/>
      <c r="W17" s="27"/>
      <c r="X17" s="27"/>
      <c r="Y17" s="46"/>
      <c r="Z17" s="26"/>
      <c r="AA17" s="26"/>
      <c r="AB17" s="26"/>
      <c r="AC17" s="27"/>
      <c r="AD17" s="27"/>
      <c r="AE17" s="47"/>
      <c r="AF17" s="25">
        <f t="shared" si="3"/>
        <v>0</v>
      </c>
      <c r="AG17" s="28">
        <f t="shared" si="4"/>
        <v>0</v>
      </c>
    </row>
    <row r="18" spans="1:33" s="57" customFormat="1" ht="12" customHeight="1" x14ac:dyDescent="0.2">
      <c r="A18" s="49"/>
      <c r="B18" s="50"/>
      <c r="C18" s="51"/>
      <c r="D18" s="52"/>
      <c r="E18" s="52"/>
      <c r="F18" s="53"/>
      <c r="G18" s="51"/>
      <c r="H18" s="54">
        <f t="shared" ref="H18:AG18" si="5">SUM(H5:H17)</f>
        <v>1443</v>
      </c>
      <c r="I18" s="54">
        <f t="shared" si="5"/>
        <v>0</v>
      </c>
      <c r="J18" s="54">
        <f t="shared" si="5"/>
        <v>0</v>
      </c>
      <c r="K18" s="54">
        <f t="shared" si="5"/>
        <v>2963.25</v>
      </c>
      <c r="L18" s="54">
        <f t="shared" si="5"/>
        <v>0</v>
      </c>
      <c r="M18" s="54">
        <f t="shared" si="5"/>
        <v>4088.7589285714284</v>
      </c>
      <c r="N18" s="54">
        <f t="shared" si="5"/>
        <v>317.49107142857139</v>
      </c>
      <c r="O18" s="54">
        <f t="shared" si="5"/>
        <v>0</v>
      </c>
      <c r="P18" s="54">
        <f t="shared" si="5"/>
        <v>0</v>
      </c>
      <c r="Q18" s="54">
        <f t="shared" si="5"/>
        <v>0</v>
      </c>
      <c r="R18" s="54">
        <f t="shared" si="5"/>
        <v>1785.71</v>
      </c>
      <c r="S18" s="54">
        <f t="shared" si="5"/>
        <v>379.46</v>
      </c>
      <c r="T18" s="54">
        <f t="shared" si="5"/>
        <v>194.87</v>
      </c>
      <c r="U18" s="54">
        <f t="shared" si="5"/>
        <v>0</v>
      </c>
      <c r="V18" s="54">
        <f t="shared" si="5"/>
        <v>0</v>
      </c>
      <c r="W18" s="54">
        <f t="shared" si="5"/>
        <v>0</v>
      </c>
      <c r="X18" s="54">
        <f t="shared" si="5"/>
        <v>0</v>
      </c>
      <c r="Y18" s="54">
        <f t="shared" si="5"/>
        <v>0</v>
      </c>
      <c r="Z18" s="54">
        <f t="shared" si="5"/>
        <v>305.70999999999998</v>
      </c>
      <c r="AA18" s="54">
        <f t="shared" si="5"/>
        <v>349</v>
      </c>
      <c r="AB18" s="54">
        <f t="shared" si="5"/>
        <v>1074</v>
      </c>
      <c r="AC18" s="54">
        <f t="shared" si="5"/>
        <v>0</v>
      </c>
      <c r="AD18" s="54">
        <f t="shared" si="5"/>
        <v>0</v>
      </c>
      <c r="AE18" s="54">
        <f t="shared" si="5"/>
        <v>0</v>
      </c>
      <c r="AF18" s="54">
        <f t="shared" si="5"/>
        <v>-4406.2410714285716</v>
      </c>
      <c r="AG18" s="54">
        <f t="shared" si="5"/>
        <v>8.9285714286546636E-3</v>
      </c>
    </row>
    <row r="23" spans="1:33" x14ac:dyDescent="0.25">
      <c r="Q23" s="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143"/>
  <sheetViews>
    <sheetView topLeftCell="A133" zoomScale="90" zoomScaleNormal="90" workbookViewId="0">
      <selection activeCell="E138" sqref="A138:XFD145"/>
    </sheetView>
  </sheetViews>
  <sheetFormatPr defaultRowHeight="13.2" x14ac:dyDescent="0.25"/>
  <cols>
    <col min="1" max="1" width="10.21875" style="1" customWidth="1"/>
    <col min="2" max="2" width="9.21875" style="2" hidden="1" customWidth="1"/>
    <col min="3" max="3" width="30.21875" style="3" customWidth="1"/>
    <col min="4" max="4" width="17.6640625" style="4" customWidth="1"/>
    <col min="5" max="5" width="35.33203125" style="4" customWidth="1"/>
    <col min="6" max="6" width="9.88671875" style="2" customWidth="1"/>
    <col min="7" max="7" width="39.77734375" style="3" customWidth="1"/>
    <col min="8" max="8" width="13.88671875" style="5" customWidth="1"/>
    <col min="9" max="9" width="10.6640625" style="5" customWidth="1"/>
    <col min="10" max="10" width="12.21875" style="5" customWidth="1"/>
    <col min="11" max="11" width="13.109375" style="5" customWidth="1"/>
    <col min="12" max="12" width="9.88671875" style="6" customWidth="1"/>
    <col min="13" max="13" width="12.21875" style="5" customWidth="1"/>
    <col min="14" max="14" width="10.77734375" style="5" customWidth="1"/>
    <col min="15" max="15" width="11.33203125" style="5" customWidth="1"/>
    <col min="16" max="16" width="12.44140625" style="5" customWidth="1"/>
    <col min="17" max="17" width="9.88671875" style="5" customWidth="1"/>
    <col min="18" max="18" width="13.44140625" style="5" customWidth="1"/>
    <col min="19" max="19" width="10.21875" style="5" customWidth="1"/>
    <col min="20" max="21" width="11.5546875" style="5"/>
    <col min="22" max="22" width="13.33203125" style="5" customWidth="1"/>
    <col min="23" max="23" width="10.21875" style="5" customWidth="1"/>
    <col min="24" max="24" width="12.44140625" style="5" customWidth="1"/>
    <col min="25" max="25" width="11.6640625" style="5" customWidth="1"/>
    <col min="26" max="26" width="10.44140625" style="5" customWidth="1"/>
    <col min="27" max="27" width="11" style="5" customWidth="1"/>
    <col min="28" max="28" width="12.109375" style="5" customWidth="1"/>
    <col min="29" max="30" width="10.109375" style="5" customWidth="1"/>
    <col min="31" max="31" width="12.77734375" style="5" customWidth="1"/>
    <col min="32" max="32" width="13.44140625" style="5" customWidth="1"/>
    <col min="33" max="33" width="13.44140625" style="3" customWidth="1"/>
    <col min="34" max="1025" width="11.5546875" style="3"/>
  </cols>
  <sheetData>
    <row r="1" spans="1:33" ht="12" customHeight="1" x14ac:dyDescent="0.25">
      <c r="A1" s="7" t="s">
        <v>0</v>
      </c>
      <c r="C1" s="8"/>
    </row>
    <row r="2" spans="1:33" ht="12" customHeight="1" x14ac:dyDescent="0.25">
      <c r="A2" s="7" t="s">
        <v>1</v>
      </c>
    </row>
    <row r="3" spans="1:33" ht="12" customHeight="1" x14ac:dyDescent="0.25">
      <c r="A3" s="7" t="s">
        <v>540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/>
      <c r="W3" s="10"/>
      <c r="X3" s="10"/>
      <c r="Y3" s="10" t="s">
        <v>3</v>
      </c>
      <c r="Z3" s="10"/>
      <c r="AA3" s="10">
        <v>6230</v>
      </c>
      <c r="AB3" s="10" t="s">
        <v>4</v>
      </c>
      <c r="AC3" s="10">
        <v>6202</v>
      </c>
      <c r="AD3" s="10"/>
      <c r="AE3" s="10">
        <v>6109</v>
      </c>
      <c r="AF3" s="10">
        <v>1002</v>
      </c>
    </row>
    <row r="4" spans="1:33" s="17" customFormat="1" ht="43.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pans="1:33" s="29" customFormat="1" ht="23.25" customHeight="1" x14ac:dyDescent="0.2">
      <c r="A5" s="18">
        <v>43587</v>
      </c>
      <c r="B5" s="19"/>
      <c r="C5" s="20" t="s">
        <v>41</v>
      </c>
      <c r="D5" s="20" t="s">
        <v>42</v>
      </c>
      <c r="E5" s="20" t="s">
        <v>43</v>
      </c>
      <c r="F5" s="21">
        <v>96701</v>
      </c>
      <c r="G5" s="62" t="s">
        <v>44</v>
      </c>
      <c r="H5" s="23"/>
      <c r="I5" s="23"/>
      <c r="J5" s="23"/>
      <c r="K5" s="23">
        <v>180</v>
      </c>
      <c r="L5" s="24"/>
      <c r="M5" s="25">
        <f t="shared" ref="M5:M36" si="0">SUM(H5:J5,K5/1.12)</f>
        <v>160.71428571428569</v>
      </c>
      <c r="N5" s="25">
        <f t="shared" ref="N5:N36" si="1">K5/1.12*0.12</f>
        <v>19.285714285714281</v>
      </c>
      <c r="O5" s="25">
        <f t="shared" ref="O5:O36" si="2">-SUM(I5:J5,K5/1.12)*L5</f>
        <v>0</v>
      </c>
      <c r="P5" s="25"/>
      <c r="Q5" s="26">
        <v>160.71</v>
      </c>
      <c r="R5" s="26"/>
      <c r="S5" s="27"/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>
        <f t="shared" ref="AF5:AF36" si="3">-SUM(N5:AE5)</f>
        <v>-179.99571428571429</v>
      </c>
      <c r="AG5" s="28">
        <f t="shared" ref="AG5:AG36" si="4">SUM(H5:K5)+AF5+O5</f>
        <v>4.2857142857144481E-3</v>
      </c>
    </row>
    <row r="6" spans="1:33" s="29" customFormat="1" ht="23.25" customHeight="1" x14ac:dyDescent="0.2">
      <c r="A6" s="18">
        <v>43587</v>
      </c>
      <c r="B6" s="19"/>
      <c r="C6" s="20" t="s">
        <v>58</v>
      </c>
      <c r="D6" s="20"/>
      <c r="E6" s="20"/>
      <c r="F6" s="21"/>
      <c r="G6" s="44" t="s">
        <v>541</v>
      </c>
      <c r="H6" s="23"/>
      <c r="I6" s="23"/>
      <c r="J6" s="23">
        <v>50</v>
      </c>
      <c r="K6" s="23"/>
      <c r="L6" s="24"/>
      <c r="M6" s="25">
        <f t="shared" si="0"/>
        <v>50</v>
      </c>
      <c r="N6" s="25">
        <f t="shared" si="1"/>
        <v>0</v>
      </c>
      <c r="O6" s="25">
        <f t="shared" si="2"/>
        <v>0</v>
      </c>
      <c r="P6" s="25"/>
      <c r="Q6" s="26"/>
      <c r="R6" s="26"/>
      <c r="S6" s="27"/>
      <c r="T6" s="27"/>
      <c r="U6" s="27"/>
      <c r="V6" s="27"/>
      <c r="W6" s="27"/>
      <c r="X6" s="26"/>
      <c r="Y6" s="26"/>
      <c r="Z6" s="26">
        <v>50</v>
      </c>
      <c r="AA6" s="26"/>
      <c r="AB6" s="27"/>
      <c r="AC6" s="27"/>
      <c r="AD6" s="26"/>
      <c r="AE6" s="26"/>
      <c r="AF6" s="25">
        <f t="shared" si="3"/>
        <v>-50</v>
      </c>
      <c r="AG6" s="28">
        <f t="shared" si="4"/>
        <v>0</v>
      </c>
    </row>
    <row r="7" spans="1:33" s="29" customFormat="1" ht="23.25" customHeight="1" x14ac:dyDescent="0.2">
      <c r="A7" s="18">
        <v>43587</v>
      </c>
      <c r="B7" s="19"/>
      <c r="C7" s="20" t="s">
        <v>54</v>
      </c>
      <c r="D7" s="20" t="s">
        <v>542</v>
      </c>
      <c r="E7" s="20" t="s">
        <v>56</v>
      </c>
      <c r="F7" s="21">
        <v>3111</v>
      </c>
      <c r="G7" s="44" t="s">
        <v>524</v>
      </c>
      <c r="H7" s="23"/>
      <c r="I7" s="23"/>
      <c r="J7" s="23">
        <v>1680</v>
      </c>
      <c r="K7" s="23"/>
      <c r="L7" s="24"/>
      <c r="M7" s="25">
        <f t="shared" si="0"/>
        <v>1680</v>
      </c>
      <c r="N7" s="25">
        <f t="shared" si="1"/>
        <v>0</v>
      </c>
      <c r="O7" s="25">
        <f t="shared" si="2"/>
        <v>0</v>
      </c>
      <c r="P7" s="25">
        <v>1680</v>
      </c>
      <c r="Q7" s="26"/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>
        <f t="shared" si="3"/>
        <v>-1680</v>
      </c>
      <c r="AG7" s="28">
        <f t="shared" si="4"/>
        <v>0</v>
      </c>
    </row>
    <row r="8" spans="1:33" s="29" customFormat="1" ht="23.25" customHeight="1" x14ac:dyDescent="0.2">
      <c r="A8" s="18">
        <v>43587</v>
      </c>
      <c r="B8" s="19"/>
      <c r="C8" s="20" t="s">
        <v>58</v>
      </c>
      <c r="D8" s="20"/>
      <c r="E8" s="20"/>
      <c r="F8" s="21"/>
      <c r="G8" s="44" t="s">
        <v>543</v>
      </c>
      <c r="H8" s="23">
        <v>100</v>
      </c>
      <c r="I8" s="23"/>
      <c r="J8" s="23"/>
      <c r="K8" s="23"/>
      <c r="L8" s="24"/>
      <c r="M8" s="25">
        <f t="shared" si="0"/>
        <v>100</v>
      </c>
      <c r="N8" s="25">
        <f t="shared" si="1"/>
        <v>0</v>
      </c>
      <c r="O8" s="25">
        <f t="shared" si="2"/>
        <v>0</v>
      </c>
      <c r="P8" s="25"/>
      <c r="Q8" s="26"/>
      <c r="R8" s="26"/>
      <c r="S8" s="27"/>
      <c r="T8" s="27"/>
      <c r="U8" s="27"/>
      <c r="V8" s="27"/>
      <c r="W8" s="27"/>
      <c r="X8" s="26"/>
      <c r="Y8" s="26"/>
      <c r="Z8" s="26"/>
      <c r="AA8" s="26">
        <v>100</v>
      </c>
      <c r="AB8" s="27"/>
      <c r="AC8" s="27"/>
      <c r="AD8" s="26"/>
      <c r="AE8" s="26"/>
      <c r="AF8" s="25">
        <f t="shared" si="3"/>
        <v>-100</v>
      </c>
      <c r="AG8" s="28">
        <f t="shared" si="4"/>
        <v>0</v>
      </c>
    </row>
    <row r="9" spans="1:33" s="29" customFormat="1" ht="23.25" customHeight="1" x14ac:dyDescent="0.2">
      <c r="A9" s="18">
        <v>43588</v>
      </c>
      <c r="B9" s="19"/>
      <c r="C9" s="20" t="s">
        <v>185</v>
      </c>
      <c r="D9" s="20" t="s">
        <v>106</v>
      </c>
      <c r="E9" s="20" t="s">
        <v>47</v>
      </c>
      <c r="F9" s="21">
        <v>745270</v>
      </c>
      <c r="G9" s="44" t="s">
        <v>544</v>
      </c>
      <c r="H9" s="23"/>
      <c r="I9" s="23"/>
      <c r="J9" s="23"/>
      <c r="K9" s="23">
        <v>436</v>
      </c>
      <c r="L9" s="24"/>
      <c r="M9" s="25">
        <f t="shared" si="0"/>
        <v>389.28571428571422</v>
      </c>
      <c r="N9" s="25">
        <f t="shared" si="1"/>
        <v>46.714285714285708</v>
      </c>
      <c r="O9" s="25">
        <f t="shared" si="2"/>
        <v>0</v>
      </c>
      <c r="P9" s="25"/>
      <c r="Q9" s="26"/>
      <c r="R9" s="26"/>
      <c r="S9" s="27"/>
      <c r="T9" s="27">
        <v>389.29</v>
      </c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>
        <f t="shared" si="3"/>
        <v>-436.00428571428574</v>
      </c>
      <c r="AG9" s="28">
        <f t="shared" si="4"/>
        <v>-4.2857142857428698E-3</v>
      </c>
    </row>
    <row r="10" spans="1:33" s="29" customFormat="1" ht="23.25" customHeight="1" x14ac:dyDescent="0.2">
      <c r="A10" s="18">
        <v>43588</v>
      </c>
      <c r="B10" s="19"/>
      <c r="C10" s="20" t="s">
        <v>45</v>
      </c>
      <c r="D10" s="20" t="s">
        <v>46</v>
      </c>
      <c r="E10" s="20" t="s">
        <v>47</v>
      </c>
      <c r="F10" s="21">
        <v>162754</v>
      </c>
      <c r="G10" s="44" t="s">
        <v>545</v>
      </c>
      <c r="H10" s="23"/>
      <c r="I10" s="23"/>
      <c r="J10" s="23"/>
      <c r="K10" s="23">
        <f>237.63+28.52</f>
        <v>266.14999999999998</v>
      </c>
      <c r="L10" s="24"/>
      <c r="M10" s="25">
        <f t="shared" si="0"/>
        <v>237.63392857142853</v>
      </c>
      <c r="N10" s="25">
        <f t="shared" si="1"/>
        <v>28.516071428571422</v>
      </c>
      <c r="O10" s="25">
        <f t="shared" si="2"/>
        <v>0</v>
      </c>
      <c r="P10" s="25">
        <v>237.63</v>
      </c>
      <c r="Q10" s="26"/>
      <c r="R10" s="26"/>
      <c r="S10" s="27"/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>
        <f t="shared" si="3"/>
        <v>-266.14607142857142</v>
      </c>
      <c r="AG10" s="28">
        <f t="shared" si="4"/>
        <v>3.9285714285597351E-3</v>
      </c>
    </row>
    <row r="11" spans="1:33" s="29" customFormat="1" ht="23.25" customHeight="1" x14ac:dyDescent="0.2">
      <c r="A11" s="18">
        <v>43588</v>
      </c>
      <c r="B11" s="19"/>
      <c r="C11" s="20" t="s">
        <v>45</v>
      </c>
      <c r="D11" s="20" t="s">
        <v>46</v>
      </c>
      <c r="E11" s="20" t="s">
        <v>47</v>
      </c>
      <c r="F11" s="21">
        <v>162754</v>
      </c>
      <c r="G11" s="44" t="s">
        <v>546</v>
      </c>
      <c r="H11" s="23"/>
      <c r="I11" s="23"/>
      <c r="J11" s="23">
        <v>170.5</v>
      </c>
      <c r="K11" s="23"/>
      <c r="L11" s="24"/>
      <c r="M11" s="25">
        <f t="shared" si="0"/>
        <v>170.5</v>
      </c>
      <c r="N11" s="25">
        <f t="shared" si="1"/>
        <v>0</v>
      </c>
      <c r="O11" s="25">
        <f t="shared" si="2"/>
        <v>0</v>
      </c>
      <c r="P11" s="25">
        <v>170.5</v>
      </c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>
        <f t="shared" si="3"/>
        <v>-170.5</v>
      </c>
      <c r="AG11" s="28">
        <f t="shared" si="4"/>
        <v>0</v>
      </c>
    </row>
    <row r="12" spans="1:33" s="29" customFormat="1" ht="23.25" customHeight="1" x14ac:dyDescent="0.2">
      <c r="A12" s="18">
        <v>43587</v>
      </c>
      <c r="B12" s="19"/>
      <c r="C12" s="20" t="s">
        <v>41</v>
      </c>
      <c r="D12" s="20" t="s">
        <v>42</v>
      </c>
      <c r="E12" s="20" t="s">
        <v>43</v>
      </c>
      <c r="F12" s="21">
        <v>96746</v>
      </c>
      <c r="G12" s="44" t="s">
        <v>44</v>
      </c>
      <c r="H12" s="23"/>
      <c r="I12" s="23"/>
      <c r="J12" s="23"/>
      <c r="K12" s="23">
        <v>180</v>
      </c>
      <c r="L12" s="24"/>
      <c r="M12" s="25">
        <f t="shared" si="0"/>
        <v>160.71428571428569</v>
      </c>
      <c r="N12" s="25">
        <f t="shared" si="1"/>
        <v>19.285714285714281</v>
      </c>
      <c r="O12" s="25">
        <f t="shared" si="2"/>
        <v>0</v>
      </c>
      <c r="P12" s="25"/>
      <c r="Q12" s="26">
        <v>160.71</v>
      </c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>
        <f t="shared" si="3"/>
        <v>-179.99571428571429</v>
      </c>
      <c r="AG12" s="28">
        <f t="shared" si="4"/>
        <v>4.2857142857144481E-3</v>
      </c>
    </row>
    <row r="13" spans="1:33" s="29" customFormat="1" ht="23.25" customHeight="1" x14ac:dyDescent="0.2">
      <c r="A13" s="18">
        <v>43589</v>
      </c>
      <c r="B13" s="19"/>
      <c r="C13" s="20" t="s">
        <v>45</v>
      </c>
      <c r="D13" s="20" t="s">
        <v>46</v>
      </c>
      <c r="E13" s="20" t="s">
        <v>47</v>
      </c>
      <c r="F13" s="21">
        <v>143705</v>
      </c>
      <c r="G13" s="60" t="s">
        <v>547</v>
      </c>
      <c r="H13" s="23"/>
      <c r="I13" s="23"/>
      <c r="J13" s="23"/>
      <c r="K13" s="23">
        <v>62.4</v>
      </c>
      <c r="L13" s="24"/>
      <c r="M13" s="25">
        <f t="shared" si="0"/>
        <v>55.714285714285708</v>
      </c>
      <c r="N13" s="25">
        <f t="shared" si="1"/>
        <v>6.6857142857142851</v>
      </c>
      <c r="O13" s="25">
        <f t="shared" si="2"/>
        <v>0</v>
      </c>
      <c r="P13" s="25"/>
      <c r="Q13" s="26"/>
      <c r="R13" s="26"/>
      <c r="S13" s="27">
        <v>55.71</v>
      </c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>
        <f t="shared" si="3"/>
        <v>-62.395714285714284</v>
      </c>
      <c r="AG13" s="28">
        <f t="shared" si="4"/>
        <v>4.2857142857144481E-3</v>
      </c>
    </row>
    <row r="14" spans="1:33" s="29" customFormat="1" ht="23.25" customHeight="1" x14ac:dyDescent="0.2">
      <c r="A14" s="18">
        <v>43589</v>
      </c>
      <c r="B14" s="19"/>
      <c r="C14" s="20" t="s">
        <v>45</v>
      </c>
      <c r="D14" s="20" t="s">
        <v>46</v>
      </c>
      <c r="E14" s="20" t="s">
        <v>47</v>
      </c>
      <c r="F14" s="21">
        <v>143705</v>
      </c>
      <c r="G14" s="44" t="s">
        <v>548</v>
      </c>
      <c r="H14" s="23"/>
      <c r="I14" s="23"/>
      <c r="J14" s="23">
        <f>28.9+25.3+15.3+28.25+32.25+62.4+58</f>
        <v>250.4</v>
      </c>
      <c r="K14" s="23"/>
      <c r="L14" s="24"/>
      <c r="M14" s="25">
        <f t="shared" si="0"/>
        <v>250.4</v>
      </c>
      <c r="N14" s="25">
        <f t="shared" si="1"/>
        <v>0</v>
      </c>
      <c r="O14" s="25">
        <f t="shared" si="2"/>
        <v>0</v>
      </c>
      <c r="P14" s="25">
        <v>250.4</v>
      </c>
      <c r="Q14" s="26"/>
      <c r="R14" s="26"/>
      <c r="S14" s="27"/>
      <c r="T14" s="27"/>
      <c r="U14" s="27"/>
      <c r="V14" s="27"/>
      <c r="W14" s="27"/>
      <c r="X14" s="26"/>
      <c r="Y14" s="26"/>
      <c r="Z14" s="26"/>
      <c r="AA14" s="26"/>
      <c r="AB14" s="27"/>
      <c r="AC14" s="27"/>
      <c r="AD14" s="26"/>
      <c r="AE14" s="26"/>
      <c r="AF14" s="25">
        <f t="shared" si="3"/>
        <v>-250.4</v>
      </c>
      <c r="AG14" s="28">
        <f t="shared" si="4"/>
        <v>0</v>
      </c>
    </row>
    <row r="15" spans="1:33" s="29" customFormat="1" ht="23.25" customHeight="1" x14ac:dyDescent="0.2">
      <c r="A15" s="18">
        <v>43589</v>
      </c>
      <c r="B15" s="19"/>
      <c r="C15" s="20" t="s">
        <v>45</v>
      </c>
      <c r="D15" s="20" t="s">
        <v>46</v>
      </c>
      <c r="E15" s="20" t="s">
        <v>47</v>
      </c>
      <c r="F15" s="21">
        <v>143705</v>
      </c>
      <c r="G15" s="44" t="s">
        <v>549</v>
      </c>
      <c r="H15" s="23"/>
      <c r="I15" s="23"/>
      <c r="J15" s="23"/>
      <c r="K15" s="23">
        <f>322.5+428.8+128.75</f>
        <v>880.05</v>
      </c>
      <c r="L15" s="24"/>
      <c r="M15" s="25">
        <f t="shared" si="0"/>
        <v>785.75892857142844</v>
      </c>
      <c r="N15" s="25">
        <f t="shared" si="1"/>
        <v>94.291071428571414</v>
      </c>
      <c r="O15" s="25">
        <f t="shared" si="2"/>
        <v>0</v>
      </c>
      <c r="P15" s="25">
        <v>785.76</v>
      </c>
      <c r="Q15" s="26"/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>
        <f t="shared" si="3"/>
        <v>-880.05107142857139</v>
      </c>
      <c r="AG15" s="28">
        <f t="shared" si="4"/>
        <v>-1.0714285714357175E-3</v>
      </c>
    </row>
    <row r="16" spans="1:33" s="29" customFormat="1" ht="23.25" customHeight="1" x14ac:dyDescent="0.2">
      <c r="A16" s="18">
        <v>43591</v>
      </c>
      <c r="B16" s="19"/>
      <c r="C16" s="20" t="s">
        <v>41</v>
      </c>
      <c r="D16" s="20" t="s">
        <v>42</v>
      </c>
      <c r="E16" s="20" t="s">
        <v>43</v>
      </c>
      <c r="F16" s="21">
        <v>96831</v>
      </c>
      <c r="G16" s="44" t="s">
        <v>44</v>
      </c>
      <c r="H16" s="23"/>
      <c r="I16" s="23"/>
      <c r="J16" s="23"/>
      <c r="K16" s="23">
        <v>180</v>
      </c>
      <c r="L16" s="24"/>
      <c r="M16" s="25">
        <f t="shared" si="0"/>
        <v>160.71428571428569</v>
      </c>
      <c r="N16" s="25">
        <f t="shared" si="1"/>
        <v>19.285714285714281</v>
      </c>
      <c r="O16" s="25">
        <f t="shared" si="2"/>
        <v>0</v>
      </c>
      <c r="P16" s="25"/>
      <c r="Q16" s="26">
        <v>160.71</v>
      </c>
      <c r="R16" s="26"/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/>
      <c r="AE16" s="26"/>
      <c r="AF16" s="25">
        <f t="shared" si="3"/>
        <v>-179.99571428571429</v>
      </c>
      <c r="AG16" s="28">
        <f t="shared" si="4"/>
        <v>4.2857142857144481E-3</v>
      </c>
    </row>
    <row r="17" spans="1:33" s="29" customFormat="1" ht="23.25" customHeight="1" x14ac:dyDescent="0.2">
      <c r="A17" s="18">
        <v>43591</v>
      </c>
      <c r="B17" s="19"/>
      <c r="C17" s="20" t="s">
        <v>185</v>
      </c>
      <c r="D17" s="20" t="s">
        <v>106</v>
      </c>
      <c r="E17" s="20" t="s">
        <v>47</v>
      </c>
      <c r="F17" s="21">
        <v>745654</v>
      </c>
      <c r="G17" s="44" t="s">
        <v>550</v>
      </c>
      <c r="H17" s="23"/>
      <c r="I17" s="23"/>
      <c r="J17" s="23"/>
      <c r="K17" s="23">
        <v>35</v>
      </c>
      <c r="L17" s="24"/>
      <c r="M17" s="25">
        <f t="shared" si="0"/>
        <v>31.249999999999996</v>
      </c>
      <c r="N17" s="25">
        <f t="shared" si="1"/>
        <v>3.7499999999999996</v>
      </c>
      <c r="O17" s="25">
        <f t="shared" si="2"/>
        <v>0</v>
      </c>
      <c r="P17" s="25"/>
      <c r="Q17" s="26"/>
      <c r="R17" s="26"/>
      <c r="S17" s="27"/>
      <c r="T17" s="27"/>
      <c r="U17" s="27"/>
      <c r="V17" s="27"/>
      <c r="W17" s="27"/>
      <c r="X17" s="26"/>
      <c r="Y17" s="26"/>
      <c r="Z17" s="26">
        <v>31.25</v>
      </c>
      <c r="AA17" s="26"/>
      <c r="AB17" s="27"/>
      <c r="AC17" s="27"/>
      <c r="AD17" s="26"/>
      <c r="AE17" s="26"/>
      <c r="AF17" s="25">
        <f t="shared" si="3"/>
        <v>-35</v>
      </c>
      <c r="AG17" s="28">
        <f t="shared" si="4"/>
        <v>0</v>
      </c>
    </row>
    <row r="18" spans="1:33" s="29" customFormat="1" ht="23.25" customHeight="1" x14ac:dyDescent="0.2">
      <c r="A18" s="18">
        <v>43592</v>
      </c>
      <c r="B18" s="19"/>
      <c r="C18" s="20" t="s">
        <v>45</v>
      </c>
      <c r="D18" s="20" t="s">
        <v>46</v>
      </c>
      <c r="E18" s="20" t="s">
        <v>47</v>
      </c>
      <c r="F18" s="21">
        <v>151371</v>
      </c>
      <c r="G18" s="44" t="s">
        <v>551</v>
      </c>
      <c r="H18" s="23"/>
      <c r="I18" s="23"/>
      <c r="J18" s="23"/>
      <c r="K18" s="23">
        <f>693.35+83.2</f>
        <v>776.55000000000007</v>
      </c>
      <c r="L18" s="24"/>
      <c r="M18" s="25">
        <f t="shared" si="0"/>
        <v>693.34821428571433</v>
      </c>
      <c r="N18" s="25">
        <f t="shared" si="1"/>
        <v>83.20178571428572</v>
      </c>
      <c r="O18" s="25">
        <f t="shared" si="2"/>
        <v>0</v>
      </c>
      <c r="P18" s="25">
        <v>693.35</v>
      </c>
      <c r="Q18" s="26"/>
      <c r="R18" s="26"/>
      <c r="S18" s="27"/>
      <c r="T18" s="27"/>
      <c r="U18" s="27"/>
      <c r="V18" s="27"/>
      <c r="W18" s="27"/>
      <c r="X18" s="26"/>
      <c r="Y18" s="26"/>
      <c r="Z18" s="26"/>
      <c r="AA18" s="26"/>
      <c r="AB18" s="27"/>
      <c r="AC18" s="27"/>
      <c r="AD18" s="26"/>
      <c r="AE18" s="26"/>
      <c r="AF18" s="25">
        <f t="shared" si="3"/>
        <v>-776.55178571428576</v>
      </c>
      <c r="AG18" s="28">
        <f t="shared" si="4"/>
        <v>-1.7857142856883002E-3</v>
      </c>
    </row>
    <row r="19" spans="1:33" s="29" customFormat="1" ht="23.25" customHeight="1" x14ac:dyDescent="0.2">
      <c r="A19" s="18">
        <v>43592</v>
      </c>
      <c r="B19" s="19"/>
      <c r="C19" s="20" t="s">
        <v>45</v>
      </c>
      <c r="D19" s="20" t="s">
        <v>46</v>
      </c>
      <c r="E19" s="20" t="s">
        <v>47</v>
      </c>
      <c r="F19" s="21">
        <v>151371</v>
      </c>
      <c r="G19" s="44" t="s">
        <v>552</v>
      </c>
      <c r="H19" s="23"/>
      <c r="I19" s="23"/>
      <c r="J19" s="23">
        <v>140</v>
      </c>
      <c r="K19" s="23"/>
      <c r="L19" s="24"/>
      <c r="M19" s="25">
        <f t="shared" si="0"/>
        <v>140</v>
      </c>
      <c r="N19" s="25">
        <f t="shared" si="1"/>
        <v>0</v>
      </c>
      <c r="O19" s="25">
        <f t="shared" si="2"/>
        <v>0</v>
      </c>
      <c r="P19" s="25">
        <v>140</v>
      </c>
      <c r="Q19" s="26"/>
      <c r="R19" s="26"/>
      <c r="S19" s="27"/>
      <c r="T19" s="27"/>
      <c r="U19" s="27"/>
      <c r="V19" s="27"/>
      <c r="W19" s="27"/>
      <c r="X19" s="26"/>
      <c r="Y19" s="26"/>
      <c r="Z19" s="26"/>
      <c r="AA19" s="26"/>
      <c r="AB19" s="27"/>
      <c r="AC19" s="27"/>
      <c r="AD19" s="26"/>
      <c r="AE19" s="26"/>
      <c r="AF19" s="25">
        <f t="shared" si="3"/>
        <v>-140</v>
      </c>
      <c r="AG19" s="28">
        <f t="shared" si="4"/>
        <v>0</v>
      </c>
    </row>
    <row r="20" spans="1:33" s="29" customFormat="1" ht="23.25" customHeight="1" x14ac:dyDescent="0.2">
      <c r="A20" s="18">
        <v>43592</v>
      </c>
      <c r="B20" s="19"/>
      <c r="C20" s="20" t="s">
        <v>41</v>
      </c>
      <c r="D20" s="20" t="s">
        <v>42</v>
      </c>
      <c r="E20" s="20" t="s">
        <v>43</v>
      </c>
      <c r="F20" s="21">
        <v>152374</v>
      </c>
      <c r="G20" s="44" t="s">
        <v>44</v>
      </c>
      <c r="H20" s="23"/>
      <c r="I20" s="23"/>
      <c r="J20" s="23"/>
      <c r="K20" s="23">
        <v>180</v>
      </c>
      <c r="L20" s="24"/>
      <c r="M20" s="25">
        <f t="shared" si="0"/>
        <v>160.71428571428569</v>
      </c>
      <c r="N20" s="25">
        <f t="shared" si="1"/>
        <v>19.285714285714281</v>
      </c>
      <c r="O20" s="25">
        <f t="shared" si="2"/>
        <v>0</v>
      </c>
      <c r="P20" s="25"/>
      <c r="Q20" s="26">
        <v>160.71</v>
      </c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>
        <f t="shared" si="3"/>
        <v>-179.99571428571429</v>
      </c>
      <c r="AG20" s="28">
        <f t="shared" si="4"/>
        <v>4.2857142857144481E-3</v>
      </c>
    </row>
    <row r="21" spans="1:33" s="29" customFormat="1" ht="23.25" customHeight="1" x14ac:dyDescent="0.2">
      <c r="A21" s="18">
        <v>43593</v>
      </c>
      <c r="B21" s="19"/>
      <c r="C21" s="20" t="s">
        <v>45</v>
      </c>
      <c r="D21" s="20" t="s">
        <v>46</v>
      </c>
      <c r="E21" s="20" t="s">
        <v>47</v>
      </c>
      <c r="F21" s="21">
        <v>174838</v>
      </c>
      <c r="G21" s="44" t="s">
        <v>553</v>
      </c>
      <c r="H21" s="23"/>
      <c r="I21" s="23"/>
      <c r="J21" s="23"/>
      <c r="K21" s="23">
        <f>726.56+87.19</f>
        <v>813.75</v>
      </c>
      <c r="L21" s="24"/>
      <c r="M21" s="25">
        <f t="shared" si="0"/>
        <v>726.56249999999989</v>
      </c>
      <c r="N21" s="25">
        <f t="shared" si="1"/>
        <v>87.187499999999986</v>
      </c>
      <c r="O21" s="25">
        <f t="shared" si="2"/>
        <v>0</v>
      </c>
      <c r="P21" s="25"/>
      <c r="Q21" s="26">
        <v>726.56</v>
      </c>
      <c r="R21" s="26"/>
      <c r="S21" s="27"/>
      <c r="T21" s="27"/>
      <c r="U21" s="27"/>
      <c r="V21" s="27"/>
      <c r="W21" s="27"/>
      <c r="X21" s="26"/>
      <c r="Y21" s="26"/>
      <c r="Z21" s="26"/>
      <c r="AA21" s="26"/>
      <c r="AB21" s="27"/>
      <c r="AC21" s="27"/>
      <c r="AD21" s="26"/>
      <c r="AE21" s="26"/>
      <c r="AF21" s="25">
        <f t="shared" si="3"/>
        <v>-813.74749999999995</v>
      </c>
      <c r="AG21" s="28">
        <f t="shared" si="4"/>
        <v>2.5000000000545697E-3</v>
      </c>
    </row>
    <row r="22" spans="1:33" s="29" customFormat="1" ht="23.25" customHeight="1" x14ac:dyDescent="0.2">
      <c r="A22" s="18">
        <v>43593</v>
      </c>
      <c r="B22" s="19"/>
      <c r="C22" s="20" t="s">
        <v>45</v>
      </c>
      <c r="D22" s="20" t="s">
        <v>46</v>
      </c>
      <c r="E22" s="20" t="s">
        <v>47</v>
      </c>
      <c r="F22" s="21">
        <v>174838</v>
      </c>
      <c r="G22" s="44" t="s">
        <v>554</v>
      </c>
      <c r="H22" s="23"/>
      <c r="I22" s="23"/>
      <c r="J22" s="23">
        <v>149.4</v>
      </c>
      <c r="K22" s="23"/>
      <c r="L22" s="24"/>
      <c r="M22" s="25">
        <f t="shared" si="0"/>
        <v>149.4</v>
      </c>
      <c r="N22" s="25">
        <f t="shared" si="1"/>
        <v>0</v>
      </c>
      <c r="O22" s="25">
        <f t="shared" si="2"/>
        <v>0</v>
      </c>
      <c r="P22" s="25">
        <v>149.4</v>
      </c>
      <c r="Q22" s="26"/>
      <c r="R22" s="26"/>
      <c r="S22" s="27"/>
      <c r="T22" s="27"/>
      <c r="U22" s="27"/>
      <c r="V22" s="27"/>
      <c r="W22" s="27"/>
      <c r="X22" s="26"/>
      <c r="Y22" s="26"/>
      <c r="Z22" s="26"/>
      <c r="AA22" s="26"/>
      <c r="AB22" s="27"/>
      <c r="AC22" s="27"/>
      <c r="AD22" s="26"/>
      <c r="AE22" s="26"/>
      <c r="AF22" s="25">
        <f t="shared" si="3"/>
        <v>-149.4</v>
      </c>
      <c r="AG22" s="28">
        <f t="shared" si="4"/>
        <v>0</v>
      </c>
    </row>
    <row r="23" spans="1:33" s="29" customFormat="1" ht="23.25" customHeight="1" x14ac:dyDescent="0.2">
      <c r="A23" s="18">
        <v>43593</v>
      </c>
      <c r="B23" s="19"/>
      <c r="C23" s="20" t="s">
        <v>41</v>
      </c>
      <c r="D23" s="20" t="s">
        <v>42</v>
      </c>
      <c r="E23" s="20" t="s">
        <v>43</v>
      </c>
      <c r="F23" s="21">
        <v>60969</v>
      </c>
      <c r="G23" s="44" t="s">
        <v>44</v>
      </c>
      <c r="H23" s="23"/>
      <c r="I23" s="23"/>
      <c r="J23" s="23"/>
      <c r="K23" s="23">
        <v>180</v>
      </c>
      <c r="L23" s="24"/>
      <c r="M23" s="25">
        <f t="shared" si="0"/>
        <v>160.71428571428569</v>
      </c>
      <c r="N23" s="25">
        <f t="shared" si="1"/>
        <v>19.285714285714281</v>
      </c>
      <c r="O23" s="25">
        <f t="shared" si="2"/>
        <v>0</v>
      </c>
      <c r="P23" s="25"/>
      <c r="Q23" s="26">
        <v>160.71</v>
      </c>
      <c r="R23" s="26"/>
      <c r="S23" s="27"/>
      <c r="T23" s="27"/>
      <c r="U23" s="27"/>
      <c r="V23" s="27"/>
      <c r="W23" s="27"/>
      <c r="X23" s="26"/>
      <c r="Y23" s="26"/>
      <c r="Z23" s="26"/>
      <c r="AA23" s="26"/>
      <c r="AB23" s="27"/>
      <c r="AC23" s="27"/>
      <c r="AD23" s="26"/>
      <c r="AE23" s="26"/>
      <c r="AF23" s="25">
        <f t="shared" si="3"/>
        <v>-179.99571428571429</v>
      </c>
      <c r="AG23" s="28">
        <f t="shared" si="4"/>
        <v>4.2857142857144481E-3</v>
      </c>
    </row>
    <row r="24" spans="1:33" s="29" customFormat="1" ht="23.25" customHeight="1" x14ac:dyDescent="0.2">
      <c r="A24" s="18">
        <v>43593</v>
      </c>
      <c r="B24" s="19"/>
      <c r="C24" s="20" t="s">
        <v>54</v>
      </c>
      <c r="D24" s="20" t="s">
        <v>542</v>
      </c>
      <c r="E24" s="20" t="s">
        <v>56</v>
      </c>
      <c r="F24" s="21">
        <v>3126</v>
      </c>
      <c r="G24" s="44" t="s">
        <v>524</v>
      </c>
      <c r="H24" s="23"/>
      <c r="I24" s="23"/>
      <c r="J24" s="23">
        <v>1865</v>
      </c>
      <c r="K24" s="23"/>
      <c r="L24" s="24"/>
      <c r="M24" s="25">
        <f t="shared" si="0"/>
        <v>1865</v>
      </c>
      <c r="N24" s="25">
        <f t="shared" si="1"/>
        <v>0</v>
      </c>
      <c r="O24" s="25">
        <f t="shared" si="2"/>
        <v>0</v>
      </c>
      <c r="P24" s="25">
        <v>1865</v>
      </c>
      <c r="Q24" s="26"/>
      <c r="R24" s="26"/>
      <c r="S24" s="27"/>
      <c r="T24" s="27"/>
      <c r="U24" s="27"/>
      <c r="V24" s="27"/>
      <c r="W24" s="27"/>
      <c r="X24" s="26"/>
      <c r="Y24" s="26"/>
      <c r="Z24" s="26"/>
      <c r="AA24" s="26"/>
      <c r="AB24" s="27"/>
      <c r="AC24" s="27"/>
      <c r="AD24" s="26"/>
      <c r="AE24" s="26"/>
      <c r="AF24" s="25">
        <f t="shared" si="3"/>
        <v>-1865</v>
      </c>
      <c r="AG24" s="28">
        <f t="shared" si="4"/>
        <v>0</v>
      </c>
    </row>
    <row r="25" spans="1:33" s="29" customFormat="1" ht="23.25" customHeight="1" x14ac:dyDescent="0.2">
      <c r="A25" s="18">
        <v>43593</v>
      </c>
      <c r="B25" s="19"/>
      <c r="C25" s="20" t="s">
        <v>58</v>
      </c>
      <c r="D25" s="20"/>
      <c r="E25" s="20"/>
      <c r="F25" s="21"/>
      <c r="G25" s="44" t="s">
        <v>555</v>
      </c>
      <c r="H25" s="23">
        <v>100</v>
      </c>
      <c r="I25" s="23"/>
      <c r="J25" s="23"/>
      <c r="K25" s="23"/>
      <c r="L25" s="24"/>
      <c r="M25" s="25">
        <f t="shared" si="0"/>
        <v>100</v>
      </c>
      <c r="N25" s="25">
        <f t="shared" si="1"/>
        <v>0</v>
      </c>
      <c r="O25" s="25">
        <f t="shared" si="2"/>
        <v>0</v>
      </c>
      <c r="P25" s="25"/>
      <c r="Q25" s="26"/>
      <c r="R25" s="26"/>
      <c r="S25" s="27"/>
      <c r="T25" s="27"/>
      <c r="U25" s="27"/>
      <c r="V25" s="27"/>
      <c r="W25" s="27"/>
      <c r="X25" s="26"/>
      <c r="Y25" s="26"/>
      <c r="Z25" s="26"/>
      <c r="AA25" s="26">
        <v>100</v>
      </c>
      <c r="AB25" s="27"/>
      <c r="AC25" s="27"/>
      <c r="AD25" s="26"/>
      <c r="AE25" s="26"/>
      <c r="AF25" s="25">
        <f t="shared" si="3"/>
        <v>-100</v>
      </c>
      <c r="AG25" s="28">
        <f t="shared" si="4"/>
        <v>0</v>
      </c>
    </row>
    <row r="26" spans="1:33" s="29" customFormat="1" ht="23.25" customHeight="1" x14ac:dyDescent="0.2">
      <c r="A26" s="18">
        <v>43593</v>
      </c>
      <c r="B26" s="19"/>
      <c r="C26" s="20" t="s">
        <v>50</v>
      </c>
      <c r="D26" s="20" t="s">
        <v>51</v>
      </c>
      <c r="E26" s="20" t="s">
        <v>47</v>
      </c>
      <c r="F26" s="21">
        <v>16906</v>
      </c>
      <c r="G26" s="44" t="s">
        <v>556</v>
      </c>
      <c r="H26" s="23"/>
      <c r="I26" s="23"/>
      <c r="J26" s="23"/>
      <c r="K26" s="23">
        <v>854.89</v>
      </c>
      <c r="L26" s="24"/>
      <c r="M26" s="25">
        <f t="shared" si="0"/>
        <v>763.29464285714278</v>
      </c>
      <c r="N26" s="25">
        <f t="shared" si="1"/>
        <v>91.595357142857125</v>
      </c>
      <c r="O26" s="25">
        <f t="shared" si="2"/>
        <v>0</v>
      </c>
      <c r="P26" s="25">
        <v>763.29</v>
      </c>
      <c r="Q26" s="26"/>
      <c r="R26" s="26"/>
      <c r="S26" s="27"/>
      <c r="T26" s="27"/>
      <c r="U26" s="27"/>
      <c r="V26" s="27"/>
      <c r="W26" s="27"/>
      <c r="X26" s="26"/>
      <c r="Y26" s="26"/>
      <c r="Z26" s="26"/>
      <c r="AA26" s="26"/>
      <c r="AB26" s="27"/>
      <c r="AC26" s="27"/>
      <c r="AD26" s="26"/>
      <c r="AE26" s="26"/>
      <c r="AF26" s="25">
        <f t="shared" si="3"/>
        <v>-854.88535714285706</v>
      </c>
      <c r="AG26" s="28">
        <f t="shared" si="4"/>
        <v>4.6428571429260046E-3</v>
      </c>
    </row>
    <row r="27" spans="1:33" s="29" customFormat="1" ht="23.25" customHeight="1" x14ac:dyDescent="0.2">
      <c r="A27" s="18">
        <v>43593</v>
      </c>
      <c r="B27" s="19"/>
      <c r="C27" s="20" t="s">
        <v>557</v>
      </c>
      <c r="D27" s="20" t="s">
        <v>558</v>
      </c>
      <c r="E27" s="20" t="s">
        <v>47</v>
      </c>
      <c r="F27" s="21">
        <v>33897</v>
      </c>
      <c r="G27" s="44" t="s">
        <v>559</v>
      </c>
      <c r="H27" s="23"/>
      <c r="I27" s="23"/>
      <c r="J27" s="23"/>
      <c r="K27" s="23">
        <v>185.25</v>
      </c>
      <c r="L27" s="24"/>
      <c r="M27" s="25">
        <f t="shared" si="0"/>
        <v>165.40178571428569</v>
      </c>
      <c r="N27" s="25">
        <f t="shared" si="1"/>
        <v>19.848214285714281</v>
      </c>
      <c r="O27" s="25">
        <f t="shared" si="2"/>
        <v>0</v>
      </c>
      <c r="P27" s="25">
        <v>165.4</v>
      </c>
      <c r="Q27" s="26"/>
      <c r="R27" s="26"/>
      <c r="S27" s="27"/>
      <c r="T27" s="27"/>
      <c r="U27" s="27"/>
      <c r="V27" s="27"/>
      <c r="W27" s="27"/>
      <c r="X27" s="26"/>
      <c r="Y27" s="26"/>
      <c r="Z27" s="26"/>
      <c r="AA27" s="26"/>
      <c r="AB27" s="27"/>
      <c r="AC27" s="27"/>
      <c r="AD27" s="26"/>
      <c r="AE27" s="26"/>
      <c r="AF27" s="25">
        <f t="shared" si="3"/>
        <v>-185.24821428571428</v>
      </c>
      <c r="AG27" s="28">
        <f t="shared" si="4"/>
        <v>1.7857142857167219E-3</v>
      </c>
    </row>
    <row r="28" spans="1:33" s="29" customFormat="1" ht="23.25" customHeight="1" x14ac:dyDescent="0.2">
      <c r="A28" s="18">
        <v>43593</v>
      </c>
      <c r="B28" s="19"/>
      <c r="C28" s="20" t="s">
        <v>37</v>
      </c>
      <c r="D28" s="20" t="s">
        <v>38</v>
      </c>
      <c r="E28" s="20" t="s">
        <v>39</v>
      </c>
      <c r="F28" s="21">
        <v>35474</v>
      </c>
      <c r="G28" s="44" t="s">
        <v>203</v>
      </c>
      <c r="H28" s="23"/>
      <c r="I28" s="23"/>
      <c r="J28" s="23"/>
      <c r="K28" s="23">
        <v>254.65</v>
      </c>
      <c r="L28" s="24"/>
      <c r="M28" s="25">
        <f t="shared" si="0"/>
        <v>227.36607142857142</v>
      </c>
      <c r="N28" s="25">
        <f t="shared" si="1"/>
        <v>27.283928571428568</v>
      </c>
      <c r="O28" s="25">
        <f t="shared" si="2"/>
        <v>0</v>
      </c>
      <c r="P28" s="25">
        <v>227.37</v>
      </c>
      <c r="Q28" s="26"/>
      <c r="R28" s="26"/>
      <c r="S28" s="27"/>
      <c r="T28" s="27"/>
      <c r="U28" s="27"/>
      <c r="V28" s="27"/>
      <c r="W28" s="27"/>
      <c r="X28" s="26"/>
      <c r="Y28" s="26"/>
      <c r="Z28" s="26"/>
      <c r="AA28" s="26"/>
      <c r="AB28" s="27"/>
      <c r="AC28" s="27"/>
      <c r="AD28" s="26"/>
      <c r="AE28" s="26"/>
      <c r="AF28" s="25">
        <f t="shared" si="3"/>
        <v>-254.65392857142857</v>
      </c>
      <c r="AG28" s="28">
        <f t="shared" si="4"/>
        <v>-3.9285714285597351E-3</v>
      </c>
    </row>
    <row r="29" spans="1:33" s="29" customFormat="1" ht="23.25" customHeight="1" x14ac:dyDescent="0.2">
      <c r="A29" s="18">
        <v>43593</v>
      </c>
      <c r="B29" s="19"/>
      <c r="C29" s="20" t="s">
        <v>37</v>
      </c>
      <c r="D29" s="20" t="s">
        <v>38</v>
      </c>
      <c r="E29" s="20" t="s">
        <v>39</v>
      </c>
      <c r="F29" s="21">
        <v>35468</v>
      </c>
      <c r="G29" s="44" t="s">
        <v>560</v>
      </c>
      <c r="H29" s="23"/>
      <c r="I29" s="23"/>
      <c r="J29" s="23"/>
      <c r="K29" s="23">
        <v>659</v>
      </c>
      <c r="L29" s="24"/>
      <c r="M29" s="25">
        <f t="shared" si="0"/>
        <v>588.39285714285711</v>
      </c>
      <c r="N29" s="25">
        <f t="shared" si="1"/>
        <v>70.607142857142847</v>
      </c>
      <c r="O29" s="25">
        <f t="shared" si="2"/>
        <v>0</v>
      </c>
      <c r="P29" s="25">
        <v>588.39</v>
      </c>
      <c r="Q29" s="26"/>
      <c r="R29" s="26"/>
      <c r="S29" s="27"/>
      <c r="T29" s="27"/>
      <c r="U29" s="27"/>
      <c r="V29" s="27"/>
      <c r="W29" s="27"/>
      <c r="X29" s="26"/>
      <c r="Y29" s="26"/>
      <c r="Z29" s="26"/>
      <c r="AA29" s="26"/>
      <c r="AB29" s="27"/>
      <c r="AC29" s="27"/>
      <c r="AD29" s="26"/>
      <c r="AE29" s="26"/>
      <c r="AF29" s="25">
        <f t="shared" si="3"/>
        <v>-658.99714285714288</v>
      </c>
      <c r="AG29" s="28">
        <f t="shared" si="4"/>
        <v>2.8571428571240176E-3</v>
      </c>
    </row>
    <row r="30" spans="1:33" s="29" customFormat="1" ht="23.25" customHeight="1" x14ac:dyDescent="0.2">
      <c r="A30" s="18">
        <v>43594</v>
      </c>
      <c r="B30" s="19"/>
      <c r="C30" s="20" t="s">
        <v>45</v>
      </c>
      <c r="D30" s="20" t="s">
        <v>46</v>
      </c>
      <c r="E30" s="20" t="s">
        <v>47</v>
      </c>
      <c r="F30" s="21">
        <v>158817</v>
      </c>
      <c r="G30" s="44" t="s">
        <v>426</v>
      </c>
      <c r="H30" s="23"/>
      <c r="I30" s="23"/>
      <c r="J30" s="23">
        <v>96.8</v>
      </c>
      <c r="K30" s="23"/>
      <c r="L30" s="24"/>
      <c r="M30" s="25">
        <f t="shared" si="0"/>
        <v>96.8</v>
      </c>
      <c r="N30" s="25">
        <f t="shared" si="1"/>
        <v>0</v>
      </c>
      <c r="O30" s="25">
        <f t="shared" si="2"/>
        <v>0</v>
      </c>
      <c r="P30" s="25">
        <v>96.8</v>
      </c>
      <c r="Q30" s="26"/>
      <c r="R30" s="26"/>
      <c r="S30" s="27"/>
      <c r="T30" s="27"/>
      <c r="U30" s="27"/>
      <c r="V30" s="27"/>
      <c r="W30" s="27"/>
      <c r="X30" s="26"/>
      <c r="Y30" s="26"/>
      <c r="Z30" s="26"/>
      <c r="AA30" s="26"/>
      <c r="AB30" s="27"/>
      <c r="AC30" s="27"/>
      <c r="AD30" s="26"/>
      <c r="AE30" s="26"/>
      <c r="AF30" s="25">
        <f t="shared" si="3"/>
        <v>-96.8</v>
      </c>
      <c r="AG30" s="28">
        <f t="shared" si="4"/>
        <v>0</v>
      </c>
    </row>
    <row r="31" spans="1:33" s="29" customFormat="1" ht="23.25" customHeight="1" x14ac:dyDescent="0.2">
      <c r="A31" s="18">
        <v>43594</v>
      </c>
      <c r="B31" s="19"/>
      <c r="C31" s="20" t="s">
        <v>45</v>
      </c>
      <c r="D31" s="20" t="s">
        <v>46</v>
      </c>
      <c r="E31" s="20" t="s">
        <v>47</v>
      </c>
      <c r="F31" s="21">
        <v>158817</v>
      </c>
      <c r="G31" s="44" t="s">
        <v>561</v>
      </c>
      <c r="H31" s="23"/>
      <c r="I31" s="23"/>
      <c r="J31" s="23"/>
      <c r="K31" s="23">
        <f>25*4</f>
        <v>100</v>
      </c>
      <c r="L31" s="24"/>
      <c r="M31" s="25">
        <f t="shared" si="0"/>
        <v>89.285714285714278</v>
      </c>
      <c r="N31" s="25">
        <f t="shared" si="1"/>
        <v>10.714285714285714</v>
      </c>
      <c r="O31" s="25">
        <f t="shared" si="2"/>
        <v>0</v>
      </c>
      <c r="P31" s="25"/>
      <c r="Q31" s="26"/>
      <c r="R31" s="26"/>
      <c r="S31" s="27">
        <v>89.29</v>
      </c>
      <c r="T31" s="27"/>
      <c r="U31" s="27"/>
      <c r="V31" s="27"/>
      <c r="W31" s="27"/>
      <c r="X31" s="26"/>
      <c r="Y31" s="26"/>
      <c r="Z31" s="26"/>
      <c r="AA31" s="26"/>
      <c r="AB31" s="27"/>
      <c r="AC31" s="27"/>
      <c r="AD31" s="26"/>
      <c r="AE31" s="26"/>
      <c r="AF31" s="25">
        <f t="shared" si="3"/>
        <v>-100.00428571428571</v>
      </c>
      <c r="AG31" s="28">
        <f t="shared" si="4"/>
        <v>-4.2857142857144481E-3</v>
      </c>
    </row>
    <row r="32" spans="1:33" s="29" customFormat="1" ht="23.25" customHeight="1" x14ac:dyDescent="0.2">
      <c r="A32" s="18">
        <v>43594</v>
      </c>
      <c r="B32" s="19"/>
      <c r="C32" s="20" t="s">
        <v>45</v>
      </c>
      <c r="D32" s="20" t="s">
        <v>46</v>
      </c>
      <c r="E32" s="20" t="s">
        <v>47</v>
      </c>
      <c r="F32" s="21">
        <v>158817</v>
      </c>
      <c r="G32" s="44" t="s">
        <v>562</v>
      </c>
      <c r="H32" s="23"/>
      <c r="I32" s="23"/>
      <c r="J32" s="23"/>
      <c r="K32" s="23">
        <f>27.75*2</f>
        <v>55.5</v>
      </c>
      <c r="L32" s="24"/>
      <c r="M32" s="25">
        <f t="shared" si="0"/>
        <v>49.553571428571423</v>
      </c>
      <c r="N32" s="25">
        <f t="shared" si="1"/>
        <v>5.9464285714285703</v>
      </c>
      <c r="O32" s="25">
        <f t="shared" si="2"/>
        <v>0</v>
      </c>
      <c r="P32" s="25">
        <v>49.55</v>
      </c>
      <c r="Q32" s="26"/>
      <c r="R32" s="26"/>
      <c r="S32" s="27"/>
      <c r="T32" s="27"/>
      <c r="U32" s="27"/>
      <c r="V32" s="27"/>
      <c r="W32" s="27"/>
      <c r="X32" s="26"/>
      <c r="Y32" s="26"/>
      <c r="Z32" s="26"/>
      <c r="AA32" s="26"/>
      <c r="AB32" s="27"/>
      <c r="AC32" s="27"/>
      <c r="AD32" s="26"/>
      <c r="AE32" s="26"/>
      <c r="AF32" s="25">
        <f t="shared" si="3"/>
        <v>-55.496428571428567</v>
      </c>
      <c r="AG32" s="28">
        <f t="shared" si="4"/>
        <v>3.5714285714334437E-3</v>
      </c>
    </row>
    <row r="33" spans="1:33" s="29" customFormat="1" ht="23.25" customHeight="1" x14ac:dyDescent="0.2">
      <c r="A33" s="18">
        <v>43594</v>
      </c>
      <c r="B33" s="19"/>
      <c r="C33" s="20" t="s">
        <v>41</v>
      </c>
      <c r="D33" s="20" t="s">
        <v>42</v>
      </c>
      <c r="E33" s="20" t="s">
        <v>43</v>
      </c>
      <c r="F33" s="21">
        <v>61018</v>
      </c>
      <c r="G33" s="44" t="s">
        <v>44</v>
      </c>
      <c r="H33" s="23"/>
      <c r="I33" s="23"/>
      <c r="J33" s="23"/>
      <c r="K33" s="23">
        <v>180</v>
      </c>
      <c r="L33" s="24"/>
      <c r="M33" s="25">
        <f t="shared" si="0"/>
        <v>160.71428571428569</v>
      </c>
      <c r="N33" s="25">
        <f t="shared" si="1"/>
        <v>19.285714285714281</v>
      </c>
      <c r="O33" s="25">
        <f t="shared" si="2"/>
        <v>0</v>
      </c>
      <c r="P33" s="25"/>
      <c r="Q33" s="26">
        <v>160.71</v>
      </c>
      <c r="R33" s="26"/>
      <c r="S33" s="27"/>
      <c r="T33" s="27"/>
      <c r="U33" s="27"/>
      <c r="V33" s="27"/>
      <c r="W33" s="27"/>
      <c r="X33" s="26"/>
      <c r="Y33" s="26"/>
      <c r="Z33" s="26"/>
      <c r="AA33" s="26"/>
      <c r="AB33" s="27"/>
      <c r="AC33" s="27"/>
      <c r="AD33" s="26"/>
      <c r="AE33" s="26"/>
      <c r="AF33" s="25">
        <f t="shared" si="3"/>
        <v>-179.99571428571429</v>
      </c>
      <c r="AG33" s="28">
        <f t="shared" si="4"/>
        <v>4.2857142857144481E-3</v>
      </c>
    </row>
    <row r="34" spans="1:33" s="29" customFormat="1" ht="23.25" customHeight="1" x14ac:dyDescent="0.2">
      <c r="A34" s="18">
        <v>43594</v>
      </c>
      <c r="B34" s="19"/>
      <c r="C34" s="20" t="s">
        <v>62</v>
      </c>
      <c r="D34" s="20"/>
      <c r="E34" s="20"/>
      <c r="F34" s="21"/>
      <c r="G34" s="44" t="s">
        <v>563</v>
      </c>
      <c r="H34" s="23">
        <v>80</v>
      </c>
      <c r="I34" s="23"/>
      <c r="J34" s="23"/>
      <c r="K34" s="23"/>
      <c r="L34" s="24"/>
      <c r="M34" s="25">
        <f t="shared" si="0"/>
        <v>80</v>
      </c>
      <c r="N34" s="25">
        <f t="shared" si="1"/>
        <v>0</v>
      </c>
      <c r="O34" s="25">
        <f t="shared" si="2"/>
        <v>0</v>
      </c>
      <c r="P34" s="25"/>
      <c r="Q34" s="26"/>
      <c r="R34" s="26"/>
      <c r="S34" s="27"/>
      <c r="T34" s="27"/>
      <c r="U34" s="27"/>
      <c r="V34" s="27"/>
      <c r="W34" s="27"/>
      <c r="X34" s="26"/>
      <c r="Y34" s="26"/>
      <c r="Z34" s="26"/>
      <c r="AA34" s="26">
        <v>80</v>
      </c>
      <c r="AB34" s="27"/>
      <c r="AC34" s="27"/>
      <c r="AD34" s="26"/>
      <c r="AE34" s="26"/>
      <c r="AF34" s="25">
        <f t="shared" si="3"/>
        <v>-80</v>
      </c>
      <c r="AG34" s="28">
        <f t="shared" si="4"/>
        <v>0</v>
      </c>
    </row>
    <row r="35" spans="1:33" s="29" customFormat="1" ht="23.25" customHeight="1" x14ac:dyDescent="0.2">
      <c r="A35" s="18">
        <v>43594</v>
      </c>
      <c r="B35" s="19"/>
      <c r="C35" s="20" t="s">
        <v>58</v>
      </c>
      <c r="D35" s="20"/>
      <c r="E35" s="20"/>
      <c r="F35" s="21"/>
      <c r="G35" s="44" t="s">
        <v>564</v>
      </c>
      <c r="H35" s="23">
        <v>100</v>
      </c>
      <c r="I35" s="23"/>
      <c r="J35" s="23"/>
      <c r="K35" s="23"/>
      <c r="L35" s="24"/>
      <c r="M35" s="25">
        <f t="shared" si="0"/>
        <v>100</v>
      </c>
      <c r="N35" s="25">
        <f t="shared" si="1"/>
        <v>0</v>
      </c>
      <c r="O35" s="25">
        <f t="shared" si="2"/>
        <v>0</v>
      </c>
      <c r="P35" s="25"/>
      <c r="Q35" s="26"/>
      <c r="R35" s="26"/>
      <c r="S35" s="27"/>
      <c r="T35" s="27"/>
      <c r="U35" s="27"/>
      <c r="V35" s="27"/>
      <c r="W35" s="27"/>
      <c r="X35" s="26"/>
      <c r="Y35" s="26"/>
      <c r="Z35" s="26"/>
      <c r="AA35" s="26">
        <v>100</v>
      </c>
      <c r="AB35" s="27"/>
      <c r="AC35" s="27"/>
      <c r="AD35" s="26"/>
      <c r="AE35" s="26"/>
      <c r="AF35" s="25">
        <f t="shared" si="3"/>
        <v>-100</v>
      </c>
      <c r="AG35" s="28">
        <f t="shared" si="4"/>
        <v>0</v>
      </c>
    </row>
    <row r="36" spans="1:33" s="41" customFormat="1" ht="23.25" customHeight="1" x14ac:dyDescent="0.2">
      <c r="A36" s="30">
        <v>43717</v>
      </c>
      <c r="B36" s="31"/>
      <c r="C36" s="32" t="s">
        <v>277</v>
      </c>
      <c r="D36" s="32"/>
      <c r="E36" s="32"/>
      <c r="F36" s="33"/>
      <c r="G36" s="34" t="s">
        <v>177</v>
      </c>
      <c r="H36" s="35">
        <v>537</v>
      </c>
      <c r="I36" s="35"/>
      <c r="J36" s="35"/>
      <c r="K36" s="35"/>
      <c r="L36" s="36"/>
      <c r="M36" s="37">
        <f t="shared" si="0"/>
        <v>537</v>
      </c>
      <c r="N36" s="37">
        <f t="shared" si="1"/>
        <v>0</v>
      </c>
      <c r="O36" s="37">
        <f t="shared" si="2"/>
        <v>0</v>
      </c>
      <c r="P36" s="37"/>
      <c r="Q36" s="38"/>
      <c r="R36" s="38"/>
      <c r="S36" s="39"/>
      <c r="T36" s="39"/>
      <c r="U36" s="39"/>
      <c r="V36" s="39"/>
      <c r="W36" s="39"/>
      <c r="X36" s="38"/>
      <c r="Y36" s="38"/>
      <c r="Z36" s="38"/>
      <c r="AA36" s="38"/>
      <c r="AB36" s="39">
        <v>537</v>
      </c>
      <c r="AC36" s="39"/>
      <c r="AD36" s="38"/>
      <c r="AE36" s="38"/>
      <c r="AF36" s="37">
        <f t="shared" si="3"/>
        <v>-537</v>
      </c>
      <c r="AG36" s="40">
        <f t="shared" si="4"/>
        <v>0</v>
      </c>
    </row>
    <row r="37" spans="1:33" s="29" customFormat="1" ht="23.25" customHeight="1" x14ac:dyDescent="0.2">
      <c r="A37" s="18">
        <v>43595</v>
      </c>
      <c r="B37" s="19"/>
      <c r="C37" s="20" t="s">
        <v>41</v>
      </c>
      <c r="D37" s="20" t="s">
        <v>42</v>
      </c>
      <c r="E37" s="20" t="s">
        <v>43</v>
      </c>
      <c r="F37" s="21">
        <v>63211</v>
      </c>
      <c r="G37" s="44" t="s">
        <v>44</v>
      </c>
      <c r="H37" s="23"/>
      <c r="I37" s="23"/>
      <c r="J37" s="23"/>
      <c r="K37" s="23">
        <v>180</v>
      </c>
      <c r="L37" s="24"/>
      <c r="M37" s="25">
        <f t="shared" ref="M37:M68" si="5">SUM(H37:J37,K37/1.12)</f>
        <v>160.71428571428569</v>
      </c>
      <c r="N37" s="25">
        <f t="shared" ref="N37:N68" si="6">K37/1.12*0.12</f>
        <v>19.285714285714281</v>
      </c>
      <c r="O37" s="25">
        <f t="shared" ref="O37:O68" si="7">-SUM(I37:J37,K37/1.12)*L37</f>
        <v>0</v>
      </c>
      <c r="P37" s="25"/>
      <c r="Q37" s="26">
        <v>160.71</v>
      </c>
      <c r="R37" s="26"/>
      <c r="S37" s="27"/>
      <c r="T37" s="27"/>
      <c r="U37" s="27"/>
      <c r="V37" s="27"/>
      <c r="W37" s="27"/>
      <c r="X37" s="26"/>
      <c r="Y37" s="26"/>
      <c r="Z37" s="26"/>
      <c r="AA37" s="26"/>
      <c r="AB37" s="27"/>
      <c r="AC37" s="27"/>
      <c r="AD37" s="26"/>
      <c r="AE37" s="26"/>
      <c r="AF37" s="25">
        <f t="shared" ref="AF37:AF68" si="8">-SUM(N37:AE37)</f>
        <v>-179.99571428571429</v>
      </c>
      <c r="AG37" s="28">
        <f t="shared" ref="AG37:AG68" si="9">SUM(H37:K37)+AF37+O37</f>
        <v>4.2857142857144481E-3</v>
      </c>
    </row>
    <row r="38" spans="1:33" s="29" customFormat="1" ht="23.25" customHeight="1" x14ac:dyDescent="0.2">
      <c r="A38" s="18">
        <v>43595</v>
      </c>
      <c r="B38" s="19"/>
      <c r="C38" s="20" t="s">
        <v>37</v>
      </c>
      <c r="D38" s="20" t="s">
        <v>38</v>
      </c>
      <c r="E38" s="20" t="s">
        <v>39</v>
      </c>
      <c r="F38" s="21">
        <v>35410</v>
      </c>
      <c r="G38" s="44" t="s">
        <v>86</v>
      </c>
      <c r="H38" s="23"/>
      <c r="I38" s="23"/>
      <c r="J38" s="23"/>
      <c r="K38" s="23">
        <v>237</v>
      </c>
      <c r="L38" s="24"/>
      <c r="M38" s="25">
        <f t="shared" si="5"/>
        <v>211.60714285714283</v>
      </c>
      <c r="N38" s="25">
        <f t="shared" si="6"/>
        <v>25.392857142857139</v>
      </c>
      <c r="O38" s="25">
        <f t="shared" si="7"/>
        <v>0</v>
      </c>
      <c r="P38" s="25">
        <v>211.61</v>
      </c>
      <c r="Q38" s="26"/>
      <c r="R38" s="26"/>
      <c r="S38" s="27"/>
      <c r="T38" s="27"/>
      <c r="U38" s="27"/>
      <c r="V38" s="27"/>
      <c r="W38" s="27"/>
      <c r="X38" s="26"/>
      <c r="Y38" s="26"/>
      <c r="Z38" s="26"/>
      <c r="AA38" s="26"/>
      <c r="AB38" s="27"/>
      <c r="AC38" s="27"/>
      <c r="AD38" s="26"/>
      <c r="AE38" s="26"/>
      <c r="AF38" s="25">
        <f t="shared" si="8"/>
        <v>-237.00285714285715</v>
      </c>
      <c r="AG38" s="28">
        <f t="shared" si="9"/>
        <v>-2.8571428571524393E-3</v>
      </c>
    </row>
    <row r="39" spans="1:33" s="29" customFormat="1" ht="23.25" customHeight="1" x14ac:dyDescent="0.2">
      <c r="A39" s="18">
        <v>43595</v>
      </c>
      <c r="B39" s="19"/>
      <c r="C39" s="20" t="s">
        <v>37</v>
      </c>
      <c r="D39" s="20" t="s">
        <v>38</v>
      </c>
      <c r="E39" s="20" t="s">
        <v>39</v>
      </c>
      <c r="F39" s="21">
        <v>35499</v>
      </c>
      <c r="G39" s="44" t="s">
        <v>565</v>
      </c>
      <c r="H39" s="23"/>
      <c r="I39" s="23"/>
      <c r="J39" s="23"/>
      <c r="K39" s="23">
        <v>1647.42</v>
      </c>
      <c r="L39" s="24"/>
      <c r="M39" s="25">
        <f t="shared" si="5"/>
        <v>1470.9107142857142</v>
      </c>
      <c r="N39" s="25">
        <f t="shared" si="6"/>
        <v>176.50928571428571</v>
      </c>
      <c r="O39" s="25">
        <f t="shared" si="7"/>
        <v>0</v>
      </c>
      <c r="P39" s="25">
        <v>1470.91</v>
      </c>
      <c r="Q39" s="26"/>
      <c r="R39" s="26"/>
      <c r="S39" s="27"/>
      <c r="T39" s="27"/>
      <c r="U39" s="27"/>
      <c r="V39" s="27"/>
      <c r="W39" s="27"/>
      <c r="X39" s="26"/>
      <c r="Y39" s="26"/>
      <c r="Z39" s="26"/>
      <c r="AA39" s="26"/>
      <c r="AB39" s="27"/>
      <c r="AC39" s="27"/>
      <c r="AD39" s="26"/>
      <c r="AE39" s="26"/>
      <c r="AF39" s="25">
        <f t="shared" si="8"/>
        <v>-1647.4192857142857</v>
      </c>
      <c r="AG39" s="28">
        <f t="shared" si="9"/>
        <v>7.1428571436626953E-4</v>
      </c>
    </row>
    <row r="40" spans="1:33" s="29" customFormat="1" ht="23.25" customHeight="1" x14ac:dyDescent="0.2">
      <c r="A40" s="18">
        <v>43596</v>
      </c>
      <c r="B40" s="19"/>
      <c r="C40" s="20" t="s">
        <v>321</v>
      </c>
      <c r="D40" s="20"/>
      <c r="E40" s="20"/>
      <c r="F40" s="21"/>
      <c r="G40" s="44" t="s">
        <v>44</v>
      </c>
      <c r="H40" s="23"/>
      <c r="I40" s="23"/>
      <c r="J40" s="23"/>
      <c r="K40" s="23">
        <v>40</v>
      </c>
      <c r="L40" s="24"/>
      <c r="M40" s="25">
        <f t="shared" si="5"/>
        <v>35.714285714285708</v>
      </c>
      <c r="N40" s="25">
        <f t="shared" si="6"/>
        <v>4.2857142857142847</v>
      </c>
      <c r="O40" s="25">
        <f t="shared" si="7"/>
        <v>0</v>
      </c>
      <c r="P40" s="25"/>
      <c r="Q40" s="26">
        <v>34.71</v>
      </c>
      <c r="R40" s="26"/>
      <c r="S40" s="27"/>
      <c r="T40" s="27"/>
      <c r="U40" s="27"/>
      <c r="V40" s="27"/>
      <c r="W40" s="27"/>
      <c r="X40" s="26"/>
      <c r="Y40" s="26"/>
      <c r="Z40" s="26"/>
      <c r="AA40" s="26"/>
      <c r="AB40" s="27"/>
      <c r="AC40" s="27"/>
      <c r="AD40" s="26"/>
      <c r="AE40" s="26"/>
      <c r="AF40" s="25">
        <f t="shared" si="8"/>
        <v>-38.995714285714286</v>
      </c>
      <c r="AG40" s="28">
        <f t="shared" si="9"/>
        <v>1.0042857142857144</v>
      </c>
    </row>
    <row r="41" spans="1:33" s="29" customFormat="1" ht="23.25" customHeight="1" x14ac:dyDescent="0.2">
      <c r="A41" s="18">
        <v>43596</v>
      </c>
      <c r="B41" s="19"/>
      <c r="C41" s="20" t="s">
        <v>498</v>
      </c>
      <c r="D41" s="20"/>
      <c r="E41" s="20"/>
      <c r="F41" s="21"/>
      <c r="G41" s="44" t="s">
        <v>566</v>
      </c>
      <c r="H41" s="23">
        <v>260</v>
      </c>
      <c r="I41" s="23"/>
      <c r="J41" s="23"/>
      <c r="K41" s="23"/>
      <c r="L41" s="24"/>
      <c r="M41" s="25">
        <f t="shared" si="5"/>
        <v>260</v>
      </c>
      <c r="N41" s="25">
        <f t="shared" si="6"/>
        <v>0</v>
      </c>
      <c r="O41" s="25">
        <f t="shared" si="7"/>
        <v>0</v>
      </c>
      <c r="P41" s="25"/>
      <c r="Q41" s="26"/>
      <c r="R41" s="26"/>
      <c r="S41" s="27"/>
      <c r="T41" s="27"/>
      <c r="U41" s="27"/>
      <c r="V41" s="27"/>
      <c r="W41" s="27"/>
      <c r="X41" s="26"/>
      <c r="Y41" s="26"/>
      <c r="Z41" s="26"/>
      <c r="AA41" s="26">
        <v>260</v>
      </c>
      <c r="AB41" s="27"/>
      <c r="AC41" s="27"/>
      <c r="AD41" s="26"/>
      <c r="AE41" s="26"/>
      <c r="AF41" s="25">
        <f t="shared" si="8"/>
        <v>-260</v>
      </c>
      <c r="AG41" s="28">
        <f t="shared" si="9"/>
        <v>0</v>
      </c>
    </row>
    <row r="42" spans="1:33" s="29" customFormat="1" ht="23.25" customHeight="1" x14ac:dyDescent="0.2">
      <c r="A42" s="18">
        <v>43599</v>
      </c>
      <c r="B42" s="19"/>
      <c r="C42" s="20" t="s">
        <v>41</v>
      </c>
      <c r="D42" s="20" t="s">
        <v>42</v>
      </c>
      <c r="E42" s="20" t="s">
        <v>43</v>
      </c>
      <c r="F42" s="21">
        <v>66718</v>
      </c>
      <c r="G42" s="44" t="s">
        <v>44</v>
      </c>
      <c r="H42" s="23"/>
      <c r="I42" s="23"/>
      <c r="J42" s="23"/>
      <c r="K42" s="23">
        <v>180</v>
      </c>
      <c r="L42" s="24"/>
      <c r="M42" s="25">
        <f t="shared" si="5"/>
        <v>160.71428571428569</v>
      </c>
      <c r="N42" s="25">
        <f t="shared" si="6"/>
        <v>19.285714285714281</v>
      </c>
      <c r="O42" s="25">
        <f t="shared" si="7"/>
        <v>0</v>
      </c>
      <c r="P42" s="25"/>
      <c r="Q42" s="26">
        <v>160.71</v>
      </c>
      <c r="R42" s="26"/>
      <c r="S42" s="27"/>
      <c r="T42" s="27"/>
      <c r="U42" s="27"/>
      <c r="V42" s="27"/>
      <c r="W42" s="27"/>
      <c r="X42" s="26"/>
      <c r="Y42" s="26"/>
      <c r="Z42" s="26"/>
      <c r="AA42" s="26"/>
      <c r="AB42" s="27"/>
      <c r="AC42" s="27"/>
      <c r="AD42" s="26"/>
      <c r="AE42" s="26"/>
      <c r="AF42" s="25">
        <f t="shared" si="8"/>
        <v>-179.99571428571429</v>
      </c>
      <c r="AG42" s="28">
        <f t="shared" si="9"/>
        <v>4.2857142857144481E-3</v>
      </c>
    </row>
    <row r="43" spans="1:33" s="29" customFormat="1" ht="23.25" customHeight="1" x14ac:dyDescent="0.2">
      <c r="A43" s="18">
        <v>43599</v>
      </c>
      <c r="B43" s="19"/>
      <c r="C43" s="20" t="s">
        <v>58</v>
      </c>
      <c r="D43" s="20"/>
      <c r="E43" s="20"/>
      <c r="F43" s="21"/>
      <c r="G43" s="44" t="s">
        <v>294</v>
      </c>
      <c r="H43" s="23">
        <v>100</v>
      </c>
      <c r="I43" s="23"/>
      <c r="J43" s="23"/>
      <c r="K43" s="23"/>
      <c r="L43" s="24"/>
      <c r="M43" s="25">
        <f t="shared" si="5"/>
        <v>100</v>
      </c>
      <c r="N43" s="25">
        <f t="shared" si="6"/>
        <v>0</v>
      </c>
      <c r="O43" s="25">
        <f t="shared" si="7"/>
        <v>0</v>
      </c>
      <c r="P43" s="25"/>
      <c r="Q43" s="26"/>
      <c r="R43" s="26"/>
      <c r="S43" s="27"/>
      <c r="T43" s="27"/>
      <c r="U43" s="27"/>
      <c r="V43" s="27"/>
      <c r="W43" s="27"/>
      <c r="X43" s="26"/>
      <c r="Y43" s="26"/>
      <c r="Z43" s="26"/>
      <c r="AA43" s="26">
        <v>100</v>
      </c>
      <c r="AB43" s="27"/>
      <c r="AC43" s="27"/>
      <c r="AD43" s="26"/>
      <c r="AE43" s="26"/>
      <c r="AF43" s="25">
        <f t="shared" si="8"/>
        <v>-100</v>
      </c>
      <c r="AG43" s="28">
        <f t="shared" si="9"/>
        <v>0</v>
      </c>
    </row>
    <row r="44" spans="1:33" s="29" customFormat="1" ht="23.25" customHeight="1" x14ac:dyDescent="0.2">
      <c r="A44" s="18">
        <v>43599</v>
      </c>
      <c r="B44" s="19"/>
      <c r="C44" s="20" t="s">
        <v>308</v>
      </c>
      <c r="D44" s="20" t="s">
        <v>309</v>
      </c>
      <c r="E44" s="20" t="s">
        <v>56</v>
      </c>
      <c r="F44" s="21">
        <v>16156</v>
      </c>
      <c r="G44" s="44" t="s">
        <v>567</v>
      </c>
      <c r="H44" s="23"/>
      <c r="I44" s="23"/>
      <c r="J44" s="23">
        <v>190</v>
      </c>
      <c r="K44" s="23"/>
      <c r="L44" s="24"/>
      <c r="M44" s="25">
        <f t="shared" si="5"/>
        <v>190</v>
      </c>
      <c r="N44" s="25">
        <f t="shared" si="6"/>
        <v>0</v>
      </c>
      <c r="O44" s="25">
        <f t="shared" si="7"/>
        <v>0</v>
      </c>
      <c r="P44" s="25">
        <v>190</v>
      </c>
      <c r="Q44" s="26"/>
      <c r="R44" s="26"/>
      <c r="S44" s="27"/>
      <c r="T44" s="27"/>
      <c r="U44" s="27"/>
      <c r="V44" s="27"/>
      <c r="W44" s="27"/>
      <c r="X44" s="26"/>
      <c r="Y44" s="26"/>
      <c r="Z44" s="26"/>
      <c r="AA44" s="26"/>
      <c r="AB44" s="27"/>
      <c r="AC44" s="27"/>
      <c r="AD44" s="26"/>
      <c r="AE44" s="26"/>
      <c r="AF44" s="25">
        <f t="shared" si="8"/>
        <v>-190</v>
      </c>
      <c r="AG44" s="28">
        <f t="shared" si="9"/>
        <v>0</v>
      </c>
    </row>
    <row r="45" spans="1:33" s="29" customFormat="1" ht="23.25" customHeight="1" x14ac:dyDescent="0.2">
      <c r="A45" s="18">
        <v>43599</v>
      </c>
      <c r="B45" s="19"/>
      <c r="C45" s="20" t="s">
        <v>74</v>
      </c>
      <c r="D45" s="20"/>
      <c r="E45" s="20"/>
      <c r="F45" s="21"/>
      <c r="G45" s="44" t="s">
        <v>407</v>
      </c>
      <c r="H45" s="23"/>
      <c r="I45" s="23"/>
      <c r="J45" s="23">
        <v>1123</v>
      </c>
      <c r="K45" s="23"/>
      <c r="L45" s="24"/>
      <c r="M45" s="25">
        <f t="shared" si="5"/>
        <v>1123</v>
      </c>
      <c r="N45" s="25">
        <f t="shared" si="6"/>
        <v>0</v>
      </c>
      <c r="O45" s="25">
        <f t="shared" si="7"/>
        <v>0</v>
      </c>
      <c r="P45" s="25">
        <v>1123</v>
      </c>
      <c r="Q45" s="26"/>
      <c r="R45" s="26"/>
      <c r="S45" s="27"/>
      <c r="T45" s="27"/>
      <c r="U45" s="27"/>
      <c r="V45" s="27"/>
      <c r="W45" s="27"/>
      <c r="X45" s="26"/>
      <c r="Y45" s="26"/>
      <c r="Z45" s="26"/>
      <c r="AA45" s="26"/>
      <c r="AB45" s="27"/>
      <c r="AC45" s="27"/>
      <c r="AD45" s="26"/>
      <c r="AE45" s="26"/>
      <c r="AF45" s="25">
        <f t="shared" si="8"/>
        <v>-1123</v>
      </c>
      <c r="AG45" s="28">
        <f t="shared" si="9"/>
        <v>0</v>
      </c>
    </row>
    <row r="46" spans="1:33" s="29" customFormat="1" ht="23.25" customHeight="1" x14ac:dyDescent="0.2">
      <c r="A46" s="18">
        <v>43599</v>
      </c>
      <c r="B46" s="19"/>
      <c r="C46" s="20" t="s">
        <v>37</v>
      </c>
      <c r="D46" s="20" t="s">
        <v>38</v>
      </c>
      <c r="E46" s="20" t="s">
        <v>39</v>
      </c>
      <c r="F46" s="21">
        <v>35441</v>
      </c>
      <c r="G46" s="44" t="s">
        <v>568</v>
      </c>
      <c r="H46" s="23"/>
      <c r="I46" s="23"/>
      <c r="J46" s="23"/>
      <c r="K46" s="23">
        <f>102+590+155</f>
        <v>847</v>
      </c>
      <c r="L46" s="24"/>
      <c r="M46" s="25">
        <f t="shared" si="5"/>
        <v>756.24999999999989</v>
      </c>
      <c r="N46" s="25">
        <f t="shared" si="6"/>
        <v>90.749999999999986</v>
      </c>
      <c r="O46" s="25">
        <f t="shared" si="7"/>
        <v>0</v>
      </c>
      <c r="P46" s="25">
        <v>756.25</v>
      </c>
      <c r="Q46" s="26"/>
      <c r="R46" s="26"/>
      <c r="S46" s="27"/>
      <c r="T46" s="27"/>
      <c r="U46" s="27"/>
      <c r="V46" s="27"/>
      <c r="W46" s="27"/>
      <c r="X46" s="26"/>
      <c r="Y46" s="26"/>
      <c r="Z46" s="26"/>
      <c r="AA46" s="26"/>
      <c r="AB46" s="27"/>
      <c r="AC46" s="27"/>
      <c r="AD46" s="26"/>
      <c r="AE46" s="26"/>
      <c r="AF46" s="25">
        <f t="shared" si="8"/>
        <v>-847</v>
      </c>
      <c r="AG46" s="28">
        <f t="shared" si="9"/>
        <v>0</v>
      </c>
    </row>
    <row r="47" spans="1:33" s="29" customFormat="1" ht="23.25" customHeight="1" x14ac:dyDescent="0.2">
      <c r="A47" s="18">
        <v>43599</v>
      </c>
      <c r="B47" s="19"/>
      <c r="C47" s="20" t="s">
        <v>37</v>
      </c>
      <c r="D47" s="20" t="s">
        <v>38</v>
      </c>
      <c r="E47" s="20" t="s">
        <v>39</v>
      </c>
      <c r="F47" s="21">
        <v>35441</v>
      </c>
      <c r="G47" s="44" t="s">
        <v>364</v>
      </c>
      <c r="H47" s="23"/>
      <c r="I47" s="23"/>
      <c r="J47" s="23"/>
      <c r="K47" s="23">
        <v>107</v>
      </c>
      <c r="L47" s="24"/>
      <c r="M47" s="25">
        <f t="shared" si="5"/>
        <v>95.535714285714278</v>
      </c>
      <c r="N47" s="25">
        <f t="shared" si="6"/>
        <v>11.464285714285714</v>
      </c>
      <c r="O47" s="25">
        <f t="shared" si="7"/>
        <v>0</v>
      </c>
      <c r="P47" s="25"/>
      <c r="Q47" s="26"/>
      <c r="R47" s="26"/>
      <c r="S47" s="27"/>
      <c r="T47" s="27"/>
      <c r="U47" s="27"/>
      <c r="V47" s="27"/>
      <c r="W47" s="27"/>
      <c r="X47" s="26"/>
      <c r="Y47" s="26">
        <v>95.54</v>
      </c>
      <c r="Z47" s="26"/>
      <c r="AA47" s="26"/>
      <c r="AB47" s="27"/>
      <c r="AC47" s="27"/>
      <c r="AD47" s="26"/>
      <c r="AE47" s="26"/>
      <c r="AF47" s="25">
        <f t="shared" si="8"/>
        <v>-107.00428571428571</v>
      </c>
      <c r="AG47" s="28">
        <f t="shared" si="9"/>
        <v>-4.2857142857144481E-3</v>
      </c>
    </row>
    <row r="48" spans="1:33" s="29" customFormat="1" ht="23.25" customHeight="1" x14ac:dyDescent="0.2">
      <c r="A48" s="18">
        <v>43599</v>
      </c>
      <c r="B48" s="19"/>
      <c r="C48" s="20" t="s">
        <v>569</v>
      </c>
      <c r="D48" s="20" t="s">
        <v>527</v>
      </c>
      <c r="E48" s="20" t="s">
        <v>56</v>
      </c>
      <c r="F48" s="21">
        <v>1587670</v>
      </c>
      <c r="G48" s="44" t="s">
        <v>528</v>
      </c>
      <c r="H48" s="23"/>
      <c r="I48" s="23"/>
      <c r="J48" s="23"/>
      <c r="K48" s="23">
        <v>344.25</v>
      </c>
      <c r="L48" s="24"/>
      <c r="M48" s="25">
        <f t="shared" si="5"/>
        <v>307.36607142857139</v>
      </c>
      <c r="N48" s="25">
        <f t="shared" si="6"/>
        <v>36.883928571428562</v>
      </c>
      <c r="O48" s="25">
        <f t="shared" si="7"/>
        <v>0</v>
      </c>
      <c r="P48" s="25"/>
      <c r="Q48" s="26"/>
      <c r="R48" s="26"/>
      <c r="S48" s="27"/>
      <c r="T48" s="27"/>
      <c r="U48" s="27"/>
      <c r="V48" s="27"/>
      <c r="W48" s="27"/>
      <c r="X48" s="26"/>
      <c r="Y48" s="26">
        <v>307.37</v>
      </c>
      <c r="Z48" s="26"/>
      <c r="AA48" s="26"/>
      <c r="AB48" s="27"/>
      <c r="AC48" s="27"/>
      <c r="AD48" s="26"/>
      <c r="AE48" s="26"/>
      <c r="AF48" s="25">
        <f t="shared" si="8"/>
        <v>-344.25392857142856</v>
      </c>
      <c r="AG48" s="28">
        <f t="shared" si="9"/>
        <v>-3.9285714285597351E-3</v>
      </c>
    </row>
    <row r="49" spans="1:33" s="29" customFormat="1" ht="23.25" customHeight="1" x14ac:dyDescent="0.2">
      <c r="A49" s="18">
        <v>43599</v>
      </c>
      <c r="B49" s="19"/>
      <c r="C49" s="20" t="s">
        <v>570</v>
      </c>
      <c r="D49" s="20" t="s">
        <v>571</v>
      </c>
      <c r="E49" s="20" t="s">
        <v>56</v>
      </c>
      <c r="F49" s="21">
        <v>14523604</v>
      </c>
      <c r="G49" s="44" t="s">
        <v>572</v>
      </c>
      <c r="H49" s="23"/>
      <c r="I49" s="23"/>
      <c r="J49" s="23"/>
      <c r="K49" s="23">
        <v>263.75</v>
      </c>
      <c r="L49" s="24"/>
      <c r="M49" s="25">
        <f t="shared" si="5"/>
        <v>235.49107142857142</v>
      </c>
      <c r="N49" s="25">
        <f t="shared" si="6"/>
        <v>28.258928571428569</v>
      </c>
      <c r="O49" s="25">
        <f t="shared" si="7"/>
        <v>0</v>
      </c>
      <c r="P49" s="25"/>
      <c r="Q49" s="26"/>
      <c r="R49" s="26"/>
      <c r="S49" s="27"/>
      <c r="T49" s="27">
        <v>235.49</v>
      </c>
      <c r="U49" s="27"/>
      <c r="V49" s="27"/>
      <c r="W49" s="27"/>
      <c r="X49" s="26"/>
      <c r="Y49" s="26"/>
      <c r="Z49" s="26"/>
      <c r="AA49" s="26"/>
      <c r="AB49" s="27"/>
      <c r="AC49" s="27"/>
      <c r="AD49" s="26"/>
      <c r="AE49" s="26"/>
      <c r="AF49" s="25">
        <f t="shared" si="8"/>
        <v>-263.74892857142856</v>
      </c>
      <c r="AG49" s="28">
        <f t="shared" si="9"/>
        <v>1.0714285714357175E-3</v>
      </c>
    </row>
    <row r="50" spans="1:33" s="29" customFormat="1" ht="23.25" customHeight="1" x14ac:dyDescent="0.2">
      <c r="A50" s="18">
        <v>43599</v>
      </c>
      <c r="B50" s="19"/>
      <c r="C50" s="20" t="s">
        <v>62</v>
      </c>
      <c r="D50" s="20"/>
      <c r="E50" s="20"/>
      <c r="F50" s="21"/>
      <c r="G50" s="44" t="s">
        <v>223</v>
      </c>
      <c r="H50" s="23">
        <v>40</v>
      </c>
      <c r="I50" s="23"/>
      <c r="J50" s="23"/>
      <c r="K50" s="23"/>
      <c r="L50" s="24"/>
      <c r="M50" s="25">
        <f t="shared" si="5"/>
        <v>40</v>
      </c>
      <c r="N50" s="25">
        <f t="shared" si="6"/>
        <v>0</v>
      </c>
      <c r="O50" s="25">
        <f t="shared" si="7"/>
        <v>0</v>
      </c>
      <c r="P50" s="25"/>
      <c r="Q50" s="26"/>
      <c r="R50" s="26"/>
      <c r="S50" s="27"/>
      <c r="T50" s="27"/>
      <c r="U50" s="27"/>
      <c r="V50" s="27"/>
      <c r="W50" s="27"/>
      <c r="X50" s="26"/>
      <c r="Y50" s="26"/>
      <c r="Z50" s="26"/>
      <c r="AA50" s="26">
        <v>40</v>
      </c>
      <c r="AB50" s="27"/>
      <c r="AC50" s="27"/>
      <c r="AD50" s="26"/>
      <c r="AE50" s="26"/>
      <c r="AF50" s="25">
        <f t="shared" si="8"/>
        <v>-40</v>
      </c>
      <c r="AG50" s="28">
        <f t="shared" si="9"/>
        <v>0</v>
      </c>
    </row>
    <row r="51" spans="1:33" s="29" customFormat="1" ht="23.25" customHeight="1" x14ac:dyDescent="0.2">
      <c r="A51" s="18">
        <v>43600</v>
      </c>
      <c r="B51" s="19"/>
      <c r="C51" s="20" t="s">
        <v>573</v>
      </c>
      <c r="D51" s="20"/>
      <c r="E51" s="20"/>
      <c r="F51" s="21"/>
      <c r="G51" s="60" t="s">
        <v>554</v>
      </c>
      <c r="H51" s="23"/>
      <c r="I51" s="23"/>
      <c r="J51" s="23">
        <v>74</v>
      </c>
      <c r="K51" s="23"/>
      <c r="L51" s="24"/>
      <c r="M51" s="25">
        <f t="shared" si="5"/>
        <v>74</v>
      </c>
      <c r="N51" s="25">
        <f t="shared" si="6"/>
        <v>0</v>
      </c>
      <c r="O51" s="25">
        <f t="shared" si="7"/>
        <v>0</v>
      </c>
      <c r="P51" s="25">
        <v>74</v>
      </c>
      <c r="Q51" s="26"/>
      <c r="R51" s="26"/>
      <c r="S51" s="27"/>
      <c r="T51" s="27"/>
      <c r="U51" s="27"/>
      <c r="V51" s="27"/>
      <c r="W51" s="27"/>
      <c r="X51" s="26"/>
      <c r="Y51" s="26"/>
      <c r="Z51" s="26"/>
      <c r="AA51" s="26"/>
      <c r="AB51" s="27"/>
      <c r="AC51" s="27"/>
      <c r="AD51" s="26"/>
      <c r="AE51" s="26"/>
      <c r="AF51" s="25">
        <f t="shared" si="8"/>
        <v>-74</v>
      </c>
      <c r="AG51" s="28">
        <f t="shared" si="9"/>
        <v>0</v>
      </c>
    </row>
    <row r="52" spans="1:33" s="29" customFormat="1" ht="23.25" customHeight="1" x14ac:dyDescent="0.2">
      <c r="A52" s="18">
        <v>43600</v>
      </c>
      <c r="B52" s="19"/>
      <c r="C52" s="20" t="s">
        <v>41</v>
      </c>
      <c r="D52" s="20" t="s">
        <v>42</v>
      </c>
      <c r="E52" s="20" t="s">
        <v>43</v>
      </c>
      <c r="F52" s="21">
        <v>66766</v>
      </c>
      <c r="G52" s="44" t="s">
        <v>44</v>
      </c>
      <c r="H52" s="23"/>
      <c r="I52" s="23"/>
      <c r="J52" s="23"/>
      <c r="K52" s="23">
        <v>180</v>
      </c>
      <c r="L52" s="24"/>
      <c r="M52" s="25">
        <f t="shared" si="5"/>
        <v>160.71428571428569</v>
      </c>
      <c r="N52" s="25">
        <f t="shared" si="6"/>
        <v>19.285714285714281</v>
      </c>
      <c r="O52" s="25">
        <f t="shared" si="7"/>
        <v>0</v>
      </c>
      <c r="P52" s="25"/>
      <c r="Q52" s="26">
        <v>160.71</v>
      </c>
      <c r="R52" s="26"/>
      <c r="S52" s="27"/>
      <c r="T52" s="27"/>
      <c r="U52" s="27"/>
      <c r="V52" s="27"/>
      <c r="W52" s="27"/>
      <c r="X52" s="26"/>
      <c r="Y52" s="26"/>
      <c r="Z52" s="26"/>
      <c r="AA52" s="26"/>
      <c r="AB52" s="27"/>
      <c r="AC52" s="27"/>
      <c r="AD52" s="26"/>
      <c r="AE52" s="26"/>
      <c r="AF52" s="25">
        <f t="shared" si="8"/>
        <v>-179.99571428571429</v>
      </c>
      <c r="AG52" s="28">
        <f t="shared" si="9"/>
        <v>4.2857142857144481E-3</v>
      </c>
    </row>
    <row r="53" spans="1:33" s="29" customFormat="1" ht="23.25" customHeight="1" x14ac:dyDescent="0.2">
      <c r="A53" s="18">
        <v>43600</v>
      </c>
      <c r="B53" s="19"/>
      <c r="C53" s="20" t="s">
        <v>45</v>
      </c>
      <c r="D53" s="20" t="s">
        <v>46</v>
      </c>
      <c r="E53" s="20" t="s">
        <v>47</v>
      </c>
      <c r="F53" s="21">
        <v>124971</v>
      </c>
      <c r="G53" s="44" t="s">
        <v>574</v>
      </c>
      <c r="H53" s="23"/>
      <c r="I53" s="23"/>
      <c r="J53" s="23"/>
      <c r="K53" s="23">
        <v>650.25</v>
      </c>
      <c r="L53" s="24"/>
      <c r="M53" s="25">
        <f t="shared" si="5"/>
        <v>580.58035714285711</v>
      </c>
      <c r="N53" s="25">
        <f t="shared" si="6"/>
        <v>69.669642857142847</v>
      </c>
      <c r="O53" s="25">
        <f t="shared" si="7"/>
        <v>0</v>
      </c>
      <c r="P53" s="25">
        <v>580.58000000000004</v>
      </c>
      <c r="Q53" s="26"/>
      <c r="R53" s="26"/>
      <c r="S53" s="27"/>
      <c r="T53" s="27"/>
      <c r="U53" s="27"/>
      <c r="V53" s="27"/>
      <c r="W53" s="27"/>
      <c r="X53" s="26"/>
      <c r="Y53" s="26"/>
      <c r="Z53" s="26"/>
      <c r="AA53" s="26"/>
      <c r="AB53" s="27"/>
      <c r="AC53" s="27"/>
      <c r="AD53" s="26"/>
      <c r="AE53" s="26"/>
      <c r="AF53" s="25">
        <f t="shared" si="8"/>
        <v>-650.24964285714293</v>
      </c>
      <c r="AG53" s="28">
        <f t="shared" si="9"/>
        <v>3.5714285706944793E-4</v>
      </c>
    </row>
    <row r="54" spans="1:33" s="29" customFormat="1" ht="23.25" customHeight="1" x14ac:dyDescent="0.2">
      <c r="A54" s="18">
        <v>43600</v>
      </c>
      <c r="B54" s="19"/>
      <c r="C54" s="20" t="s">
        <v>185</v>
      </c>
      <c r="D54" s="20" t="s">
        <v>106</v>
      </c>
      <c r="E54" s="20" t="s">
        <v>47</v>
      </c>
      <c r="F54" s="21">
        <v>747278</v>
      </c>
      <c r="G54" s="44" t="s">
        <v>575</v>
      </c>
      <c r="H54" s="23"/>
      <c r="I54" s="23"/>
      <c r="J54" s="23"/>
      <c r="K54" s="23">
        <v>950</v>
      </c>
      <c r="L54" s="24"/>
      <c r="M54" s="25">
        <f t="shared" si="5"/>
        <v>848.21428571428567</v>
      </c>
      <c r="N54" s="25">
        <f t="shared" si="6"/>
        <v>101.78571428571428</v>
      </c>
      <c r="O54" s="25">
        <f t="shared" si="7"/>
        <v>0</v>
      </c>
      <c r="P54" s="25"/>
      <c r="Q54" s="26"/>
      <c r="R54" s="26"/>
      <c r="S54" s="27"/>
      <c r="T54" s="27">
        <v>848.21</v>
      </c>
      <c r="U54" s="27"/>
      <c r="V54" s="27"/>
      <c r="W54" s="27"/>
      <c r="X54" s="26"/>
      <c r="Y54" s="26"/>
      <c r="Z54" s="26"/>
      <c r="AA54" s="26"/>
      <c r="AB54" s="27"/>
      <c r="AC54" s="27"/>
      <c r="AD54" s="26"/>
      <c r="AE54" s="26"/>
      <c r="AF54" s="25">
        <f t="shared" si="8"/>
        <v>-949.99571428571426</v>
      </c>
      <c r="AG54" s="28">
        <f t="shared" si="9"/>
        <v>4.2857142857428698E-3</v>
      </c>
    </row>
    <row r="55" spans="1:33" s="29" customFormat="1" ht="23.25" customHeight="1" x14ac:dyDescent="0.2">
      <c r="A55" s="18">
        <v>43600</v>
      </c>
      <c r="B55" s="19"/>
      <c r="C55" s="20" t="s">
        <v>37</v>
      </c>
      <c r="D55" s="20" t="s">
        <v>38</v>
      </c>
      <c r="E55" s="20" t="s">
        <v>39</v>
      </c>
      <c r="F55" s="21">
        <v>35514</v>
      </c>
      <c r="G55" s="44" t="s">
        <v>576</v>
      </c>
      <c r="H55" s="23"/>
      <c r="I55" s="23"/>
      <c r="J55" s="23"/>
      <c r="K55" s="23">
        <v>206.25</v>
      </c>
      <c r="L55" s="24"/>
      <c r="M55" s="25">
        <f t="shared" si="5"/>
        <v>184.15178571428569</v>
      </c>
      <c r="N55" s="25">
        <f t="shared" si="6"/>
        <v>22.098214285714281</v>
      </c>
      <c r="O55" s="25">
        <f t="shared" si="7"/>
        <v>0</v>
      </c>
      <c r="P55" s="25"/>
      <c r="Q55" s="26">
        <v>184.15</v>
      </c>
      <c r="R55" s="26"/>
      <c r="S55" s="27"/>
      <c r="T55" s="27"/>
      <c r="U55" s="27"/>
      <c r="V55" s="27"/>
      <c r="W55" s="27"/>
      <c r="X55" s="26"/>
      <c r="Y55" s="26"/>
      <c r="Z55" s="26"/>
      <c r="AA55" s="26"/>
      <c r="AB55" s="27"/>
      <c r="AC55" s="27"/>
      <c r="AD55" s="26"/>
      <c r="AE55" s="26"/>
      <c r="AF55" s="25">
        <f t="shared" si="8"/>
        <v>-206.24821428571428</v>
      </c>
      <c r="AG55" s="28">
        <f t="shared" si="9"/>
        <v>1.7857142857167219E-3</v>
      </c>
    </row>
    <row r="56" spans="1:33" s="29" customFormat="1" ht="23.25" customHeight="1" x14ac:dyDescent="0.2">
      <c r="A56" s="18">
        <v>43600</v>
      </c>
      <c r="B56" s="19"/>
      <c r="C56" s="20" t="s">
        <v>577</v>
      </c>
      <c r="D56" s="20" t="s">
        <v>578</v>
      </c>
      <c r="E56" s="20" t="s">
        <v>47</v>
      </c>
      <c r="F56" s="21">
        <v>9950</v>
      </c>
      <c r="G56" s="44" t="s">
        <v>579</v>
      </c>
      <c r="H56" s="23"/>
      <c r="I56" s="23"/>
      <c r="J56" s="23"/>
      <c r="K56" s="23">
        <v>125</v>
      </c>
      <c r="L56" s="24"/>
      <c r="M56" s="25">
        <f t="shared" si="5"/>
        <v>111.60714285714285</v>
      </c>
      <c r="N56" s="25">
        <f t="shared" si="6"/>
        <v>13.392857142857141</v>
      </c>
      <c r="O56" s="25">
        <f t="shared" si="7"/>
        <v>0</v>
      </c>
      <c r="P56" s="25"/>
      <c r="Q56" s="26"/>
      <c r="R56" s="26"/>
      <c r="S56" s="27"/>
      <c r="T56" s="27"/>
      <c r="U56" s="27"/>
      <c r="V56" s="27"/>
      <c r="W56" s="27"/>
      <c r="X56" s="26"/>
      <c r="Y56" s="26"/>
      <c r="Z56" s="26"/>
      <c r="AA56" s="26">
        <v>111.61</v>
      </c>
      <c r="AB56" s="27"/>
      <c r="AC56" s="27"/>
      <c r="AD56" s="26"/>
      <c r="AE56" s="26"/>
      <c r="AF56" s="25">
        <f t="shared" si="8"/>
        <v>-125.00285714285714</v>
      </c>
      <c r="AG56" s="28">
        <f t="shared" si="9"/>
        <v>-2.8571428571382285E-3</v>
      </c>
    </row>
    <row r="57" spans="1:33" s="29" customFormat="1" ht="23.25" customHeight="1" x14ac:dyDescent="0.2">
      <c r="A57" s="18">
        <v>43600</v>
      </c>
      <c r="B57" s="19"/>
      <c r="C57" s="20" t="s">
        <v>157</v>
      </c>
      <c r="D57" s="20"/>
      <c r="E57" s="20"/>
      <c r="F57" s="21"/>
      <c r="G57" s="44" t="s">
        <v>580</v>
      </c>
      <c r="H57" s="23">
        <v>108</v>
      </c>
      <c r="I57" s="23"/>
      <c r="J57" s="23"/>
      <c r="K57" s="23"/>
      <c r="L57" s="24"/>
      <c r="M57" s="25">
        <f t="shared" si="5"/>
        <v>108</v>
      </c>
      <c r="N57" s="25">
        <f t="shared" si="6"/>
        <v>0</v>
      </c>
      <c r="O57" s="25">
        <f t="shared" si="7"/>
        <v>0</v>
      </c>
      <c r="P57" s="25"/>
      <c r="Q57" s="26"/>
      <c r="R57" s="26"/>
      <c r="S57" s="27"/>
      <c r="T57" s="27"/>
      <c r="U57" s="27"/>
      <c r="V57" s="27"/>
      <c r="W57" s="27"/>
      <c r="X57" s="26"/>
      <c r="Y57" s="26"/>
      <c r="Z57" s="26"/>
      <c r="AA57" s="26">
        <v>108</v>
      </c>
      <c r="AB57" s="27"/>
      <c r="AC57" s="27"/>
      <c r="AD57" s="26"/>
      <c r="AE57" s="26"/>
      <c r="AF57" s="25">
        <f t="shared" si="8"/>
        <v>-108</v>
      </c>
      <c r="AG57" s="28">
        <f t="shared" si="9"/>
        <v>0</v>
      </c>
    </row>
    <row r="58" spans="1:33" s="29" customFormat="1" ht="23.25" customHeight="1" x14ac:dyDescent="0.2">
      <c r="A58" s="18">
        <v>43600</v>
      </c>
      <c r="B58" s="19"/>
      <c r="C58" s="20" t="s">
        <v>37</v>
      </c>
      <c r="D58" s="20" t="s">
        <v>38</v>
      </c>
      <c r="E58" s="20" t="s">
        <v>39</v>
      </c>
      <c r="F58" s="21">
        <v>35509</v>
      </c>
      <c r="G58" s="44" t="s">
        <v>297</v>
      </c>
      <c r="H58" s="23"/>
      <c r="I58" s="23"/>
      <c r="J58" s="23"/>
      <c r="K58" s="23">
        <v>160</v>
      </c>
      <c r="L58" s="24"/>
      <c r="M58" s="25">
        <f t="shared" si="5"/>
        <v>142.85714285714283</v>
      </c>
      <c r="N58" s="25">
        <f t="shared" si="6"/>
        <v>17.142857142857139</v>
      </c>
      <c r="O58" s="25">
        <f t="shared" si="7"/>
        <v>0</v>
      </c>
      <c r="P58" s="25">
        <v>142.86000000000001</v>
      </c>
      <c r="Q58" s="26"/>
      <c r="R58" s="26"/>
      <c r="S58" s="27"/>
      <c r="T58" s="27"/>
      <c r="U58" s="27"/>
      <c r="V58" s="27"/>
      <c r="W58" s="27"/>
      <c r="X58" s="26"/>
      <c r="Y58" s="26"/>
      <c r="Z58" s="26"/>
      <c r="AA58" s="26"/>
      <c r="AB58" s="27"/>
      <c r="AC58" s="27"/>
      <c r="AD58" s="26"/>
      <c r="AE58" s="26"/>
      <c r="AF58" s="25">
        <f t="shared" si="8"/>
        <v>-160.00285714285715</v>
      </c>
      <c r="AG58" s="28">
        <f t="shared" si="9"/>
        <v>-2.8571428571524393E-3</v>
      </c>
    </row>
    <row r="59" spans="1:33" s="29" customFormat="1" ht="23.25" customHeight="1" x14ac:dyDescent="0.2">
      <c r="A59" s="18">
        <v>43600</v>
      </c>
      <c r="B59" s="19"/>
      <c r="C59" s="20" t="s">
        <v>45</v>
      </c>
      <c r="D59" s="20" t="s">
        <v>46</v>
      </c>
      <c r="E59" s="20" t="s">
        <v>47</v>
      </c>
      <c r="F59" s="21">
        <v>170314</v>
      </c>
      <c r="G59" s="44" t="s">
        <v>581</v>
      </c>
      <c r="H59" s="23"/>
      <c r="I59" s="23"/>
      <c r="J59" s="23"/>
      <c r="K59" s="23">
        <f>1681.96+201.84</f>
        <v>1883.8</v>
      </c>
      <c r="L59" s="24"/>
      <c r="M59" s="25">
        <f t="shared" si="5"/>
        <v>1681.9642857142856</v>
      </c>
      <c r="N59" s="25">
        <f t="shared" si="6"/>
        <v>201.83571428571426</v>
      </c>
      <c r="O59" s="25">
        <f t="shared" si="7"/>
        <v>0</v>
      </c>
      <c r="P59" s="25">
        <v>1681.96</v>
      </c>
      <c r="Q59" s="26"/>
      <c r="R59" s="26"/>
      <c r="S59" s="27"/>
      <c r="T59" s="27"/>
      <c r="U59" s="27"/>
      <c r="V59" s="27"/>
      <c r="W59" s="27"/>
      <c r="X59" s="26"/>
      <c r="Y59" s="26"/>
      <c r="Z59" s="26"/>
      <c r="AA59" s="26"/>
      <c r="AB59" s="27"/>
      <c r="AC59" s="27"/>
      <c r="AD59" s="26"/>
      <c r="AE59" s="26"/>
      <c r="AF59" s="25">
        <f t="shared" si="8"/>
        <v>-1883.7957142857142</v>
      </c>
      <c r="AG59" s="28">
        <f t="shared" si="9"/>
        <v>4.2857142857428698E-3</v>
      </c>
    </row>
    <row r="60" spans="1:33" s="29" customFormat="1" ht="23.25" customHeight="1" x14ac:dyDescent="0.2">
      <c r="A60" s="18">
        <v>43600</v>
      </c>
      <c r="B60" s="19"/>
      <c r="C60" s="20" t="s">
        <v>45</v>
      </c>
      <c r="D60" s="20" t="s">
        <v>46</v>
      </c>
      <c r="E60" s="20" t="s">
        <v>47</v>
      </c>
      <c r="F60" s="21">
        <v>170314</v>
      </c>
      <c r="G60" s="44" t="s">
        <v>582</v>
      </c>
      <c r="H60" s="23"/>
      <c r="I60" s="23"/>
      <c r="J60" s="23">
        <v>504.5</v>
      </c>
      <c r="K60" s="23"/>
      <c r="L60" s="24"/>
      <c r="M60" s="25">
        <f t="shared" si="5"/>
        <v>504.5</v>
      </c>
      <c r="N60" s="25">
        <f t="shared" si="6"/>
        <v>0</v>
      </c>
      <c r="O60" s="25">
        <f t="shared" si="7"/>
        <v>0</v>
      </c>
      <c r="P60" s="25">
        <v>504.5</v>
      </c>
      <c r="Q60" s="26"/>
      <c r="R60" s="26"/>
      <c r="S60" s="27"/>
      <c r="T60" s="27"/>
      <c r="U60" s="27"/>
      <c r="V60" s="27"/>
      <c r="W60" s="27"/>
      <c r="X60" s="26"/>
      <c r="Y60" s="26"/>
      <c r="Z60" s="26"/>
      <c r="AA60" s="26"/>
      <c r="AB60" s="27"/>
      <c r="AC60" s="27"/>
      <c r="AD60" s="26"/>
      <c r="AE60" s="26"/>
      <c r="AF60" s="25">
        <f t="shared" si="8"/>
        <v>-504.5</v>
      </c>
      <c r="AG60" s="28">
        <f t="shared" si="9"/>
        <v>0</v>
      </c>
    </row>
    <row r="61" spans="1:33" s="41" customFormat="1" ht="23.25" customHeight="1" x14ac:dyDescent="0.2">
      <c r="A61" s="30">
        <v>43601</v>
      </c>
      <c r="B61" s="31"/>
      <c r="C61" s="32" t="s">
        <v>41</v>
      </c>
      <c r="D61" s="32" t="s">
        <v>42</v>
      </c>
      <c r="E61" s="32" t="s">
        <v>43</v>
      </c>
      <c r="F61" s="33">
        <v>66862</v>
      </c>
      <c r="G61" s="34" t="s">
        <v>44</v>
      </c>
      <c r="H61" s="35"/>
      <c r="I61" s="35"/>
      <c r="J61" s="35"/>
      <c r="K61" s="35">
        <v>180</v>
      </c>
      <c r="L61" s="36"/>
      <c r="M61" s="37">
        <f t="shared" si="5"/>
        <v>160.71428571428569</v>
      </c>
      <c r="N61" s="37">
        <f t="shared" si="6"/>
        <v>19.285714285714281</v>
      </c>
      <c r="O61" s="37">
        <f t="shared" si="7"/>
        <v>0</v>
      </c>
      <c r="P61" s="37"/>
      <c r="Q61" s="38">
        <v>160.71</v>
      </c>
      <c r="R61" s="38"/>
      <c r="S61" s="39"/>
      <c r="T61" s="39"/>
      <c r="U61" s="39"/>
      <c r="V61" s="39"/>
      <c r="W61" s="39"/>
      <c r="X61" s="38"/>
      <c r="Y61" s="38"/>
      <c r="Z61" s="38"/>
      <c r="AA61" s="38"/>
      <c r="AB61" s="39"/>
      <c r="AC61" s="39"/>
      <c r="AD61" s="38"/>
      <c r="AE61" s="38"/>
      <c r="AF61" s="37">
        <f t="shared" si="8"/>
        <v>-179.99571428571429</v>
      </c>
      <c r="AG61" s="40">
        <f t="shared" si="9"/>
        <v>4.2857142857144481E-3</v>
      </c>
    </row>
    <row r="62" spans="1:33" s="29" customFormat="1" ht="23.25" customHeight="1" x14ac:dyDescent="0.2">
      <c r="A62" s="18">
        <v>43601</v>
      </c>
      <c r="B62" s="19"/>
      <c r="C62" s="20" t="s">
        <v>62</v>
      </c>
      <c r="D62" s="20"/>
      <c r="E62" s="20"/>
      <c r="F62" s="21"/>
      <c r="G62" s="44" t="s">
        <v>583</v>
      </c>
      <c r="H62" s="23">
        <v>50</v>
      </c>
      <c r="I62" s="23"/>
      <c r="J62" s="23"/>
      <c r="K62" s="23"/>
      <c r="L62" s="24"/>
      <c r="M62" s="25">
        <f t="shared" si="5"/>
        <v>50</v>
      </c>
      <c r="N62" s="25">
        <f t="shared" si="6"/>
        <v>0</v>
      </c>
      <c r="O62" s="25">
        <f t="shared" si="7"/>
        <v>0</v>
      </c>
      <c r="P62" s="25"/>
      <c r="Q62" s="26"/>
      <c r="R62" s="26"/>
      <c r="S62" s="27"/>
      <c r="T62" s="27"/>
      <c r="U62" s="27"/>
      <c r="V62" s="27"/>
      <c r="W62" s="27"/>
      <c r="X62" s="26"/>
      <c r="Y62" s="26"/>
      <c r="Z62" s="26"/>
      <c r="AA62" s="26">
        <v>50</v>
      </c>
      <c r="AB62" s="27"/>
      <c r="AC62" s="27"/>
      <c r="AD62" s="26"/>
      <c r="AE62" s="26"/>
      <c r="AF62" s="25">
        <f t="shared" si="8"/>
        <v>-50</v>
      </c>
      <c r="AG62" s="28">
        <f t="shared" si="9"/>
        <v>0</v>
      </c>
    </row>
    <row r="63" spans="1:33" s="29" customFormat="1" ht="23.25" customHeight="1" x14ac:dyDescent="0.2">
      <c r="A63" s="18">
        <v>43601</v>
      </c>
      <c r="B63" s="19"/>
      <c r="C63" s="20" t="s">
        <v>37</v>
      </c>
      <c r="D63" s="20" t="s">
        <v>38</v>
      </c>
      <c r="E63" s="20" t="s">
        <v>39</v>
      </c>
      <c r="F63" s="21">
        <v>35532</v>
      </c>
      <c r="G63" s="44" t="s">
        <v>359</v>
      </c>
      <c r="H63" s="23"/>
      <c r="I63" s="23"/>
      <c r="J63" s="23"/>
      <c r="K63" s="23">
        <v>246</v>
      </c>
      <c r="L63" s="24"/>
      <c r="M63" s="25">
        <f t="shared" si="5"/>
        <v>219.64285714285711</v>
      </c>
      <c r="N63" s="25">
        <f t="shared" si="6"/>
        <v>26.357142857142851</v>
      </c>
      <c r="O63" s="25">
        <f t="shared" si="7"/>
        <v>0</v>
      </c>
      <c r="P63" s="25">
        <v>219.64</v>
      </c>
      <c r="Q63" s="26"/>
      <c r="R63" s="26"/>
      <c r="S63" s="27"/>
      <c r="T63" s="27"/>
      <c r="U63" s="27"/>
      <c r="V63" s="27"/>
      <c r="W63" s="27"/>
      <c r="X63" s="26"/>
      <c r="Y63" s="26"/>
      <c r="Z63" s="26"/>
      <c r="AA63" s="26"/>
      <c r="AB63" s="27"/>
      <c r="AC63" s="27"/>
      <c r="AD63" s="26"/>
      <c r="AE63" s="26"/>
      <c r="AF63" s="25">
        <f t="shared" si="8"/>
        <v>-245.99714285714285</v>
      </c>
      <c r="AG63" s="28">
        <f t="shared" si="9"/>
        <v>2.8571428571524393E-3</v>
      </c>
    </row>
    <row r="64" spans="1:33" s="29" customFormat="1" ht="23.25" customHeight="1" x14ac:dyDescent="0.2">
      <c r="A64" s="18">
        <v>43601</v>
      </c>
      <c r="B64" s="19"/>
      <c r="C64" s="20" t="s">
        <v>573</v>
      </c>
      <c r="D64" s="20"/>
      <c r="E64" s="20"/>
      <c r="F64" s="21"/>
      <c r="G64" s="44" t="s">
        <v>584</v>
      </c>
      <c r="H64" s="23"/>
      <c r="I64" s="23"/>
      <c r="J64" s="23">
        <v>48</v>
      </c>
      <c r="K64" s="23"/>
      <c r="L64" s="24"/>
      <c r="M64" s="25">
        <f t="shared" si="5"/>
        <v>48</v>
      </c>
      <c r="N64" s="25">
        <f t="shared" si="6"/>
        <v>0</v>
      </c>
      <c r="O64" s="25">
        <f t="shared" si="7"/>
        <v>0</v>
      </c>
      <c r="P64" s="25">
        <v>48</v>
      </c>
      <c r="Q64" s="26"/>
      <c r="R64" s="26"/>
      <c r="S64" s="27"/>
      <c r="T64" s="27"/>
      <c r="U64" s="27"/>
      <c r="V64" s="27"/>
      <c r="W64" s="27"/>
      <c r="X64" s="26"/>
      <c r="Y64" s="26"/>
      <c r="Z64" s="26"/>
      <c r="AA64" s="26"/>
      <c r="AB64" s="27"/>
      <c r="AC64" s="27"/>
      <c r="AD64" s="26"/>
      <c r="AE64" s="26"/>
      <c r="AF64" s="25">
        <f t="shared" si="8"/>
        <v>-48</v>
      </c>
      <c r="AG64" s="28">
        <f t="shared" si="9"/>
        <v>0</v>
      </c>
    </row>
    <row r="65" spans="1:33" s="29" customFormat="1" ht="23.25" customHeight="1" x14ac:dyDescent="0.2">
      <c r="A65" s="18">
        <v>43601</v>
      </c>
      <c r="B65" s="19"/>
      <c r="C65" s="20" t="s">
        <v>45</v>
      </c>
      <c r="D65" s="20" t="s">
        <v>46</v>
      </c>
      <c r="E65" s="20" t="s">
        <v>47</v>
      </c>
      <c r="F65" s="21">
        <v>145265</v>
      </c>
      <c r="G65" s="44" t="s">
        <v>156</v>
      </c>
      <c r="H65" s="23"/>
      <c r="I65" s="23"/>
      <c r="J65" s="23"/>
      <c r="K65" s="23">
        <v>880</v>
      </c>
      <c r="L65" s="24"/>
      <c r="M65" s="25">
        <f t="shared" si="5"/>
        <v>785.71428571428567</v>
      </c>
      <c r="N65" s="25">
        <f t="shared" si="6"/>
        <v>94.285714285714278</v>
      </c>
      <c r="O65" s="25">
        <f t="shared" si="7"/>
        <v>0</v>
      </c>
      <c r="P65" s="25">
        <v>785.71</v>
      </c>
      <c r="Q65" s="26"/>
      <c r="R65" s="26"/>
      <c r="S65" s="27"/>
      <c r="T65" s="27"/>
      <c r="U65" s="27"/>
      <c r="V65" s="27"/>
      <c r="W65" s="27"/>
      <c r="X65" s="26"/>
      <c r="Y65" s="26"/>
      <c r="Z65" s="26"/>
      <c r="AA65" s="26"/>
      <c r="AB65" s="27"/>
      <c r="AC65" s="27"/>
      <c r="AD65" s="26"/>
      <c r="AE65" s="26"/>
      <c r="AF65" s="25">
        <f t="shared" si="8"/>
        <v>-879.99571428571426</v>
      </c>
      <c r="AG65" s="28">
        <f t="shared" si="9"/>
        <v>4.2857142857428698E-3</v>
      </c>
    </row>
    <row r="66" spans="1:33" s="29" customFormat="1" ht="23.25" customHeight="1" x14ac:dyDescent="0.2">
      <c r="A66" s="18">
        <v>43601</v>
      </c>
      <c r="B66" s="19"/>
      <c r="C66" s="20" t="s">
        <v>45</v>
      </c>
      <c r="D66" s="20" t="s">
        <v>46</v>
      </c>
      <c r="E66" s="20" t="s">
        <v>47</v>
      </c>
      <c r="F66" s="21">
        <v>145265</v>
      </c>
      <c r="G66" s="44" t="s">
        <v>426</v>
      </c>
      <c r="H66" s="23"/>
      <c r="I66" s="23"/>
      <c r="J66" s="23">
        <v>95.2</v>
      </c>
      <c r="K66" s="23"/>
      <c r="L66" s="24"/>
      <c r="M66" s="25">
        <f t="shared" si="5"/>
        <v>95.2</v>
      </c>
      <c r="N66" s="25">
        <f t="shared" si="6"/>
        <v>0</v>
      </c>
      <c r="O66" s="25">
        <f t="shared" si="7"/>
        <v>0</v>
      </c>
      <c r="P66" s="25">
        <v>95.2</v>
      </c>
      <c r="Q66" s="26"/>
      <c r="R66" s="26"/>
      <c r="S66" s="27"/>
      <c r="T66" s="27"/>
      <c r="U66" s="27"/>
      <c r="V66" s="27"/>
      <c r="W66" s="27"/>
      <c r="X66" s="26"/>
      <c r="Y66" s="26"/>
      <c r="Z66" s="26"/>
      <c r="AA66" s="26"/>
      <c r="AB66" s="27"/>
      <c r="AC66" s="27"/>
      <c r="AD66" s="26"/>
      <c r="AE66" s="26"/>
      <c r="AF66" s="25">
        <f t="shared" si="8"/>
        <v>-95.2</v>
      </c>
      <c r="AG66" s="28">
        <f t="shared" si="9"/>
        <v>0</v>
      </c>
    </row>
    <row r="67" spans="1:33" s="29" customFormat="1" ht="23.25" customHeight="1" x14ac:dyDescent="0.2">
      <c r="A67" s="18">
        <v>43601</v>
      </c>
      <c r="B67" s="19"/>
      <c r="C67" s="20" t="s">
        <v>277</v>
      </c>
      <c r="D67" s="20"/>
      <c r="E67" s="20"/>
      <c r="F67" s="21"/>
      <c r="G67" s="44" t="s">
        <v>177</v>
      </c>
      <c r="H67" s="23">
        <v>537</v>
      </c>
      <c r="I67" s="23"/>
      <c r="J67" s="23"/>
      <c r="K67" s="23"/>
      <c r="L67" s="24"/>
      <c r="M67" s="25">
        <f t="shared" si="5"/>
        <v>537</v>
      </c>
      <c r="N67" s="25">
        <f t="shared" si="6"/>
        <v>0</v>
      </c>
      <c r="O67" s="25">
        <f t="shared" si="7"/>
        <v>0</v>
      </c>
      <c r="P67" s="25"/>
      <c r="Q67" s="26"/>
      <c r="R67" s="26"/>
      <c r="S67" s="27"/>
      <c r="T67" s="27"/>
      <c r="U67" s="27"/>
      <c r="V67" s="27"/>
      <c r="W67" s="27"/>
      <c r="X67" s="26"/>
      <c r="Y67" s="26"/>
      <c r="Z67" s="26"/>
      <c r="AA67" s="26"/>
      <c r="AB67" s="27">
        <v>537</v>
      </c>
      <c r="AC67" s="27"/>
      <c r="AD67" s="26"/>
      <c r="AE67" s="26"/>
      <c r="AF67" s="25">
        <f t="shared" si="8"/>
        <v>-537</v>
      </c>
      <c r="AG67" s="28">
        <f t="shared" si="9"/>
        <v>0</v>
      </c>
    </row>
    <row r="68" spans="1:33" s="29" customFormat="1" ht="23.25" customHeight="1" x14ac:dyDescent="0.2">
      <c r="A68" s="18">
        <v>43601</v>
      </c>
      <c r="B68" s="19"/>
      <c r="C68" s="20" t="s">
        <v>347</v>
      </c>
      <c r="D68" s="20"/>
      <c r="E68" s="20"/>
      <c r="F68" s="21"/>
      <c r="G68" s="44" t="s">
        <v>125</v>
      </c>
      <c r="H68" s="23">
        <v>537</v>
      </c>
      <c r="I68" s="23"/>
      <c r="J68" s="23"/>
      <c r="K68" s="23"/>
      <c r="L68" s="24"/>
      <c r="M68" s="25">
        <f t="shared" si="5"/>
        <v>537</v>
      </c>
      <c r="N68" s="25">
        <f t="shared" si="6"/>
        <v>0</v>
      </c>
      <c r="O68" s="25">
        <f t="shared" si="7"/>
        <v>0</v>
      </c>
      <c r="P68" s="25"/>
      <c r="Q68" s="26"/>
      <c r="R68" s="26"/>
      <c r="S68" s="27"/>
      <c r="T68" s="27"/>
      <c r="U68" s="27"/>
      <c r="V68" s="27"/>
      <c r="W68" s="27"/>
      <c r="X68" s="26"/>
      <c r="Y68" s="26"/>
      <c r="Z68" s="26"/>
      <c r="AA68" s="26"/>
      <c r="AB68" s="27">
        <v>537</v>
      </c>
      <c r="AC68" s="27"/>
      <c r="AD68" s="26"/>
      <c r="AE68" s="26"/>
      <c r="AF68" s="25">
        <f t="shared" si="8"/>
        <v>-537</v>
      </c>
      <c r="AG68" s="28">
        <f t="shared" si="9"/>
        <v>0</v>
      </c>
    </row>
    <row r="69" spans="1:33" s="29" customFormat="1" ht="23.25" customHeight="1" x14ac:dyDescent="0.2">
      <c r="A69" s="18">
        <v>43602</v>
      </c>
      <c r="B69" s="19"/>
      <c r="C69" s="20" t="s">
        <v>45</v>
      </c>
      <c r="D69" s="20" t="s">
        <v>46</v>
      </c>
      <c r="E69" s="20" t="s">
        <v>47</v>
      </c>
      <c r="F69" s="21">
        <v>154205</v>
      </c>
      <c r="G69" s="44" t="s">
        <v>585</v>
      </c>
      <c r="H69" s="23"/>
      <c r="I69" s="23"/>
      <c r="J69" s="23">
        <v>431.7</v>
      </c>
      <c r="K69" s="23"/>
      <c r="L69" s="24"/>
      <c r="M69" s="25">
        <f t="shared" ref="M69:M100" si="10">SUM(H69:J69,K69/1.12)</f>
        <v>431.7</v>
      </c>
      <c r="N69" s="25">
        <f t="shared" ref="N69:N100" si="11">K69/1.12*0.12</f>
        <v>0</v>
      </c>
      <c r="O69" s="25">
        <f t="shared" ref="O69:O100" si="12">-SUM(I69:J69,K69/1.12)*L69</f>
        <v>0</v>
      </c>
      <c r="P69" s="25">
        <v>431.7</v>
      </c>
      <c r="Q69" s="26"/>
      <c r="R69" s="26"/>
      <c r="S69" s="27"/>
      <c r="T69" s="27"/>
      <c r="U69" s="27"/>
      <c r="V69" s="27"/>
      <c r="W69" s="27"/>
      <c r="X69" s="26"/>
      <c r="Y69" s="26"/>
      <c r="Z69" s="26"/>
      <c r="AA69" s="26"/>
      <c r="AB69" s="27"/>
      <c r="AC69" s="27"/>
      <c r="AD69" s="26"/>
      <c r="AE69" s="26"/>
      <c r="AF69" s="25">
        <f t="shared" ref="AF69:AF100" si="13">-SUM(N69:AE69)</f>
        <v>-431.7</v>
      </c>
      <c r="AG69" s="28">
        <f t="shared" ref="AG69:AG100" si="14">SUM(H69:K69)+AF69+O69</f>
        <v>0</v>
      </c>
    </row>
    <row r="70" spans="1:33" s="29" customFormat="1" ht="23.25" customHeight="1" x14ac:dyDescent="0.2">
      <c r="A70" s="18">
        <v>43602</v>
      </c>
      <c r="B70" s="19"/>
      <c r="C70" s="20" t="s">
        <v>41</v>
      </c>
      <c r="D70" s="20" t="s">
        <v>42</v>
      </c>
      <c r="E70" s="20" t="s">
        <v>43</v>
      </c>
      <c r="F70" s="21">
        <v>71056</v>
      </c>
      <c r="G70" s="44" t="s">
        <v>44</v>
      </c>
      <c r="H70" s="23"/>
      <c r="I70" s="23"/>
      <c r="J70" s="23"/>
      <c r="K70" s="23">
        <v>180</v>
      </c>
      <c r="L70" s="24"/>
      <c r="M70" s="25">
        <f t="shared" si="10"/>
        <v>160.71428571428569</v>
      </c>
      <c r="N70" s="25">
        <f t="shared" si="11"/>
        <v>19.285714285714281</v>
      </c>
      <c r="O70" s="25">
        <f t="shared" si="12"/>
        <v>0</v>
      </c>
      <c r="P70" s="25"/>
      <c r="Q70" s="26">
        <v>160.71</v>
      </c>
      <c r="R70" s="26"/>
      <c r="S70" s="27"/>
      <c r="T70" s="27"/>
      <c r="U70" s="27"/>
      <c r="V70" s="27"/>
      <c r="W70" s="27"/>
      <c r="X70" s="26"/>
      <c r="Y70" s="26"/>
      <c r="Z70" s="26"/>
      <c r="AA70" s="26"/>
      <c r="AB70" s="27"/>
      <c r="AC70" s="27"/>
      <c r="AD70" s="26"/>
      <c r="AE70" s="26"/>
      <c r="AF70" s="25">
        <f t="shared" si="13"/>
        <v>-179.99571428571429</v>
      </c>
      <c r="AG70" s="28">
        <f t="shared" si="14"/>
        <v>4.2857142857144481E-3</v>
      </c>
    </row>
    <row r="71" spans="1:33" s="29" customFormat="1" ht="23.25" customHeight="1" x14ac:dyDescent="0.2">
      <c r="A71" s="18">
        <v>43602</v>
      </c>
      <c r="B71" s="19"/>
      <c r="C71" s="20" t="s">
        <v>586</v>
      </c>
      <c r="D71" s="20"/>
      <c r="E71" s="20" t="s">
        <v>587</v>
      </c>
      <c r="F71" s="21">
        <v>5020</v>
      </c>
      <c r="G71" s="44" t="s">
        <v>588</v>
      </c>
      <c r="H71" s="23"/>
      <c r="I71" s="23"/>
      <c r="J71" s="23"/>
      <c r="K71" s="23">
        <v>2000</v>
      </c>
      <c r="L71" s="24">
        <v>0.02</v>
      </c>
      <c r="M71" s="25">
        <f t="shared" si="10"/>
        <v>1785.7142857142856</v>
      </c>
      <c r="N71" s="25">
        <f t="shared" si="11"/>
        <v>214.28571428571425</v>
      </c>
      <c r="O71" s="25">
        <f t="shared" si="12"/>
        <v>-35.714285714285715</v>
      </c>
      <c r="P71" s="25"/>
      <c r="Q71" s="26"/>
      <c r="R71" s="26"/>
      <c r="S71" s="27"/>
      <c r="T71" s="27"/>
      <c r="U71" s="27"/>
      <c r="V71" s="27"/>
      <c r="W71" s="27"/>
      <c r="X71" s="26"/>
      <c r="Y71" s="26">
        <v>1785.71</v>
      </c>
      <c r="Z71" s="26"/>
      <c r="AA71" s="26"/>
      <c r="AB71" s="27"/>
      <c r="AC71" s="27"/>
      <c r="AD71" s="26"/>
      <c r="AE71" s="26"/>
      <c r="AF71" s="25">
        <f t="shared" si="13"/>
        <v>-1964.2814285714285</v>
      </c>
      <c r="AG71" s="28">
        <f t="shared" si="14"/>
        <v>4.2857142858068187E-3</v>
      </c>
    </row>
    <row r="72" spans="1:33" s="29" customFormat="1" ht="23.25" customHeight="1" x14ac:dyDescent="0.2">
      <c r="A72" s="18">
        <v>43602</v>
      </c>
      <c r="B72" s="19"/>
      <c r="C72" s="20" t="s">
        <v>277</v>
      </c>
      <c r="D72" s="20"/>
      <c r="E72" s="20"/>
      <c r="F72" s="21"/>
      <c r="G72" s="44" t="s">
        <v>177</v>
      </c>
      <c r="H72" s="23">
        <v>537</v>
      </c>
      <c r="I72" s="23"/>
      <c r="J72" s="23"/>
      <c r="K72" s="23"/>
      <c r="L72" s="24"/>
      <c r="M72" s="25">
        <f t="shared" si="10"/>
        <v>537</v>
      </c>
      <c r="N72" s="25">
        <f t="shared" si="11"/>
        <v>0</v>
      </c>
      <c r="O72" s="25">
        <f t="shared" si="12"/>
        <v>0</v>
      </c>
      <c r="P72" s="25"/>
      <c r="Q72" s="26"/>
      <c r="R72" s="26"/>
      <c r="S72" s="27"/>
      <c r="T72" s="27"/>
      <c r="U72" s="27"/>
      <c r="V72" s="27"/>
      <c r="W72" s="27"/>
      <c r="X72" s="26"/>
      <c r="Y72" s="26"/>
      <c r="Z72" s="26"/>
      <c r="AA72" s="26"/>
      <c r="AB72" s="27">
        <v>537</v>
      </c>
      <c r="AC72" s="27"/>
      <c r="AD72" s="26"/>
      <c r="AE72" s="26"/>
      <c r="AF72" s="25">
        <f t="shared" si="13"/>
        <v>-537</v>
      </c>
      <c r="AG72" s="28">
        <f t="shared" si="14"/>
        <v>0</v>
      </c>
    </row>
    <row r="73" spans="1:33" s="29" customFormat="1" ht="23.25" customHeight="1" x14ac:dyDescent="0.2">
      <c r="A73" s="18">
        <v>43602</v>
      </c>
      <c r="B73" s="19"/>
      <c r="C73" s="20" t="s">
        <v>347</v>
      </c>
      <c r="D73" s="20"/>
      <c r="E73" s="20"/>
      <c r="F73" s="21"/>
      <c r="G73" s="44" t="s">
        <v>125</v>
      </c>
      <c r="H73" s="23">
        <v>537</v>
      </c>
      <c r="I73" s="23"/>
      <c r="J73" s="23"/>
      <c r="K73" s="23"/>
      <c r="L73" s="24"/>
      <c r="M73" s="25">
        <f t="shared" si="10"/>
        <v>537</v>
      </c>
      <c r="N73" s="25">
        <f t="shared" si="11"/>
        <v>0</v>
      </c>
      <c r="O73" s="25">
        <f t="shared" si="12"/>
        <v>0</v>
      </c>
      <c r="P73" s="25"/>
      <c r="Q73" s="26"/>
      <c r="R73" s="26"/>
      <c r="S73" s="27"/>
      <c r="T73" s="27"/>
      <c r="U73" s="27"/>
      <c r="V73" s="27"/>
      <c r="W73" s="27"/>
      <c r="X73" s="26"/>
      <c r="Y73" s="26"/>
      <c r="Z73" s="26"/>
      <c r="AA73" s="26"/>
      <c r="AB73" s="27">
        <v>537</v>
      </c>
      <c r="AC73" s="27"/>
      <c r="AD73" s="26"/>
      <c r="AE73" s="26"/>
      <c r="AF73" s="25">
        <f t="shared" si="13"/>
        <v>-537</v>
      </c>
      <c r="AG73" s="28">
        <f t="shared" si="14"/>
        <v>0</v>
      </c>
    </row>
    <row r="74" spans="1:33" s="29" customFormat="1" ht="23.25" customHeight="1" x14ac:dyDescent="0.2">
      <c r="A74" s="18">
        <v>43603</v>
      </c>
      <c r="B74" s="19"/>
      <c r="C74" s="20" t="s">
        <v>321</v>
      </c>
      <c r="D74" s="20" t="s">
        <v>455</v>
      </c>
      <c r="E74" s="20" t="s">
        <v>39</v>
      </c>
      <c r="F74" s="21">
        <v>1492</v>
      </c>
      <c r="G74" s="44" t="s">
        <v>44</v>
      </c>
      <c r="H74" s="23"/>
      <c r="I74" s="23"/>
      <c r="J74" s="23"/>
      <c r="K74" s="23">
        <v>40</v>
      </c>
      <c r="L74" s="24"/>
      <c r="M74" s="25">
        <f t="shared" si="10"/>
        <v>35.714285714285708</v>
      </c>
      <c r="N74" s="25">
        <f t="shared" si="11"/>
        <v>4.2857142857142847</v>
      </c>
      <c r="O74" s="25">
        <f t="shared" si="12"/>
        <v>0</v>
      </c>
      <c r="P74" s="25"/>
      <c r="Q74" s="26">
        <v>35.71</v>
      </c>
      <c r="R74" s="26"/>
      <c r="S74" s="27"/>
      <c r="T74" s="27"/>
      <c r="U74" s="27"/>
      <c r="V74" s="27"/>
      <c r="W74" s="27"/>
      <c r="X74" s="26"/>
      <c r="Y74" s="26"/>
      <c r="Z74" s="26"/>
      <c r="AA74" s="26"/>
      <c r="AB74" s="27"/>
      <c r="AC74" s="27"/>
      <c r="AD74" s="26"/>
      <c r="AE74" s="26"/>
      <c r="AF74" s="25">
        <f t="shared" si="13"/>
        <v>-39.995714285714286</v>
      </c>
      <c r="AG74" s="28">
        <f t="shared" si="14"/>
        <v>4.2857142857144481E-3</v>
      </c>
    </row>
    <row r="75" spans="1:33" s="29" customFormat="1" ht="23.25" customHeight="1" x14ac:dyDescent="0.2">
      <c r="A75" s="18">
        <v>43603</v>
      </c>
      <c r="B75" s="19"/>
      <c r="C75" s="20" t="s">
        <v>37</v>
      </c>
      <c r="D75" s="20" t="s">
        <v>38</v>
      </c>
      <c r="E75" s="20" t="s">
        <v>39</v>
      </c>
      <c r="F75" s="21">
        <v>35562</v>
      </c>
      <c r="G75" s="44" t="s">
        <v>567</v>
      </c>
      <c r="H75" s="23"/>
      <c r="I75" s="23"/>
      <c r="J75" s="23"/>
      <c r="K75" s="23">
        <v>155</v>
      </c>
      <c r="L75" s="24"/>
      <c r="M75" s="25">
        <f t="shared" si="10"/>
        <v>138.39285714285714</v>
      </c>
      <c r="N75" s="25">
        <f t="shared" si="11"/>
        <v>16.607142857142858</v>
      </c>
      <c r="O75" s="25">
        <f t="shared" si="12"/>
        <v>0</v>
      </c>
      <c r="P75" s="25">
        <v>138.38999999999999</v>
      </c>
      <c r="Q75" s="26"/>
      <c r="R75" s="26"/>
      <c r="S75" s="27"/>
      <c r="T75" s="27"/>
      <c r="U75" s="27"/>
      <c r="V75" s="27"/>
      <c r="W75" s="27"/>
      <c r="X75" s="26"/>
      <c r="Y75" s="26"/>
      <c r="Z75" s="26"/>
      <c r="AA75" s="26"/>
      <c r="AB75" s="27"/>
      <c r="AC75" s="27"/>
      <c r="AD75" s="26"/>
      <c r="AE75" s="26"/>
      <c r="AF75" s="25">
        <f t="shared" si="13"/>
        <v>-154.99714285714285</v>
      </c>
      <c r="AG75" s="28">
        <f t="shared" si="14"/>
        <v>2.8571428571524393E-3</v>
      </c>
    </row>
    <row r="76" spans="1:33" s="29" customFormat="1" ht="23.25" customHeight="1" x14ac:dyDescent="0.2">
      <c r="A76" s="18">
        <v>43603</v>
      </c>
      <c r="B76" s="19"/>
      <c r="C76" s="20" t="s">
        <v>58</v>
      </c>
      <c r="D76" s="20"/>
      <c r="E76" s="20"/>
      <c r="F76" s="21"/>
      <c r="G76" s="63" t="s">
        <v>589</v>
      </c>
      <c r="H76" s="23">
        <v>100</v>
      </c>
      <c r="I76" s="23"/>
      <c r="J76" s="23"/>
      <c r="K76" s="23"/>
      <c r="L76" s="24"/>
      <c r="M76" s="25">
        <f t="shared" si="10"/>
        <v>100</v>
      </c>
      <c r="N76" s="25">
        <f t="shared" si="11"/>
        <v>0</v>
      </c>
      <c r="O76" s="25">
        <f t="shared" si="12"/>
        <v>0</v>
      </c>
      <c r="P76" s="25"/>
      <c r="Q76" s="26"/>
      <c r="R76" s="26"/>
      <c r="S76" s="27"/>
      <c r="T76" s="27"/>
      <c r="U76" s="27"/>
      <c r="V76" s="27"/>
      <c r="W76" s="27"/>
      <c r="X76" s="26"/>
      <c r="Y76" s="26"/>
      <c r="Z76" s="26"/>
      <c r="AA76" s="26">
        <v>100</v>
      </c>
      <c r="AB76" s="27"/>
      <c r="AC76" s="27"/>
      <c r="AD76" s="26"/>
      <c r="AE76" s="26"/>
      <c r="AF76" s="25">
        <f t="shared" si="13"/>
        <v>-100</v>
      </c>
      <c r="AG76" s="28">
        <f t="shared" si="14"/>
        <v>0</v>
      </c>
    </row>
    <row r="77" spans="1:33" s="29" customFormat="1" ht="23.25" customHeight="1" x14ac:dyDescent="0.2">
      <c r="A77" s="18">
        <v>43603</v>
      </c>
      <c r="B77" s="19"/>
      <c r="C77" s="20" t="s">
        <v>54</v>
      </c>
      <c r="D77" s="20" t="s">
        <v>55</v>
      </c>
      <c r="E77" s="20" t="s">
        <v>56</v>
      </c>
      <c r="F77" s="21">
        <v>3150</v>
      </c>
      <c r="G77" s="44" t="s">
        <v>590</v>
      </c>
      <c r="H77" s="23"/>
      <c r="I77" s="23"/>
      <c r="J77" s="23">
        <v>795</v>
      </c>
      <c r="K77" s="23"/>
      <c r="L77" s="24"/>
      <c r="M77" s="25">
        <f t="shared" si="10"/>
        <v>795</v>
      </c>
      <c r="N77" s="25">
        <f t="shared" si="11"/>
        <v>0</v>
      </c>
      <c r="O77" s="25">
        <f t="shared" si="12"/>
        <v>0</v>
      </c>
      <c r="P77" s="25">
        <v>795</v>
      </c>
      <c r="Q77" s="26"/>
      <c r="R77" s="26"/>
      <c r="S77" s="27"/>
      <c r="T77" s="27"/>
      <c r="U77" s="27"/>
      <c r="V77" s="27"/>
      <c r="W77" s="27"/>
      <c r="X77" s="26"/>
      <c r="Y77" s="26"/>
      <c r="Z77" s="26"/>
      <c r="AA77" s="26"/>
      <c r="AB77" s="27"/>
      <c r="AC77" s="27"/>
      <c r="AD77" s="26"/>
      <c r="AE77" s="26"/>
      <c r="AF77" s="25">
        <f t="shared" si="13"/>
        <v>-795</v>
      </c>
      <c r="AG77" s="28">
        <f t="shared" si="14"/>
        <v>0</v>
      </c>
    </row>
    <row r="78" spans="1:33" s="29" customFormat="1" ht="23.25" customHeight="1" x14ac:dyDescent="0.2">
      <c r="A78" s="18">
        <v>43605</v>
      </c>
      <c r="B78" s="19"/>
      <c r="C78" s="20" t="s">
        <v>185</v>
      </c>
      <c r="D78" s="20" t="s">
        <v>106</v>
      </c>
      <c r="E78" s="20" t="s">
        <v>47</v>
      </c>
      <c r="F78" s="21">
        <v>707630</v>
      </c>
      <c r="G78" s="44" t="s">
        <v>591</v>
      </c>
      <c r="H78" s="23"/>
      <c r="I78" s="23"/>
      <c r="J78" s="23"/>
      <c r="K78" s="23">
        <v>162.75</v>
      </c>
      <c r="L78" s="24"/>
      <c r="M78" s="25">
        <f t="shared" si="10"/>
        <v>145.3125</v>
      </c>
      <c r="N78" s="25">
        <f t="shared" si="11"/>
        <v>17.4375</v>
      </c>
      <c r="O78" s="25">
        <f t="shared" si="12"/>
        <v>0</v>
      </c>
      <c r="P78" s="25"/>
      <c r="Q78" s="26"/>
      <c r="R78" s="26"/>
      <c r="S78" s="27"/>
      <c r="T78" s="27">
        <v>145.31</v>
      </c>
      <c r="U78" s="27"/>
      <c r="V78" s="27"/>
      <c r="W78" s="27"/>
      <c r="X78" s="26"/>
      <c r="Y78" s="26"/>
      <c r="Z78" s="26"/>
      <c r="AA78" s="26"/>
      <c r="AB78" s="27"/>
      <c r="AC78" s="27"/>
      <c r="AD78" s="26"/>
      <c r="AE78" s="26"/>
      <c r="AF78" s="25">
        <f t="shared" si="13"/>
        <v>-162.7475</v>
      </c>
      <c r="AG78" s="28">
        <f t="shared" si="14"/>
        <v>2.4999999999977263E-3</v>
      </c>
    </row>
    <row r="79" spans="1:33" s="29" customFormat="1" ht="22.5" customHeight="1" x14ac:dyDescent="0.2">
      <c r="A79" s="18">
        <v>43605</v>
      </c>
      <c r="B79" s="19"/>
      <c r="C79" s="20" t="s">
        <v>41</v>
      </c>
      <c r="D79" s="20" t="s">
        <v>42</v>
      </c>
      <c r="E79" s="20" t="s">
        <v>43</v>
      </c>
      <c r="F79" s="21">
        <v>71146</v>
      </c>
      <c r="G79" s="44" t="s">
        <v>44</v>
      </c>
      <c r="H79" s="23"/>
      <c r="I79" s="23"/>
      <c r="J79" s="23"/>
      <c r="K79" s="23">
        <v>180</v>
      </c>
      <c r="L79" s="24"/>
      <c r="M79" s="25">
        <f t="shared" si="10"/>
        <v>160.71428571428569</v>
      </c>
      <c r="N79" s="25">
        <f t="shared" si="11"/>
        <v>19.285714285714281</v>
      </c>
      <c r="O79" s="25">
        <f t="shared" si="12"/>
        <v>0</v>
      </c>
      <c r="P79" s="25"/>
      <c r="Q79" s="26">
        <v>160.71</v>
      </c>
      <c r="R79" s="26"/>
      <c r="S79" s="27"/>
      <c r="T79" s="27"/>
      <c r="U79" s="27"/>
      <c r="V79" s="27"/>
      <c r="W79" s="27"/>
      <c r="X79" s="26"/>
      <c r="Y79" s="26"/>
      <c r="Z79" s="26"/>
      <c r="AA79" s="26"/>
      <c r="AB79" s="27"/>
      <c r="AC79" s="27"/>
      <c r="AD79" s="26"/>
      <c r="AE79" s="26"/>
      <c r="AF79" s="25">
        <f t="shared" si="13"/>
        <v>-179.99571428571429</v>
      </c>
      <c r="AG79" s="28">
        <f t="shared" si="14"/>
        <v>4.2857142857144481E-3</v>
      </c>
    </row>
    <row r="80" spans="1:33" s="29" customFormat="1" ht="22.5" customHeight="1" x14ac:dyDescent="0.2">
      <c r="A80" s="18">
        <v>43606</v>
      </c>
      <c r="B80" s="19"/>
      <c r="C80" s="20" t="s">
        <v>41</v>
      </c>
      <c r="D80" s="20" t="s">
        <v>42</v>
      </c>
      <c r="E80" s="20" t="s">
        <v>43</v>
      </c>
      <c r="F80" s="21">
        <v>78543</v>
      </c>
      <c r="G80" s="44" t="s">
        <v>44</v>
      </c>
      <c r="H80" s="23"/>
      <c r="I80" s="23"/>
      <c r="J80" s="23"/>
      <c r="K80" s="23">
        <v>180</v>
      </c>
      <c r="L80" s="24"/>
      <c r="M80" s="25">
        <f t="shared" si="10"/>
        <v>160.71428571428569</v>
      </c>
      <c r="N80" s="25">
        <f t="shared" si="11"/>
        <v>19.285714285714281</v>
      </c>
      <c r="O80" s="25">
        <f t="shared" si="12"/>
        <v>0</v>
      </c>
      <c r="P80" s="25"/>
      <c r="Q80" s="26">
        <v>160.71</v>
      </c>
      <c r="R80" s="26"/>
      <c r="S80" s="27"/>
      <c r="T80" s="27"/>
      <c r="U80" s="27"/>
      <c r="V80" s="27"/>
      <c r="W80" s="27"/>
      <c r="X80" s="26"/>
      <c r="Y80" s="26"/>
      <c r="Z80" s="26"/>
      <c r="AA80" s="26"/>
      <c r="AB80" s="27"/>
      <c r="AC80" s="27"/>
      <c r="AD80" s="26"/>
      <c r="AE80" s="26"/>
      <c r="AF80" s="25">
        <f t="shared" si="13"/>
        <v>-179.99571428571429</v>
      </c>
      <c r="AG80" s="28">
        <f t="shared" si="14"/>
        <v>4.2857142857144481E-3</v>
      </c>
    </row>
    <row r="81" spans="1:33" s="29" customFormat="1" ht="23.25" customHeight="1" x14ac:dyDescent="0.2">
      <c r="A81" s="18">
        <v>43606</v>
      </c>
      <c r="B81" s="19"/>
      <c r="C81" s="20" t="s">
        <v>45</v>
      </c>
      <c r="D81" s="20" t="s">
        <v>46</v>
      </c>
      <c r="E81" s="20" t="s">
        <v>47</v>
      </c>
      <c r="F81" s="21">
        <v>146073</v>
      </c>
      <c r="G81" s="44" t="s">
        <v>592</v>
      </c>
      <c r="H81" s="23"/>
      <c r="I81" s="23"/>
      <c r="J81" s="23">
        <v>152.75</v>
      </c>
      <c r="K81" s="23"/>
      <c r="L81" s="24"/>
      <c r="M81" s="25">
        <f t="shared" si="10"/>
        <v>152.75</v>
      </c>
      <c r="N81" s="25">
        <f t="shared" si="11"/>
        <v>0</v>
      </c>
      <c r="O81" s="25">
        <f t="shared" si="12"/>
        <v>0</v>
      </c>
      <c r="P81" s="25">
        <v>152.75</v>
      </c>
      <c r="Q81" s="26"/>
      <c r="R81" s="26"/>
      <c r="S81" s="27"/>
      <c r="T81" s="27"/>
      <c r="U81" s="27"/>
      <c r="V81" s="27"/>
      <c r="W81" s="27"/>
      <c r="X81" s="26"/>
      <c r="Y81" s="26"/>
      <c r="Z81" s="26"/>
      <c r="AA81" s="26"/>
      <c r="AB81" s="27"/>
      <c r="AC81" s="27"/>
      <c r="AD81" s="26"/>
      <c r="AE81" s="26"/>
      <c r="AF81" s="25">
        <f t="shared" si="13"/>
        <v>-152.75</v>
      </c>
      <c r="AG81" s="28">
        <f t="shared" si="14"/>
        <v>0</v>
      </c>
    </row>
    <row r="82" spans="1:33" s="29" customFormat="1" ht="23.25" customHeight="1" x14ac:dyDescent="0.2">
      <c r="A82" s="18">
        <v>43606</v>
      </c>
      <c r="B82" s="19"/>
      <c r="C82" s="20" t="s">
        <v>45</v>
      </c>
      <c r="D82" s="20" t="s">
        <v>46</v>
      </c>
      <c r="E82" s="20" t="s">
        <v>47</v>
      </c>
      <c r="F82" s="21">
        <v>146073</v>
      </c>
      <c r="G82" s="44" t="s">
        <v>593</v>
      </c>
      <c r="H82" s="23"/>
      <c r="I82" s="23"/>
      <c r="J82" s="23"/>
      <c r="K82" s="23">
        <f>578.04+69.36</f>
        <v>647.4</v>
      </c>
      <c r="L82" s="24"/>
      <c r="M82" s="25">
        <f t="shared" si="10"/>
        <v>578.03571428571422</v>
      </c>
      <c r="N82" s="25">
        <f t="shared" si="11"/>
        <v>69.3642857142857</v>
      </c>
      <c r="O82" s="25">
        <f t="shared" si="12"/>
        <v>0</v>
      </c>
      <c r="P82" s="25">
        <v>578.04</v>
      </c>
      <c r="Q82" s="26"/>
      <c r="R82" s="26"/>
      <c r="S82" s="27"/>
      <c r="T82" s="27"/>
      <c r="U82" s="27"/>
      <c r="V82" s="27"/>
      <c r="W82" s="27"/>
      <c r="X82" s="26"/>
      <c r="Y82" s="26"/>
      <c r="Z82" s="26"/>
      <c r="AA82" s="26"/>
      <c r="AB82" s="27"/>
      <c r="AC82" s="27"/>
      <c r="AD82" s="26"/>
      <c r="AE82" s="26"/>
      <c r="AF82" s="25">
        <f t="shared" si="13"/>
        <v>-647.40428571428561</v>
      </c>
      <c r="AG82" s="28">
        <f t="shared" si="14"/>
        <v>-4.285714285629183E-3</v>
      </c>
    </row>
    <row r="83" spans="1:33" s="29" customFormat="1" ht="23.25" customHeight="1" x14ac:dyDescent="0.2">
      <c r="A83" s="18">
        <v>43607</v>
      </c>
      <c r="B83" s="19"/>
      <c r="C83" s="20" t="s">
        <v>594</v>
      </c>
      <c r="D83" s="20" t="s">
        <v>595</v>
      </c>
      <c r="E83" s="20" t="s">
        <v>596</v>
      </c>
      <c r="F83" s="21">
        <v>307</v>
      </c>
      <c r="G83" s="44" t="s">
        <v>597</v>
      </c>
      <c r="H83" s="23"/>
      <c r="I83" s="23"/>
      <c r="J83" s="23"/>
      <c r="K83" s="23">
        <v>2000</v>
      </c>
      <c r="L83" s="24">
        <v>0.02</v>
      </c>
      <c r="M83" s="25">
        <f t="shared" si="10"/>
        <v>1785.7142857142856</v>
      </c>
      <c r="N83" s="25">
        <f t="shared" si="11"/>
        <v>214.28571428571425</v>
      </c>
      <c r="O83" s="25">
        <f t="shared" si="12"/>
        <v>-35.714285714285715</v>
      </c>
      <c r="P83" s="25"/>
      <c r="Q83" s="26"/>
      <c r="R83" s="26"/>
      <c r="S83" s="27"/>
      <c r="T83" s="27"/>
      <c r="U83" s="27"/>
      <c r="V83" s="27"/>
      <c r="W83" s="27"/>
      <c r="X83" s="26"/>
      <c r="Y83" s="26">
        <v>1785.71</v>
      </c>
      <c r="Z83" s="26"/>
      <c r="AA83" s="26"/>
      <c r="AB83" s="27"/>
      <c r="AC83" s="27"/>
      <c r="AD83" s="26"/>
      <c r="AE83" s="26"/>
      <c r="AF83" s="25">
        <f t="shared" si="13"/>
        <v>-1964.2814285714285</v>
      </c>
      <c r="AG83" s="28">
        <f t="shared" si="14"/>
        <v>4.2857142858068187E-3</v>
      </c>
    </row>
    <row r="84" spans="1:33" s="29" customFormat="1" ht="23.25" customHeight="1" x14ac:dyDescent="0.2">
      <c r="A84" s="18">
        <v>43607</v>
      </c>
      <c r="B84" s="19"/>
      <c r="C84" s="20" t="s">
        <v>598</v>
      </c>
      <c r="D84" s="20" t="s">
        <v>599</v>
      </c>
      <c r="E84" s="20" t="s">
        <v>47</v>
      </c>
      <c r="F84" s="21">
        <v>58034</v>
      </c>
      <c r="G84" s="44" t="s">
        <v>600</v>
      </c>
      <c r="H84" s="23"/>
      <c r="I84" s="23"/>
      <c r="J84" s="23"/>
      <c r="K84" s="23">
        <v>60</v>
      </c>
      <c r="L84" s="24"/>
      <c r="M84" s="25">
        <f t="shared" si="10"/>
        <v>53.571428571428569</v>
      </c>
      <c r="N84" s="25">
        <f t="shared" si="11"/>
        <v>6.4285714285714279</v>
      </c>
      <c r="O84" s="25">
        <f t="shared" si="12"/>
        <v>0</v>
      </c>
      <c r="P84" s="25">
        <v>53.57</v>
      </c>
      <c r="Q84" s="26"/>
      <c r="R84" s="26"/>
      <c r="S84" s="27"/>
      <c r="T84" s="27"/>
      <c r="U84" s="27"/>
      <c r="V84" s="27"/>
      <c r="W84" s="27"/>
      <c r="X84" s="26"/>
      <c r="Y84" s="26"/>
      <c r="Z84" s="26"/>
      <c r="AA84" s="26"/>
      <c r="AB84" s="27"/>
      <c r="AC84" s="27"/>
      <c r="AD84" s="26"/>
      <c r="AE84" s="26"/>
      <c r="AF84" s="25">
        <f t="shared" si="13"/>
        <v>-59.998571428571431</v>
      </c>
      <c r="AG84" s="28">
        <f t="shared" si="14"/>
        <v>1.4285714285691142E-3</v>
      </c>
    </row>
    <row r="85" spans="1:33" s="29" customFormat="1" ht="23.25" customHeight="1" x14ac:dyDescent="0.2">
      <c r="A85" s="18">
        <v>43607</v>
      </c>
      <c r="B85" s="19"/>
      <c r="C85" s="20" t="s">
        <v>415</v>
      </c>
      <c r="D85" s="20" t="s">
        <v>240</v>
      </c>
      <c r="E85" s="20" t="s">
        <v>47</v>
      </c>
      <c r="F85" s="21">
        <v>113964</v>
      </c>
      <c r="G85" s="44" t="s">
        <v>601</v>
      </c>
      <c r="H85" s="23"/>
      <c r="I85" s="23"/>
      <c r="J85" s="23"/>
      <c r="K85" s="23">
        <v>1880</v>
      </c>
      <c r="L85" s="24"/>
      <c r="M85" s="25">
        <f t="shared" si="10"/>
        <v>1678.5714285714284</v>
      </c>
      <c r="N85" s="25">
        <f t="shared" si="11"/>
        <v>201.42857142857142</v>
      </c>
      <c r="O85" s="25">
        <f t="shared" si="12"/>
        <v>0</v>
      </c>
      <c r="P85" s="25"/>
      <c r="Q85" s="26">
        <v>1678.57</v>
      </c>
      <c r="R85" s="26"/>
      <c r="S85" s="27"/>
      <c r="T85" s="27"/>
      <c r="U85" s="27"/>
      <c r="V85" s="27"/>
      <c r="W85" s="27"/>
      <c r="X85" s="26"/>
      <c r="Y85" s="26"/>
      <c r="Z85" s="26"/>
      <c r="AA85" s="26"/>
      <c r="AB85" s="27"/>
      <c r="AC85" s="27"/>
      <c r="AD85" s="26"/>
      <c r="AE85" s="26"/>
      <c r="AF85" s="25">
        <f t="shared" si="13"/>
        <v>-1879.9985714285713</v>
      </c>
      <c r="AG85" s="28">
        <f t="shared" si="14"/>
        <v>1.4285714287325391E-3</v>
      </c>
    </row>
    <row r="86" spans="1:33" s="29" customFormat="1" ht="23.25" customHeight="1" x14ac:dyDescent="0.2">
      <c r="A86" s="18">
        <v>43607</v>
      </c>
      <c r="B86" s="19"/>
      <c r="C86" s="20" t="s">
        <v>62</v>
      </c>
      <c r="D86" s="20"/>
      <c r="E86" s="20"/>
      <c r="F86" s="21"/>
      <c r="G86" s="44" t="s">
        <v>602</v>
      </c>
      <c r="H86" s="23">
        <v>130</v>
      </c>
      <c r="I86" s="23"/>
      <c r="J86" s="23"/>
      <c r="K86" s="23"/>
      <c r="L86" s="24"/>
      <c r="M86" s="25">
        <f t="shared" si="10"/>
        <v>130</v>
      </c>
      <c r="N86" s="25">
        <f t="shared" si="11"/>
        <v>0</v>
      </c>
      <c r="O86" s="25">
        <f t="shared" si="12"/>
        <v>0</v>
      </c>
      <c r="P86" s="25"/>
      <c r="Q86" s="26"/>
      <c r="R86" s="26"/>
      <c r="S86" s="27"/>
      <c r="T86" s="27"/>
      <c r="U86" s="27"/>
      <c r="V86" s="27"/>
      <c r="W86" s="27"/>
      <c r="X86" s="26"/>
      <c r="Y86" s="26"/>
      <c r="Z86" s="26"/>
      <c r="AA86" s="26">
        <v>130</v>
      </c>
      <c r="AB86" s="27"/>
      <c r="AC86" s="27"/>
      <c r="AD86" s="26"/>
      <c r="AE86" s="26"/>
      <c r="AF86" s="25">
        <f t="shared" si="13"/>
        <v>-130</v>
      </c>
      <c r="AG86" s="28">
        <f t="shared" si="14"/>
        <v>0</v>
      </c>
    </row>
    <row r="87" spans="1:33" s="29" customFormat="1" ht="23.25" customHeight="1" x14ac:dyDescent="0.2">
      <c r="A87" s="18">
        <v>43607</v>
      </c>
      <c r="B87" s="19"/>
      <c r="C87" s="20" t="s">
        <v>54</v>
      </c>
      <c r="D87" s="20" t="s">
        <v>55</v>
      </c>
      <c r="E87" s="20" t="s">
        <v>56</v>
      </c>
      <c r="F87" s="21">
        <v>3158</v>
      </c>
      <c r="G87" s="44" t="s">
        <v>603</v>
      </c>
      <c r="H87" s="23"/>
      <c r="I87" s="23"/>
      <c r="J87" s="23">
        <v>1190</v>
      </c>
      <c r="K87" s="23"/>
      <c r="L87" s="24"/>
      <c r="M87" s="25">
        <f t="shared" si="10"/>
        <v>1190</v>
      </c>
      <c r="N87" s="25">
        <f t="shared" si="11"/>
        <v>0</v>
      </c>
      <c r="O87" s="25">
        <f t="shared" si="12"/>
        <v>0</v>
      </c>
      <c r="P87" s="25">
        <v>1190</v>
      </c>
      <c r="Q87" s="26"/>
      <c r="R87" s="26"/>
      <c r="S87" s="27"/>
      <c r="T87" s="27"/>
      <c r="U87" s="27"/>
      <c r="V87" s="27"/>
      <c r="W87" s="27"/>
      <c r="X87" s="26"/>
      <c r="Y87" s="26"/>
      <c r="Z87" s="26"/>
      <c r="AA87" s="26"/>
      <c r="AB87" s="27"/>
      <c r="AC87" s="27"/>
      <c r="AD87" s="26"/>
      <c r="AE87" s="26"/>
      <c r="AF87" s="25">
        <f t="shared" si="13"/>
        <v>-1190</v>
      </c>
      <c r="AG87" s="28">
        <f t="shared" si="14"/>
        <v>0</v>
      </c>
    </row>
    <row r="88" spans="1:33" s="29" customFormat="1" ht="23.25" customHeight="1" x14ac:dyDescent="0.2">
      <c r="A88" s="18">
        <v>43607</v>
      </c>
      <c r="B88" s="19"/>
      <c r="C88" s="20" t="s">
        <v>58</v>
      </c>
      <c r="D88" s="20"/>
      <c r="E88" s="20"/>
      <c r="F88" s="21"/>
      <c r="G88" s="44" t="s">
        <v>59</v>
      </c>
      <c r="H88" s="23">
        <v>100</v>
      </c>
      <c r="I88" s="23"/>
      <c r="J88" s="23"/>
      <c r="K88" s="23"/>
      <c r="L88" s="24"/>
      <c r="M88" s="25">
        <f t="shared" si="10"/>
        <v>100</v>
      </c>
      <c r="N88" s="25">
        <f t="shared" si="11"/>
        <v>0</v>
      </c>
      <c r="O88" s="25">
        <f t="shared" si="12"/>
        <v>0</v>
      </c>
      <c r="P88" s="25"/>
      <c r="Q88" s="26"/>
      <c r="R88" s="26"/>
      <c r="S88" s="27"/>
      <c r="T88" s="27"/>
      <c r="U88" s="27"/>
      <c r="V88" s="27"/>
      <c r="W88" s="27"/>
      <c r="X88" s="26"/>
      <c r="Y88" s="26"/>
      <c r="Z88" s="26"/>
      <c r="AA88" s="26">
        <v>100</v>
      </c>
      <c r="AB88" s="27"/>
      <c r="AC88" s="27"/>
      <c r="AD88" s="26"/>
      <c r="AE88" s="26"/>
      <c r="AF88" s="25">
        <f t="shared" si="13"/>
        <v>-100</v>
      </c>
      <c r="AG88" s="28">
        <f t="shared" si="14"/>
        <v>0</v>
      </c>
    </row>
    <row r="89" spans="1:33" s="29" customFormat="1" ht="22.5" customHeight="1" x14ac:dyDescent="0.2">
      <c r="A89" s="18">
        <v>43607</v>
      </c>
      <c r="B89" s="19"/>
      <c r="C89" s="20" t="s">
        <v>41</v>
      </c>
      <c r="D89" s="20" t="s">
        <v>42</v>
      </c>
      <c r="E89" s="20" t="s">
        <v>43</v>
      </c>
      <c r="F89" s="21">
        <v>93238</v>
      </c>
      <c r="G89" s="44" t="s">
        <v>44</v>
      </c>
      <c r="H89" s="23"/>
      <c r="I89" s="23"/>
      <c r="J89" s="23"/>
      <c r="K89" s="23">
        <v>180</v>
      </c>
      <c r="L89" s="24"/>
      <c r="M89" s="25">
        <f t="shared" si="10"/>
        <v>160.71428571428569</v>
      </c>
      <c r="N89" s="25">
        <f t="shared" si="11"/>
        <v>19.285714285714281</v>
      </c>
      <c r="O89" s="25">
        <f t="shared" si="12"/>
        <v>0</v>
      </c>
      <c r="P89" s="25"/>
      <c r="Q89" s="26">
        <v>160.71</v>
      </c>
      <c r="R89" s="26"/>
      <c r="S89" s="27"/>
      <c r="T89" s="27"/>
      <c r="U89" s="27"/>
      <c r="V89" s="27"/>
      <c r="W89" s="27"/>
      <c r="X89" s="26"/>
      <c r="Y89" s="26"/>
      <c r="Z89" s="26"/>
      <c r="AA89" s="26"/>
      <c r="AB89" s="27"/>
      <c r="AC89" s="27"/>
      <c r="AD89" s="26"/>
      <c r="AE89" s="26"/>
      <c r="AF89" s="25">
        <f t="shared" si="13"/>
        <v>-179.99571428571429</v>
      </c>
      <c r="AG89" s="28">
        <f t="shared" si="14"/>
        <v>4.2857142857144481E-3</v>
      </c>
    </row>
    <row r="90" spans="1:33" s="29" customFormat="1" ht="23.25" customHeight="1" x14ac:dyDescent="0.2">
      <c r="A90" s="18">
        <v>43607</v>
      </c>
      <c r="B90" s="19"/>
      <c r="C90" s="20" t="s">
        <v>45</v>
      </c>
      <c r="D90" s="20" t="s">
        <v>46</v>
      </c>
      <c r="E90" s="20" t="s">
        <v>47</v>
      </c>
      <c r="F90" s="21">
        <v>190417</v>
      </c>
      <c r="G90" s="44" t="s">
        <v>604</v>
      </c>
      <c r="H90" s="23"/>
      <c r="I90" s="23"/>
      <c r="J90" s="23"/>
      <c r="K90" s="23">
        <f>142.59+17.11</f>
        <v>159.69999999999999</v>
      </c>
      <c r="L90" s="24"/>
      <c r="M90" s="25">
        <f t="shared" si="10"/>
        <v>142.58928571428569</v>
      </c>
      <c r="N90" s="25">
        <f t="shared" si="11"/>
        <v>17.110714285714284</v>
      </c>
      <c r="O90" s="25">
        <f t="shared" si="12"/>
        <v>0</v>
      </c>
      <c r="P90" s="25">
        <v>142.59</v>
      </c>
      <c r="Q90" s="26"/>
      <c r="R90" s="26"/>
      <c r="S90" s="27"/>
      <c r="T90" s="27"/>
      <c r="U90" s="27"/>
      <c r="V90" s="27"/>
      <c r="W90" s="27"/>
      <c r="X90" s="26"/>
      <c r="Y90" s="26"/>
      <c r="Z90" s="26"/>
      <c r="AA90" s="26"/>
      <c r="AB90" s="27"/>
      <c r="AC90" s="27"/>
      <c r="AD90" s="26"/>
      <c r="AE90" s="26"/>
      <c r="AF90" s="25">
        <f t="shared" si="13"/>
        <v>-159.7007142857143</v>
      </c>
      <c r="AG90" s="28">
        <f t="shared" si="14"/>
        <v>-7.1428571430942611E-4</v>
      </c>
    </row>
    <row r="91" spans="1:33" s="29" customFormat="1" ht="23.25" customHeight="1" x14ac:dyDescent="0.2">
      <c r="A91" s="18">
        <v>43607</v>
      </c>
      <c r="B91" s="19"/>
      <c r="C91" s="20" t="s">
        <v>45</v>
      </c>
      <c r="D91" s="20" t="s">
        <v>46</v>
      </c>
      <c r="E91" s="20" t="s">
        <v>47</v>
      </c>
      <c r="F91" s="21">
        <v>190417</v>
      </c>
      <c r="G91" s="44" t="s">
        <v>605</v>
      </c>
      <c r="H91" s="23"/>
      <c r="I91" s="23"/>
      <c r="J91" s="23">
        <v>75</v>
      </c>
      <c r="K91" s="23"/>
      <c r="L91" s="24"/>
      <c r="M91" s="25">
        <f t="shared" si="10"/>
        <v>75</v>
      </c>
      <c r="N91" s="25">
        <f t="shared" si="11"/>
        <v>0</v>
      </c>
      <c r="O91" s="25">
        <f t="shared" si="12"/>
        <v>0</v>
      </c>
      <c r="P91" s="25">
        <v>75</v>
      </c>
      <c r="Q91" s="26"/>
      <c r="R91" s="26"/>
      <c r="S91" s="27"/>
      <c r="T91" s="27"/>
      <c r="U91" s="27"/>
      <c r="V91" s="27"/>
      <c r="W91" s="27"/>
      <c r="X91" s="26"/>
      <c r="Y91" s="26"/>
      <c r="Z91" s="26"/>
      <c r="AA91" s="26"/>
      <c r="AB91" s="27"/>
      <c r="AC91" s="27"/>
      <c r="AD91" s="26"/>
      <c r="AE91" s="26"/>
      <c r="AF91" s="25">
        <f t="shared" si="13"/>
        <v>-75</v>
      </c>
      <c r="AG91" s="28">
        <f t="shared" si="14"/>
        <v>0</v>
      </c>
    </row>
    <row r="92" spans="1:33" s="29" customFormat="1" ht="23.25" customHeight="1" x14ac:dyDescent="0.2">
      <c r="A92" s="18">
        <v>43607</v>
      </c>
      <c r="B92" s="19"/>
      <c r="C92" s="20" t="s">
        <v>50</v>
      </c>
      <c r="D92" s="20" t="s">
        <v>51</v>
      </c>
      <c r="E92" s="20" t="s">
        <v>47</v>
      </c>
      <c r="F92" s="21">
        <v>56484</v>
      </c>
      <c r="G92" s="44" t="s">
        <v>211</v>
      </c>
      <c r="H92" s="23"/>
      <c r="I92" s="23"/>
      <c r="J92" s="23"/>
      <c r="K92" s="23">
        <v>673.94</v>
      </c>
      <c r="L92" s="24"/>
      <c r="M92" s="25">
        <f t="shared" si="10"/>
        <v>601.73214285714289</v>
      </c>
      <c r="N92" s="25">
        <f t="shared" si="11"/>
        <v>72.207857142857151</v>
      </c>
      <c r="O92" s="25">
        <f t="shared" si="12"/>
        <v>0</v>
      </c>
      <c r="P92" s="25">
        <v>601.73</v>
      </c>
      <c r="Q92" s="26"/>
      <c r="R92" s="26"/>
      <c r="S92" s="27"/>
      <c r="T92" s="27"/>
      <c r="U92" s="27"/>
      <c r="V92" s="27"/>
      <c r="W92" s="27"/>
      <c r="X92" s="26"/>
      <c r="Y92" s="26"/>
      <c r="Z92" s="26"/>
      <c r="AA92" s="26"/>
      <c r="AB92" s="27"/>
      <c r="AC92" s="27"/>
      <c r="AD92" s="26"/>
      <c r="AE92" s="26"/>
      <c r="AF92" s="25">
        <f t="shared" si="13"/>
        <v>-673.93785714285718</v>
      </c>
      <c r="AG92" s="28">
        <f t="shared" si="14"/>
        <v>2.1428571428714349E-3</v>
      </c>
    </row>
    <row r="93" spans="1:33" s="41" customFormat="1" ht="23.25" customHeight="1" x14ac:dyDescent="0.2">
      <c r="A93" s="30">
        <v>43607</v>
      </c>
      <c r="B93" s="31"/>
      <c r="C93" s="32" t="s">
        <v>37</v>
      </c>
      <c r="D93" s="32" t="s">
        <v>38</v>
      </c>
      <c r="E93" s="32" t="s">
        <v>39</v>
      </c>
      <c r="F93" s="33">
        <v>35627</v>
      </c>
      <c r="G93" s="34" t="s">
        <v>606</v>
      </c>
      <c r="H93" s="35"/>
      <c r="I93" s="35"/>
      <c r="J93" s="35"/>
      <c r="K93" s="35">
        <v>83</v>
      </c>
      <c r="L93" s="36"/>
      <c r="M93" s="37">
        <f t="shared" si="10"/>
        <v>74.107142857142847</v>
      </c>
      <c r="N93" s="37">
        <f t="shared" si="11"/>
        <v>8.8928571428571406</v>
      </c>
      <c r="O93" s="37">
        <f t="shared" si="12"/>
        <v>0</v>
      </c>
      <c r="P93" s="37"/>
      <c r="Q93" s="38">
        <v>74.11</v>
      </c>
      <c r="R93" s="38"/>
      <c r="S93" s="39"/>
      <c r="T93" s="39"/>
      <c r="U93" s="39"/>
      <c r="V93" s="39"/>
      <c r="W93" s="39"/>
      <c r="X93" s="38"/>
      <c r="Y93" s="38"/>
      <c r="Z93" s="38"/>
      <c r="AA93" s="38"/>
      <c r="AB93" s="39"/>
      <c r="AC93" s="39"/>
      <c r="AD93" s="38"/>
      <c r="AE93" s="38"/>
      <c r="AF93" s="37">
        <f t="shared" si="13"/>
        <v>-83.002857142857138</v>
      </c>
      <c r="AG93" s="40">
        <f t="shared" si="14"/>
        <v>-2.8571428571382285E-3</v>
      </c>
    </row>
    <row r="94" spans="1:33" s="29" customFormat="1" ht="23.25" customHeight="1" x14ac:dyDescent="0.2">
      <c r="A94" s="18">
        <v>43608</v>
      </c>
      <c r="B94" s="19"/>
      <c r="C94" s="20" t="s">
        <v>58</v>
      </c>
      <c r="D94" s="20"/>
      <c r="E94" s="20"/>
      <c r="F94" s="21"/>
      <c r="G94" s="44" t="s">
        <v>607</v>
      </c>
      <c r="H94" s="23">
        <v>50</v>
      </c>
      <c r="I94" s="23"/>
      <c r="J94" s="23"/>
      <c r="K94" s="23"/>
      <c r="L94" s="24"/>
      <c r="M94" s="25">
        <f t="shared" si="10"/>
        <v>50</v>
      </c>
      <c r="N94" s="25">
        <f t="shared" si="11"/>
        <v>0</v>
      </c>
      <c r="O94" s="25">
        <f t="shared" si="12"/>
        <v>0</v>
      </c>
      <c r="P94" s="25"/>
      <c r="Q94" s="26"/>
      <c r="R94" s="26"/>
      <c r="S94" s="27"/>
      <c r="T94" s="27"/>
      <c r="U94" s="27"/>
      <c r="V94" s="27"/>
      <c r="W94" s="27"/>
      <c r="X94" s="26"/>
      <c r="Y94" s="26"/>
      <c r="Z94" s="26"/>
      <c r="AA94" s="26">
        <v>50</v>
      </c>
      <c r="AB94" s="27"/>
      <c r="AC94" s="27"/>
      <c r="AD94" s="26"/>
      <c r="AE94" s="26"/>
      <c r="AF94" s="25">
        <f t="shared" si="13"/>
        <v>-50</v>
      </c>
      <c r="AG94" s="28">
        <f t="shared" si="14"/>
        <v>0</v>
      </c>
    </row>
    <row r="95" spans="1:33" s="29" customFormat="1" ht="23.25" customHeight="1" x14ac:dyDescent="0.2">
      <c r="A95" s="18">
        <v>43608</v>
      </c>
      <c r="B95" s="19"/>
      <c r="C95" s="20" t="s">
        <v>74</v>
      </c>
      <c r="D95" s="20"/>
      <c r="E95" s="20"/>
      <c r="F95" s="21"/>
      <c r="G95" s="44" t="s">
        <v>75</v>
      </c>
      <c r="H95" s="23"/>
      <c r="I95" s="23"/>
      <c r="J95" s="23">
        <v>1123</v>
      </c>
      <c r="K95" s="23"/>
      <c r="L95" s="24"/>
      <c r="M95" s="25">
        <f t="shared" si="10"/>
        <v>1123</v>
      </c>
      <c r="N95" s="25">
        <f t="shared" si="11"/>
        <v>0</v>
      </c>
      <c r="O95" s="25">
        <f t="shared" si="12"/>
        <v>0</v>
      </c>
      <c r="P95" s="25">
        <v>1123</v>
      </c>
      <c r="Q95" s="26"/>
      <c r="R95" s="26"/>
      <c r="S95" s="27"/>
      <c r="T95" s="27"/>
      <c r="U95" s="27"/>
      <c r="V95" s="27"/>
      <c r="W95" s="27"/>
      <c r="X95" s="26"/>
      <c r="Y95" s="26"/>
      <c r="Z95" s="26"/>
      <c r="AA95" s="26"/>
      <c r="AB95" s="27"/>
      <c r="AC95" s="27"/>
      <c r="AD95" s="26"/>
      <c r="AE95" s="26"/>
      <c r="AF95" s="25">
        <f t="shared" si="13"/>
        <v>-1123</v>
      </c>
      <c r="AG95" s="28">
        <f t="shared" si="14"/>
        <v>0</v>
      </c>
    </row>
    <row r="96" spans="1:33" s="29" customFormat="1" ht="23.25" customHeight="1" x14ac:dyDescent="0.2">
      <c r="A96" s="18">
        <v>43608</v>
      </c>
      <c r="B96" s="19"/>
      <c r="C96" s="20" t="s">
        <v>37</v>
      </c>
      <c r="D96" s="20" t="s">
        <v>38</v>
      </c>
      <c r="E96" s="20" t="s">
        <v>39</v>
      </c>
      <c r="F96" s="21">
        <v>35637</v>
      </c>
      <c r="G96" s="44" t="s">
        <v>608</v>
      </c>
      <c r="H96" s="23"/>
      <c r="I96" s="23"/>
      <c r="J96" s="23"/>
      <c r="K96" s="23">
        <v>39</v>
      </c>
      <c r="L96" s="24"/>
      <c r="M96" s="25">
        <f t="shared" si="10"/>
        <v>34.821428571428569</v>
      </c>
      <c r="N96" s="25">
        <f t="shared" si="11"/>
        <v>4.1785714285714279</v>
      </c>
      <c r="O96" s="25">
        <f t="shared" si="12"/>
        <v>0</v>
      </c>
      <c r="P96" s="25">
        <v>34.82</v>
      </c>
      <c r="Q96" s="26"/>
      <c r="R96" s="26"/>
      <c r="S96" s="27"/>
      <c r="T96" s="27"/>
      <c r="U96" s="27"/>
      <c r="V96" s="27"/>
      <c r="W96" s="27"/>
      <c r="X96" s="26"/>
      <c r="Y96" s="26"/>
      <c r="Z96" s="26"/>
      <c r="AA96" s="26"/>
      <c r="AB96" s="27"/>
      <c r="AC96" s="27"/>
      <c r="AD96" s="26"/>
      <c r="AE96" s="26"/>
      <c r="AF96" s="25">
        <f t="shared" si="13"/>
        <v>-38.998571428571431</v>
      </c>
      <c r="AG96" s="28">
        <f t="shared" si="14"/>
        <v>1.4285714285691142E-3</v>
      </c>
    </row>
    <row r="97" spans="1:33" s="29" customFormat="1" ht="23.25" customHeight="1" x14ac:dyDescent="0.2">
      <c r="A97" s="18">
        <v>43608</v>
      </c>
      <c r="B97" s="19"/>
      <c r="C97" s="20" t="s">
        <v>45</v>
      </c>
      <c r="D97" s="20" t="s">
        <v>46</v>
      </c>
      <c r="E97" s="20" t="s">
        <v>47</v>
      </c>
      <c r="F97" s="21">
        <v>151123</v>
      </c>
      <c r="G97" s="44" t="s">
        <v>609</v>
      </c>
      <c r="H97" s="23"/>
      <c r="I97" s="23"/>
      <c r="J97" s="23"/>
      <c r="K97" s="23">
        <v>79.75</v>
      </c>
      <c r="L97" s="24"/>
      <c r="M97" s="25">
        <f t="shared" si="10"/>
        <v>71.205357142857139</v>
      </c>
      <c r="N97" s="25">
        <f t="shared" si="11"/>
        <v>8.5446428571428559</v>
      </c>
      <c r="O97" s="25">
        <f t="shared" si="12"/>
        <v>0</v>
      </c>
      <c r="P97" s="25"/>
      <c r="Q97" s="26"/>
      <c r="R97" s="26"/>
      <c r="S97" s="27"/>
      <c r="T97" s="27"/>
      <c r="U97" s="27"/>
      <c r="V97" s="27"/>
      <c r="W97" s="27"/>
      <c r="X97" s="26"/>
      <c r="Y97" s="26">
        <v>71.209999999999994</v>
      </c>
      <c r="Z97" s="26"/>
      <c r="AA97" s="26"/>
      <c r="AB97" s="27"/>
      <c r="AC97" s="27"/>
      <c r="AD97" s="26"/>
      <c r="AE97" s="26"/>
      <c r="AF97" s="25">
        <f t="shared" si="13"/>
        <v>-79.754642857142855</v>
      </c>
      <c r="AG97" s="28">
        <f t="shared" si="14"/>
        <v>-4.6428571428549503E-3</v>
      </c>
    </row>
    <row r="98" spans="1:33" s="29" customFormat="1" ht="23.25" customHeight="1" x14ac:dyDescent="0.2">
      <c r="A98" s="18">
        <v>43608</v>
      </c>
      <c r="B98" s="19"/>
      <c r="C98" s="20" t="s">
        <v>45</v>
      </c>
      <c r="D98" s="20" t="s">
        <v>46</v>
      </c>
      <c r="E98" s="20" t="s">
        <v>47</v>
      </c>
      <c r="F98" s="21">
        <v>175615</v>
      </c>
      <c r="G98" s="44" t="s">
        <v>610</v>
      </c>
      <c r="H98" s="23"/>
      <c r="I98" s="23"/>
      <c r="J98" s="23"/>
      <c r="K98" s="23">
        <v>1358.4</v>
      </c>
      <c r="L98" s="24"/>
      <c r="M98" s="25">
        <f t="shared" si="10"/>
        <v>1212.8571428571429</v>
      </c>
      <c r="N98" s="25">
        <f t="shared" si="11"/>
        <v>145.54285714285714</v>
      </c>
      <c r="O98" s="25">
        <f t="shared" si="12"/>
        <v>0</v>
      </c>
      <c r="P98" s="25">
        <v>1212.8599999999999</v>
      </c>
      <c r="Q98" s="26"/>
      <c r="R98" s="26"/>
      <c r="S98" s="27"/>
      <c r="T98" s="27"/>
      <c r="U98" s="27"/>
      <c r="V98" s="27"/>
      <c r="W98" s="27"/>
      <c r="X98" s="26"/>
      <c r="Y98" s="26"/>
      <c r="Z98" s="26"/>
      <c r="AA98" s="26"/>
      <c r="AB98" s="27"/>
      <c r="AC98" s="27"/>
      <c r="AD98" s="26"/>
      <c r="AE98" s="26"/>
      <c r="AF98" s="25">
        <f t="shared" si="13"/>
        <v>-1358.4028571428571</v>
      </c>
      <c r="AG98" s="28">
        <f t="shared" si="14"/>
        <v>-2.8571428570103308E-3</v>
      </c>
    </row>
    <row r="99" spans="1:33" s="29" customFormat="1" ht="23.25" customHeight="1" x14ac:dyDescent="0.2">
      <c r="A99" s="18">
        <v>43608</v>
      </c>
      <c r="B99" s="19"/>
      <c r="C99" s="20" t="s">
        <v>41</v>
      </c>
      <c r="D99" s="20" t="s">
        <v>42</v>
      </c>
      <c r="E99" s="20" t="s">
        <v>43</v>
      </c>
      <c r="F99" s="21">
        <v>93286</v>
      </c>
      <c r="G99" s="44" t="s">
        <v>44</v>
      </c>
      <c r="H99" s="23"/>
      <c r="I99" s="23"/>
      <c r="J99" s="23"/>
      <c r="K99" s="23">
        <v>180</v>
      </c>
      <c r="L99" s="24"/>
      <c r="M99" s="25">
        <f t="shared" si="10"/>
        <v>160.71428571428569</v>
      </c>
      <c r="N99" s="25">
        <f t="shared" si="11"/>
        <v>19.285714285714281</v>
      </c>
      <c r="O99" s="25">
        <f t="shared" si="12"/>
        <v>0</v>
      </c>
      <c r="P99" s="25"/>
      <c r="Q99" s="26">
        <v>160.71</v>
      </c>
      <c r="R99" s="26"/>
      <c r="S99" s="27"/>
      <c r="T99" s="27"/>
      <c r="U99" s="27"/>
      <c r="V99" s="27"/>
      <c r="W99" s="27"/>
      <c r="X99" s="26"/>
      <c r="Y99" s="26"/>
      <c r="Z99" s="26"/>
      <c r="AA99" s="26"/>
      <c r="AB99" s="27"/>
      <c r="AC99" s="27"/>
      <c r="AD99" s="26"/>
      <c r="AE99" s="26"/>
      <c r="AF99" s="25">
        <f t="shared" si="13"/>
        <v>-179.99571428571429</v>
      </c>
      <c r="AG99" s="28">
        <f t="shared" si="14"/>
        <v>4.2857142857144481E-3</v>
      </c>
    </row>
    <row r="100" spans="1:33" s="29" customFormat="1" ht="23.25" customHeight="1" x14ac:dyDescent="0.2">
      <c r="A100" s="18">
        <v>43609</v>
      </c>
      <c r="B100" s="19"/>
      <c r="C100" s="20" t="s">
        <v>58</v>
      </c>
      <c r="D100" s="20"/>
      <c r="E100" s="20"/>
      <c r="F100" s="21"/>
      <c r="G100" s="20" t="s">
        <v>611</v>
      </c>
      <c r="H100" s="23">
        <v>100</v>
      </c>
      <c r="I100" s="23"/>
      <c r="J100" s="23"/>
      <c r="K100" s="23"/>
      <c r="L100" s="24"/>
      <c r="M100" s="25">
        <f t="shared" si="10"/>
        <v>100</v>
      </c>
      <c r="N100" s="25">
        <f t="shared" si="11"/>
        <v>0</v>
      </c>
      <c r="O100" s="25">
        <f t="shared" si="12"/>
        <v>0</v>
      </c>
      <c r="P100" s="25"/>
      <c r="Q100" s="26"/>
      <c r="R100" s="26"/>
      <c r="S100" s="27"/>
      <c r="T100" s="27"/>
      <c r="U100" s="27"/>
      <c r="V100" s="27"/>
      <c r="W100" s="27"/>
      <c r="X100" s="26"/>
      <c r="Y100" s="26"/>
      <c r="Z100" s="26"/>
      <c r="AA100" s="26">
        <v>100</v>
      </c>
      <c r="AB100" s="27"/>
      <c r="AC100" s="27"/>
      <c r="AD100" s="26"/>
      <c r="AE100" s="26"/>
      <c r="AF100" s="25">
        <f t="shared" si="13"/>
        <v>-100</v>
      </c>
      <c r="AG100" s="28">
        <f t="shared" si="14"/>
        <v>0</v>
      </c>
    </row>
    <row r="101" spans="1:33" s="29" customFormat="1" ht="23.25" customHeight="1" x14ac:dyDescent="0.2">
      <c r="A101" s="18">
        <v>43609</v>
      </c>
      <c r="B101" s="19"/>
      <c r="C101" s="20" t="s">
        <v>415</v>
      </c>
      <c r="D101" s="20" t="s">
        <v>240</v>
      </c>
      <c r="E101" s="20" t="s">
        <v>241</v>
      </c>
      <c r="F101" s="21">
        <v>113995</v>
      </c>
      <c r="G101" s="44" t="s">
        <v>242</v>
      </c>
      <c r="H101" s="23"/>
      <c r="I101" s="23"/>
      <c r="J101" s="23"/>
      <c r="K101" s="23">
        <v>1755</v>
      </c>
      <c r="L101" s="24"/>
      <c r="M101" s="25">
        <f t="shared" ref="M101:M136" si="15">SUM(H101:J101,K101/1.12)</f>
        <v>1566.9642857142856</v>
      </c>
      <c r="N101" s="25">
        <f t="shared" ref="N101:N136" si="16">K101/1.12*0.12</f>
        <v>188.03571428571425</v>
      </c>
      <c r="O101" s="25">
        <f t="shared" ref="O101:O114" si="17">-SUM(I101:J101,K101/1.12)*L101</f>
        <v>0</v>
      </c>
      <c r="P101" s="25"/>
      <c r="Q101" s="26">
        <v>1566.96</v>
      </c>
      <c r="R101" s="26"/>
      <c r="S101" s="27"/>
      <c r="T101" s="27"/>
      <c r="U101" s="27"/>
      <c r="V101" s="27"/>
      <c r="W101" s="27"/>
      <c r="X101" s="26"/>
      <c r="Y101" s="26"/>
      <c r="Z101" s="26"/>
      <c r="AA101" s="26"/>
      <c r="AB101" s="27"/>
      <c r="AC101" s="27"/>
      <c r="AD101" s="26"/>
      <c r="AE101" s="26"/>
      <c r="AF101" s="25">
        <f t="shared" ref="AF101:AF132" si="18">-SUM(N101:AE101)</f>
        <v>-1754.9957142857143</v>
      </c>
      <c r="AG101" s="28">
        <f t="shared" ref="AG101:AG132" si="19">SUM(H101:K101)+AF101+O101</f>
        <v>4.2857142857428698E-3</v>
      </c>
    </row>
    <row r="102" spans="1:33" s="29" customFormat="1" ht="23.25" customHeight="1" x14ac:dyDescent="0.2">
      <c r="A102" s="18">
        <v>43609</v>
      </c>
      <c r="B102" s="19"/>
      <c r="C102" s="20" t="s">
        <v>45</v>
      </c>
      <c r="D102" s="20" t="s">
        <v>46</v>
      </c>
      <c r="E102" s="20" t="s">
        <v>47</v>
      </c>
      <c r="F102" s="21">
        <v>230322</v>
      </c>
      <c r="G102" s="44" t="s">
        <v>426</v>
      </c>
      <c r="H102" s="23"/>
      <c r="I102" s="23"/>
      <c r="J102" s="23">
        <v>145.69999999999999</v>
      </c>
      <c r="K102" s="23"/>
      <c r="L102" s="24"/>
      <c r="M102" s="25">
        <f t="shared" si="15"/>
        <v>145.69999999999999</v>
      </c>
      <c r="N102" s="25">
        <f t="shared" si="16"/>
        <v>0</v>
      </c>
      <c r="O102" s="25">
        <f t="shared" si="17"/>
        <v>0</v>
      </c>
      <c r="P102" s="25">
        <v>145.69999999999999</v>
      </c>
      <c r="Q102" s="26"/>
      <c r="R102" s="26"/>
      <c r="S102" s="27"/>
      <c r="T102" s="27"/>
      <c r="U102" s="27"/>
      <c r="V102" s="27"/>
      <c r="W102" s="27"/>
      <c r="X102" s="26"/>
      <c r="Y102" s="26"/>
      <c r="Z102" s="26"/>
      <c r="AA102" s="26"/>
      <c r="AB102" s="27"/>
      <c r="AC102" s="27"/>
      <c r="AD102" s="26"/>
      <c r="AE102" s="26"/>
      <c r="AF102" s="25">
        <f t="shared" si="18"/>
        <v>-145.69999999999999</v>
      </c>
      <c r="AG102" s="28">
        <f t="shared" si="19"/>
        <v>0</v>
      </c>
    </row>
    <row r="103" spans="1:33" s="29" customFormat="1" ht="23.25" customHeight="1" x14ac:dyDescent="0.2">
      <c r="A103" s="18">
        <v>43609</v>
      </c>
      <c r="B103" s="19"/>
      <c r="C103" s="20" t="s">
        <v>41</v>
      </c>
      <c r="D103" s="20" t="s">
        <v>42</v>
      </c>
      <c r="E103" s="20" t="s">
        <v>43</v>
      </c>
      <c r="F103" s="21">
        <v>96483</v>
      </c>
      <c r="G103" s="44" t="s">
        <v>44</v>
      </c>
      <c r="H103" s="23"/>
      <c r="I103" s="23"/>
      <c r="J103" s="23"/>
      <c r="K103" s="23">
        <v>180</v>
      </c>
      <c r="L103" s="24"/>
      <c r="M103" s="25">
        <f t="shared" si="15"/>
        <v>160.71428571428569</v>
      </c>
      <c r="N103" s="25">
        <f t="shared" si="16"/>
        <v>19.285714285714281</v>
      </c>
      <c r="O103" s="25">
        <f t="shared" si="17"/>
        <v>0</v>
      </c>
      <c r="P103" s="25"/>
      <c r="Q103" s="26">
        <v>160.71</v>
      </c>
      <c r="R103" s="26"/>
      <c r="S103" s="27"/>
      <c r="T103" s="27"/>
      <c r="U103" s="27"/>
      <c r="V103" s="27"/>
      <c r="W103" s="27"/>
      <c r="X103" s="26"/>
      <c r="Y103" s="26"/>
      <c r="Z103" s="26"/>
      <c r="AA103" s="26"/>
      <c r="AB103" s="27"/>
      <c r="AC103" s="27"/>
      <c r="AD103" s="26"/>
      <c r="AE103" s="26"/>
      <c r="AF103" s="25">
        <f t="shared" si="18"/>
        <v>-179.99571428571429</v>
      </c>
      <c r="AG103" s="28">
        <f t="shared" si="19"/>
        <v>4.2857142857144481E-3</v>
      </c>
    </row>
    <row r="104" spans="1:33" s="29" customFormat="1" ht="23.25" customHeight="1" x14ac:dyDescent="0.2">
      <c r="A104" s="18">
        <v>43609</v>
      </c>
      <c r="B104" s="19"/>
      <c r="C104" s="20" t="s">
        <v>612</v>
      </c>
      <c r="D104" s="20" t="s">
        <v>613</v>
      </c>
      <c r="E104" s="20" t="s">
        <v>614</v>
      </c>
      <c r="F104" s="21">
        <v>5277</v>
      </c>
      <c r="G104" s="44" t="s">
        <v>615</v>
      </c>
      <c r="H104" s="23"/>
      <c r="I104" s="23"/>
      <c r="J104" s="23"/>
      <c r="K104" s="23">
        <v>350</v>
      </c>
      <c r="L104" s="24"/>
      <c r="M104" s="25">
        <f t="shared" si="15"/>
        <v>312.49999999999994</v>
      </c>
      <c r="N104" s="25">
        <f t="shared" si="16"/>
        <v>37.499999999999993</v>
      </c>
      <c r="O104" s="25">
        <f t="shared" si="17"/>
        <v>0</v>
      </c>
      <c r="P104" s="25"/>
      <c r="Q104" s="26"/>
      <c r="R104" s="26"/>
      <c r="S104" s="27"/>
      <c r="T104" s="27"/>
      <c r="U104" s="27"/>
      <c r="V104" s="27"/>
      <c r="W104" s="27"/>
      <c r="X104" s="26"/>
      <c r="Y104" s="26"/>
      <c r="Z104" s="26">
        <v>312.5</v>
      </c>
      <c r="AA104" s="26"/>
      <c r="AB104" s="27"/>
      <c r="AC104" s="27"/>
      <c r="AD104" s="26"/>
      <c r="AE104" s="26"/>
      <c r="AF104" s="25">
        <f t="shared" si="18"/>
        <v>-350</v>
      </c>
      <c r="AG104" s="28">
        <f t="shared" si="19"/>
        <v>0</v>
      </c>
    </row>
    <row r="105" spans="1:33" s="29" customFormat="1" ht="23.25" customHeight="1" x14ac:dyDescent="0.2">
      <c r="A105" s="18">
        <v>43610</v>
      </c>
      <c r="B105" s="19"/>
      <c r="C105" s="20" t="s">
        <v>321</v>
      </c>
      <c r="D105" s="20" t="s">
        <v>322</v>
      </c>
      <c r="E105" s="20" t="s">
        <v>39</v>
      </c>
      <c r="F105" s="21">
        <v>246041</v>
      </c>
      <c r="G105" s="44" t="s">
        <v>44</v>
      </c>
      <c r="H105" s="23"/>
      <c r="I105" s="23"/>
      <c r="J105" s="23"/>
      <c r="K105" s="23">
        <v>40</v>
      </c>
      <c r="L105" s="24"/>
      <c r="M105" s="25">
        <f t="shared" si="15"/>
        <v>35.714285714285708</v>
      </c>
      <c r="N105" s="25">
        <f t="shared" si="16"/>
        <v>4.2857142857142847</v>
      </c>
      <c r="O105" s="25">
        <f t="shared" si="17"/>
        <v>0</v>
      </c>
      <c r="P105" s="25"/>
      <c r="Q105" s="26">
        <v>35.71</v>
      </c>
      <c r="R105" s="26"/>
      <c r="S105" s="27"/>
      <c r="T105" s="27"/>
      <c r="U105" s="27"/>
      <c r="V105" s="27"/>
      <c r="W105" s="27"/>
      <c r="X105" s="26"/>
      <c r="Y105" s="26"/>
      <c r="Z105" s="26"/>
      <c r="AA105" s="26"/>
      <c r="AB105" s="27"/>
      <c r="AC105" s="27"/>
      <c r="AD105" s="26"/>
      <c r="AE105" s="26"/>
      <c r="AF105" s="25">
        <f t="shared" si="18"/>
        <v>-39.995714285714286</v>
      </c>
      <c r="AG105" s="28">
        <f t="shared" si="19"/>
        <v>4.2857142857144481E-3</v>
      </c>
    </row>
    <row r="106" spans="1:33" s="29" customFormat="1" ht="23.25" customHeight="1" x14ac:dyDescent="0.2">
      <c r="A106" s="18">
        <v>43610</v>
      </c>
      <c r="B106" s="19"/>
      <c r="C106" s="20" t="s">
        <v>37</v>
      </c>
      <c r="D106" s="20" t="s">
        <v>38</v>
      </c>
      <c r="E106" s="20" t="s">
        <v>39</v>
      </c>
      <c r="F106" s="21">
        <v>35664</v>
      </c>
      <c r="G106" s="44" t="s">
        <v>616</v>
      </c>
      <c r="H106" s="23"/>
      <c r="I106" s="23"/>
      <c r="J106" s="23"/>
      <c r="K106" s="23">
        <v>36.75</v>
      </c>
      <c r="L106" s="24"/>
      <c r="M106" s="25">
        <f t="shared" si="15"/>
        <v>32.8125</v>
      </c>
      <c r="N106" s="25">
        <f t="shared" si="16"/>
        <v>3.9375</v>
      </c>
      <c r="O106" s="25">
        <f t="shared" si="17"/>
        <v>0</v>
      </c>
      <c r="P106" s="25"/>
      <c r="Q106" s="26"/>
      <c r="R106" s="26"/>
      <c r="S106" s="27"/>
      <c r="T106" s="27">
        <v>32.81</v>
      </c>
      <c r="U106" s="27"/>
      <c r="V106" s="27"/>
      <c r="W106" s="27"/>
      <c r="X106" s="26"/>
      <c r="Y106" s="26"/>
      <c r="Z106" s="26"/>
      <c r="AA106" s="26"/>
      <c r="AB106" s="27"/>
      <c r="AC106" s="27"/>
      <c r="AD106" s="26"/>
      <c r="AE106" s="26"/>
      <c r="AF106" s="25">
        <f t="shared" si="18"/>
        <v>-36.747500000000002</v>
      </c>
      <c r="AG106" s="28">
        <f t="shared" si="19"/>
        <v>2.4999999999977263E-3</v>
      </c>
    </row>
    <row r="107" spans="1:33" s="29" customFormat="1" ht="23.25" customHeight="1" x14ac:dyDescent="0.2">
      <c r="A107" s="18">
        <v>43610</v>
      </c>
      <c r="B107" s="19"/>
      <c r="C107" s="20" t="s">
        <v>617</v>
      </c>
      <c r="D107" s="20" t="s">
        <v>618</v>
      </c>
      <c r="E107" s="20" t="s">
        <v>198</v>
      </c>
      <c r="F107" s="21">
        <v>3608</v>
      </c>
      <c r="G107" s="44" t="s">
        <v>199</v>
      </c>
      <c r="H107" s="23"/>
      <c r="I107" s="23"/>
      <c r="J107" s="23"/>
      <c r="K107" s="23">
        <v>1300</v>
      </c>
      <c r="L107" s="24"/>
      <c r="M107" s="25">
        <f t="shared" si="15"/>
        <v>1160.7142857142856</v>
      </c>
      <c r="N107" s="25">
        <f t="shared" si="16"/>
        <v>139.28571428571425</v>
      </c>
      <c r="O107" s="25">
        <f t="shared" si="17"/>
        <v>0</v>
      </c>
      <c r="P107" s="25"/>
      <c r="Q107" s="26"/>
      <c r="R107" s="26">
        <v>1160.71</v>
      </c>
      <c r="S107" s="27"/>
      <c r="T107" s="27"/>
      <c r="U107" s="27"/>
      <c r="V107" s="27"/>
      <c r="W107" s="27"/>
      <c r="X107" s="26"/>
      <c r="Y107" s="26"/>
      <c r="Z107" s="26"/>
      <c r="AA107" s="26"/>
      <c r="AB107" s="27"/>
      <c r="AC107" s="27"/>
      <c r="AD107" s="26"/>
      <c r="AE107" s="26"/>
      <c r="AF107" s="25">
        <f t="shared" si="18"/>
        <v>-1299.9957142857143</v>
      </c>
      <c r="AG107" s="28">
        <f t="shared" si="19"/>
        <v>4.2857142857428698E-3</v>
      </c>
    </row>
    <row r="108" spans="1:33" s="29" customFormat="1" ht="23.25" customHeight="1" x14ac:dyDescent="0.2">
      <c r="A108" s="18">
        <v>43612</v>
      </c>
      <c r="B108" s="19"/>
      <c r="C108" s="20" t="s">
        <v>62</v>
      </c>
      <c r="D108" s="20"/>
      <c r="E108" s="20"/>
      <c r="F108" s="21"/>
      <c r="G108" s="44" t="s">
        <v>223</v>
      </c>
      <c r="H108" s="23">
        <v>40</v>
      </c>
      <c r="I108" s="23"/>
      <c r="J108" s="23"/>
      <c r="K108" s="23"/>
      <c r="L108" s="24"/>
      <c r="M108" s="25">
        <f t="shared" si="15"/>
        <v>40</v>
      </c>
      <c r="N108" s="25">
        <f t="shared" si="16"/>
        <v>0</v>
      </c>
      <c r="O108" s="25">
        <f t="shared" si="17"/>
        <v>0</v>
      </c>
      <c r="P108" s="25"/>
      <c r="Q108" s="26"/>
      <c r="R108" s="26"/>
      <c r="S108" s="27"/>
      <c r="T108" s="27"/>
      <c r="U108" s="27"/>
      <c r="V108" s="27"/>
      <c r="W108" s="27"/>
      <c r="X108" s="26"/>
      <c r="Y108" s="26"/>
      <c r="Z108" s="26"/>
      <c r="AA108" s="26">
        <v>40</v>
      </c>
      <c r="AB108" s="27"/>
      <c r="AC108" s="27"/>
      <c r="AD108" s="26"/>
      <c r="AE108" s="26"/>
      <c r="AF108" s="25">
        <f t="shared" si="18"/>
        <v>-40</v>
      </c>
      <c r="AG108" s="28">
        <f t="shared" si="19"/>
        <v>0</v>
      </c>
    </row>
    <row r="109" spans="1:33" s="29" customFormat="1" ht="23.25" customHeight="1" x14ac:dyDescent="0.2">
      <c r="A109" s="18">
        <v>43608</v>
      </c>
      <c r="B109" s="19"/>
      <c r="C109" s="20" t="s">
        <v>41</v>
      </c>
      <c r="D109" s="20" t="s">
        <v>42</v>
      </c>
      <c r="E109" s="20" t="s">
        <v>43</v>
      </c>
      <c r="F109" s="21">
        <v>81076</v>
      </c>
      <c r="G109" s="44" t="s">
        <v>44</v>
      </c>
      <c r="H109" s="23"/>
      <c r="I109" s="23"/>
      <c r="J109" s="23"/>
      <c r="K109" s="23">
        <v>180</v>
      </c>
      <c r="L109" s="24"/>
      <c r="M109" s="25">
        <f t="shared" si="15"/>
        <v>160.71428571428569</v>
      </c>
      <c r="N109" s="25">
        <f t="shared" si="16"/>
        <v>19.285714285714281</v>
      </c>
      <c r="O109" s="25">
        <f t="shared" si="17"/>
        <v>0</v>
      </c>
      <c r="P109" s="25"/>
      <c r="Q109" s="26">
        <v>160.71</v>
      </c>
      <c r="R109" s="26"/>
      <c r="S109" s="27"/>
      <c r="T109" s="27"/>
      <c r="U109" s="27"/>
      <c r="V109" s="27"/>
      <c r="W109" s="27"/>
      <c r="X109" s="26"/>
      <c r="Y109" s="26"/>
      <c r="Z109" s="26"/>
      <c r="AA109" s="26"/>
      <c r="AB109" s="27"/>
      <c r="AC109" s="27"/>
      <c r="AD109" s="26"/>
      <c r="AE109" s="26"/>
      <c r="AF109" s="25">
        <f t="shared" si="18"/>
        <v>-179.99571428571429</v>
      </c>
      <c r="AG109" s="28">
        <f t="shared" si="19"/>
        <v>4.2857142857144481E-3</v>
      </c>
    </row>
    <row r="110" spans="1:33" s="29" customFormat="1" ht="23.25" customHeight="1" x14ac:dyDescent="0.2">
      <c r="A110" s="18">
        <v>43613</v>
      </c>
      <c r="B110" s="19"/>
      <c r="C110" s="20" t="s">
        <v>45</v>
      </c>
      <c r="D110" s="20" t="s">
        <v>46</v>
      </c>
      <c r="E110" s="20" t="s">
        <v>47</v>
      </c>
      <c r="F110" s="21">
        <v>231996</v>
      </c>
      <c r="G110" s="44" t="s">
        <v>619</v>
      </c>
      <c r="H110" s="23"/>
      <c r="I110" s="23"/>
      <c r="J110" s="23"/>
      <c r="K110" s="23">
        <v>1178.3</v>
      </c>
      <c r="L110" s="24"/>
      <c r="M110" s="25">
        <f t="shared" si="15"/>
        <v>1052.0535714285713</v>
      </c>
      <c r="N110" s="25">
        <f t="shared" si="16"/>
        <v>126.24642857142855</v>
      </c>
      <c r="O110" s="25">
        <f t="shared" si="17"/>
        <v>0</v>
      </c>
      <c r="P110" s="25">
        <v>1052.05</v>
      </c>
      <c r="Q110" s="26"/>
      <c r="R110" s="26"/>
      <c r="S110" s="27"/>
      <c r="T110" s="27"/>
      <c r="U110" s="27"/>
      <c r="V110" s="27"/>
      <c r="W110" s="27"/>
      <c r="X110" s="26"/>
      <c r="Y110" s="26"/>
      <c r="Z110" s="26"/>
      <c r="AA110" s="26"/>
      <c r="AB110" s="27"/>
      <c r="AC110" s="27"/>
      <c r="AD110" s="26"/>
      <c r="AE110" s="26"/>
      <c r="AF110" s="25">
        <f t="shared" si="18"/>
        <v>-1178.2964285714286</v>
      </c>
      <c r="AG110" s="28">
        <f t="shared" si="19"/>
        <v>3.5714285713766003E-3</v>
      </c>
    </row>
    <row r="111" spans="1:33" s="29" customFormat="1" ht="23.25" customHeight="1" x14ac:dyDescent="0.2">
      <c r="A111" s="18">
        <v>43613</v>
      </c>
      <c r="B111" s="19"/>
      <c r="C111" s="20" t="s">
        <v>498</v>
      </c>
      <c r="D111" s="20"/>
      <c r="E111" s="20"/>
      <c r="F111" s="21"/>
      <c r="G111" s="44" t="s">
        <v>620</v>
      </c>
      <c r="H111" s="23">
        <v>140</v>
      </c>
      <c r="I111" s="23"/>
      <c r="J111" s="23"/>
      <c r="K111" s="23"/>
      <c r="L111" s="24"/>
      <c r="M111" s="25">
        <f t="shared" si="15"/>
        <v>140</v>
      </c>
      <c r="N111" s="25">
        <f t="shared" si="16"/>
        <v>0</v>
      </c>
      <c r="O111" s="25">
        <f t="shared" si="17"/>
        <v>0</v>
      </c>
      <c r="P111" s="25"/>
      <c r="Q111" s="26"/>
      <c r="R111" s="26"/>
      <c r="S111" s="27"/>
      <c r="T111" s="27"/>
      <c r="U111" s="27"/>
      <c r="V111" s="27"/>
      <c r="W111" s="27"/>
      <c r="X111" s="26"/>
      <c r="Y111" s="26"/>
      <c r="Z111" s="26"/>
      <c r="AA111" s="26">
        <v>140</v>
      </c>
      <c r="AB111" s="27"/>
      <c r="AC111" s="27"/>
      <c r="AD111" s="26"/>
      <c r="AE111" s="26"/>
      <c r="AF111" s="25">
        <f t="shared" si="18"/>
        <v>-140</v>
      </c>
      <c r="AG111" s="28">
        <f t="shared" si="19"/>
        <v>0</v>
      </c>
    </row>
    <row r="112" spans="1:33" s="29" customFormat="1" ht="22.5" customHeight="1" x14ac:dyDescent="0.2">
      <c r="A112" s="18">
        <v>43613</v>
      </c>
      <c r="B112" s="19"/>
      <c r="C112" s="20" t="s">
        <v>45</v>
      </c>
      <c r="D112" s="20" t="s">
        <v>46</v>
      </c>
      <c r="E112" s="20" t="s">
        <v>47</v>
      </c>
      <c r="F112" s="21">
        <v>79866</v>
      </c>
      <c r="G112" s="44" t="s">
        <v>621</v>
      </c>
      <c r="H112" s="23"/>
      <c r="I112" s="23"/>
      <c r="J112" s="23"/>
      <c r="K112" s="23">
        <v>968</v>
      </c>
      <c r="L112" s="24"/>
      <c r="M112" s="25">
        <f t="shared" si="15"/>
        <v>864.28571428571422</v>
      </c>
      <c r="N112" s="25">
        <f t="shared" si="16"/>
        <v>103.71428571428571</v>
      </c>
      <c r="O112" s="25">
        <f t="shared" si="17"/>
        <v>0</v>
      </c>
      <c r="P112" s="25"/>
      <c r="Q112" s="26"/>
      <c r="R112" s="26"/>
      <c r="S112" s="27"/>
      <c r="T112" s="27"/>
      <c r="U112" s="27"/>
      <c r="V112" s="27"/>
      <c r="W112" s="27"/>
      <c r="X112" s="26">
        <v>864.29</v>
      </c>
      <c r="Y112" s="26"/>
      <c r="Z112" s="26"/>
      <c r="AA112" s="26"/>
      <c r="AB112" s="27"/>
      <c r="AC112" s="27"/>
      <c r="AD112" s="26"/>
      <c r="AE112" s="26"/>
      <c r="AF112" s="25">
        <f t="shared" si="18"/>
        <v>-968.00428571428563</v>
      </c>
      <c r="AG112" s="28">
        <f t="shared" si="19"/>
        <v>-4.285714285629183E-3</v>
      </c>
    </row>
    <row r="113" spans="1:33" s="29" customFormat="1" ht="22.5" customHeight="1" x14ac:dyDescent="0.2">
      <c r="A113" s="18">
        <v>43613</v>
      </c>
      <c r="B113" s="19"/>
      <c r="C113" s="20" t="s">
        <v>622</v>
      </c>
      <c r="D113" s="20" t="s">
        <v>623</v>
      </c>
      <c r="E113" s="20" t="s">
        <v>47</v>
      </c>
      <c r="F113" s="21">
        <v>1930</v>
      </c>
      <c r="G113" s="44" t="s">
        <v>624</v>
      </c>
      <c r="H113" s="23"/>
      <c r="I113" s="23"/>
      <c r="J113" s="23"/>
      <c r="K113" s="23">
        <v>598</v>
      </c>
      <c r="L113" s="24"/>
      <c r="M113" s="25">
        <f t="shared" si="15"/>
        <v>533.92857142857133</v>
      </c>
      <c r="N113" s="25">
        <f t="shared" si="16"/>
        <v>64.071428571428555</v>
      </c>
      <c r="O113" s="25">
        <f t="shared" si="17"/>
        <v>0</v>
      </c>
      <c r="P113" s="25"/>
      <c r="Q113" s="26"/>
      <c r="R113" s="26"/>
      <c r="S113" s="27"/>
      <c r="T113" s="27"/>
      <c r="U113" s="27"/>
      <c r="V113" s="27"/>
      <c r="W113" s="27"/>
      <c r="X113" s="26"/>
      <c r="Y113" s="26">
        <v>533.92999999999995</v>
      </c>
      <c r="Z113" s="26"/>
      <c r="AA113" s="26"/>
      <c r="AB113" s="27"/>
      <c r="AC113" s="27"/>
      <c r="AD113" s="26"/>
      <c r="AE113" s="26"/>
      <c r="AF113" s="25">
        <f t="shared" si="18"/>
        <v>-598.00142857142851</v>
      </c>
      <c r="AG113" s="28">
        <f t="shared" si="19"/>
        <v>-1.4285714285051654E-3</v>
      </c>
    </row>
    <row r="114" spans="1:33" s="29" customFormat="1" ht="23.25" customHeight="1" x14ac:dyDescent="0.2">
      <c r="A114" s="30">
        <v>43613</v>
      </c>
      <c r="B114" s="31"/>
      <c r="C114" s="32" t="s">
        <v>41</v>
      </c>
      <c r="D114" s="32" t="s">
        <v>42</v>
      </c>
      <c r="E114" s="32" t="s">
        <v>43</v>
      </c>
      <c r="F114" s="33">
        <v>88619</v>
      </c>
      <c r="G114" s="34" t="s">
        <v>44</v>
      </c>
      <c r="H114" s="35"/>
      <c r="I114" s="35"/>
      <c r="J114" s="35"/>
      <c r="K114" s="35">
        <v>180</v>
      </c>
      <c r="L114" s="36"/>
      <c r="M114" s="37">
        <f t="shared" si="15"/>
        <v>160.71428571428569</v>
      </c>
      <c r="N114" s="37">
        <f t="shared" si="16"/>
        <v>19.285714285714281</v>
      </c>
      <c r="O114" s="37">
        <f t="shared" si="17"/>
        <v>0</v>
      </c>
      <c r="P114" s="37"/>
      <c r="Q114" s="38">
        <v>160.71</v>
      </c>
      <c r="R114" s="38"/>
      <c r="S114" s="39"/>
      <c r="T114" s="39"/>
      <c r="U114" s="39"/>
      <c r="V114" s="39"/>
      <c r="W114" s="39"/>
      <c r="X114" s="38"/>
      <c r="Y114" s="38"/>
      <c r="Z114" s="38"/>
      <c r="AA114" s="38"/>
      <c r="AB114" s="39"/>
      <c r="AC114" s="39"/>
      <c r="AD114" s="38"/>
      <c r="AE114" s="38"/>
      <c r="AF114" s="37">
        <f t="shared" si="18"/>
        <v>-179.99571428571429</v>
      </c>
      <c r="AG114" s="40">
        <f t="shared" si="19"/>
        <v>4.2857142857144481E-3</v>
      </c>
    </row>
    <row r="115" spans="1:33" s="29" customFormat="1" ht="23.25" customHeight="1" x14ac:dyDescent="0.2">
      <c r="A115" s="18">
        <v>43613</v>
      </c>
      <c r="B115" s="19"/>
      <c r="C115" s="20" t="s">
        <v>625</v>
      </c>
      <c r="D115" s="20"/>
      <c r="E115" s="20"/>
      <c r="F115" s="21"/>
      <c r="G115" s="44" t="s">
        <v>61</v>
      </c>
      <c r="H115" s="23"/>
      <c r="I115" s="23"/>
      <c r="J115" s="23">
        <v>1150</v>
      </c>
      <c r="K115" s="23"/>
      <c r="L115" s="24"/>
      <c r="M115" s="25">
        <f t="shared" si="15"/>
        <v>1150</v>
      </c>
      <c r="N115" s="25">
        <f t="shared" si="16"/>
        <v>0</v>
      </c>
      <c r="O115" s="25"/>
      <c r="P115" s="25">
        <v>1150</v>
      </c>
      <c r="Q115" s="26"/>
      <c r="R115" s="26"/>
      <c r="S115" s="27"/>
      <c r="T115" s="27"/>
      <c r="U115" s="27"/>
      <c r="V115" s="27"/>
      <c r="W115" s="27"/>
      <c r="X115" s="26"/>
      <c r="Y115" s="26"/>
      <c r="Z115" s="26"/>
      <c r="AA115" s="26"/>
      <c r="AB115" s="27"/>
      <c r="AC115" s="27"/>
      <c r="AD115" s="26"/>
      <c r="AE115" s="26"/>
      <c r="AF115" s="25">
        <f t="shared" si="18"/>
        <v>-1150</v>
      </c>
      <c r="AG115" s="28">
        <f t="shared" si="19"/>
        <v>0</v>
      </c>
    </row>
    <row r="116" spans="1:33" s="29" customFormat="1" ht="23.25" customHeight="1" x14ac:dyDescent="0.2">
      <c r="A116" s="18">
        <v>43613</v>
      </c>
      <c r="B116" s="19"/>
      <c r="C116" s="20" t="s">
        <v>62</v>
      </c>
      <c r="D116" s="20"/>
      <c r="E116" s="20"/>
      <c r="F116" s="21"/>
      <c r="G116" s="44" t="s">
        <v>63</v>
      </c>
      <c r="H116" s="23">
        <v>40</v>
      </c>
      <c r="I116" s="23"/>
      <c r="J116" s="23"/>
      <c r="K116" s="23"/>
      <c r="L116" s="24"/>
      <c r="M116" s="25">
        <f t="shared" si="15"/>
        <v>40</v>
      </c>
      <c r="N116" s="25">
        <f t="shared" si="16"/>
        <v>0</v>
      </c>
      <c r="O116" s="25"/>
      <c r="P116" s="25"/>
      <c r="Q116" s="26"/>
      <c r="R116" s="26"/>
      <c r="S116" s="27"/>
      <c r="T116" s="27"/>
      <c r="U116" s="27"/>
      <c r="V116" s="27"/>
      <c r="W116" s="27"/>
      <c r="X116" s="26"/>
      <c r="Y116" s="26"/>
      <c r="Z116" s="26"/>
      <c r="AA116" s="26">
        <v>40</v>
      </c>
      <c r="AB116" s="27"/>
      <c r="AC116" s="27"/>
      <c r="AD116" s="26"/>
      <c r="AE116" s="26"/>
      <c r="AF116" s="25">
        <f t="shared" si="18"/>
        <v>-40</v>
      </c>
      <c r="AG116" s="28">
        <f t="shared" si="19"/>
        <v>0</v>
      </c>
    </row>
    <row r="117" spans="1:33" s="29" customFormat="1" ht="23.25" customHeight="1" x14ac:dyDescent="0.2">
      <c r="A117" s="18">
        <v>43613</v>
      </c>
      <c r="B117" s="19"/>
      <c r="C117" s="20" t="s">
        <v>54</v>
      </c>
      <c r="D117" s="20" t="s">
        <v>55</v>
      </c>
      <c r="E117" s="20" t="s">
        <v>56</v>
      </c>
      <c r="F117" s="21">
        <v>3170</v>
      </c>
      <c r="G117" s="44" t="s">
        <v>626</v>
      </c>
      <c r="H117" s="23"/>
      <c r="I117" s="23"/>
      <c r="J117" s="23">
        <v>880</v>
      </c>
      <c r="K117" s="23"/>
      <c r="L117" s="24"/>
      <c r="M117" s="25">
        <f t="shared" si="15"/>
        <v>880</v>
      </c>
      <c r="N117" s="25">
        <f t="shared" si="16"/>
        <v>0</v>
      </c>
      <c r="O117" s="25"/>
      <c r="P117" s="25">
        <v>880</v>
      </c>
      <c r="Q117" s="26"/>
      <c r="R117" s="26"/>
      <c r="S117" s="27"/>
      <c r="T117" s="27"/>
      <c r="U117" s="27"/>
      <c r="V117" s="27"/>
      <c r="W117" s="27"/>
      <c r="X117" s="26"/>
      <c r="Y117" s="26"/>
      <c r="Z117" s="26"/>
      <c r="AA117" s="26"/>
      <c r="AB117" s="27"/>
      <c r="AC117" s="27"/>
      <c r="AD117" s="26"/>
      <c r="AE117" s="26"/>
      <c r="AF117" s="25">
        <f t="shared" si="18"/>
        <v>-880</v>
      </c>
      <c r="AG117" s="28">
        <f t="shared" si="19"/>
        <v>0</v>
      </c>
    </row>
    <row r="118" spans="1:33" s="29" customFormat="1" ht="23.25" customHeight="1" x14ac:dyDescent="0.2">
      <c r="A118" s="18">
        <v>43613</v>
      </c>
      <c r="B118" s="19"/>
      <c r="C118" s="20" t="s">
        <v>58</v>
      </c>
      <c r="D118" s="20"/>
      <c r="E118" s="20"/>
      <c r="F118" s="21"/>
      <c r="G118" s="44" t="s">
        <v>130</v>
      </c>
      <c r="H118" s="23">
        <v>100</v>
      </c>
      <c r="I118" s="23"/>
      <c r="J118" s="23"/>
      <c r="K118" s="23"/>
      <c r="L118" s="24"/>
      <c r="M118" s="25">
        <f t="shared" si="15"/>
        <v>100</v>
      </c>
      <c r="N118" s="25">
        <f t="shared" si="16"/>
        <v>0</v>
      </c>
      <c r="O118" s="25"/>
      <c r="P118" s="25"/>
      <c r="Q118" s="26"/>
      <c r="R118" s="26"/>
      <c r="S118" s="27"/>
      <c r="T118" s="27"/>
      <c r="U118" s="27"/>
      <c r="V118" s="27"/>
      <c r="W118" s="27"/>
      <c r="X118" s="26"/>
      <c r="Y118" s="26"/>
      <c r="Z118" s="26"/>
      <c r="AA118" s="26">
        <v>100</v>
      </c>
      <c r="AB118" s="27"/>
      <c r="AC118" s="27"/>
      <c r="AD118" s="26"/>
      <c r="AE118" s="26"/>
      <c r="AF118" s="25">
        <f t="shared" si="18"/>
        <v>-100</v>
      </c>
      <c r="AG118" s="28">
        <f t="shared" si="19"/>
        <v>0</v>
      </c>
    </row>
    <row r="119" spans="1:33" s="29" customFormat="1" ht="23.25" customHeight="1" x14ac:dyDescent="0.2">
      <c r="A119" s="18">
        <v>43614</v>
      </c>
      <c r="B119" s="19"/>
      <c r="C119" s="20" t="s">
        <v>45</v>
      </c>
      <c r="D119" s="20" t="s">
        <v>46</v>
      </c>
      <c r="E119" s="20" t="s">
        <v>47</v>
      </c>
      <c r="F119" s="21">
        <v>162185</v>
      </c>
      <c r="G119" s="44" t="s">
        <v>627</v>
      </c>
      <c r="H119" s="23"/>
      <c r="I119" s="23"/>
      <c r="J119" s="23"/>
      <c r="K119" s="23">
        <f>678.21+81.39</f>
        <v>759.6</v>
      </c>
      <c r="L119" s="24"/>
      <c r="M119" s="25">
        <f t="shared" si="15"/>
        <v>678.21428571428567</v>
      </c>
      <c r="N119" s="25">
        <f t="shared" si="16"/>
        <v>81.385714285714272</v>
      </c>
      <c r="O119" s="25"/>
      <c r="P119" s="25">
        <v>678.21</v>
      </c>
      <c r="Q119" s="26"/>
      <c r="R119" s="26"/>
      <c r="S119" s="27"/>
      <c r="T119" s="27"/>
      <c r="U119" s="27"/>
      <c r="V119" s="27"/>
      <c r="W119" s="27"/>
      <c r="X119" s="26"/>
      <c r="Y119" s="26"/>
      <c r="Z119" s="26"/>
      <c r="AA119" s="26"/>
      <c r="AB119" s="27"/>
      <c r="AC119" s="27"/>
      <c r="AD119" s="26"/>
      <c r="AE119" s="26"/>
      <c r="AF119" s="25">
        <f t="shared" si="18"/>
        <v>-759.59571428571428</v>
      </c>
      <c r="AG119" s="28">
        <f t="shared" si="19"/>
        <v>4.2857142857428698E-3</v>
      </c>
    </row>
    <row r="120" spans="1:33" s="29" customFormat="1" ht="23.25" customHeight="1" x14ac:dyDescent="0.2">
      <c r="A120" s="18">
        <v>43614</v>
      </c>
      <c r="B120" s="19"/>
      <c r="C120" s="20" t="s">
        <v>45</v>
      </c>
      <c r="D120" s="20" t="s">
        <v>46</v>
      </c>
      <c r="E120" s="20" t="s">
        <v>47</v>
      </c>
      <c r="F120" s="21"/>
      <c r="G120" s="44" t="s">
        <v>628</v>
      </c>
      <c r="H120" s="23"/>
      <c r="I120" s="23"/>
      <c r="J120" s="23">
        <v>189.25</v>
      </c>
      <c r="K120" s="23"/>
      <c r="L120" s="24"/>
      <c r="M120" s="25">
        <f t="shared" si="15"/>
        <v>189.25</v>
      </c>
      <c r="N120" s="25">
        <f t="shared" si="16"/>
        <v>0</v>
      </c>
      <c r="O120" s="25"/>
      <c r="P120" s="25">
        <v>189.25</v>
      </c>
      <c r="Q120" s="26"/>
      <c r="R120" s="26"/>
      <c r="S120" s="27"/>
      <c r="T120" s="27"/>
      <c r="U120" s="27"/>
      <c r="V120" s="27"/>
      <c r="W120" s="27"/>
      <c r="X120" s="26"/>
      <c r="Y120" s="26"/>
      <c r="Z120" s="26"/>
      <c r="AA120" s="26"/>
      <c r="AB120" s="27"/>
      <c r="AC120" s="27"/>
      <c r="AD120" s="26"/>
      <c r="AE120" s="26"/>
      <c r="AF120" s="25">
        <f t="shared" si="18"/>
        <v>-189.25</v>
      </c>
      <c r="AG120" s="28">
        <f t="shared" si="19"/>
        <v>0</v>
      </c>
    </row>
    <row r="121" spans="1:33" s="29" customFormat="1" ht="23.25" customHeight="1" x14ac:dyDescent="0.2">
      <c r="A121" s="18">
        <v>43614</v>
      </c>
      <c r="B121" s="19"/>
      <c r="C121" s="20" t="s">
        <v>41</v>
      </c>
      <c r="D121" s="20" t="s">
        <v>42</v>
      </c>
      <c r="E121" s="20" t="s">
        <v>43</v>
      </c>
      <c r="F121" s="21">
        <v>88619</v>
      </c>
      <c r="G121" s="44" t="s">
        <v>44</v>
      </c>
      <c r="H121" s="23"/>
      <c r="I121" s="23"/>
      <c r="J121" s="23"/>
      <c r="K121" s="23">
        <v>180</v>
      </c>
      <c r="L121" s="24"/>
      <c r="M121" s="25">
        <f t="shared" si="15"/>
        <v>160.71428571428569</v>
      </c>
      <c r="N121" s="25">
        <f t="shared" si="16"/>
        <v>19.285714285714281</v>
      </c>
      <c r="O121" s="25">
        <f>-SUM(I121:J121,K121/1.12)*L121</f>
        <v>0</v>
      </c>
      <c r="P121" s="25"/>
      <c r="Q121" s="26">
        <v>160.71</v>
      </c>
      <c r="R121" s="26"/>
      <c r="S121" s="27"/>
      <c r="T121" s="27"/>
      <c r="U121" s="27"/>
      <c r="V121" s="27"/>
      <c r="W121" s="27"/>
      <c r="X121" s="26"/>
      <c r="Y121" s="26"/>
      <c r="Z121" s="26"/>
      <c r="AA121" s="26"/>
      <c r="AB121" s="27"/>
      <c r="AC121" s="27"/>
      <c r="AD121" s="26"/>
      <c r="AE121" s="26"/>
      <c r="AF121" s="25">
        <f t="shared" si="18"/>
        <v>-179.99571428571429</v>
      </c>
      <c r="AG121" s="28">
        <f t="shared" si="19"/>
        <v>4.2857142857144481E-3</v>
      </c>
    </row>
    <row r="122" spans="1:33" s="29" customFormat="1" ht="23.25" customHeight="1" x14ac:dyDescent="0.2">
      <c r="A122" s="18">
        <v>43614</v>
      </c>
      <c r="B122" s="19"/>
      <c r="C122" s="20" t="s">
        <v>37</v>
      </c>
      <c r="D122" s="20" t="s">
        <v>38</v>
      </c>
      <c r="E122" s="20" t="s">
        <v>39</v>
      </c>
      <c r="F122" s="21">
        <v>73508</v>
      </c>
      <c r="G122" s="44" t="s">
        <v>629</v>
      </c>
      <c r="H122" s="23"/>
      <c r="I122" s="23"/>
      <c r="J122" s="23"/>
      <c r="K122" s="23">
        <v>42.05</v>
      </c>
      <c r="L122" s="24"/>
      <c r="M122" s="25">
        <f t="shared" si="15"/>
        <v>37.544642857142854</v>
      </c>
      <c r="N122" s="25">
        <f t="shared" si="16"/>
        <v>4.5053571428571422</v>
      </c>
      <c r="O122" s="25"/>
      <c r="P122" s="25">
        <v>37.54</v>
      </c>
      <c r="Q122" s="26"/>
      <c r="R122" s="26"/>
      <c r="S122" s="27"/>
      <c r="T122" s="27"/>
      <c r="U122" s="27"/>
      <c r="V122" s="27"/>
      <c r="W122" s="27"/>
      <c r="X122" s="26"/>
      <c r="Y122" s="26"/>
      <c r="Z122" s="26"/>
      <c r="AA122" s="26"/>
      <c r="AB122" s="27"/>
      <c r="AC122" s="27"/>
      <c r="AD122" s="26"/>
      <c r="AE122" s="26"/>
      <c r="AF122" s="25">
        <f t="shared" si="18"/>
        <v>-42.045357142857142</v>
      </c>
      <c r="AG122" s="28">
        <f t="shared" si="19"/>
        <v>4.6428571428549503E-3</v>
      </c>
    </row>
    <row r="123" spans="1:33" s="29" customFormat="1" ht="23.25" customHeight="1" x14ac:dyDescent="0.2">
      <c r="A123" s="18">
        <v>43614</v>
      </c>
      <c r="B123" s="19"/>
      <c r="C123" s="20" t="s">
        <v>185</v>
      </c>
      <c r="D123" s="20" t="s">
        <v>106</v>
      </c>
      <c r="E123" s="20" t="s">
        <v>39</v>
      </c>
      <c r="F123" s="21">
        <v>709528</v>
      </c>
      <c r="G123" s="44" t="s">
        <v>630</v>
      </c>
      <c r="H123" s="23"/>
      <c r="I123" s="23"/>
      <c r="J123" s="23"/>
      <c r="K123" s="23">
        <v>109.75</v>
      </c>
      <c r="L123" s="24"/>
      <c r="M123" s="25">
        <f t="shared" si="15"/>
        <v>97.991071428571416</v>
      </c>
      <c r="N123" s="25">
        <f t="shared" si="16"/>
        <v>11.758928571428569</v>
      </c>
      <c r="O123" s="25"/>
      <c r="P123" s="25"/>
      <c r="Q123" s="26"/>
      <c r="R123" s="26"/>
      <c r="S123" s="27"/>
      <c r="T123" s="27">
        <v>97.99</v>
      </c>
      <c r="U123" s="27"/>
      <c r="V123" s="27"/>
      <c r="W123" s="27"/>
      <c r="X123" s="26"/>
      <c r="Y123" s="26"/>
      <c r="Z123" s="26"/>
      <c r="AA123" s="26"/>
      <c r="AB123" s="27"/>
      <c r="AC123" s="27"/>
      <c r="AD123" s="26"/>
      <c r="AE123" s="26"/>
      <c r="AF123" s="25">
        <f t="shared" si="18"/>
        <v>-109.74892857142856</v>
      </c>
      <c r="AG123" s="28">
        <f t="shared" si="19"/>
        <v>1.0714285714357175E-3</v>
      </c>
    </row>
    <row r="124" spans="1:33" s="29" customFormat="1" ht="23.25" customHeight="1" x14ac:dyDescent="0.2">
      <c r="A124" s="18">
        <v>43615</v>
      </c>
      <c r="B124" s="19"/>
      <c r="C124" s="20" t="s">
        <v>41</v>
      </c>
      <c r="D124" s="20" t="s">
        <v>42</v>
      </c>
      <c r="E124" s="20" t="s">
        <v>43</v>
      </c>
      <c r="F124" s="21">
        <v>88668</v>
      </c>
      <c r="G124" s="44" t="s">
        <v>44</v>
      </c>
      <c r="H124" s="23"/>
      <c r="I124" s="23"/>
      <c r="J124" s="23"/>
      <c r="K124" s="23">
        <v>180</v>
      </c>
      <c r="L124" s="24"/>
      <c r="M124" s="25">
        <f t="shared" si="15"/>
        <v>160.71428571428569</v>
      </c>
      <c r="N124" s="25">
        <f t="shared" si="16"/>
        <v>19.285714285714281</v>
      </c>
      <c r="O124" s="25">
        <f>-SUM(I124:J124,K124/1.12)*L124</f>
        <v>0</v>
      </c>
      <c r="P124" s="25"/>
      <c r="Q124" s="26">
        <v>160.71</v>
      </c>
      <c r="R124" s="26"/>
      <c r="S124" s="27"/>
      <c r="T124" s="27"/>
      <c r="U124" s="27"/>
      <c r="V124" s="27"/>
      <c r="W124" s="27"/>
      <c r="X124" s="26"/>
      <c r="Y124" s="26"/>
      <c r="Z124" s="26"/>
      <c r="AA124" s="26"/>
      <c r="AB124" s="27"/>
      <c r="AC124" s="27"/>
      <c r="AD124" s="26"/>
      <c r="AE124" s="26"/>
      <c r="AF124" s="25">
        <f t="shared" si="18"/>
        <v>-179.99571428571429</v>
      </c>
      <c r="AG124" s="28">
        <f t="shared" si="19"/>
        <v>4.2857142857144481E-3</v>
      </c>
    </row>
    <row r="125" spans="1:33" s="29" customFormat="1" ht="23.25" customHeight="1" x14ac:dyDescent="0.2">
      <c r="A125" s="18">
        <v>43615</v>
      </c>
      <c r="B125" s="19"/>
      <c r="C125" s="20" t="s">
        <v>37</v>
      </c>
      <c r="D125" s="20" t="s">
        <v>38</v>
      </c>
      <c r="E125" s="20" t="s">
        <v>39</v>
      </c>
      <c r="F125" s="21">
        <v>35729</v>
      </c>
      <c r="G125" s="44" t="s">
        <v>631</v>
      </c>
      <c r="H125" s="23"/>
      <c r="I125" s="23"/>
      <c r="J125" s="23"/>
      <c r="K125" s="23">
        <v>473.7</v>
      </c>
      <c r="L125" s="24"/>
      <c r="M125" s="25">
        <f t="shared" si="15"/>
        <v>422.9464285714285</v>
      </c>
      <c r="N125" s="25">
        <f t="shared" si="16"/>
        <v>50.753571428571419</v>
      </c>
      <c r="O125" s="25"/>
      <c r="P125" s="25">
        <v>422.95</v>
      </c>
      <c r="Q125" s="26"/>
      <c r="R125" s="26"/>
      <c r="S125" s="27"/>
      <c r="T125" s="27"/>
      <c r="U125" s="27"/>
      <c r="V125" s="27"/>
      <c r="W125" s="27"/>
      <c r="X125" s="26"/>
      <c r="Y125" s="26"/>
      <c r="Z125" s="26"/>
      <c r="AA125" s="26"/>
      <c r="AB125" s="27"/>
      <c r="AC125" s="27"/>
      <c r="AD125" s="26"/>
      <c r="AE125" s="26"/>
      <c r="AF125" s="25">
        <f t="shared" si="18"/>
        <v>-473.70357142857142</v>
      </c>
      <c r="AG125" s="28">
        <f t="shared" si="19"/>
        <v>-3.5714285714334437E-3</v>
      </c>
    </row>
    <row r="126" spans="1:33" s="29" customFormat="1" ht="23.25" customHeight="1" x14ac:dyDescent="0.2">
      <c r="A126" s="18">
        <v>43615</v>
      </c>
      <c r="B126" s="19"/>
      <c r="C126" s="20" t="s">
        <v>347</v>
      </c>
      <c r="D126" s="20"/>
      <c r="E126" s="20"/>
      <c r="F126" s="21"/>
      <c r="G126" s="44" t="s">
        <v>125</v>
      </c>
      <c r="H126" s="23">
        <v>537</v>
      </c>
      <c r="I126" s="23"/>
      <c r="J126" s="23"/>
      <c r="K126" s="23"/>
      <c r="L126" s="24"/>
      <c r="M126" s="25">
        <f t="shared" si="15"/>
        <v>537</v>
      </c>
      <c r="N126" s="25">
        <f t="shared" si="16"/>
        <v>0</v>
      </c>
      <c r="O126" s="25"/>
      <c r="P126" s="25"/>
      <c r="Q126" s="26"/>
      <c r="R126" s="26"/>
      <c r="S126" s="27"/>
      <c r="T126" s="27"/>
      <c r="U126" s="27"/>
      <c r="V126" s="27"/>
      <c r="W126" s="27"/>
      <c r="X126" s="26"/>
      <c r="Y126" s="26"/>
      <c r="Z126" s="26"/>
      <c r="AA126" s="26"/>
      <c r="AB126" s="27">
        <v>537</v>
      </c>
      <c r="AC126" s="27"/>
      <c r="AD126" s="26"/>
      <c r="AE126" s="26"/>
      <c r="AF126" s="25">
        <f t="shared" si="18"/>
        <v>-537</v>
      </c>
      <c r="AG126" s="28">
        <f t="shared" si="19"/>
        <v>0</v>
      </c>
    </row>
    <row r="127" spans="1:33" s="29" customFormat="1" ht="23.25" customHeight="1" x14ac:dyDescent="0.2">
      <c r="A127" s="18">
        <v>43615</v>
      </c>
      <c r="B127" s="19"/>
      <c r="C127" s="20" t="s">
        <v>62</v>
      </c>
      <c r="D127" s="20"/>
      <c r="E127" s="20"/>
      <c r="F127" s="21"/>
      <c r="G127" s="44" t="s">
        <v>632</v>
      </c>
      <c r="H127" s="23">
        <v>30</v>
      </c>
      <c r="I127" s="23"/>
      <c r="J127" s="23"/>
      <c r="K127" s="23"/>
      <c r="L127" s="24"/>
      <c r="M127" s="25">
        <f t="shared" si="15"/>
        <v>30</v>
      </c>
      <c r="N127" s="25">
        <f t="shared" si="16"/>
        <v>0</v>
      </c>
      <c r="O127" s="25"/>
      <c r="P127" s="25"/>
      <c r="Q127" s="26"/>
      <c r="R127" s="26"/>
      <c r="S127" s="27"/>
      <c r="T127" s="27"/>
      <c r="U127" s="27"/>
      <c r="V127" s="27"/>
      <c r="W127" s="27"/>
      <c r="X127" s="26"/>
      <c r="Y127" s="26"/>
      <c r="Z127" s="26"/>
      <c r="AA127" s="26">
        <v>30</v>
      </c>
      <c r="AB127" s="27"/>
      <c r="AC127" s="27"/>
      <c r="AD127" s="26"/>
      <c r="AE127" s="26"/>
      <c r="AF127" s="25">
        <f t="shared" si="18"/>
        <v>-30</v>
      </c>
      <c r="AG127" s="28">
        <f t="shared" si="19"/>
        <v>0</v>
      </c>
    </row>
    <row r="128" spans="1:33" s="29" customFormat="1" ht="23.25" customHeight="1" x14ac:dyDescent="0.2">
      <c r="A128" s="18">
        <v>43615</v>
      </c>
      <c r="B128" s="19"/>
      <c r="C128" s="20" t="s">
        <v>37</v>
      </c>
      <c r="D128" s="20" t="s">
        <v>38</v>
      </c>
      <c r="E128" s="20" t="s">
        <v>39</v>
      </c>
      <c r="F128" s="21">
        <v>222265</v>
      </c>
      <c r="G128" s="44" t="s">
        <v>250</v>
      </c>
      <c r="H128" s="23"/>
      <c r="I128" s="23"/>
      <c r="J128" s="23"/>
      <c r="K128" s="23">
        <v>750</v>
      </c>
      <c r="L128" s="24"/>
      <c r="M128" s="25">
        <f t="shared" si="15"/>
        <v>669.64285714285711</v>
      </c>
      <c r="N128" s="25">
        <f t="shared" si="16"/>
        <v>80.357142857142847</v>
      </c>
      <c r="O128" s="25"/>
      <c r="P128" s="25"/>
      <c r="Q128" s="26">
        <v>669.64</v>
      </c>
      <c r="R128" s="26"/>
      <c r="S128" s="27"/>
      <c r="T128" s="27"/>
      <c r="U128" s="27"/>
      <c r="V128" s="27"/>
      <c r="W128" s="27"/>
      <c r="X128" s="26"/>
      <c r="Y128" s="26"/>
      <c r="Z128" s="26"/>
      <c r="AA128" s="26"/>
      <c r="AB128" s="27"/>
      <c r="AC128" s="27"/>
      <c r="AD128" s="26"/>
      <c r="AE128" s="26"/>
      <c r="AF128" s="25">
        <f t="shared" si="18"/>
        <v>-749.99714285714288</v>
      </c>
      <c r="AG128" s="28">
        <f t="shared" si="19"/>
        <v>2.8571428571240176E-3</v>
      </c>
    </row>
    <row r="129" spans="1:33" s="29" customFormat="1" ht="23.25" customHeight="1" x14ac:dyDescent="0.2">
      <c r="A129" s="18">
        <v>43615</v>
      </c>
      <c r="B129" s="19"/>
      <c r="C129" s="20" t="s">
        <v>41</v>
      </c>
      <c r="D129" s="20" t="s">
        <v>42</v>
      </c>
      <c r="E129" s="20" t="s">
        <v>43</v>
      </c>
      <c r="F129" s="21">
        <v>88715</v>
      </c>
      <c r="G129" s="44" t="s">
        <v>44</v>
      </c>
      <c r="H129" s="23"/>
      <c r="I129" s="23"/>
      <c r="J129" s="23"/>
      <c r="K129" s="23">
        <v>180</v>
      </c>
      <c r="L129" s="24"/>
      <c r="M129" s="25">
        <f t="shared" si="15"/>
        <v>160.71428571428569</v>
      </c>
      <c r="N129" s="25">
        <f t="shared" si="16"/>
        <v>19.285714285714281</v>
      </c>
      <c r="O129" s="25">
        <f>-SUM(I129:J129,K129/1.12)*L129</f>
        <v>0</v>
      </c>
      <c r="P129" s="25"/>
      <c r="Q129" s="26">
        <v>160.71</v>
      </c>
      <c r="R129" s="26"/>
      <c r="S129" s="27"/>
      <c r="T129" s="27"/>
      <c r="U129" s="27"/>
      <c r="V129" s="27"/>
      <c r="W129" s="27"/>
      <c r="X129" s="26"/>
      <c r="Y129" s="26"/>
      <c r="Z129" s="26"/>
      <c r="AA129" s="26"/>
      <c r="AB129" s="27"/>
      <c r="AC129" s="27"/>
      <c r="AD129" s="26"/>
      <c r="AE129" s="26"/>
      <c r="AF129" s="25">
        <f t="shared" si="18"/>
        <v>-179.99571428571429</v>
      </c>
      <c r="AG129" s="28">
        <f t="shared" si="19"/>
        <v>4.2857142857144481E-3</v>
      </c>
    </row>
    <row r="130" spans="1:33" s="29" customFormat="1" ht="23.25" customHeight="1" x14ac:dyDescent="0.2">
      <c r="A130" s="18">
        <v>43616</v>
      </c>
      <c r="B130" s="19"/>
      <c r="C130" s="20" t="s">
        <v>45</v>
      </c>
      <c r="D130" s="20" t="s">
        <v>46</v>
      </c>
      <c r="E130" s="20" t="s">
        <v>47</v>
      </c>
      <c r="F130" s="21">
        <v>127284</v>
      </c>
      <c r="G130" s="44" t="s">
        <v>633</v>
      </c>
      <c r="H130" s="23"/>
      <c r="I130" s="23"/>
      <c r="J130" s="23"/>
      <c r="K130" s="23">
        <f>500.76+60.09</f>
        <v>560.85</v>
      </c>
      <c r="L130" s="24"/>
      <c r="M130" s="25">
        <f t="shared" si="15"/>
        <v>500.75892857142856</v>
      </c>
      <c r="N130" s="25">
        <f t="shared" si="16"/>
        <v>60.091071428571425</v>
      </c>
      <c r="O130" s="25"/>
      <c r="P130" s="25">
        <v>500.76</v>
      </c>
      <c r="Q130" s="26"/>
      <c r="R130" s="26"/>
      <c r="S130" s="27"/>
      <c r="T130" s="27"/>
      <c r="U130" s="27"/>
      <c r="V130" s="27"/>
      <c r="W130" s="27"/>
      <c r="X130" s="26"/>
      <c r="Y130" s="26"/>
      <c r="Z130" s="26"/>
      <c r="AA130" s="26"/>
      <c r="AB130" s="27"/>
      <c r="AC130" s="27"/>
      <c r="AD130" s="26"/>
      <c r="AE130" s="26"/>
      <c r="AF130" s="25">
        <f t="shared" si="18"/>
        <v>-560.85107142857146</v>
      </c>
      <c r="AG130" s="28">
        <f t="shared" si="19"/>
        <v>-1.0714285714357175E-3</v>
      </c>
    </row>
    <row r="131" spans="1:33" s="29" customFormat="1" ht="23.25" customHeight="1" x14ac:dyDescent="0.2">
      <c r="A131" s="18">
        <v>43616</v>
      </c>
      <c r="B131" s="19"/>
      <c r="C131" s="20" t="s">
        <v>45</v>
      </c>
      <c r="D131" s="20" t="s">
        <v>46</v>
      </c>
      <c r="E131" s="20" t="s">
        <v>47</v>
      </c>
      <c r="F131" s="21">
        <v>127284</v>
      </c>
      <c r="G131" s="44" t="s">
        <v>173</v>
      </c>
      <c r="H131" s="23"/>
      <c r="I131" s="23"/>
      <c r="J131" s="23">
        <v>289</v>
      </c>
      <c r="K131" s="23"/>
      <c r="L131" s="24"/>
      <c r="M131" s="25">
        <f t="shared" si="15"/>
        <v>289</v>
      </c>
      <c r="N131" s="25">
        <f t="shared" si="16"/>
        <v>0</v>
      </c>
      <c r="O131" s="25"/>
      <c r="P131" s="25">
        <v>289</v>
      </c>
      <c r="Q131" s="26"/>
      <c r="R131" s="26"/>
      <c r="S131" s="27"/>
      <c r="T131" s="27"/>
      <c r="U131" s="27"/>
      <c r="V131" s="27"/>
      <c r="W131" s="27"/>
      <c r="X131" s="26"/>
      <c r="Y131" s="26"/>
      <c r="Z131" s="26"/>
      <c r="AA131" s="26"/>
      <c r="AB131" s="27"/>
      <c r="AC131" s="27"/>
      <c r="AD131" s="26"/>
      <c r="AE131" s="26"/>
      <c r="AF131" s="25">
        <f t="shared" si="18"/>
        <v>-289</v>
      </c>
      <c r="AG131" s="28">
        <f t="shared" si="19"/>
        <v>0</v>
      </c>
    </row>
    <row r="132" spans="1:33" s="29" customFormat="1" ht="23.25" customHeight="1" x14ac:dyDescent="0.2">
      <c r="A132" s="18">
        <v>43616</v>
      </c>
      <c r="B132" s="19"/>
      <c r="C132" s="20" t="s">
        <v>185</v>
      </c>
      <c r="D132" s="20" t="s">
        <v>106</v>
      </c>
      <c r="E132" s="20" t="s">
        <v>39</v>
      </c>
      <c r="F132" s="21">
        <v>750246</v>
      </c>
      <c r="G132" s="44" t="s">
        <v>634</v>
      </c>
      <c r="H132" s="23"/>
      <c r="I132" s="23"/>
      <c r="J132" s="23"/>
      <c r="K132" s="23">
        <v>350</v>
      </c>
      <c r="L132" s="24"/>
      <c r="M132" s="25">
        <f t="shared" si="15"/>
        <v>312.49999999999994</v>
      </c>
      <c r="N132" s="25">
        <f t="shared" si="16"/>
        <v>37.499999999999993</v>
      </c>
      <c r="O132" s="25"/>
      <c r="P132" s="25"/>
      <c r="Q132" s="26"/>
      <c r="R132" s="26"/>
      <c r="S132" s="27"/>
      <c r="T132" s="27">
        <v>312.5</v>
      </c>
      <c r="U132" s="27"/>
      <c r="V132" s="27"/>
      <c r="W132" s="27"/>
      <c r="X132" s="26"/>
      <c r="Y132" s="26"/>
      <c r="Z132" s="26"/>
      <c r="AA132" s="26"/>
      <c r="AB132" s="27"/>
      <c r="AC132" s="27"/>
      <c r="AD132" s="26"/>
      <c r="AE132" s="26"/>
      <c r="AF132" s="25">
        <f t="shared" si="18"/>
        <v>-350</v>
      </c>
      <c r="AG132" s="28">
        <f t="shared" si="19"/>
        <v>0</v>
      </c>
    </row>
    <row r="133" spans="1:33" s="29" customFormat="1" ht="23.25" customHeight="1" x14ac:dyDescent="0.2">
      <c r="A133" s="18">
        <v>43616</v>
      </c>
      <c r="B133" s="19"/>
      <c r="C133" s="20" t="s">
        <v>635</v>
      </c>
      <c r="D133" s="20" t="s">
        <v>636</v>
      </c>
      <c r="E133" s="20" t="s">
        <v>637</v>
      </c>
      <c r="F133" s="21">
        <v>843</v>
      </c>
      <c r="G133" s="44" t="s">
        <v>638</v>
      </c>
      <c r="H133" s="23"/>
      <c r="I133" s="23"/>
      <c r="J133" s="23"/>
      <c r="K133" s="23">
        <v>141</v>
      </c>
      <c r="L133" s="24"/>
      <c r="M133" s="25">
        <f t="shared" si="15"/>
        <v>125.89285714285712</v>
      </c>
      <c r="N133" s="25">
        <f t="shared" si="16"/>
        <v>15.107142857142854</v>
      </c>
      <c r="O133" s="25"/>
      <c r="P133" s="25"/>
      <c r="Q133" s="26"/>
      <c r="R133" s="26"/>
      <c r="S133" s="27">
        <v>125.89</v>
      </c>
      <c r="T133" s="27"/>
      <c r="U133" s="27"/>
      <c r="V133" s="27"/>
      <c r="W133" s="27"/>
      <c r="X133" s="26"/>
      <c r="Y133" s="26"/>
      <c r="Z133" s="26"/>
      <c r="AA133" s="26"/>
      <c r="AB133" s="27"/>
      <c r="AC133" s="27"/>
      <c r="AD133" s="26"/>
      <c r="AE133" s="26"/>
      <c r="AF133" s="25">
        <f t="shared" ref="AF133:AF136" si="20">-SUM(N133:AE133)</f>
        <v>-140.99714285714285</v>
      </c>
      <c r="AG133" s="28">
        <f t="shared" ref="AG133:AG136" si="21">SUM(H133:K133)+AF133+O133</f>
        <v>2.8571428571524393E-3</v>
      </c>
    </row>
    <row r="134" spans="1:33" s="29" customFormat="1" ht="23.25" customHeight="1" x14ac:dyDescent="0.2">
      <c r="A134" s="18">
        <v>43616</v>
      </c>
      <c r="B134" s="19"/>
      <c r="C134" s="20" t="s">
        <v>347</v>
      </c>
      <c r="D134" s="20"/>
      <c r="E134" s="20"/>
      <c r="F134" s="21"/>
      <c r="G134" s="44" t="s">
        <v>125</v>
      </c>
      <c r="H134" s="23">
        <v>537</v>
      </c>
      <c r="I134" s="23"/>
      <c r="J134" s="23"/>
      <c r="K134" s="23"/>
      <c r="L134" s="24"/>
      <c r="M134" s="25">
        <f t="shared" si="15"/>
        <v>537</v>
      </c>
      <c r="N134" s="25">
        <f t="shared" si="16"/>
        <v>0</v>
      </c>
      <c r="O134" s="25"/>
      <c r="P134" s="25"/>
      <c r="Q134" s="26"/>
      <c r="R134" s="26"/>
      <c r="S134" s="27"/>
      <c r="T134" s="27"/>
      <c r="U134" s="27"/>
      <c r="V134" s="27"/>
      <c r="W134" s="27"/>
      <c r="X134" s="26"/>
      <c r="Y134" s="26"/>
      <c r="Z134" s="26"/>
      <c r="AA134" s="26"/>
      <c r="AB134" s="27">
        <v>537</v>
      </c>
      <c r="AC134" s="27"/>
      <c r="AD134" s="26"/>
      <c r="AE134" s="26"/>
      <c r="AF134" s="25">
        <f t="shared" si="20"/>
        <v>-537</v>
      </c>
      <c r="AG134" s="28">
        <f t="shared" si="21"/>
        <v>0</v>
      </c>
    </row>
    <row r="135" spans="1:33" s="29" customFormat="1" ht="23.25" customHeight="1" x14ac:dyDescent="0.2">
      <c r="A135" s="18">
        <v>43616</v>
      </c>
      <c r="B135" s="19"/>
      <c r="C135" s="20" t="s">
        <v>277</v>
      </c>
      <c r="D135" s="20"/>
      <c r="E135" s="20"/>
      <c r="F135" s="21"/>
      <c r="G135" s="44" t="s">
        <v>177</v>
      </c>
      <c r="H135" s="23">
        <v>537</v>
      </c>
      <c r="I135" s="23"/>
      <c r="J135" s="23"/>
      <c r="K135" s="23"/>
      <c r="L135" s="24"/>
      <c r="M135" s="25">
        <f t="shared" si="15"/>
        <v>537</v>
      </c>
      <c r="N135" s="25">
        <f t="shared" si="16"/>
        <v>0</v>
      </c>
      <c r="O135" s="25"/>
      <c r="P135" s="25"/>
      <c r="Q135" s="26"/>
      <c r="R135" s="26"/>
      <c r="S135" s="27"/>
      <c r="T135" s="27"/>
      <c r="U135" s="27"/>
      <c r="V135" s="27"/>
      <c r="W135" s="27"/>
      <c r="X135" s="26"/>
      <c r="Y135" s="26"/>
      <c r="Z135" s="26"/>
      <c r="AA135" s="26"/>
      <c r="AB135" s="27">
        <v>537</v>
      </c>
      <c r="AC135" s="27"/>
      <c r="AD135" s="26"/>
      <c r="AE135" s="26"/>
      <c r="AF135" s="25">
        <f t="shared" si="20"/>
        <v>-537</v>
      </c>
      <c r="AG135" s="28">
        <f t="shared" si="21"/>
        <v>0</v>
      </c>
    </row>
    <row r="136" spans="1:33" s="29" customFormat="1" ht="19.5" customHeight="1" x14ac:dyDescent="0.2">
      <c r="A136" s="18"/>
      <c r="B136" s="19"/>
      <c r="C136" s="45"/>
      <c r="D136" s="45"/>
      <c r="E136" s="45"/>
      <c r="F136" s="21"/>
      <c r="G136" s="22"/>
      <c r="H136" s="23"/>
      <c r="I136" s="23"/>
      <c r="J136" s="23"/>
      <c r="K136" s="23"/>
      <c r="L136" s="24"/>
      <c r="M136" s="26">
        <f t="shared" si="15"/>
        <v>0</v>
      </c>
      <c r="N136" s="26">
        <f t="shared" si="16"/>
        <v>0</v>
      </c>
      <c r="O136" s="26">
        <f>-SUM(I136:J136,K136/1.12)*L136</f>
        <v>0</v>
      </c>
      <c r="P136" s="26"/>
      <c r="Q136" s="26"/>
      <c r="R136" s="26"/>
      <c r="S136" s="26"/>
      <c r="T136" s="27"/>
      <c r="U136" s="27"/>
      <c r="V136" s="27"/>
      <c r="W136" s="27"/>
      <c r="X136" s="27"/>
      <c r="Y136" s="46"/>
      <c r="Z136" s="26"/>
      <c r="AA136" s="26"/>
      <c r="AB136" s="26"/>
      <c r="AC136" s="27"/>
      <c r="AD136" s="27"/>
      <c r="AE136" s="47"/>
      <c r="AF136" s="25">
        <f t="shared" si="20"/>
        <v>0</v>
      </c>
      <c r="AG136" s="28">
        <f t="shared" si="21"/>
        <v>0</v>
      </c>
    </row>
    <row r="137" spans="1:33" s="57" customFormat="1" ht="12" customHeight="1" x14ac:dyDescent="0.2">
      <c r="A137" s="49"/>
      <c r="B137" s="50"/>
      <c r="C137" s="51"/>
      <c r="D137" s="52"/>
      <c r="E137" s="52"/>
      <c r="F137" s="53"/>
      <c r="G137" s="51"/>
      <c r="H137" s="54">
        <f t="shared" ref="H137:AG137" si="22">SUM(H5:H136)</f>
        <v>6064</v>
      </c>
      <c r="I137" s="54">
        <f t="shared" si="22"/>
        <v>0</v>
      </c>
      <c r="J137" s="54">
        <f t="shared" si="22"/>
        <v>12858.2</v>
      </c>
      <c r="K137" s="54">
        <f t="shared" si="22"/>
        <v>36498.85</v>
      </c>
      <c r="L137" s="54">
        <f t="shared" si="22"/>
        <v>0.04</v>
      </c>
      <c r="M137" s="54">
        <f t="shared" si="22"/>
        <v>51510.458928571388</v>
      </c>
      <c r="N137" s="54">
        <f t="shared" si="22"/>
        <v>3910.5910714285696</v>
      </c>
      <c r="O137" s="54">
        <f t="shared" si="22"/>
        <v>-71.428571428571431</v>
      </c>
      <c r="P137" s="54">
        <f t="shared" si="22"/>
        <v>27621.97</v>
      </c>
      <c r="Q137" s="54">
        <f t="shared" si="22"/>
        <v>8381.0299999999988</v>
      </c>
      <c r="R137" s="54">
        <f t="shared" si="22"/>
        <v>1160.71</v>
      </c>
      <c r="S137" s="54">
        <f t="shared" si="22"/>
        <v>270.89</v>
      </c>
      <c r="T137" s="54">
        <f t="shared" si="22"/>
        <v>2061.6</v>
      </c>
      <c r="U137" s="54">
        <f t="shared" si="22"/>
        <v>0</v>
      </c>
      <c r="V137" s="54">
        <f t="shared" si="22"/>
        <v>0</v>
      </c>
      <c r="W137" s="54">
        <f t="shared" si="22"/>
        <v>0</v>
      </c>
      <c r="X137" s="54">
        <f t="shared" si="22"/>
        <v>864.29</v>
      </c>
      <c r="Y137" s="54">
        <f t="shared" si="22"/>
        <v>4579.47</v>
      </c>
      <c r="Z137" s="54">
        <f t="shared" si="22"/>
        <v>393.75</v>
      </c>
      <c r="AA137" s="54">
        <f t="shared" si="22"/>
        <v>1879.6100000000001</v>
      </c>
      <c r="AB137" s="54">
        <f t="shared" si="22"/>
        <v>4296</v>
      </c>
      <c r="AC137" s="54">
        <f t="shared" si="22"/>
        <v>0</v>
      </c>
      <c r="AD137" s="54">
        <f t="shared" si="22"/>
        <v>0</v>
      </c>
      <c r="AE137" s="54">
        <f t="shared" si="22"/>
        <v>0</v>
      </c>
      <c r="AF137" s="54">
        <f t="shared" si="22"/>
        <v>-55348.48250000002</v>
      </c>
      <c r="AG137" s="54">
        <f t="shared" si="22"/>
        <v>1.138928571429517</v>
      </c>
    </row>
    <row r="143" spans="1:33" x14ac:dyDescent="0.25">
      <c r="Q143" s="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94"/>
  <sheetViews>
    <sheetView topLeftCell="A85" zoomScale="90" zoomScaleNormal="90" workbookViewId="0">
      <selection activeCell="F91" sqref="A91:XFD100"/>
    </sheetView>
  </sheetViews>
  <sheetFormatPr defaultRowHeight="13.2" x14ac:dyDescent="0.25"/>
  <cols>
    <col min="1" max="1" width="10.21875" style="1" customWidth="1"/>
    <col min="2" max="2" width="9.21875" style="2" hidden="1" customWidth="1"/>
    <col min="3" max="3" width="30.21875" style="3" customWidth="1"/>
    <col min="4" max="4" width="17.6640625" style="4" customWidth="1"/>
    <col min="5" max="5" width="35.33203125" style="4" customWidth="1"/>
    <col min="6" max="6" width="9.88671875" style="2" customWidth="1"/>
    <col min="7" max="7" width="39.77734375" style="3" customWidth="1"/>
    <col min="8" max="8" width="13.88671875" style="5" customWidth="1"/>
    <col min="9" max="9" width="10.6640625" style="5" customWidth="1"/>
    <col min="10" max="10" width="12.21875" style="5" customWidth="1"/>
    <col min="11" max="11" width="13.109375" style="5" customWidth="1"/>
    <col min="12" max="12" width="9.88671875" style="6" customWidth="1"/>
    <col min="13" max="13" width="12.21875" style="5" customWidth="1"/>
    <col min="14" max="14" width="10.77734375" style="5" customWidth="1"/>
    <col min="15" max="15" width="11.33203125" style="5" customWidth="1"/>
    <col min="16" max="16" width="12.44140625" style="5" customWidth="1"/>
    <col min="17" max="17" width="12.109375" style="5" customWidth="1"/>
    <col min="18" max="18" width="13.44140625" style="5" customWidth="1"/>
    <col min="19" max="19" width="10.21875" style="5" customWidth="1"/>
    <col min="20" max="21" width="11.5546875" style="5"/>
    <col min="22" max="22" width="13.33203125" style="5" customWidth="1"/>
    <col min="23" max="23" width="10.21875" style="5" customWidth="1"/>
    <col min="24" max="24" width="12.44140625" style="5" customWidth="1"/>
    <col min="25" max="25" width="11.6640625" style="5" customWidth="1"/>
    <col min="26" max="26" width="10.44140625" style="5" customWidth="1"/>
    <col min="27" max="27" width="11" style="5" customWidth="1"/>
    <col min="28" max="28" width="12.109375" style="5" customWidth="1"/>
    <col min="29" max="30" width="10.109375" style="5" customWidth="1"/>
    <col min="31" max="31" width="12.77734375" style="5" customWidth="1"/>
    <col min="32" max="32" width="13.44140625" style="5" customWidth="1"/>
    <col min="33" max="33" width="13.44140625" style="3" customWidth="1"/>
    <col min="34" max="1025" width="11.5546875" style="3"/>
  </cols>
  <sheetData>
    <row r="1" spans="1:33" ht="12" customHeight="1" x14ac:dyDescent="0.25">
      <c r="A1" s="7" t="s">
        <v>0</v>
      </c>
      <c r="C1" s="8"/>
    </row>
    <row r="2" spans="1:33" ht="12" customHeight="1" x14ac:dyDescent="0.25">
      <c r="A2" s="7" t="s">
        <v>1</v>
      </c>
    </row>
    <row r="3" spans="1:33" ht="12" customHeight="1" x14ac:dyDescent="0.25">
      <c r="A3" s="7" t="s">
        <v>639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/>
      <c r="W3" s="10"/>
      <c r="X3" s="10"/>
      <c r="Y3" s="10" t="s">
        <v>3</v>
      </c>
      <c r="Z3" s="10"/>
      <c r="AA3" s="10">
        <v>6230</v>
      </c>
      <c r="AB3" s="10" t="s">
        <v>4</v>
      </c>
      <c r="AC3" s="10">
        <v>6202</v>
      </c>
      <c r="AD3" s="10"/>
      <c r="AE3" s="10">
        <v>6109</v>
      </c>
      <c r="AF3" s="10">
        <v>1002</v>
      </c>
    </row>
    <row r="4" spans="1:33" s="17" customFormat="1" ht="43.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pans="1:33" s="29" customFormat="1" ht="23.25" customHeight="1" x14ac:dyDescent="0.2">
      <c r="A5" s="18">
        <v>43622</v>
      </c>
      <c r="B5" s="19"/>
      <c r="C5" s="59" t="s">
        <v>239</v>
      </c>
      <c r="D5" s="20" t="s">
        <v>240</v>
      </c>
      <c r="E5" s="20" t="s">
        <v>241</v>
      </c>
      <c r="F5" s="21">
        <v>114147</v>
      </c>
      <c r="G5" s="44" t="s">
        <v>465</v>
      </c>
      <c r="H5" s="23"/>
      <c r="I5" s="23"/>
      <c r="J5" s="23"/>
      <c r="K5" s="23">
        <v>1770</v>
      </c>
      <c r="L5" s="24"/>
      <c r="M5" s="25">
        <f t="shared" ref="M5:M36" si="0">SUM(H5:J5,K5/1.12)</f>
        <v>1580.3571428571427</v>
      </c>
      <c r="N5" s="25">
        <f t="shared" ref="N5:N36" si="1">K5/1.12*0.12</f>
        <v>189.64285714285711</v>
      </c>
      <c r="O5" s="25"/>
      <c r="P5" s="25"/>
      <c r="Q5" s="26">
        <v>1580.36</v>
      </c>
      <c r="R5" s="26"/>
      <c r="S5" s="27"/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>
        <f t="shared" ref="AF5:AF36" si="2">-SUM(N5:AE5)</f>
        <v>-1770.002857142857</v>
      </c>
      <c r="AG5" s="28">
        <f t="shared" ref="AG5:AG36" si="3">SUM(H5:K5)+AF5+O5</f>
        <v>-2.8571428570103308E-3</v>
      </c>
    </row>
    <row r="6" spans="1:33" s="29" customFormat="1" ht="23.25" customHeight="1" x14ac:dyDescent="0.2">
      <c r="A6" s="18">
        <v>43622</v>
      </c>
      <c r="B6" s="19"/>
      <c r="C6" s="20" t="s">
        <v>62</v>
      </c>
      <c r="D6" s="20"/>
      <c r="E6" s="20"/>
      <c r="F6" s="21"/>
      <c r="G6" s="44" t="s">
        <v>640</v>
      </c>
      <c r="H6" s="23">
        <v>30</v>
      </c>
      <c r="I6" s="23"/>
      <c r="J6" s="23"/>
      <c r="K6" s="23"/>
      <c r="L6" s="24"/>
      <c r="M6" s="25">
        <f t="shared" si="0"/>
        <v>30</v>
      </c>
      <c r="N6" s="25">
        <f t="shared" si="1"/>
        <v>0</v>
      </c>
      <c r="O6" s="25"/>
      <c r="P6" s="25"/>
      <c r="Q6" s="26"/>
      <c r="R6" s="26"/>
      <c r="S6" s="27"/>
      <c r="T6" s="27"/>
      <c r="U6" s="27"/>
      <c r="V6" s="27"/>
      <c r="W6" s="27"/>
      <c r="X6" s="26"/>
      <c r="Y6" s="26"/>
      <c r="Z6" s="26"/>
      <c r="AA6" s="26">
        <v>30</v>
      </c>
      <c r="AB6" s="27"/>
      <c r="AC6" s="27"/>
      <c r="AD6" s="26"/>
      <c r="AE6" s="26"/>
      <c r="AF6" s="25">
        <f t="shared" si="2"/>
        <v>-30</v>
      </c>
      <c r="AG6" s="28">
        <f t="shared" si="3"/>
        <v>0</v>
      </c>
    </row>
    <row r="7" spans="1:33" s="29" customFormat="1" ht="23.25" customHeight="1" x14ac:dyDescent="0.2">
      <c r="A7" s="18">
        <v>43622</v>
      </c>
      <c r="B7" s="19"/>
      <c r="C7" s="20" t="s">
        <v>41</v>
      </c>
      <c r="D7" s="20" t="s">
        <v>42</v>
      </c>
      <c r="E7" s="20" t="s">
        <v>43</v>
      </c>
      <c r="F7" s="21">
        <v>197229</v>
      </c>
      <c r="G7" s="22" t="s">
        <v>44</v>
      </c>
      <c r="H7" s="23"/>
      <c r="I7" s="23"/>
      <c r="J7" s="23"/>
      <c r="K7" s="23">
        <v>180</v>
      </c>
      <c r="L7" s="24"/>
      <c r="M7" s="25">
        <f t="shared" si="0"/>
        <v>160.71428571428569</v>
      </c>
      <c r="N7" s="25">
        <f t="shared" si="1"/>
        <v>19.285714285714281</v>
      </c>
      <c r="O7" s="25">
        <f>-SUM(I7:J7,K7/1.12)*L7</f>
        <v>0</v>
      </c>
      <c r="P7" s="25"/>
      <c r="Q7" s="26">
        <v>160.71</v>
      </c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>
        <f t="shared" si="2"/>
        <v>-179.99571428571429</v>
      </c>
      <c r="AG7" s="28">
        <f t="shared" si="3"/>
        <v>4.2857142857144481E-3</v>
      </c>
    </row>
    <row r="8" spans="1:33" s="29" customFormat="1" ht="23.25" customHeight="1" x14ac:dyDescent="0.2">
      <c r="A8" s="18">
        <v>43622</v>
      </c>
      <c r="B8" s="19"/>
      <c r="C8" s="20" t="s">
        <v>45</v>
      </c>
      <c r="D8" s="20" t="s">
        <v>46</v>
      </c>
      <c r="E8" s="20" t="s">
        <v>47</v>
      </c>
      <c r="F8" s="21">
        <v>155704</v>
      </c>
      <c r="G8" s="44" t="s">
        <v>641</v>
      </c>
      <c r="H8" s="23"/>
      <c r="I8" s="23"/>
      <c r="J8" s="23"/>
      <c r="K8" s="23">
        <v>183</v>
      </c>
      <c r="L8" s="24"/>
      <c r="M8" s="25">
        <f t="shared" si="0"/>
        <v>163.39285714285714</v>
      </c>
      <c r="N8" s="25">
        <f t="shared" si="1"/>
        <v>19.607142857142858</v>
      </c>
      <c r="O8" s="25"/>
      <c r="P8" s="25">
        <v>163.38999999999999</v>
      </c>
      <c r="Q8" s="26"/>
      <c r="R8" s="26"/>
      <c r="S8" s="27"/>
      <c r="T8" s="27"/>
      <c r="U8" s="27"/>
      <c r="V8" s="27"/>
      <c r="W8" s="27"/>
      <c r="X8" s="26"/>
      <c r="Y8" s="26"/>
      <c r="Z8" s="26"/>
      <c r="AA8" s="26"/>
      <c r="AB8" s="27"/>
      <c r="AC8" s="27"/>
      <c r="AD8" s="26"/>
      <c r="AE8" s="26"/>
      <c r="AF8" s="25">
        <f t="shared" si="2"/>
        <v>-182.99714285714285</v>
      </c>
      <c r="AG8" s="28">
        <f t="shared" si="3"/>
        <v>2.8571428571524393E-3</v>
      </c>
    </row>
    <row r="9" spans="1:33" s="29" customFormat="1" ht="23.25" customHeight="1" x14ac:dyDescent="0.2">
      <c r="A9" s="18">
        <v>43623</v>
      </c>
      <c r="B9" s="19"/>
      <c r="C9" s="20" t="s">
        <v>41</v>
      </c>
      <c r="D9" s="20" t="s">
        <v>42</v>
      </c>
      <c r="E9" s="20" t="s">
        <v>43</v>
      </c>
      <c r="F9" s="21">
        <v>192528</v>
      </c>
      <c r="G9" s="22" t="s">
        <v>44</v>
      </c>
      <c r="H9" s="23"/>
      <c r="I9" s="23"/>
      <c r="J9" s="23"/>
      <c r="K9" s="23">
        <v>180</v>
      </c>
      <c r="L9" s="24"/>
      <c r="M9" s="25">
        <f t="shared" si="0"/>
        <v>160.71428571428569</v>
      </c>
      <c r="N9" s="25">
        <f t="shared" si="1"/>
        <v>19.285714285714281</v>
      </c>
      <c r="O9" s="25">
        <f>-SUM(I9:J9,K9/1.12)*L9</f>
        <v>0</v>
      </c>
      <c r="P9" s="25"/>
      <c r="Q9" s="26">
        <v>160.71</v>
      </c>
      <c r="R9" s="26"/>
      <c r="S9" s="27"/>
      <c r="T9" s="27"/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>
        <f t="shared" si="2"/>
        <v>-179.99571428571429</v>
      </c>
      <c r="AG9" s="28">
        <f t="shared" si="3"/>
        <v>4.2857142857144481E-3</v>
      </c>
    </row>
    <row r="10" spans="1:33" s="29" customFormat="1" ht="23.25" customHeight="1" x14ac:dyDescent="0.2">
      <c r="A10" s="18">
        <v>43623</v>
      </c>
      <c r="B10" s="19"/>
      <c r="C10" s="20" t="s">
        <v>642</v>
      </c>
      <c r="D10" s="20" t="s">
        <v>643</v>
      </c>
      <c r="E10" s="20" t="s">
        <v>644</v>
      </c>
      <c r="F10" s="21">
        <v>4659</v>
      </c>
      <c r="G10" s="44" t="s">
        <v>645</v>
      </c>
      <c r="H10" s="23"/>
      <c r="I10" s="23"/>
      <c r="J10" s="23"/>
      <c r="K10" s="23">
        <v>2600</v>
      </c>
      <c r="L10" s="24"/>
      <c r="M10" s="25">
        <f t="shared" si="0"/>
        <v>2321.4285714285711</v>
      </c>
      <c r="N10" s="25">
        <f t="shared" si="1"/>
        <v>278.5714285714285</v>
      </c>
      <c r="O10" s="25"/>
      <c r="P10" s="25"/>
      <c r="Q10" s="26">
        <v>2321.4299999999998</v>
      </c>
      <c r="R10" s="26"/>
      <c r="S10" s="27"/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>
        <f t="shared" si="2"/>
        <v>-2600.0014285714283</v>
      </c>
      <c r="AG10" s="28">
        <f t="shared" si="3"/>
        <v>-1.4285714282777917E-3</v>
      </c>
    </row>
    <row r="11" spans="1:33" s="29" customFormat="1" ht="23.25" customHeight="1" x14ac:dyDescent="0.2">
      <c r="A11" s="18">
        <v>43623</v>
      </c>
      <c r="B11" s="19"/>
      <c r="C11" s="20" t="s">
        <v>45</v>
      </c>
      <c r="D11" s="20" t="s">
        <v>46</v>
      </c>
      <c r="E11" s="20" t="s">
        <v>47</v>
      </c>
      <c r="F11" s="21">
        <v>157416</v>
      </c>
      <c r="G11" s="44" t="s">
        <v>646</v>
      </c>
      <c r="H11" s="23"/>
      <c r="I11" s="23"/>
      <c r="J11" s="23"/>
      <c r="K11" s="23">
        <v>1381.8</v>
      </c>
      <c r="L11" s="24"/>
      <c r="M11" s="25">
        <f t="shared" si="0"/>
        <v>1233.7499999999998</v>
      </c>
      <c r="N11" s="25">
        <f t="shared" si="1"/>
        <v>148.04999999999995</v>
      </c>
      <c r="O11" s="25">
        <f>-SUM(I11:J11,K11/1.12)*L11</f>
        <v>0</v>
      </c>
      <c r="P11" s="25">
        <v>1233.75</v>
      </c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>
        <f t="shared" si="2"/>
        <v>-1381.8</v>
      </c>
      <c r="AG11" s="28">
        <f t="shared" si="3"/>
        <v>0</v>
      </c>
    </row>
    <row r="12" spans="1:33" s="29" customFormat="1" ht="23.25" customHeight="1" x14ac:dyDescent="0.2">
      <c r="A12" s="18">
        <v>43623</v>
      </c>
      <c r="B12" s="19"/>
      <c r="C12" s="20" t="s">
        <v>37</v>
      </c>
      <c r="D12" s="20" t="s">
        <v>38</v>
      </c>
      <c r="E12" s="20" t="s">
        <v>39</v>
      </c>
      <c r="F12" s="21">
        <v>95756</v>
      </c>
      <c r="G12" s="44" t="s">
        <v>647</v>
      </c>
      <c r="H12" s="23"/>
      <c r="I12" s="23"/>
      <c r="J12" s="23"/>
      <c r="K12" s="23">
        <v>107.64</v>
      </c>
      <c r="L12" s="24"/>
      <c r="M12" s="25">
        <f t="shared" si="0"/>
        <v>96.107142857142847</v>
      </c>
      <c r="N12" s="25">
        <f t="shared" si="1"/>
        <v>11.532857142857141</v>
      </c>
      <c r="O12" s="25"/>
      <c r="P12" s="25">
        <v>96.11</v>
      </c>
      <c r="Q12" s="26"/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>
        <f t="shared" si="2"/>
        <v>-107.64285714285714</v>
      </c>
      <c r="AG12" s="28">
        <f t="shared" si="3"/>
        <v>-2.8571428571382285E-3</v>
      </c>
    </row>
    <row r="13" spans="1:33" s="29" customFormat="1" ht="23.25" customHeight="1" x14ac:dyDescent="0.2">
      <c r="A13" s="18">
        <v>43623</v>
      </c>
      <c r="B13" s="19"/>
      <c r="C13" s="20" t="s">
        <v>648</v>
      </c>
      <c r="D13" s="20" t="s">
        <v>66</v>
      </c>
      <c r="E13" s="20" t="s">
        <v>649</v>
      </c>
      <c r="F13" s="21">
        <v>2351</v>
      </c>
      <c r="G13" s="44" t="s">
        <v>68</v>
      </c>
      <c r="H13" s="23"/>
      <c r="I13" s="23"/>
      <c r="J13" s="23"/>
      <c r="K13" s="23">
        <v>1320</v>
      </c>
      <c r="L13" s="24">
        <v>0.01</v>
      </c>
      <c r="M13" s="25">
        <f t="shared" si="0"/>
        <v>1178.5714285714284</v>
      </c>
      <c r="N13" s="25">
        <f t="shared" si="1"/>
        <v>141.42857142857142</v>
      </c>
      <c r="O13" s="25">
        <f>-SUM(I13:J13,K13/1.12)*L13</f>
        <v>-11.785714285714285</v>
      </c>
      <c r="P13" s="25"/>
      <c r="Q13" s="26">
        <v>1178.57</v>
      </c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>
        <f t="shared" si="2"/>
        <v>-1308.212857142857</v>
      </c>
      <c r="AG13" s="28">
        <f t="shared" si="3"/>
        <v>1.4285714286685902E-3</v>
      </c>
    </row>
    <row r="14" spans="1:33" s="29" customFormat="1" ht="23.25" customHeight="1" x14ac:dyDescent="0.2">
      <c r="A14" s="18">
        <v>43623</v>
      </c>
      <c r="B14" s="19"/>
      <c r="C14" s="20" t="s">
        <v>347</v>
      </c>
      <c r="D14" s="20"/>
      <c r="E14" s="20"/>
      <c r="F14" s="21"/>
      <c r="G14" s="44" t="s">
        <v>177</v>
      </c>
      <c r="H14" s="23">
        <v>537</v>
      </c>
      <c r="I14" s="23"/>
      <c r="J14" s="23"/>
      <c r="K14" s="23"/>
      <c r="L14" s="24"/>
      <c r="M14" s="25">
        <f t="shared" si="0"/>
        <v>537</v>
      </c>
      <c r="N14" s="25">
        <f t="shared" si="1"/>
        <v>0</v>
      </c>
      <c r="O14" s="25">
        <f>-SUM(I14:J14,K14/1.12)*L14</f>
        <v>0</v>
      </c>
      <c r="P14" s="25"/>
      <c r="Q14" s="26"/>
      <c r="R14" s="26"/>
      <c r="S14" s="27"/>
      <c r="T14" s="27"/>
      <c r="U14" s="27"/>
      <c r="V14" s="27"/>
      <c r="W14" s="27"/>
      <c r="X14" s="26"/>
      <c r="Y14" s="26"/>
      <c r="Z14" s="26"/>
      <c r="AA14" s="26"/>
      <c r="AB14" s="27">
        <v>537</v>
      </c>
      <c r="AC14" s="27"/>
      <c r="AD14" s="26"/>
      <c r="AE14" s="26"/>
      <c r="AF14" s="25">
        <f t="shared" si="2"/>
        <v>-537</v>
      </c>
      <c r="AG14" s="28">
        <f t="shared" si="3"/>
        <v>0</v>
      </c>
    </row>
    <row r="15" spans="1:33" s="29" customFormat="1" ht="23.25" customHeight="1" x14ac:dyDescent="0.2">
      <c r="A15" s="18">
        <v>43624</v>
      </c>
      <c r="B15" s="19"/>
      <c r="C15" s="20" t="s">
        <v>321</v>
      </c>
      <c r="D15" s="20" t="s">
        <v>322</v>
      </c>
      <c r="E15" s="20" t="s">
        <v>47</v>
      </c>
      <c r="F15" s="21">
        <v>772</v>
      </c>
      <c r="G15" s="44" t="s">
        <v>44</v>
      </c>
      <c r="H15" s="23"/>
      <c r="I15" s="23"/>
      <c r="J15" s="23"/>
      <c r="K15" s="23">
        <v>40</v>
      </c>
      <c r="L15" s="24"/>
      <c r="M15" s="25">
        <f t="shared" si="0"/>
        <v>35.714285714285708</v>
      </c>
      <c r="N15" s="25">
        <f t="shared" si="1"/>
        <v>4.2857142857142847</v>
      </c>
      <c r="O15" s="25"/>
      <c r="P15" s="25"/>
      <c r="Q15" s="26">
        <v>35.71</v>
      </c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>
        <f t="shared" si="2"/>
        <v>-39.995714285714286</v>
      </c>
      <c r="AG15" s="28">
        <f t="shared" si="3"/>
        <v>4.2857142857144481E-3</v>
      </c>
    </row>
    <row r="16" spans="1:33" s="29" customFormat="1" ht="23.25" customHeight="1" x14ac:dyDescent="0.2">
      <c r="A16" s="18">
        <v>43624</v>
      </c>
      <c r="B16" s="19"/>
      <c r="C16" s="20" t="s">
        <v>37</v>
      </c>
      <c r="D16" s="20" t="s">
        <v>38</v>
      </c>
      <c r="E16" s="20" t="s">
        <v>39</v>
      </c>
      <c r="F16" s="21">
        <v>35853</v>
      </c>
      <c r="G16" s="44" t="s">
        <v>650</v>
      </c>
      <c r="H16" s="23"/>
      <c r="I16" s="23"/>
      <c r="J16" s="23"/>
      <c r="K16" s="23">
        <v>139.5</v>
      </c>
      <c r="L16" s="24"/>
      <c r="M16" s="25">
        <f t="shared" si="0"/>
        <v>124.55357142857142</v>
      </c>
      <c r="N16" s="25">
        <f t="shared" si="1"/>
        <v>14.946428571428569</v>
      </c>
      <c r="O16" s="25"/>
      <c r="P16" s="25"/>
      <c r="Q16" s="26"/>
      <c r="R16" s="26">
        <v>124.55</v>
      </c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/>
      <c r="AE16" s="26"/>
      <c r="AF16" s="25">
        <f t="shared" si="2"/>
        <v>-139.49642857142857</v>
      </c>
      <c r="AG16" s="28">
        <f t="shared" si="3"/>
        <v>3.5714285714334437E-3</v>
      </c>
    </row>
    <row r="17" spans="1:33" s="29" customFormat="1" ht="23.25" customHeight="1" x14ac:dyDescent="0.2">
      <c r="A17" s="18">
        <v>43626</v>
      </c>
      <c r="B17" s="19"/>
      <c r="C17" s="20" t="s">
        <v>41</v>
      </c>
      <c r="D17" s="20" t="s">
        <v>42</v>
      </c>
      <c r="E17" s="20" t="s">
        <v>43</v>
      </c>
      <c r="F17" s="21">
        <v>52423</v>
      </c>
      <c r="G17" s="22" t="s">
        <v>44</v>
      </c>
      <c r="H17" s="23"/>
      <c r="I17" s="23"/>
      <c r="J17" s="23"/>
      <c r="K17" s="23">
        <v>180</v>
      </c>
      <c r="L17" s="24"/>
      <c r="M17" s="25">
        <f t="shared" si="0"/>
        <v>160.71428571428569</v>
      </c>
      <c r="N17" s="25">
        <f t="shared" si="1"/>
        <v>19.285714285714281</v>
      </c>
      <c r="O17" s="25">
        <f>-SUM(I17:J17,K17/1.12)*L17</f>
        <v>0</v>
      </c>
      <c r="P17" s="25"/>
      <c r="Q17" s="26">
        <v>160.71</v>
      </c>
      <c r="R17" s="26"/>
      <c r="S17" s="27"/>
      <c r="T17" s="27"/>
      <c r="U17" s="27"/>
      <c r="V17" s="27"/>
      <c r="W17" s="27"/>
      <c r="X17" s="26"/>
      <c r="Y17" s="26"/>
      <c r="Z17" s="26"/>
      <c r="AA17" s="26"/>
      <c r="AB17" s="27"/>
      <c r="AC17" s="27"/>
      <c r="AD17" s="26"/>
      <c r="AE17" s="26"/>
      <c r="AF17" s="25">
        <f t="shared" si="2"/>
        <v>-179.99571428571429</v>
      </c>
      <c r="AG17" s="28">
        <f t="shared" si="3"/>
        <v>4.2857142857144481E-3</v>
      </c>
    </row>
    <row r="18" spans="1:33" s="29" customFormat="1" ht="23.25" customHeight="1" x14ac:dyDescent="0.2">
      <c r="A18" s="18">
        <v>43626</v>
      </c>
      <c r="B18" s="19"/>
      <c r="C18" s="20" t="s">
        <v>37</v>
      </c>
      <c r="D18" s="20" t="s">
        <v>38</v>
      </c>
      <c r="E18" s="20" t="s">
        <v>39</v>
      </c>
      <c r="F18" s="21">
        <v>358660</v>
      </c>
      <c r="G18" s="44" t="s">
        <v>651</v>
      </c>
      <c r="H18" s="23"/>
      <c r="I18" s="23"/>
      <c r="J18" s="23"/>
      <c r="K18" s="23">
        <v>473.7</v>
      </c>
      <c r="L18" s="24"/>
      <c r="M18" s="25">
        <f t="shared" si="0"/>
        <v>422.9464285714285</v>
      </c>
      <c r="N18" s="25">
        <f t="shared" si="1"/>
        <v>50.753571428571419</v>
      </c>
      <c r="O18" s="25"/>
      <c r="P18" s="25">
        <v>422.95</v>
      </c>
      <c r="Q18" s="26"/>
      <c r="R18" s="26"/>
      <c r="S18" s="27"/>
      <c r="T18" s="27"/>
      <c r="U18" s="27"/>
      <c r="V18" s="27"/>
      <c r="W18" s="27"/>
      <c r="X18" s="26"/>
      <c r="Y18" s="26"/>
      <c r="Z18" s="26"/>
      <c r="AA18" s="26"/>
      <c r="AB18" s="27"/>
      <c r="AC18" s="27"/>
      <c r="AD18" s="26"/>
      <c r="AE18" s="26"/>
      <c r="AF18" s="25">
        <f t="shared" si="2"/>
        <v>-473.70357142857142</v>
      </c>
      <c r="AG18" s="28">
        <f t="shared" si="3"/>
        <v>-3.5714285714334437E-3</v>
      </c>
    </row>
    <row r="19" spans="1:33" s="29" customFormat="1" ht="23.25" customHeight="1" x14ac:dyDescent="0.2">
      <c r="A19" s="18">
        <v>43627</v>
      </c>
      <c r="B19" s="19"/>
      <c r="C19" s="20" t="s">
        <v>41</v>
      </c>
      <c r="D19" s="20" t="s">
        <v>42</v>
      </c>
      <c r="E19" s="20" t="s">
        <v>43</v>
      </c>
      <c r="F19" s="21">
        <v>55827</v>
      </c>
      <c r="G19" s="22" t="s">
        <v>44</v>
      </c>
      <c r="H19" s="23"/>
      <c r="I19" s="23"/>
      <c r="J19" s="23"/>
      <c r="K19" s="23">
        <v>180</v>
      </c>
      <c r="L19" s="24"/>
      <c r="M19" s="25">
        <f t="shared" si="0"/>
        <v>160.71428571428569</v>
      </c>
      <c r="N19" s="25">
        <f t="shared" si="1"/>
        <v>19.285714285714281</v>
      </c>
      <c r="O19" s="25">
        <f>-SUM(I19:J19,K19/1.12)*L19</f>
        <v>0</v>
      </c>
      <c r="P19" s="25"/>
      <c r="Q19" s="26">
        <v>160.71</v>
      </c>
      <c r="R19" s="26"/>
      <c r="S19" s="27"/>
      <c r="T19" s="27"/>
      <c r="U19" s="27"/>
      <c r="V19" s="27"/>
      <c r="W19" s="27"/>
      <c r="X19" s="26"/>
      <c r="Y19" s="26"/>
      <c r="Z19" s="26"/>
      <c r="AA19" s="26"/>
      <c r="AB19" s="27"/>
      <c r="AC19" s="27"/>
      <c r="AD19" s="26"/>
      <c r="AE19" s="26"/>
      <c r="AF19" s="25">
        <f t="shared" si="2"/>
        <v>-179.99571428571429</v>
      </c>
      <c r="AG19" s="28">
        <f t="shared" si="3"/>
        <v>4.2857142857144481E-3</v>
      </c>
    </row>
    <row r="20" spans="1:33" s="29" customFormat="1" ht="23.25" customHeight="1" x14ac:dyDescent="0.2">
      <c r="A20" s="18">
        <v>43627</v>
      </c>
      <c r="B20" s="19"/>
      <c r="C20" s="20" t="s">
        <v>45</v>
      </c>
      <c r="D20" s="20" t="s">
        <v>46</v>
      </c>
      <c r="E20" s="20" t="s">
        <v>47</v>
      </c>
      <c r="F20" s="21">
        <v>181493</v>
      </c>
      <c r="G20" s="44" t="s">
        <v>652</v>
      </c>
      <c r="H20" s="23"/>
      <c r="I20" s="23"/>
      <c r="J20" s="23"/>
      <c r="K20" s="23">
        <v>574.04999999999995</v>
      </c>
      <c r="L20" s="24"/>
      <c r="M20" s="25">
        <f t="shared" si="0"/>
        <v>512.54464285714278</v>
      </c>
      <c r="N20" s="25">
        <f t="shared" si="1"/>
        <v>61.505357142857129</v>
      </c>
      <c r="O20" s="25"/>
      <c r="P20" s="25">
        <v>512.54</v>
      </c>
      <c r="Q20" s="26"/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>
        <f t="shared" si="2"/>
        <v>-574.04535714285714</v>
      </c>
      <c r="AG20" s="28">
        <f t="shared" si="3"/>
        <v>4.6428571428123178E-3</v>
      </c>
    </row>
    <row r="21" spans="1:33" s="41" customFormat="1" ht="23.25" customHeight="1" x14ac:dyDescent="0.2">
      <c r="A21" s="30">
        <v>43629</v>
      </c>
      <c r="B21" s="31"/>
      <c r="C21" s="32" t="s">
        <v>41</v>
      </c>
      <c r="D21" s="32" t="s">
        <v>42</v>
      </c>
      <c r="E21" s="32" t="s">
        <v>43</v>
      </c>
      <c r="F21" s="33">
        <v>60557</v>
      </c>
      <c r="G21" s="34" t="s">
        <v>44</v>
      </c>
      <c r="H21" s="35"/>
      <c r="I21" s="35"/>
      <c r="J21" s="35"/>
      <c r="K21" s="35">
        <v>180</v>
      </c>
      <c r="L21" s="36"/>
      <c r="M21" s="37">
        <f t="shared" si="0"/>
        <v>160.71428571428569</v>
      </c>
      <c r="N21" s="37">
        <f t="shared" si="1"/>
        <v>19.285714285714281</v>
      </c>
      <c r="O21" s="37">
        <f>-SUM(I21:J21,K21/1.12)*L21</f>
        <v>0</v>
      </c>
      <c r="P21" s="37"/>
      <c r="Q21" s="38">
        <v>160.71</v>
      </c>
      <c r="R21" s="38"/>
      <c r="S21" s="39"/>
      <c r="T21" s="39"/>
      <c r="U21" s="39"/>
      <c r="V21" s="39"/>
      <c r="W21" s="39"/>
      <c r="X21" s="38"/>
      <c r="Y21" s="38"/>
      <c r="Z21" s="38"/>
      <c r="AA21" s="38"/>
      <c r="AB21" s="39"/>
      <c r="AC21" s="39"/>
      <c r="AD21" s="38"/>
      <c r="AE21" s="38"/>
      <c r="AF21" s="37">
        <f t="shared" si="2"/>
        <v>-179.99571428571429</v>
      </c>
      <c r="AG21" s="40">
        <f t="shared" si="3"/>
        <v>4.2857142857144481E-3</v>
      </c>
    </row>
    <row r="22" spans="1:33" s="29" customFormat="1" ht="23.25" customHeight="1" x14ac:dyDescent="0.2">
      <c r="A22" s="18">
        <v>43623</v>
      </c>
      <c r="B22" s="19"/>
      <c r="C22" s="59" t="s">
        <v>653</v>
      </c>
      <c r="D22" s="20"/>
      <c r="E22" s="20"/>
      <c r="F22" s="21"/>
      <c r="G22" s="44" t="s">
        <v>654</v>
      </c>
      <c r="H22" s="23"/>
      <c r="I22" s="23"/>
      <c r="J22" s="23"/>
      <c r="K22" s="23">
        <v>900</v>
      </c>
      <c r="L22" s="24"/>
      <c r="M22" s="25">
        <f t="shared" si="0"/>
        <v>803.57142857142844</v>
      </c>
      <c r="N22" s="25">
        <f t="shared" si="1"/>
        <v>96.428571428571416</v>
      </c>
      <c r="O22" s="25"/>
      <c r="P22" s="25"/>
      <c r="Q22" s="26"/>
      <c r="R22" s="26"/>
      <c r="S22" s="27"/>
      <c r="T22" s="27"/>
      <c r="U22" s="27"/>
      <c r="V22" s="27"/>
      <c r="W22" s="27"/>
      <c r="X22" s="26"/>
      <c r="Y22" s="26"/>
      <c r="Z22" s="26"/>
      <c r="AA22" s="26"/>
      <c r="AB22" s="27"/>
      <c r="AC22" s="27"/>
      <c r="AD22" s="26">
        <v>803.57</v>
      </c>
      <c r="AE22" s="26"/>
      <c r="AF22" s="25">
        <f t="shared" si="2"/>
        <v>-899.99857142857149</v>
      </c>
      <c r="AG22" s="28">
        <f t="shared" si="3"/>
        <v>1.4285714285051654E-3</v>
      </c>
    </row>
    <row r="23" spans="1:33" s="29" customFormat="1" ht="23.25" customHeight="1" x14ac:dyDescent="0.2">
      <c r="A23" s="18">
        <v>43629</v>
      </c>
      <c r="B23" s="19"/>
      <c r="C23" s="20" t="s">
        <v>62</v>
      </c>
      <c r="D23" s="20"/>
      <c r="E23" s="20"/>
      <c r="F23" s="21"/>
      <c r="G23" s="44" t="s">
        <v>158</v>
      </c>
      <c r="H23" s="23">
        <v>120</v>
      </c>
      <c r="I23" s="23"/>
      <c r="J23" s="23"/>
      <c r="K23" s="23"/>
      <c r="L23" s="24"/>
      <c r="M23" s="25">
        <f t="shared" si="0"/>
        <v>120</v>
      </c>
      <c r="N23" s="25">
        <f t="shared" si="1"/>
        <v>0</v>
      </c>
      <c r="O23" s="25"/>
      <c r="P23" s="25"/>
      <c r="Q23" s="26"/>
      <c r="R23" s="26"/>
      <c r="S23" s="27"/>
      <c r="T23" s="27"/>
      <c r="U23" s="27"/>
      <c r="V23" s="27"/>
      <c r="W23" s="27"/>
      <c r="X23" s="26"/>
      <c r="Y23" s="26"/>
      <c r="Z23" s="26"/>
      <c r="AA23" s="26">
        <v>120</v>
      </c>
      <c r="AB23" s="27"/>
      <c r="AC23" s="27"/>
      <c r="AD23" s="26"/>
      <c r="AE23" s="26"/>
      <c r="AF23" s="25">
        <f t="shared" si="2"/>
        <v>-120</v>
      </c>
      <c r="AG23" s="28">
        <f t="shared" si="3"/>
        <v>0</v>
      </c>
    </row>
    <row r="24" spans="1:33" s="29" customFormat="1" ht="23.25" customHeight="1" x14ac:dyDescent="0.2">
      <c r="A24" s="18">
        <v>43629</v>
      </c>
      <c r="B24" s="19"/>
      <c r="C24" s="20" t="s">
        <v>60</v>
      </c>
      <c r="D24" s="20"/>
      <c r="E24" s="20"/>
      <c r="F24" s="21"/>
      <c r="G24" s="22" t="s">
        <v>655</v>
      </c>
      <c r="H24" s="23"/>
      <c r="I24" s="23"/>
      <c r="J24" s="23">
        <v>70</v>
      </c>
      <c r="K24" s="23"/>
      <c r="L24" s="24"/>
      <c r="M24" s="25">
        <f t="shared" si="0"/>
        <v>70</v>
      </c>
      <c r="N24" s="25">
        <f t="shared" si="1"/>
        <v>0</v>
      </c>
      <c r="O24" s="25">
        <f>-SUM(I24:J24,K24/1.12)*L24</f>
        <v>0</v>
      </c>
      <c r="P24" s="25"/>
      <c r="Q24" s="26"/>
      <c r="R24" s="26">
        <v>70</v>
      </c>
      <c r="S24" s="27"/>
      <c r="T24" s="27"/>
      <c r="U24" s="27"/>
      <c r="V24" s="27"/>
      <c r="W24" s="27"/>
      <c r="X24" s="26"/>
      <c r="Y24" s="26"/>
      <c r="Z24" s="26"/>
      <c r="AA24" s="26"/>
      <c r="AB24" s="27"/>
      <c r="AC24" s="27"/>
      <c r="AD24" s="26"/>
      <c r="AE24" s="26"/>
      <c r="AF24" s="25">
        <f t="shared" si="2"/>
        <v>-70</v>
      </c>
      <c r="AG24" s="28">
        <f t="shared" si="3"/>
        <v>0</v>
      </c>
    </row>
    <row r="25" spans="1:33" s="29" customFormat="1" ht="23.25" customHeight="1" x14ac:dyDescent="0.2">
      <c r="A25" s="18">
        <v>43629</v>
      </c>
      <c r="B25" s="19"/>
      <c r="C25" s="20" t="s">
        <v>60</v>
      </c>
      <c r="D25" s="20"/>
      <c r="E25" s="20"/>
      <c r="F25" s="21"/>
      <c r="G25" s="44" t="s">
        <v>656</v>
      </c>
      <c r="H25" s="23"/>
      <c r="I25" s="23"/>
      <c r="J25" s="23">
        <v>40</v>
      </c>
      <c r="K25" s="23"/>
      <c r="L25" s="24"/>
      <c r="M25" s="25">
        <f t="shared" si="0"/>
        <v>40</v>
      </c>
      <c r="N25" s="25">
        <f t="shared" si="1"/>
        <v>0</v>
      </c>
      <c r="O25" s="25"/>
      <c r="P25" s="25"/>
      <c r="Q25" s="26"/>
      <c r="R25" s="26"/>
      <c r="S25" s="27"/>
      <c r="T25" s="27">
        <v>40</v>
      </c>
      <c r="U25" s="27"/>
      <c r="V25" s="27"/>
      <c r="W25" s="27"/>
      <c r="X25" s="26"/>
      <c r="Y25" s="26"/>
      <c r="Z25" s="26"/>
      <c r="AA25" s="26"/>
      <c r="AB25" s="27"/>
      <c r="AC25" s="27"/>
      <c r="AD25" s="26"/>
      <c r="AE25" s="26"/>
      <c r="AF25" s="25">
        <f t="shared" si="2"/>
        <v>-40</v>
      </c>
      <c r="AG25" s="28">
        <f t="shared" si="3"/>
        <v>0</v>
      </c>
    </row>
    <row r="26" spans="1:33" s="29" customFormat="1" ht="23.25" customHeight="1" x14ac:dyDescent="0.2">
      <c r="A26" s="18">
        <v>43629</v>
      </c>
      <c r="B26" s="19"/>
      <c r="C26" s="20" t="s">
        <v>657</v>
      </c>
      <c r="D26" s="20" t="s">
        <v>658</v>
      </c>
      <c r="E26" s="20" t="s">
        <v>161</v>
      </c>
      <c r="F26" s="21">
        <v>2101</v>
      </c>
      <c r="G26" s="22" t="s">
        <v>655</v>
      </c>
      <c r="H26" s="23"/>
      <c r="I26" s="23"/>
      <c r="J26" s="23">
        <v>180</v>
      </c>
      <c r="K26" s="23"/>
      <c r="L26" s="24"/>
      <c r="M26" s="25">
        <f t="shared" si="0"/>
        <v>180</v>
      </c>
      <c r="N26" s="25">
        <f t="shared" si="1"/>
        <v>0</v>
      </c>
      <c r="O26" s="25">
        <f>-SUM(I26:J26,K26/1.12)*L26</f>
        <v>0</v>
      </c>
      <c r="P26" s="25"/>
      <c r="Q26" s="26"/>
      <c r="R26" s="26">
        <v>180</v>
      </c>
      <c r="S26" s="27"/>
      <c r="T26" s="27"/>
      <c r="U26" s="27"/>
      <c r="V26" s="27"/>
      <c r="W26" s="27"/>
      <c r="X26" s="26"/>
      <c r="Y26" s="26"/>
      <c r="Z26" s="26"/>
      <c r="AA26" s="26"/>
      <c r="AB26" s="27"/>
      <c r="AC26" s="27"/>
      <c r="AD26" s="26"/>
      <c r="AE26" s="26"/>
      <c r="AF26" s="25">
        <f t="shared" si="2"/>
        <v>-180</v>
      </c>
      <c r="AG26" s="28">
        <f t="shared" si="3"/>
        <v>0</v>
      </c>
    </row>
    <row r="27" spans="1:33" s="29" customFormat="1" ht="23.25" customHeight="1" x14ac:dyDescent="0.2">
      <c r="A27" s="18">
        <v>43629</v>
      </c>
      <c r="B27" s="19"/>
      <c r="C27" s="20" t="s">
        <v>159</v>
      </c>
      <c r="D27" s="20" t="s">
        <v>160</v>
      </c>
      <c r="E27" s="20" t="s">
        <v>161</v>
      </c>
      <c r="F27" s="21">
        <v>17242</v>
      </c>
      <c r="G27" s="44" t="s">
        <v>659</v>
      </c>
      <c r="H27" s="23"/>
      <c r="I27" s="23"/>
      <c r="J27" s="23"/>
      <c r="K27" s="23">
        <v>2250</v>
      </c>
      <c r="L27" s="24"/>
      <c r="M27" s="25">
        <f t="shared" si="0"/>
        <v>2008.9285714285713</v>
      </c>
      <c r="N27" s="25">
        <f t="shared" si="1"/>
        <v>241.07142857142856</v>
      </c>
      <c r="O27" s="25"/>
      <c r="P27" s="25"/>
      <c r="Q27" s="26"/>
      <c r="R27" s="26"/>
      <c r="S27" s="27">
        <v>2008.93</v>
      </c>
      <c r="T27" s="27"/>
      <c r="U27" s="27"/>
      <c r="V27" s="27"/>
      <c r="W27" s="27"/>
      <c r="X27" s="26"/>
      <c r="Y27" s="26"/>
      <c r="Z27" s="26"/>
      <c r="AA27" s="26"/>
      <c r="AB27" s="27"/>
      <c r="AC27" s="27"/>
      <c r="AD27" s="26"/>
      <c r="AE27" s="26"/>
      <c r="AF27" s="25">
        <f t="shared" si="2"/>
        <v>-2250.0014285714287</v>
      </c>
      <c r="AG27" s="28">
        <f t="shared" si="3"/>
        <v>-1.4285714287325391E-3</v>
      </c>
    </row>
    <row r="28" spans="1:33" s="29" customFormat="1" ht="23.25" customHeight="1" x14ac:dyDescent="0.2">
      <c r="A28" s="18">
        <v>43629</v>
      </c>
      <c r="B28" s="19"/>
      <c r="C28" s="20" t="s">
        <v>37</v>
      </c>
      <c r="D28" s="20" t="s">
        <v>38</v>
      </c>
      <c r="E28" s="20" t="s">
        <v>39</v>
      </c>
      <c r="F28" s="21">
        <v>95851</v>
      </c>
      <c r="G28" s="44" t="s">
        <v>552</v>
      </c>
      <c r="H28" s="23"/>
      <c r="I28" s="23"/>
      <c r="J28" s="23"/>
      <c r="K28" s="23">
        <v>115</v>
      </c>
      <c r="L28" s="24"/>
      <c r="M28" s="25">
        <f t="shared" si="0"/>
        <v>102.67857142857142</v>
      </c>
      <c r="N28" s="25">
        <f t="shared" si="1"/>
        <v>12.321428571428569</v>
      </c>
      <c r="O28" s="25">
        <f>-SUM(I28:J28,K28/1.12)*L28</f>
        <v>0</v>
      </c>
      <c r="P28" s="25">
        <v>102.68</v>
      </c>
      <c r="Q28" s="26"/>
      <c r="R28" s="26"/>
      <c r="S28" s="27"/>
      <c r="T28" s="27"/>
      <c r="U28" s="27"/>
      <c r="V28" s="27"/>
      <c r="W28" s="27"/>
      <c r="X28" s="26"/>
      <c r="Y28" s="26"/>
      <c r="Z28" s="26"/>
      <c r="AA28" s="26"/>
      <c r="AB28" s="27"/>
      <c r="AC28" s="27"/>
      <c r="AD28" s="26"/>
      <c r="AE28" s="26"/>
      <c r="AF28" s="25">
        <f t="shared" si="2"/>
        <v>-115.00142857142858</v>
      </c>
      <c r="AG28" s="28">
        <f t="shared" si="3"/>
        <v>-1.4285714285762197E-3</v>
      </c>
    </row>
    <row r="29" spans="1:33" s="29" customFormat="1" ht="23.25" customHeight="1" x14ac:dyDescent="0.2">
      <c r="A29" s="18">
        <v>43629</v>
      </c>
      <c r="B29" s="19"/>
      <c r="C29" s="20" t="s">
        <v>45</v>
      </c>
      <c r="D29" s="20" t="s">
        <v>46</v>
      </c>
      <c r="E29" s="20" t="s">
        <v>47</v>
      </c>
      <c r="F29" s="21">
        <v>164850</v>
      </c>
      <c r="G29" s="44" t="s">
        <v>660</v>
      </c>
      <c r="H29" s="23"/>
      <c r="I29" s="23"/>
      <c r="J29" s="23">
        <v>37.21</v>
      </c>
      <c r="K29" s="23"/>
      <c r="L29" s="24"/>
      <c r="M29" s="25">
        <f t="shared" si="0"/>
        <v>37.21</v>
      </c>
      <c r="N29" s="25">
        <f t="shared" si="1"/>
        <v>0</v>
      </c>
      <c r="O29" s="25"/>
      <c r="P29" s="25">
        <v>37.21</v>
      </c>
      <c r="Q29" s="26"/>
      <c r="R29" s="26"/>
      <c r="S29" s="27"/>
      <c r="T29" s="27"/>
      <c r="U29" s="27"/>
      <c r="V29" s="27"/>
      <c r="W29" s="27"/>
      <c r="X29" s="26"/>
      <c r="Y29" s="26"/>
      <c r="Z29" s="26"/>
      <c r="AA29" s="26"/>
      <c r="AB29" s="27"/>
      <c r="AC29" s="27"/>
      <c r="AD29" s="26"/>
      <c r="AE29" s="26"/>
      <c r="AF29" s="25">
        <f t="shared" si="2"/>
        <v>-37.21</v>
      </c>
      <c r="AG29" s="28">
        <f t="shared" si="3"/>
        <v>0</v>
      </c>
    </row>
    <row r="30" spans="1:33" s="29" customFormat="1" ht="23.25" customHeight="1" x14ac:dyDescent="0.2">
      <c r="A30" s="18">
        <v>43629</v>
      </c>
      <c r="B30" s="19"/>
      <c r="C30" s="20" t="s">
        <v>45</v>
      </c>
      <c r="D30" s="20" t="s">
        <v>46</v>
      </c>
      <c r="E30" s="20" t="s">
        <v>47</v>
      </c>
      <c r="F30" s="21">
        <v>164850</v>
      </c>
      <c r="G30" s="44" t="s">
        <v>661</v>
      </c>
      <c r="H30" s="23"/>
      <c r="I30" s="23"/>
      <c r="J30" s="23"/>
      <c r="K30" s="23">
        <f>310.04+152.6</f>
        <v>462.64</v>
      </c>
      <c r="L30" s="24"/>
      <c r="M30" s="25">
        <f t="shared" si="0"/>
        <v>413.0714285714285</v>
      </c>
      <c r="N30" s="25">
        <f t="shared" si="1"/>
        <v>49.568571428571417</v>
      </c>
      <c r="O30" s="25">
        <f>-SUM(I30:J30,K30/1.12)*L30</f>
        <v>0</v>
      </c>
      <c r="P30" s="25">
        <v>413.07</v>
      </c>
      <c r="Q30" s="26"/>
      <c r="R30" s="26"/>
      <c r="S30" s="27"/>
      <c r="T30" s="27"/>
      <c r="U30" s="27"/>
      <c r="V30" s="27"/>
      <c r="W30" s="27"/>
      <c r="X30" s="26"/>
      <c r="Y30" s="26"/>
      <c r="Z30" s="26"/>
      <c r="AA30" s="26"/>
      <c r="AB30" s="27"/>
      <c r="AC30" s="27"/>
      <c r="AD30" s="26"/>
      <c r="AE30" s="26"/>
      <c r="AF30" s="25">
        <f t="shared" si="2"/>
        <v>-462.63857142857142</v>
      </c>
      <c r="AG30" s="28">
        <f t="shared" si="3"/>
        <v>1.4285714285620088E-3</v>
      </c>
    </row>
    <row r="31" spans="1:33" s="29" customFormat="1" ht="23.25" customHeight="1" x14ac:dyDescent="0.2">
      <c r="A31" s="18">
        <v>43630</v>
      </c>
      <c r="B31" s="19"/>
      <c r="C31" s="20" t="s">
        <v>347</v>
      </c>
      <c r="D31" s="20"/>
      <c r="E31" s="20"/>
      <c r="F31" s="21"/>
      <c r="G31" s="44" t="s">
        <v>662</v>
      </c>
      <c r="H31" s="23">
        <v>537</v>
      </c>
      <c r="I31" s="23"/>
      <c r="J31" s="23"/>
      <c r="K31" s="23"/>
      <c r="L31" s="24"/>
      <c r="M31" s="25">
        <f t="shared" si="0"/>
        <v>537</v>
      </c>
      <c r="N31" s="25">
        <f t="shared" si="1"/>
        <v>0</v>
      </c>
      <c r="O31" s="25">
        <f>-SUM(I31:J31,K31/1.12)*L31</f>
        <v>0</v>
      </c>
      <c r="P31" s="25"/>
      <c r="Q31" s="26"/>
      <c r="R31" s="26"/>
      <c r="S31" s="27"/>
      <c r="T31" s="27"/>
      <c r="U31" s="27"/>
      <c r="V31" s="27"/>
      <c r="W31" s="27"/>
      <c r="X31" s="26"/>
      <c r="Y31" s="26"/>
      <c r="Z31" s="26"/>
      <c r="AA31" s="26"/>
      <c r="AB31" s="27">
        <v>537</v>
      </c>
      <c r="AC31" s="27"/>
      <c r="AD31" s="26"/>
      <c r="AE31" s="26"/>
      <c r="AF31" s="25">
        <f t="shared" si="2"/>
        <v>-537</v>
      </c>
      <c r="AG31" s="28">
        <f t="shared" si="3"/>
        <v>0</v>
      </c>
    </row>
    <row r="32" spans="1:33" s="29" customFormat="1" ht="23.25" customHeight="1" x14ac:dyDescent="0.2">
      <c r="A32" s="18">
        <v>43630</v>
      </c>
      <c r="B32" s="19"/>
      <c r="C32" s="20" t="s">
        <v>45</v>
      </c>
      <c r="D32" s="20" t="s">
        <v>46</v>
      </c>
      <c r="E32" s="20" t="s">
        <v>47</v>
      </c>
      <c r="F32" s="21">
        <v>196216</v>
      </c>
      <c r="G32" s="44" t="s">
        <v>663</v>
      </c>
      <c r="H32" s="23"/>
      <c r="I32" s="23"/>
      <c r="J32" s="23"/>
      <c r="K32" s="23">
        <v>253</v>
      </c>
      <c r="L32" s="24"/>
      <c r="M32" s="25">
        <f t="shared" si="0"/>
        <v>225.89285714285711</v>
      </c>
      <c r="N32" s="25">
        <f t="shared" si="1"/>
        <v>27.107142857142851</v>
      </c>
      <c r="O32" s="25"/>
      <c r="P32" s="25"/>
      <c r="Q32" s="26">
        <v>225.89</v>
      </c>
      <c r="R32" s="26"/>
      <c r="S32" s="27"/>
      <c r="T32" s="27"/>
      <c r="U32" s="27"/>
      <c r="V32" s="27"/>
      <c r="W32" s="27"/>
      <c r="X32" s="26"/>
      <c r="Y32" s="26"/>
      <c r="Z32" s="26"/>
      <c r="AA32" s="26"/>
      <c r="AB32" s="27"/>
      <c r="AC32" s="27"/>
      <c r="AD32" s="26"/>
      <c r="AE32" s="26"/>
      <c r="AF32" s="25">
        <f t="shared" si="2"/>
        <v>-252.99714285714285</v>
      </c>
      <c r="AG32" s="28">
        <f t="shared" si="3"/>
        <v>2.8571428571524393E-3</v>
      </c>
    </row>
    <row r="33" spans="1:33" s="29" customFormat="1" ht="23.25" customHeight="1" x14ac:dyDescent="0.2">
      <c r="A33" s="18">
        <v>43630</v>
      </c>
      <c r="B33" s="19"/>
      <c r="C33" s="20" t="s">
        <v>45</v>
      </c>
      <c r="D33" s="20" t="s">
        <v>46</v>
      </c>
      <c r="E33" s="20" t="s">
        <v>47</v>
      </c>
      <c r="F33" s="21">
        <v>196216</v>
      </c>
      <c r="G33" s="44" t="s">
        <v>664</v>
      </c>
      <c r="H33" s="23"/>
      <c r="I33" s="23"/>
      <c r="J33" s="23"/>
      <c r="K33" s="23">
        <v>444.1</v>
      </c>
      <c r="L33" s="24"/>
      <c r="M33" s="25">
        <f t="shared" si="0"/>
        <v>396.51785714285711</v>
      </c>
      <c r="N33" s="25">
        <f t="shared" si="1"/>
        <v>47.582142857142848</v>
      </c>
      <c r="O33" s="25"/>
      <c r="P33" s="25"/>
      <c r="Q33" s="26"/>
      <c r="R33" s="26">
        <v>396.52</v>
      </c>
      <c r="S33" s="27"/>
      <c r="T33" s="27"/>
      <c r="U33" s="27"/>
      <c r="V33" s="27"/>
      <c r="W33" s="27"/>
      <c r="X33" s="26"/>
      <c r="Y33" s="26"/>
      <c r="Z33" s="26"/>
      <c r="AA33" s="26"/>
      <c r="AB33" s="27"/>
      <c r="AC33" s="27"/>
      <c r="AD33" s="26"/>
      <c r="AE33" s="26"/>
      <c r="AF33" s="25">
        <f t="shared" si="2"/>
        <v>-444.10214285714284</v>
      </c>
      <c r="AG33" s="28">
        <f t="shared" si="3"/>
        <v>-2.1428571428145915E-3</v>
      </c>
    </row>
    <row r="34" spans="1:33" s="29" customFormat="1" ht="24.75" customHeight="1" x14ac:dyDescent="0.2">
      <c r="A34" s="18">
        <v>43630</v>
      </c>
      <c r="B34" s="19"/>
      <c r="C34" s="20" t="s">
        <v>41</v>
      </c>
      <c r="D34" s="20" t="s">
        <v>42</v>
      </c>
      <c r="E34" s="20" t="s">
        <v>43</v>
      </c>
      <c r="F34" s="21">
        <v>60514</v>
      </c>
      <c r="G34" s="22" t="s">
        <v>44</v>
      </c>
      <c r="H34" s="23"/>
      <c r="I34" s="23"/>
      <c r="J34" s="23"/>
      <c r="K34" s="23">
        <v>180</v>
      </c>
      <c r="L34" s="24"/>
      <c r="M34" s="25">
        <f t="shared" si="0"/>
        <v>160.71428571428569</v>
      </c>
      <c r="N34" s="25">
        <f t="shared" si="1"/>
        <v>19.285714285714281</v>
      </c>
      <c r="O34" s="25">
        <f>-SUM(I34:J34,K34/1.12)*L34</f>
        <v>0</v>
      </c>
      <c r="P34" s="25"/>
      <c r="Q34" s="26">
        <v>160.71</v>
      </c>
      <c r="R34" s="26"/>
      <c r="S34" s="27"/>
      <c r="T34" s="27"/>
      <c r="U34" s="27"/>
      <c r="V34" s="27"/>
      <c r="W34" s="27"/>
      <c r="X34" s="26"/>
      <c r="Y34" s="26"/>
      <c r="Z34" s="26"/>
      <c r="AA34" s="26"/>
      <c r="AB34" s="27"/>
      <c r="AC34" s="27"/>
      <c r="AD34" s="26"/>
      <c r="AE34" s="26"/>
      <c r="AF34" s="25">
        <f t="shared" si="2"/>
        <v>-179.99571428571429</v>
      </c>
      <c r="AG34" s="28">
        <f t="shared" si="3"/>
        <v>4.2857142857144481E-3</v>
      </c>
    </row>
    <row r="35" spans="1:33" s="29" customFormat="1" ht="23.25" customHeight="1" x14ac:dyDescent="0.2">
      <c r="A35" s="18">
        <v>43630</v>
      </c>
      <c r="B35" s="19"/>
      <c r="C35" s="20" t="s">
        <v>45</v>
      </c>
      <c r="D35" s="20" t="s">
        <v>46</v>
      </c>
      <c r="E35" s="20" t="s">
        <v>47</v>
      </c>
      <c r="F35" s="21">
        <v>173877</v>
      </c>
      <c r="G35" s="44" t="s">
        <v>665</v>
      </c>
      <c r="H35" s="23"/>
      <c r="I35" s="23"/>
      <c r="J35" s="23"/>
      <c r="K35" s="23">
        <f>52.25*2</f>
        <v>104.5</v>
      </c>
      <c r="L35" s="24"/>
      <c r="M35" s="25">
        <f t="shared" si="0"/>
        <v>93.303571428571416</v>
      </c>
      <c r="N35" s="25">
        <f t="shared" si="1"/>
        <v>11.196428571428569</v>
      </c>
      <c r="O35" s="25"/>
      <c r="P35" s="25">
        <v>93.3</v>
      </c>
      <c r="Q35" s="26"/>
      <c r="R35" s="26"/>
      <c r="S35" s="27"/>
      <c r="T35" s="27"/>
      <c r="U35" s="27"/>
      <c r="V35" s="27"/>
      <c r="W35" s="27"/>
      <c r="X35" s="26"/>
      <c r="Y35" s="26"/>
      <c r="Z35" s="26"/>
      <c r="AA35" s="26"/>
      <c r="AB35" s="27"/>
      <c r="AC35" s="27"/>
      <c r="AD35" s="26"/>
      <c r="AE35" s="26"/>
      <c r="AF35" s="25">
        <f t="shared" si="2"/>
        <v>-104.49642857142857</v>
      </c>
      <c r="AG35" s="28">
        <f t="shared" si="3"/>
        <v>3.5714285714334437E-3</v>
      </c>
    </row>
    <row r="36" spans="1:33" s="29" customFormat="1" ht="23.25" customHeight="1" x14ac:dyDescent="0.2">
      <c r="A36" s="18">
        <v>43630</v>
      </c>
      <c r="B36" s="19"/>
      <c r="C36" s="20" t="s">
        <v>45</v>
      </c>
      <c r="D36" s="20" t="s">
        <v>46</v>
      </c>
      <c r="E36" s="20" t="s">
        <v>47</v>
      </c>
      <c r="F36" s="21">
        <v>173877</v>
      </c>
      <c r="G36" s="22" t="s">
        <v>288</v>
      </c>
      <c r="H36" s="23"/>
      <c r="I36" s="23"/>
      <c r="J36" s="23"/>
      <c r="K36" s="23">
        <v>281.75</v>
      </c>
      <c r="L36" s="24"/>
      <c r="M36" s="25">
        <f t="shared" si="0"/>
        <v>251.56249999999997</v>
      </c>
      <c r="N36" s="25">
        <f t="shared" si="1"/>
        <v>30.187499999999996</v>
      </c>
      <c r="O36" s="25">
        <f t="shared" ref="O36:O43" si="4">-SUM(I36:J36,K36/1.12)*L36</f>
        <v>0</v>
      </c>
      <c r="P36" s="25"/>
      <c r="Q36" s="26"/>
      <c r="R36" s="26"/>
      <c r="S36" s="27">
        <v>251.56</v>
      </c>
      <c r="T36" s="27"/>
      <c r="U36" s="27"/>
      <c r="V36" s="27"/>
      <c r="W36" s="27"/>
      <c r="X36" s="26"/>
      <c r="Y36" s="26"/>
      <c r="Z36" s="26"/>
      <c r="AA36" s="26"/>
      <c r="AB36" s="27"/>
      <c r="AC36" s="27"/>
      <c r="AD36" s="26"/>
      <c r="AE36" s="26"/>
      <c r="AF36" s="25">
        <f t="shared" si="2"/>
        <v>-281.7475</v>
      </c>
      <c r="AG36" s="28">
        <f t="shared" si="3"/>
        <v>2.4999999999977263E-3</v>
      </c>
    </row>
    <row r="37" spans="1:33" s="29" customFormat="1" ht="23.25" customHeight="1" x14ac:dyDescent="0.2">
      <c r="A37" s="18">
        <v>43631</v>
      </c>
      <c r="B37" s="19"/>
      <c r="C37" s="20" t="s">
        <v>321</v>
      </c>
      <c r="D37" s="20" t="s">
        <v>322</v>
      </c>
      <c r="E37" s="20" t="s">
        <v>47</v>
      </c>
      <c r="F37" s="21">
        <v>796</v>
      </c>
      <c r="G37" s="44" t="s">
        <v>44</v>
      </c>
      <c r="H37" s="23"/>
      <c r="I37" s="23"/>
      <c r="J37" s="23"/>
      <c r="K37" s="23">
        <v>80</v>
      </c>
      <c r="L37" s="24"/>
      <c r="M37" s="25">
        <f t="shared" ref="M37:M68" si="5">SUM(H37:J37,K37/1.12)</f>
        <v>71.428571428571416</v>
      </c>
      <c r="N37" s="25">
        <f t="shared" ref="N37:N68" si="6">K37/1.12*0.12</f>
        <v>8.5714285714285694</v>
      </c>
      <c r="O37" s="25">
        <f t="shared" si="4"/>
        <v>0</v>
      </c>
      <c r="P37" s="25"/>
      <c r="Q37" s="26">
        <v>71.430000000000007</v>
      </c>
      <c r="R37" s="26"/>
      <c r="S37" s="27"/>
      <c r="T37" s="27"/>
      <c r="U37" s="27"/>
      <c r="V37" s="27"/>
      <c r="W37" s="27"/>
      <c r="X37" s="26"/>
      <c r="Y37" s="26"/>
      <c r="Z37" s="26"/>
      <c r="AA37" s="26"/>
      <c r="AB37" s="27"/>
      <c r="AC37" s="27"/>
      <c r="AD37" s="26"/>
      <c r="AE37" s="26"/>
      <c r="AF37" s="25">
        <f t="shared" ref="AF37:AF68" si="7">-SUM(N37:AE37)</f>
        <v>-80.001428571428576</v>
      </c>
      <c r="AG37" s="28">
        <f t="shared" ref="AG37:AG68" si="8">SUM(H37:K37)+AF37+O37</f>
        <v>-1.4285714285762197E-3</v>
      </c>
    </row>
    <row r="38" spans="1:33" s="29" customFormat="1" ht="23.25" customHeight="1" x14ac:dyDescent="0.2">
      <c r="A38" s="18">
        <v>43631</v>
      </c>
      <c r="B38" s="19"/>
      <c r="C38" s="20" t="s">
        <v>54</v>
      </c>
      <c r="D38" s="20" t="s">
        <v>55</v>
      </c>
      <c r="E38" s="20" t="s">
        <v>56</v>
      </c>
      <c r="F38" s="21">
        <v>3205</v>
      </c>
      <c r="G38" s="44" t="s">
        <v>666</v>
      </c>
      <c r="H38" s="23"/>
      <c r="I38" s="23"/>
      <c r="J38" s="23">
        <v>1900</v>
      </c>
      <c r="K38" s="23"/>
      <c r="L38" s="24"/>
      <c r="M38" s="25">
        <f t="shared" si="5"/>
        <v>1900</v>
      </c>
      <c r="N38" s="25">
        <f t="shared" si="6"/>
        <v>0</v>
      </c>
      <c r="O38" s="25">
        <f t="shared" si="4"/>
        <v>0</v>
      </c>
      <c r="P38" s="25">
        <v>1900</v>
      </c>
      <c r="Q38" s="26"/>
      <c r="R38" s="26"/>
      <c r="S38" s="27"/>
      <c r="T38" s="27"/>
      <c r="U38" s="27"/>
      <c r="V38" s="27"/>
      <c r="W38" s="27"/>
      <c r="X38" s="26"/>
      <c r="Y38" s="26"/>
      <c r="Z38" s="26"/>
      <c r="AA38" s="26"/>
      <c r="AB38" s="27"/>
      <c r="AC38" s="27"/>
      <c r="AD38" s="26"/>
      <c r="AE38" s="26"/>
      <c r="AF38" s="25">
        <f t="shared" si="7"/>
        <v>-1900</v>
      </c>
      <c r="AG38" s="28">
        <f t="shared" si="8"/>
        <v>0</v>
      </c>
    </row>
    <row r="39" spans="1:33" s="29" customFormat="1" ht="23.25" customHeight="1" x14ac:dyDescent="0.2">
      <c r="A39" s="18">
        <v>43631</v>
      </c>
      <c r="B39" s="19"/>
      <c r="C39" s="20" t="s">
        <v>58</v>
      </c>
      <c r="D39" s="20"/>
      <c r="E39" s="20"/>
      <c r="F39" s="21"/>
      <c r="G39" s="44" t="s">
        <v>667</v>
      </c>
      <c r="H39" s="23">
        <v>100</v>
      </c>
      <c r="I39" s="23"/>
      <c r="J39" s="23"/>
      <c r="K39" s="23"/>
      <c r="L39" s="24"/>
      <c r="M39" s="25">
        <f t="shared" si="5"/>
        <v>100</v>
      </c>
      <c r="N39" s="25">
        <f t="shared" si="6"/>
        <v>0</v>
      </c>
      <c r="O39" s="25">
        <f t="shared" si="4"/>
        <v>0</v>
      </c>
      <c r="P39" s="25"/>
      <c r="Q39" s="26"/>
      <c r="R39" s="26"/>
      <c r="S39" s="27"/>
      <c r="T39" s="27"/>
      <c r="U39" s="27"/>
      <c r="V39" s="27"/>
      <c r="W39" s="27"/>
      <c r="X39" s="26"/>
      <c r="Y39" s="26"/>
      <c r="Z39" s="26"/>
      <c r="AA39" s="26">
        <v>100</v>
      </c>
      <c r="AB39" s="27"/>
      <c r="AC39" s="27"/>
      <c r="AD39" s="26"/>
      <c r="AE39" s="26"/>
      <c r="AF39" s="25">
        <f t="shared" si="7"/>
        <v>-100</v>
      </c>
      <c r="AG39" s="28">
        <f t="shared" si="8"/>
        <v>0</v>
      </c>
    </row>
    <row r="40" spans="1:33" s="29" customFormat="1" ht="23.25" customHeight="1" x14ac:dyDescent="0.2">
      <c r="A40" s="18">
        <v>43631</v>
      </c>
      <c r="B40" s="19"/>
      <c r="C40" s="20" t="s">
        <v>45</v>
      </c>
      <c r="D40" s="20" t="s">
        <v>46</v>
      </c>
      <c r="E40" s="20" t="s">
        <v>47</v>
      </c>
      <c r="F40" s="21">
        <v>194762</v>
      </c>
      <c r="G40" s="44" t="s">
        <v>668</v>
      </c>
      <c r="H40" s="23"/>
      <c r="I40" s="23"/>
      <c r="J40" s="23"/>
      <c r="K40" s="23">
        <f>800.27+96.03</f>
        <v>896.3</v>
      </c>
      <c r="L40" s="24"/>
      <c r="M40" s="25">
        <f t="shared" si="5"/>
        <v>800.267857142857</v>
      </c>
      <c r="N40" s="25">
        <f t="shared" si="6"/>
        <v>96.03214285714283</v>
      </c>
      <c r="O40" s="25">
        <f t="shared" si="4"/>
        <v>0</v>
      </c>
      <c r="P40" s="25">
        <v>800.27</v>
      </c>
      <c r="Q40" s="26"/>
      <c r="R40" s="26"/>
      <c r="S40" s="27"/>
      <c r="T40" s="27"/>
      <c r="U40" s="27"/>
      <c r="V40" s="27"/>
      <c r="W40" s="27"/>
      <c r="X40" s="26"/>
      <c r="Y40" s="26"/>
      <c r="Z40" s="26"/>
      <c r="AA40" s="26"/>
      <c r="AB40" s="27"/>
      <c r="AC40" s="27"/>
      <c r="AD40" s="26"/>
      <c r="AE40" s="26"/>
      <c r="AF40" s="25">
        <f t="shared" si="7"/>
        <v>-896.30214285714283</v>
      </c>
      <c r="AG40" s="28">
        <f t="shared" si="8"/>
        <v>-2.1428571428714349E-3</v>
      </c>
    </row>
    <row r="41" spans="1:33" s="29" customFormat="1" ht="23.25" customHeight="1" x14ac:dyDescent="0.2">
      <c r="A41" s="18">
        <v>43631</v>
      </c>
      <c r="B41" s="19"/>
      <c r="C41" s="20" t="s">
        <v>45</v>
      </c>
      <c r="D41" s="20" t="s">
        <v>46</v>
      </c>
      <c r="E41" s="20" t="s">
        <v>47</v>
      </c>
      <c r="F41" s="21">
        <v>194762</v>
      </c>
      <c r="G41" s="44" t="s">
        <v>669</v>
      </c>
      <c r="H41" s="23"/>
      <c r="I41" s="23"/>
      <c r="J41" s="23">
        <v>79.05</v>
      </c>
      <c r="K41" s="23"/>
      <c r="L41" s="24"/>
      <c r="M41" s="25">
        <f t="shared" si="5"/>
        <v>79.05</v>
      </c>
      <c r="N41" s="25">
        <f t="shared" si="6"/>
        <v>0</v>
      </c>
      <c r="O41" s="25">
        <f t="shared" si="4"/>
        <v>0</v>
      </c>
      <c r="P41" s="25">
        <v>79.05</v>
      </c>
      <c r="Q41" s="26"/>
      <c r="R41" s="26"/>
      <c r="S41" s="27"/>
      <c r="T41" s="27"/>
      <c r="U41" s="27"/>
      <c r="V41" s="27"/>
      <c r="W41" s="27"/>
      <c r="X41" s="26"/>
      <c r="Y41" s="26"/>
      <c r="Z41" s="26"/>
      <c r="AA41" s="26"/>
      <c r="AB41" s="27"/>
      <c r="AC41" s="27"/>
      <c r="AD41" s="26"/>
      <c r="AE41" s="26"/>
      <c r="AF41" s="25">
        <f t="shared" si="7"/>
        <v>-79.05</v>
      </c>
      <c r="AG41" s="28">
        <f t="shared" si="8"/>
        <v>0</v>
      </c>
    </row>
    <row r="42" spans="1:33" s="29" customFormat="1" ht="24.75" customHeight="1" x14ac:dyDescent="0.2">
      <c r="A42" s="18">
        <v>43633</v>
      </c>
      <c r="B42" s="19"/>
      <c r="C42" s="20" t="s">
        <v>41</v>
      </c>
      <c r="D42" s="20" t="s">
        <v>42</v>
      </c>
      <c r="E42" s="20" t="s">
        <v>43</v>
      </c>
      <c r="F42" s="21">
        <v>68103</v>
      </c>
      <c r="G42" s="22" t="s">
        <v>44</v>
      </c>
      <c r="H42" s="23"/>
      <c r="I42" s="23"/>
      <c r="J42" s="23"/>
      <c r="K42" s="23">
        <v>180</v>
      </c>
      <c r="L42" s="24"/>
      <c r="M42" s="25">
        <f t="shared" si="5"/>
        <v>160.71428571428569</v>
      </c>
      <c r="N42" s="25">
        <f t="shared" si="6"/>
        <v>19.285714285714281</v>
      </c>
      <c r="O42" s="25">
        <f t="shared" si="4"/>
        <v>0</v>
      </c>
      <c r="P42" s="25"/>
      <c r="Q42" s="26">
        <v>160.71</v>
      </c>
      <c r="R42" s="26"/>
      <c r="S42" s="27"/>
      <c r="T42" s="27"/>
      <c r="U42" s="27"/>
      <c r="V42" s="27"/>
      <c r="W42" s="27"/>
      <c r="X42" s="26"/>
      <c r="Y42" s="26"/>
      <c r="Z42" s="26"/>
      <c r="AA42" s="26"/>
      <c r="AB42" s="27"/>
      <c r="AC42" s="27"/>
      <c r="AD42" s="26"/>
      <c r="AE42" s="26"/>
      <c r="AF42" s="25">
        <f t="shared" si="7"/>
        <v>-179.99571428571429</v>
      </c>
      <c r="AG42" s="28">
        <f t="shared" si="8"/>
        <v>4.2857142857144481E-3</v>
      </c>
    </row>
    <row r="43" spans="1:33" s="41" customFormat="1" ht="24.75" customHeight="1" x14ac:dyDescent="0.2">
      <c r="A43" s="30">
        <v>43634</v>
      </c>
      <c r="B43" s="31"/>
      <c r="C43" s="32" t="s">
        <v>41</v>
      </c>
      <c r="D43" s="32" t="s">
        <v>42</v>
      </c>
      <c r="E43" s="32" t="s">
        <v>43</v>
      </c>
      <c r="F43" s="33">
        <v>68161</v>
      </c>
      <c r="G43" s="34" t="s">
        <v>44</v>
      </c>
      <c r="H43" s="35"/>
      <c r="I43" s="35"/>
      <c r="J43" s="35"/>
      <c r="K43" s="35">
        <v>180</v>
      </c>
      <c r="L43" s="36"/>
      <c r="M43" s="37">
        <f t="shared" si="5"/>
        <v>160.71428571428569</v>
      </c>
      <c r="N43" s="37">
        <f t="shared" si="6"/>
        <v>19.285714285714281</v>
      </c>
      <c r="O43" s="37">
        <f t="shared" si="4"/>
        <v>0</v>
      </c>
      <c r="P43" s="37"/>
      <c r="Q43" s="38">
        <v>160.71</v>
      </c>
      <c r="R43" s="38"/>
      <c r="S43" s="39"/>
      <c r="T43" s="39"/>
      <c r="U43" s="39"/>
      <c r="V43" s="39"/>
      <c r="W43" s="39"/>
      <c r="X43" s="38"/>
      <c r="Y43" s="38"/>
      <c r="Z43" s="38"/>
      <c r="AA43" s="38"/>
      <c r="AB43" s="39"/>
      <c r="AC43" s="39"/>
      <c r="AD43" s="38"/>
      <c r="AE43" s="38"/>
      <c r="AF43" s="37">
        <f t="shared" si="7"/>
        <v>-179.99571428571429</v>
      </c>
      <c r="AG43" s="40">
        <f t="shared" si="8"/>
        <v>4.2857142857144481E-3</v>
      </c>
    </row>
    <row r="44" spans="1:33" s="29" customFormat="1" ht="23.25" customHeight="1" x14ac:dyDescent="0.2">
      <c r="A44" s="18">
        <v>43634</v>
      </c>
      <c r="B44" s="19"/>
      <c r="C44" s="20" t="s">
        <v>45</v>
      </c>
      <c r="D44" s="20" t="s">
        <v>46</v>
      </c>
      <c r="E44" s="20" t="s">
        <v>47</v>
      </c>
      <c r="F44" s="21">
        <v>169183</v>
      </c>
      <c r="G44" s="44" t="s">
        <v>670</v>
      </c>
      <c r="H44" s="23"/>
      <c r="I44" s="23"/>
      <c r="J44" s="23"/>
      <c r="K44" s="23">
        <v>1381.8</v>
      </c>
      <c r="L44" s="24"/>
      <c r="M44" s="25">
        <f t="shared" si="5"/>
        <v>1233.7499999999998</v>
      </c>
      <c r="N44" s="25">
        <f t="shared" si="6"/>
        <v>148.04999999999995</v>
      </c>
      <c r="O44" s="25"/>
      <c r="P44" s="25">
        <v>1233.75</v>
      </c>
      <c r="Q44" s="26"/>
      <c r="R44" s="26"/>
      <c r="S44" s="27"/>
      <c r="T44" s="27"/>
      <c r="U44" s="27"/>
      <c r="V44" s="27"/>
      <c r="W44" s="27"/>
      <c r="X44" s="26"/>
      <c r="Y44" s="26"/>
      <c r="Z44" s="26"/>
      <c r="AA44" s="26"/>
      <c r="AB44" s="27"/>
      <c r="AC44" s="27"/>
      <c r="AD44" s="26"/>
      <c r="AE44" s="26"/>
      <c r="AF44" s="25">
        <f t="shared" si="7"/>
        <v>-1381.8</v>
      </c>
      <c r="AG44" s="28">
        <f t="shared" si="8"/>
        <v>0</v>
      </c>
    </row>
    <row r="45" spans="1:33" s="29" customFormat="1" ht="23.25" customHeight="1" x14ac:dyDescent="0.2">
      <c r="A45" s="18">
        <v>43634</v>
      </c>
      <c r="B45" s="19"/>
      <c r="C45" s="20" t="s">
        <v>37</v>
      </c>
      <c r="D45" s="20" t="s">
        <v>38</v>
      </c>
      <c r="E45" s="20" t="s">
        <v>39</v>
      </c>
      <c r="F45" s="21">
        <v>35994</v>
      </c>
      <c r="G45" s="44" t="s">
        <v>671</v>
      </c>
      <c r="H45" s="23"/>
      <c r="I45" s="23"/>
      <c r="J45" s="23"/>
      <c r="K45" s="23">
        <v>30.46</v>
      </c>
      <c r="L45" s="24"/>
      <c r="M45" s="25">
        <f t="shared" si="5"/>
        <v>27.196428571428569</v>
      </c>
      <c r="N45" s="25">
        <f t="shared" si="6"/>
        <v>3.2635714285714283</v>
      </c>
      <c r="O45" s="25"/>
      <c r="P45" s="25">
        <v>27.2</v>
      </c>
      <c r="Q45" s="26"/>
      <c r="R45" s="26"/>
      <c r="S45" s="27"/>
      <c r="T45" s="27"/>
      <c r="U45" s="27"/>
      <c r="V45" s="27"/>
      <c r="W45" s="27"/>
      <c r="X45" s="26"/>
      <c r="Y45" s="26"/>
      <c r="Z45" s="26"/>
      <c r="AA45" s="26"/>
      <c r="AB45" s="27"/>
      <c r="AC45" s="27"/>
      <c r="AD45" s="26"/>
      <c r="AE45" s="26"/>
      <c r="AF45" s="25">
        <f t="shared" si="7"/>
        <v>-30.463571428571427</v>
      </c>
      <c r="AG45" s="28">
        <f t="shared" si="8"/>
        <v>-3.5714285714263383E-3</v>
      </c>
    </row>
    <row r="46" spans="1:33" s="29" customFormat="1" ht="23.25" customHeight="1" x14ac:dyDescent="0.2">
      <c r="A46" s="18">
        <v>43635</v>
      </c>
      <c r="B46" s="19"/>
      <c r="C46" s="20" t="s">
        <v>45</v>
      </c>
      <c r="D46" s="20" t="s">
        <v>46</v>
      </c>
      <c r="E46" s="20" t="s">
        <v>47</v>
      </c>
      <c r="F46" s="21">
        <v>149747</v>
      </c>
      <c r="G46" s="22" t="s">
        <v>672</v>
      </c>
      <c r="H46" s="23"/>
      <c r="I46" s="23"/>
      <c r="J46" s="23"/>
      <c r="K46" s="23">
        <f>1466.16+175.94</f>
        <v>1642.1000000000001</v>
      </c>
      <c r="L46" s="24"/>
      <c r="M46" s="25">
        <f t="shared" si="5"/>
        <v>1466.1607142857142</v>
      </c>
      <c r="N46" s="25">
        <f t="shared" si="6"/>
        <v>175.93928571428569</v>
      </c>
      <c r="O46" s="25">
        <f>-SUM(I46:J46,K46/1.12)*L46</f>
        <v>0</v>
      </c>
      <c r="P46" s="25">
        <v>1466.16</v>
      </c>
      <c r="Q46" s="26"/>
      <c r="R46" s="26"/>
      <c r="S46" s="27"/>
      <c r="T46" s="27"/>
      <c r="U46" s="27"/>
      <c r="V46" s="27"/>
      <c r="W46" s="27"/>
      <c r="X46" s="26"/>
      <c r="Y46" s="26"/>
      <c r="Z46" s="26"/>
      <c r="AA46" s="26"/>
      <c r="AB46" s="27"/>
      <c r="AC46" s="27"/>
      <c r="AD46" s="26"/>
      <c r="AE46" s="26"/>
      <c r="AF46" s="25">
        <f t="shared" si="7"/>
        <v>-1642.0992857142858</v>
      </c>
      <c r="AG46" s="28">
        <f t="shared" si="8"/>
        <v>7.1428571436626953E-4</v>
      </c>
    </row>
    <row r="47" spans="1:33" s="29" customFormat="1" ht="23.25" customHeight="1" x14ac:dyDescent="0.2">
      <c r="A47" s="18">
        <v>43635</v>
      </c>
      <c r="B47" s="19"/>
      <c r="C47" s="20" t="s">
        <v>45</v>
      </c>
      <c r="D47" s="20" t="s">
        <v>46</v>
      </c>
      <c r="E47" s="20" t="s">
        <v>47</v>
      </c>
      <c r="F47" s="21">
        <v>149747</v>
      </c>
      <c r="G47" s="44" t="s">
        <v>193</v>
      </c>
      <c r="H47" s="23"/>
      <c r="I47" s="23"/>
      <c r="J47" s="23">
        <v>130</v>
      </c>
      <c r="K47" s="23"/>
      <c r="L47" s="24"/>
      <c r="M47" s="25">
        <f t="shared" si="5"/>
        <v>130</v>
      </c>
      <c r="N47" s="25">
        <f t="shared" si="6"/>
        <v>0</v>
      </c>
      <c r="O47" s="25"/>
      <c r="P47" s="25">
        <v>130</v>
      </c>
      <c r="Q47" s="26"/>
      <c r="R47" s="26"/>
      <c r="S47" s="27"/>
      <c r="T47" s="27"/>
      <c r="U47" s="27"/>
      <c r="V47" s="27"/>
      <c r="W47" s="27"/>
      <c r="X47" s="26"/>
      <c r="Y47" s="26"/>
      <c r="Z47" s="26"/>
      <c r="AA47" s="26"/>
      <c r="AB47" s="27"/>
      <c r="AC47" s="27"/>
      <c r="AD47" s="26"/>
      <c r="AE47" s="26"/>
      <c r="AF47" s="25">
        <f t="shared" si="7"/>
        <v>-130</v>
      </c>
      <c r="AG47" s="28">
        <f t="shared" si="8"/>
        <v>0</v>
      </c>
    </row>
    <row r="48" spans="1:33" s="29" customFormat="1" ht="23.25" customHeight="1" x14ac:dyDescent="0.2">
      <c r="A48" s="18">
        <v>43635</v>
      </c>
      <c r="B48" s="19"/>
      <c r="C48" s="20" t="s">
        <v>673</v>
      </c>
      <c r="D48" s="20" t="s">
        <v>475</v>
      </c>
      <c r="E48" s="20" t="s">
        <v>47</v>
      </c>
      <c r="F48" s="21">
        <v>43004</v>
      </c>
      <c r="G48" s="22" t="s">
        <v>476</v>
      </c>
      <c r="H48" s="23"/>
      <c r="I48" s="23"/>
      <c r="J48" s="23"/>
      <c r="K48" s="23">
        <v>1300</v>
      </c>
      <c r="L48" s="24"/>
      <c r="M48" s="25">
        <f t="shared" si="5"/>
        <v>1160.7142857142856</v>
      </c>
      <c r="N48" s="25">
        <f t="shared" si="6"/>
        <v>139.28571428571425</v>
      </c>
      <c r="O48" s="25">
        <f>-SUM(I48:J48,K48/1.12)*L48</f>
        <v>0</v>
      </c>
      <c r="P48" s="25"/>
      <c r="Q48" s="26"/>
      <c r="R48" s="26">
        <v>1160.71</v>
      </c>
      <c r="S48" s="27"/>
      <c r="T48" s="27"/>
      <c r="U48" s="27"/>
      <c r="V48" s="27"/>
      <c r="W48" s="27"/>
      <c r="X48" s="26"/>
      <c r="Y48" s="26"/>
      <c r="Z48" s="26"/>
      <c r="AA48" s="26"/>
      <c r="AB48" s="27"/>
      <c r="AC48" s="27"/>
      <c r="AD48" s="26"/>
      <c r="AE48" s="26"/>
      <c r="AF48" s="25">
        <f t="shared" si="7"/>
        <v>-1299.9957142857143</v>
      </c>
      <c r="AG48" s="28">
        <f t="shared" si="8"/>
        <v>4.2857142857428698E-3</v>
      </c>
    </row>
    <row r="49" spans="1:33" s="29" customFormat="1" ht="24" customHeight="1" x14ac:dyDescent="0.2">
      <c r="A49" s="18">
        <v>43635</v>
      </c>
      <c r="B49" s="19"/>
      <c r="C49" s="20" t="s">
        <v>635</v>
      </c>
      <c r="D49" s="20" t="s">
        <v>636</v>
      </c>
      <c r="E49" s="20" t="s">
        <v>47</v>
      </c>
      <c r="F49" s="21">
        <v>908</v>
      </c>
      <c r="G49" s="44" t="s">
        <v>674</v>
      </c>
      <c r="H49" s="23"/>
      <c r="I49" s="23"/>
      <c r="J49" s="23"/>
      <c r="K49" s="23">
        <v>235</v>
      </c>
      <c r="L49" s="24"/>
      <c r="M49" s="25">
        <f t="shared" si="5"/>
        <v>209.82142857142856</v>
      </c>
      <c r="N49" s="25">
        <f t="shared" si="6"/>
        <v>25.178571428571427</v>
      </c>
      <c r="O49" s="25"/>
      <c r="P49" s="25"/>
      <c r="Q49" s="26"/>
      <c r="R49" s="26"/>
      <c r="S49" s="27">
        <v>209.82</v>
      </c>
      <c r="T49" s="27"/>
      <c r="U49" s="27"/>
      <c r="V49" s="27"/>
      <c r="W49" s="27"/>
      <c r="X49" s="26"/>
      <c r="Y49" s="26"/>
      <c r="Z49" s="26"/>
      <c r="AA49" s="26"/>
      <c r="AB49" s="27"/>
      <c r="AC49" s="27"/>
      <c r="AD49" s="26"/>
      <c r="AE49" s="26"/>
      <c r="AF49" s="25">
        <f t="shared" si="7"/>
        <v>-234.99857142857141</v>
      </c>
      <c r="AG49" s="28">
        <f t="shared" si="8"/>
        <v>1.4285714285904305E-3</v>
      </c>
    </row>
    <row r="50" spans="1:33" s="29" customFormat="1" ht="24.75" customHeight="1" x14ac:dyDescent="0.2">
      <c r="A50" s="18">
        <v>43635</v>
      </c>
      <c r="B50" s="19"/>
      <c r="C50" s="20" t="s">
        <v>41</v>
      </c>
      <c r="D50" s="20" t="s">
        <v>42</v>
      </c>
      <c r="E50" s="20" t="s">
        <v>43</v>
      </c>
      <c r="F50" s="21">
        <v>68209</v>
      </c>
      <c r="G50" s="22" t="s">
        <v>44</v>
      </c>
      <c r="H50" s="23"/>
      <c r="I50" s="23"/>
      <c r="J50" s="23"/>
      <c r="K50" s="23">
        <v>180</v>
      </c>
      <c r="L50" s="24"/>
      <c r="M50" s="25">
        <f t="shared" si="5"/>
        <v>160.71428571428569</v>
      </c>
      <c r="N50" s="25">
        <f t="shared" si="6"/>
        <v>19.285714285714281</v>
      </c>
      <c r="O50" s="25">
        <f>-SUM(I50:J50,K50/1.12)*L50</f>
        <v>0</v>
      </c>
      <c r="P50" s="25"/>
      <c r="Q50" s="26">
        <v>160.71</v>
      </c>
      <c r="R50" s="26"/>
      <c r="S50" s="27"/>
      <c r="T50" s="27"/>
      <c r="U50" s="27"/>
      <c r="V50" s="27"/>
      <c r="W50" s="27"/>
      <c r="X50" s="26"/>
      <c r="Y50" s="26"/>
      <c r="Z50" s="26"/>
      <c r="AA50" s="26"/>
      <c r="AB50" s="27"/>
      <c r="AC50" s="27"/>
      <c r="AD50" s="26"/>
      <c r="AE50" s="26"/>
      <c r="AF50" s="25">
        <f t="shared" si="7"/>
        <v>-179.99571428571429</v>
      </c>
      <c r="AG50" s="28">
        <f t="shared" si="8"/>
        <v>4.2857142857144481E-3</v>
      </c>
    </row>
    <row r="51" spans="1:33" s="29" customFormat="1" ht="23.25" customHeight="1" x14ac:dyDescent="0.2">
      <c r="A51" s="18">
        <v>43636</v>
      </c>
      <c r="B51" s="19"/>
      <c r="C51" s="20" t="s">
        <v>37</v>
      </c>
      <c r="D51" s="20" t="s">
        <v>38</v>
      </c>
      <c r="E51" s="20" t="s">
        <v>39</v>
      </c>
      <c r="F51" s="21">
        <v>96017</v>
      </c>
      <c r="G51" s="44" t="s">
        <v>552</v>
      </c>
      <c r="H51" s="23"/>
      <c r="I51" s="23"/>
      <c r="J51" s="23"/>
      <c r="K51" s="23">
        <v>124.2</v>
      </c>
      <c r="L51" s="24"/>
      <c r="M51" s="25">
        <f t="shared" si="5"/>
        <v>110.89285714285714</v>
      </c>
      <c r="N51" s="25">
        <f t="shared" si="6"/>
        <v>13.307142857142857</v>
      </c>
      <c r="O51" s="25"/>
      <c r="P51" s="25">
        <v>110.89</v>
      </c>
      <c r="Q51" s="26"/>
      <c r="R51" s="26"/>
      <c r="S51" s="27"/>
      <c r="T51" s="27"/>
      <c r="U51" s="27"/>
      <c r="V51" s="27"/>
      <c r="W51" s="27"/>
      <c r="X51" s="26"/>
      <c r="Y51" s="26"/>
      <c r="Z51" s="26"/>
      <c r="AA51" s="26"/>
      <c r="AB51" s="27"/>
      <c r="AC51" s="27"/>
      <c r="AD51" s="26"/>
      <c r="AE51" s="26"/>
      <c r="AF51" s="25">
        <f t="shared" si="7"/>
        <v>-124.19714285714286</v>
      </c>
      <c r="AG51" s="28">
        <f t="shared" si="8"/>
        <v>2.8571428571382285E-3</v>
      </c>
    </row>
    <row r="52" spans="1:33" s="29" customFormat="1" ht="23.25" customHeight="1" x14ac:dyDescent="0.2">
      <c r="A52" s="18">
        <v>43636</v>
      </c>
      <c r="B52" s="19"/>
      <c r="C52" s="20" t="s">
        <v>45</v>
      </c>
      <c r="D52" s="20" t="s">
        <v>46</v>
      </c>
      <c r="E52" s="20" t="s">
        <v>47</v>
      </c>
      <c r="F52" s="21">
        <v>171530</v>
      </c>
      <c r="G52" s="44" t="s">
        <v>675</v>
      </c>
      <c r="H52" s="23"/>
      <c r="I52" s="23"/>
      <c r="J52" s="23"/>
      <c r="K52" s="23">
        <f>247.54+29.71</f>
        <v>277.25</v>
      </c>
      <c r="L52" s="24"/>
      <c r="M52" s="25">
        <f t="shared" si="5"/>
        <v>247.54464285714283</v>
      </c>
      <c r="N52" s="25">
        <f t="shared" si="6"/>
        <v>29.705357142857139</v>
      </c>
      <c r="O52" s="25">
        <f>-SUM(I52:J52,K52/1.12)*L52</f>
        <v>0</v>
      </c>
      <c r="P52" s="25">
        <v>247.54</v>
      </c>
      <c r="Q52" s="26"/>
      <c r="R52" s="26"/>
      <c r="S52" s="27"/>
      <c r="T52" s="27"/>
      <c r="U52" s="27"/>
      <c r="V52" s="27"/>
      <c r="W52" s="27"/>
      <c r="X52" s="26"/>
      <c r="Y52" s="26"/>
      <c r="Z52" s="26"/>
      <c r="AA52" s="26"/>
      <c r="AB52" s="27"/>
      <c r="AC52" s="27"/>
      <c r="AD52" s="26"/>
      <c r="AE52" s="26"/>
      <c r="AF52" s="25">
        <f t="shared" si="7"/>
        <v>-277.24535714285713</v>
      </c>
      <c r="AG52" s="28">
        <f t="shared" si="8"/>
        <v>4.6428571428691612E-3</v>
      </c>
    </row>
    <row r="53" spans="1:33" s="29" customFormat="1" ht="23.25" customHeight="1" x14ac:dyDescent="0.2">
      <c r="A53" s="18">
        <v>43636</v>
      </c>
      <c r="B53" s="19"/>
      <c r="C53" s="20" t="s">
        <v>45</v>
      </c>
      <c r="D53" s="20" t="s">
        <v>46</v>
      </c>
      <c r="E53" s="20" t="s">
        <v>47</v>
      </c>
      <c r="F53" s="21">
        <v>171530</v>
      </c>
      <c r="G53" s="44" t="s">
        <v>676</v>
      </c>
      <c r="H53" s="23"/>
      <c r="I53" s="23"/>
      <c r="J53" s="23">
        <v>52.35</v>
      </c>
      <c r="K53" s="23"/>
      <c r="L53" s="24"/>
      <c r="M53" s="25">
        <f t="shared" si="5"/>
        <v>52.35</v>
      </c>
      <c r="N53" s="25">
        <f t="shared" si="6"/>
        <v>0</v>
      </c>
      <c r="O53" s="25">
        <f>-SUM(I53:J53,K53/1.12)*L53</f>
        <v>0</v>
      </c>
      <c r="P53" s="25">
        <v>52.35</v>
      </c>
      <c r="Q53" s="26"/>
      <c r="R53" s="26"/>
      <c r="S53" s="27"/>
      <c r="T53" s="27"/>
      <c r="U53" s="27"/>
      <c r="V53" s="27"/>
      <c r="W53" s="27"/>
      <c r="X53" s="26"/>
      <c r="Y53" s="26"/>
      <c r="Z53" s="26"/>
      <c r="AA53" s="26"/>
      <c r="AB53" s="27"/>
      <c r="AC53" s="27"/>
      <c r="AD53" s="26"/>
      <c r="AE53" s="26"/>
      <c r="AF53" s="25">
        <f t="shared" si="7"/>
        <v>-52.35</v>
      </c>
      <c r="AG53" s="28">
        <f t="shared" si="8"/>
        <v>0</v>
      </c>
    </row>
    <row r="54" spans="1:33" s="29" customFormat="1" ht="23.25" customHeight="1" x14ac:dyDescent="0.2">
      <c r="A54" s="18">
        <v>43636</v>
      </c>
      <c r="B54" s="19"/>
      <c r="C54" s="20" t="s">
        <v>37</v>
      </c>
      <c r="D54" s="20" t="s">
        <v>38</v>
      </c>
      <c r="E54" s="20" t="s">
        <v>39</v>
      </c>
      <c r="F54" s="21">
        <v>80570</v>
      </c>
      <c r="G54" s="44" t="s">
        <v>677</v>
      </c>
      <c r="H54" s="23"/>
      <c r="I54" s="23"/>
      <c r="J54" s="23"/>
      <c r="K54" s="23">
        <v>199</v>
      </c>
      <c r="L54" s="24"/>
      <c r="M54" s="25">
        <f t="shared" si="5"/>
        <v>177.67857142857142</v>
      </c>
      <c r="N54" s="25">
        <f t="shared" si="6"/>
        <v>21.321428571428569</v>
      </c>
      <c r="O54" s="25"/>
      <c r="P54" s="25"/>
      <c r="Q54" s="26">
        <v>177.68</v>
      </c>
      <c r="R54" s="26"/>
      <c r="S54" s="27"/>
      <c r="T54" s="27"/>
      <c r="U54" s="27"/>
      <c r="V54" s="27"/>
      <c r="W54" s="27"/>
      <c r="X54" s="26"/>
      <c r="Y54" s="26"/>
      <c r="Z54" s="26"/>
      <c r="AA54" s="26"/>
      <c r="AB54" s="27"/>
      <c r="AC54" s="27"/>
      <c r="AD54" s="26"/>
      <c r="AE54" s="26"/>
      <c r="AF54" s="25">
        <f t="shared" si="7"/>
        <v>-199.00142857142856</v>
      </c>
      <c r="AG54" s="28">
        <f t="shared" si="8"/>
        <v>-1.4285714285620088E-3</v>
      </c>
    </row>
    <row r="55" spans="1:33" s="29" customFormat="1" ht="23.25" customHeight="1" x14ac:dyDescent="0.2">
      <c r="A55" s="18">
        <v>43636</v>
      </c>
      <c r="B55" s="19"/>
      <c r="C55" s="20" t="s">
        <v>37</v>
      </c>
      <c r="D55" s="20" t="s">
        <v>38</v>
      </c>
      <c r="E55" s="20" t="s">
        <v>39</v>
      </c>
      <c r="F55" s="21">
        <v>96018</v>
      </c>
      <c r="G55" s="44" t="s">
        <v>678</v>
      </c>
      <c r="H55" s="23"/>
      <c r="I55" s="23"/>
      <c r="J55" s="23"/>
      <c r="K55" s="23">
        <v>616</v>
      </c>
      <c r="L55" s="24"/>
      <c r="M55" s="25">
        <f t="shared" si="5"/>
        <v>550</v>
      </c>
      <c r="N55" s="25">
        <f t="shared" si="6"/>
        <v>66</v>
      </c>
      <c r="O55" s="25"/>
      <c r="P55" s="25">
        <v>550</v>
      </c>
      <c r="Q55" s="26"/>
      <c r="R55" s="26"/>
      <c r="S55" s="27"/>
      <c r="T55" s="27"/>
      <c r="U55" s="27"/>
      <c r="V55" s="27"/>
      <c r="W55" s="27"/>
      <c r="X55" s="26"/>
      <c r="Y55" s="26"/>
      <c r="Z55" s="26"/>
      <c r="AA55" s="26"/>
      <c r="AB55" s="27"/>
      <c r="AC55" s="27"/>
      <c r="AD55" s="26"/>
      <c r="AE55" s="26"/>
      <c r="AF55" s="25">
        <f t="shared" si="7"/>
        <v>-616</v>
      </c>
      <c r="AG55" s="28">
        <f t="shared" si="8"/>
        <v>0</v>
      </c>
    </row>
    <row r="56" spans="1:33" s="29" customFormat="1" ht="24.75" customHeight="1" x14ac:dyDescent="0.2">
      <c r="A56" s="18">
        <v>43636</v>
      </c>
      <c r="B56" s="19"/>
      <c r="C56" s="20" t="s">
        <v>41</v>
      </c>
      <c r="D56" s="20" t="s">
        <v>42</v>
      </c>
      <c r="E56" s="20" t="s">
        <v>43</v>
      </c>
      <c r="F56" s="21">
        <v>72512</v>
      </c>
      <c r="G56" s="22" t="s">
        <v>44</v>
      </c>
      <c r="H56" s="23"/>
      <c r="I56" s="23"/>
      <c r="J56" s="23"/>
      <c r="K56" s="23">
        <v>180</v>
      </c>
      <c r="L56" s="24"/>
      <c r="M56" s="25">
        <f t="shared" si="5"/>
        <v>160.71428571428569</v>
      </c>
      <c r="N56" s="25">
        <f t="shared" si="6"/>
        <v>19.285714285714281</v>
      </c>
      <c r="O56" s="25">
        <f>-SUM(I56:J56,K56/1.12)*L56</f>
        <v>0</v>
      </c>
      <c r="P56" s="25"/>
      <c r="Q56" s="26">
        <v>160.71</v>
      </c>
      <c r="R56" s="26"/>
      <c r="S56" s="27"/>
      <c r="T56" s="27"/>
      <c r="U56" s="27"/>
      <c r="V56" s="27"/>
      <c r="W56" s="27"/>
      <c r="X56" s="26"/>
      <c r="Y56" s="26"/>
      <c r="Z56" s="26"/>
      <c r="AA56" s="26"/>
      <c r="AB56" s="27"/>
      <c r="AC56" s="27"/>
      <c r="AD56" s="26"/>
      <c r="AE56" s="26"/>
      <c r="AF56" s="25">
        <f t="shared" si="7"/>
        <v>-179.99571428571429</v>
      </c>
      <c r="AG56" s="28">
        <f t="shared" si="8"/>
        <v>4.2857142857144481E-3</v>
      </c>
    </row>
    <row r="57" spans="1:33" s="29" customFormat="1" ht="23.25" customHeight="1" x14ac:dyDescent="0.2">
      <c r="A57" s="18">
        <v>43636</v>
      </c>
      <c r="B57" s="19"/>
      <c r="C57" s="20" t="s">
        <v>347</v>
      </c>
      <c r="D57" s="20"/>
      <c r="E57" s="20"/>
      <c r="F57" s="21"/>
      <c r="G57" s="44" t="s">
        <v>177</v>
      </c>
      <c r="H57" s="23">
        <v>537</v>
      </c>
      <c r="I57" s="23"/>
      <c r="J57" s="23"/>
      <c r="K57" s="23"/>
      <c r="L57" s="24"/>
      <c r="M57" s="25">
        <f t="shared" si="5"/>
        <v>537</v>
      </c>
      <c r="N57" s="25">
        <f t="shared" si="6"/>
        <v>0</v>
      </c>
      <c r="O57" s="25"/>
      <c r="P57" s="25"/>
      <c r="Q57" s="26"/>
      <c r="R57" s="26"/>
      <c r="S57" s="27"/>
      <c r="T57" s="27"/>
      <c r="U57" s="27"/>
      <c r="V57" s="27"/>
      <c r="W57" s="27"/>
      <c r="X57" s="26"/>
      <c r="Y57" s="26"/>
      <c r="Z57" s="26"/>
      <c r="AA57" s="26"/>
      <c r="AB57" s="27">
        <v>537</v>
      </c>
      <c r="AC57" s="27"/>
      <c r="AD57" s="26"/>
      <c r="AE57" s="26"/>
      <c r="AF57" s="25">
        <f t="shared" si="7"/>
        <v>-537</v>
      </c>
      <c r="AG57" s="28">
        <f t="shared" si="8"/>
        <v>0</v>
      </c>
    </row>
    <row r="58" spans="1:33" s="29" customFormat="1" ht="23.25" customHeight="1" x14ac:dyDescent="0.2">
      <c r="A58" s="18">
        <v>43637</v>
      </c>
      <c r="B58" s="19"/>
      <c r="C58" s="20" t="s">
        <v>642</v>
      </c>
      <c r="D58" s="20" t="s">
        <v>643</v>
      </c>
      <c r="E58" s="20" t="s">
        <v>644</v>
      </c>
      <c r="F58" s="21">
        <v>4673</v>
      </c>
      <c r="G58" s="22" t="s">
        <v>645</v>
      </c>
      <c r="H58" s="23"/>
      <c r="I58" s="23"/>
      <c r="J58" s="23"/>
      <c r="K58" s="23">
        <v>2600</v>
      </c>
      <c r="L58" s="24"/>
      <c r="M58" s="25">
        <f t="shared" si="5"/>
        <v>2321.4285714285711</v>
      </c>
      <c r="N58" s="25">
        <f t="shared" si="6"/>
        <v>278.5714285714285</v>
      </c>
      <c r="O58" s="25">
        <f>-SUM(I58:J58,K58/1.12)*L58</f>
        <v>0</v>
      </c>
      <c r="P58" s="25"/>
      <c r="Q58" s="26">
        <v>2321.4299999999998</v>
      </c>
      <c r="R58" s="26"/>
      <c r="S58" s="27"/>
      <c r="T58" s="27"/>
      <c r="U58" s="27"/>
      <c r="V58" s="27"/>
      <c r="W58" s="27"/>
      <c r="X58" s="26"/>
      <c r="Y58" s="26"/>
      <c r="Z58" s="26"/>
      <c r="AA58" s="26"/>
      <c r="AB58" s="27"/>
      <c r="AC58" s="27"/>
      <c r="AD58" s="26"/>
      <c r="AE58" s="26"/>
      <c r="AF58" s="25">
        <f t="shared" si="7"/>
        <v>-2600.0014285714283</v>
      </c>
      <c r="AG58" s="28">
        <f t="shared" si="8"/>
        <v>-1.4285714282777917E-3</v>
      </c>
    </row>
    <row r="59" spans="1:33" s="29" customFormat="1" ht="23.25" customHeight="1" x14ac:dyDescent="0.2">
      <c r="A59" s="18">
        <v>43637</v>
      </c>
      <c r="B59" s="19"/>
      <c r="C59" s="20" t="s">
        <v>45</v>
      </c>
      <c r="D59" s="20" t="s">
        <v>46</v>
      </c>
      <c r="E59" s="20" t="s">
        <v>47</v>
      </c>
      <c r="F59" s="21">
        <v>183277</v>
      </c>
      <c r="G59" s="44" t="s">
        <v>679</v>
      </c>
      <c r="H59" s="23"/>
      <c r="I59" s="23"/>
      <c r="J59" s="23"/>
      <c r="K59" s="23">
        <f>585.4+70.25</f>
        <v>655.65</v>
      </c>
      <c r="L59" s="24"/>
      <c r="M59" s="25">
        <f t="shared" si="5"/>
        <v>585.40178571428567</v>
      </c>
      <c r="N59" s="25">
        <f t="shared" si="6"/>
        <v>70.248214285714283</v>
      </c>
      <c r="O59" s="25">
        <f>-SUM(I59:J59,K59/1.12)*L59</f>
        <v>0</v>
      </c>
      <c r="P59" s="25">
        <v>585.4</v>
      </c>
      <c r="Q59" s="26"/>
      <c r="R59" s="26"/>
      <c r="S59" s="27"/>
      <c r="T59" s="27"/>
      <c r="U59" s="27"/>
      <c r="V59" s="27"/>
      <c r="W59" s="27"/>
      <c r="X59" s="26"/>
      <c r="Y59" s="26"/>
      <c r="Z59" s="26"/>
      <c r="AA59" s="26"/>
      <c r="AB59" s="27"/>
      <c r="AC59" s="27"/>
      <c r="AD59" s="26"/>
      <c r="AE59" s="26"/>
      <c r="AF59" s="25">
        <f t="shared" si="7"/>
        <v>-655.64821428571429</v>
      </c>
      <c r="AG59" s="28">
        <f t="shared" si="8"/>
        <v>1.7857142856883002E-3</v>
      </c>
    </row>
    <row r="60" spans="1:33" s="29" customFormat="1" ht="23.25" customHeight="1" x14ac:dyDescent="0.2">
      <c r="A60" s="18">
        <v>43637</v>
      </c>
      <c r="B60" s="19"/>
      <c r="C60" s="20" t="s">
        <v>45</v>
      </c>
      <c r="D60" s="20" t="s">
        <v>46</v>
      </c>
      <c r="E60" s="20" t="s">
        <v>47</v>
      </c>
      <c r="F60" s="21">
        <v>183277</v>
      </c>
      <c r="G60" s="44" t="s">
        <v>552</v>
      </c>
      <c r="H60" s="23"/>
      <c r="I60" s="23"/>
      <c r="J60" s="23">
        <v>53.5</v>
      </c>
      <c r="K60" s="23"/>
      <c r="L60" s="24"/>
      <c r="M60" s="25">
        <f t="shared" si="5"/>
        <v>53.5</v>
      </c>
      <c r="N60" s="25">
        <f t="shared" si="6"/>
        <v>0</v>
      </c>
      <c r="O60" s="25">
        <f>-SUM(I60:J60,K60/1.12)*L60</f>
        <v>0</v>
      </c>
      <c r="P60" s="25">
        <v>53.5</v>
      </c>
      <c r="Q60" s="26"/>
      <c r="R60" s="26"/>
      <c r="S60" s="27"/>
      <c r="T60" s="27"/>
      <c r="U60" s="27"/>
      <c r="V60" s="27"/>
      <c r="W60" s="27"/>
      <c r="X60" s="26"/>
      <c r="Y60" s="26"/>
      <c r="Z60" s="26"/>
      <c r="AA60" s="26"/>
      <c r="AB60" s="27"/>
      <c r="AC60" s="27"/>
      <c r="AD60" s="26"/>
      <c r="AE60" s="26"/>
      <c r="AF60" s="25">
        <f t="shared" si="7"/>
        <v>-53.5</v>
      </c>
      <c r="AG60" s="28">
        <f t="shared" si="8"/>
        <v>0</v>
      </c>
    </row>
    <row r="61" spans="1:33" s="29" customFormat="1" ht="24.75" customHeight="1" x14ac:dyDescent="0.2">
      <c r="A61" s="18">
        <v>43637</v>
      </c>
      <c r="B61" s="19"/>
      <c r="C61" s="20" t="s">
        <v>41</v>
      </c>
      <c r="D61" s="20" t="s">
        <v>42</v>
      </c>
      <c r="E61" s="20" t="s">
        <v>43</v>
      </c>
      <c r="F61" s="21">
        <v>72564</v>
      </c>
      <c r="G61" s="22" t="s">
        <v>44</v>
      </c>
      <c r="H61" s="23"/>
      <c r="I61" s="23"/>
      <c r="J61" s="23"/>
      <c r="K61" s="23">
        <v>180</v>
      </c>
      <c r="L61" s="24"/>
      <c r="M61" s="25">
        <f t="shared" si="5"/>
        <v>160.71428571428569</v>
      </c>
      <c r="N61" s="25">
        <f t="shared" si="6"/>
        <v>19.285714285714281</v>
      </c>
      <c r="O61" s="25">
        <f>-SUM(I61:J61,K61/1.12)*L61</f>
        <v>0</v>
      </c>
      <c r="P61" s="25"/>
      <c r="Q61" s="26">
        <v>160.71</v>
      </c>
      <c r="R61" s="26"/>
      <c r="S61" s="27"/>
      <c r="T61" s="27"/>
      <c r="U61" s="27"/>
      <c r="V61" s="27"/>
      <c r="W61" s="27"/>
      <c r="X61" s="26"/>
      <c r="Y61" s="26"/>
      <c r="Z61" s="26"/>
      <c r="AA61" s="26"/>
      <c r="AB61" s="27"/>
      <c r="AC61" s="27"/>
      <c r="AD61" s="26"/>
      <c r="AE61" s="26"/>
      <c r="AF61" s="25">
        <f t="shared" si="7"/>
        <v>-179.99571428571429</v>
      </c>
      <c r="AG61" s="28">
        <f t="shared" si="8"/>
        <v>4.2857142857144481E-3</v>
      </c>
    </row>
    <row r="62" spans="1:33" s="29" customFormat="1" ht="23.25" customHeight="1" x14ac:dyDescent="0.2">
      <c r="A62" s="18">
        <v>43637</v>
      </c>
      <c r="B62" s="19"/>
      <c r="C62" s="20" t="s">
        <v>347</v>
      </c>
      <c r="D62" s="20"/>
      <c r="E62" s="20"/>
      <c r="F62" s="21"/>
      <c r="G62" s="44" t="s">
        <v>177</v>
      </c>
      <c r="H62" s="23">
        <v>537</v>
      </c>
      <c r="I62" s="23"/>
      <c r="J62" s="23"/>
      <c r="K62" s="23"/>
      <c r="L62" s="24"/>
      <c r="M62" s="25">
        <f t="shared" si="5"/>
        <v>537</v>
      </c>
      <c r="N62" s="25">
        <f t="shared" si="6"/>
        <v>0</v>
      </c>
      <c r="O62" s="25"/>
      <c r="P62" s="25"/>
      <c r="Q62" s="26"/>
      <c r="R62" s="26"/>
      <c r="S62" s="27"/>
      <c r="T62" s="27"/>
      <c r="U62" s="27"/>
      <c r="V62" s="27"/>
      <c r="W62" s="27"/>
      <c r="X62" s="26"/>
      <c r="Y62" s="26"/>
      <c r="Z62" s="26"/>
      <c r="AA62" s="26"/>
      <c r="AB62" s="27">
        <v>537</v>
      </c>
      <c r="AC62" s="27"/>
      <c r="AD62" s="26"/>
      <c r="AE62" s="26"/>
      <c r="AF62" s="25">
        <f t="shared" si="7"/>
        <v>-537</v>
      </c>
      <c r="AG62" s="28">
        <f t="shared" si="8"/>
        <v>0</v>
      </c>
    </row>
    <row r="63" spans="1:33" s="29" customFormat="1" ht="23.25" customHeight="1" x14ac:dyDescent="0.2">
      <c r="A63" s="18">
        <v>43638</v>
      </c>
      <c r="B63" s="19"/>
      <c r="C63" s="20" t="s">
        <v>454</v>
      </c>
      <c r="D63" s="20" t="s">
        <v>455</v>
      </c>
      <c r="E63" s="20" t="s">
        <v>47</v>
      </c>
      <c r="F63" s="21">
        <v>990</v>
      </c>
      <c r="G63" s="44" t="s">
        <v>44</v>
      </c>
      <c r="H63" s="23"/>
      <c r="I63" s="23"/>
      <c r="J63" s="23"/>
      <c r="K63" s="23">
        <v>40</v>
      </c>
      <c r="L63" s="24"/>
      <c r="M63" s="25">
        <f t="shared" si="5"/>
        <v>35.714285714285708</v>
      </c>
      <c r="N63" s="25">
        <f t="shared" si="6"/>
        <v>4.2857142857142847</v>
      </c>
      <c r="O63" s="25">
        <f t="shared" ref="O63:O85" si="9">-SUM(I63:J63,K63/1.12)*L63</f>
        <v>0</v>
      </c>
      <c r="P63" s="25">
        <v>35.71</v>
      </c>
      <c r="Q63" s="26"/>
      <c r="R63" s="26"/>
      <c r="S63" s="27"/>
      <c r="T63" s="27"/>
      <c r="U63" s="27"/>
      <c r="V63" s="27"/>
      <c r="W63" s="27"/>
      <c r="X63" s="26"/>
      <c r="Y63" s="26"/>
      <c r="Z63" s="26"/>
      <c r="AA63" s="26"/>
      <c r="AB63" s="27"/>
      <c r="AC63" s="27"/>
      <c r="AD63" s="26"/>
      <c r="AE63" s="26"/>
      <c r="AF63" s="25">
        <f t="shared" si="7"/>
        <v>-39.995714285714286</v>
      </c>
      <c r="AG63" s="28">
        <f t="shared" si="8"/>
        <v>4.2857142857144481E-3</v>
      </c>
    </row>
    <row r="64" spans="1:33" s="29" customFormat="1" ht="24.75" customHeight="1" x14ac:dyDescent="0.2">
      <c r="A64" s="18">
        <v>43641</v>
      </c>
      <c r="B64" s="19"/>
      <c r="C64" s="20" t="s">
        <v>41</v>
      </c>
      <c r="D64" s="20" t="s">
        <v>42</v>
      </c>
      <c r="E64" s="20" t="s">
        <v>43</v>
      </c>
      <c r="F64" s="21">
        <v>75807</v>
      </c>
      <c r="G64" s="22" t="s">
        <v>44</v>
      </c>
      <c r="H64" s="23"/>
      <c r="I64" s="23"/>
      <c r="J64" s="23"/>
      <c r="K64" s="23">
        <v>180</v>
      </c>
      <c r="L64" s="24"/>
      <c r="M64" s="25">
        <f t="shared" si="5"/>
        <v>160.71428571428569</v>
      </c>
      <c r="N64" s="25">
        <f t="shared" si="6"/>
        <v>19.285714285714281</v>
      </c>
      <c r="O64" s="25">
        <f t="shared" si="9"/>
        <v>0</v>
      </c>
      <c r="P64" s="25"/>
      <c r="Q64" s="26">
        <v>160.71</v>
      </c>
      <c r="R64" s="26"/>
      <c r="S64" s="27"/>
      <c r="T64" s="27"/>
      <c r="U64" s="27"/>
      <c r="V64" s="27"/>
      <c r="W64" s="27"/>
      <c r="X64" s="26"/>
      <c r="Y64" s="26"/>
      <c r="Z64" s="26"/>
      <c r="AA64" s="26"/>
      <c r="AB64" s="27"/>
      <c r="AC64" s="27"/>
      <c r="AD64" s="26"/>
      <c r="AE64" s="26"/>
      <c r="AF64" s="25">
        <f t="shared" si="7"/>
        <v>-179.99571428571429</v>
      </c>
      <c r="AG64" s="28">
        <f t="shared" si="8"/>
        <v>4.2857142857144481E-3</v>
      </c>
    </row>
    <row r="65" spans="1:33" s="29" customFormat="1" ht="24.75" customHeight="1" x14ac:dyDescent="0.2">
      <c r="A65" s="18">
        <v>43641</v>
      </c>
      <c r="B65" s="19"/>
      <c r="C65" s="20" t="s">
        <v>37</v>
      </c>
      <c r="D65" s="20" t="s">
        <v>38</v>
      </c>
      <c r="E65" s="20" t="s">
        <v>39</v>
      </c>
      <c r="F65" s="21">
        <v>36005</v>
      </c>
      <c r="G65" s="22" t="s">
        <v>680</v>
      </c>
      <c r="H65" s="23"/>
      <c r="I65" s="23"/>
      <c r="J65" s="23"/>
      <c r="K65" s="23">
        <v>175</v>
      </c>
      <c r="L65" s="24"/>
      <c r="M65" s="25">
        <f t="shared" si="5"/>
        <v>156.24999999999997</v>
      </c>
      <c r="N65" s="25">
        <f t="shared" si="6"/>
        <v>18.749999999999996</v>
      </c>
      <c r="O65" s="25">
        <f t="shared" si="9"/>
        <v>0</v>
      </c>
      <c r="P65" s="25">
        <v>156.25</v>
      </c>
      <c r="Q65" s="26"/>
      <c r="R65" s="26"/>
      <c r="S65" s="27"/>
      <c r="T65" s="27"/>
      <c r="U65" s="27"/>
      <c r="V65" s="27"/>
      <c r="W65" s="27"/>
      <c r="X65" s="26"/>
      <c r="Y65" s="26"/>
      <c r="Z65" s="26"/>
      <c r="AA65" s="26"/>
      <c r="AB65" s="27"/>
      <c r="AC65" s="27"/>
      <c r="AD65" s="26"/>
      <c r="AE65" s="26"/>
      <c r="AF65" s="25">
        <f t="shared" si="7"/>
        <v>-175</v>
      </c>
      <c r="AG65" s="28">
        <f t="shared" si="8"/>
        <v>0</v>
      </c>
    </row>
    <row r="66" spans="1:33" s="29" customFormat="1" ht="23.25" customHeight="1" x14ac:dyDescent="0.2">
      <c r="A66" s="18">
        <v>43641</v>
      </c>
      <c r="B66" s="19"/>
      <c r="C66" s="20" t="s">
        <v>681</v>
      </c>
      <c r="D66" s="20" t="s">
        <v>143</v>
      </c>
      <c r="E66" s="20" t="s">
        <v>47</v>
      </c>
      <c r="F66" s="21">
        <v>179247</v>
      </c>
      <c r="G66" s="44" t="s">
        <v>682</v>
      </c>
      <c r="H66" s="23"/>
      <c r="I66" s="23"/>
      <c r="J66" s="23"/>
      <c r="K66" s="23">
        <v>1385</v>
      </c>
      <c r="L66" s="24"/>
      <c r="M66" s="25">
        <f t="shared" si="5"/>
        <v>1236.6071428571427</v>
      </c>
      <c r="N66" s="25">
        <f t="shared" si="6"/>
        <v>148.39285714285711</v>
      </c>
      <c r="O66" s="25">
        <f t="shared" si="9"/>
        <v>0</v>
      </c>
      <c r="P66" s="25"/>
      <c r="Q66" s="26"/>
      <c r="R66" s="26"/>
      <c r="S66" s="27">
        <v>1236.6099999999999</v>
      </c>
      <c r="T66" s="27"/>
      <c r="U66" s="27"/>
      <c r="V66" s="27"/>
      <c r="W66" s="27"/>
      <c r="X66" s="26"/>
      <c r="Y66" s="26"/>
      <c r="Z66" s="26"/>
      <c r="AA66" s="26"/>
      <c r="AB66" s="27"/>
      <c r="AC66" s="27"/>
      <c r="AD66" s="26"/>
      <c r="AE66" s="26"/>
      <c r="AF66" s="25">
        <f t="shared" si="7"/>
        <v>-1385.002857142857</v>
      </c>
      <c r="AG66" s="28">
        <f t="shared" si="8"/>
        <v>-2.8571428570103308E-3</v>
      </c>
    </row>
    <row r="67" spans="1:33" s="29" customFormat="1" ht="23.25" customHeight="1" x14ac:dyDescent="0.2">
      <c r="A67" s="18">
        <v>43641</v>
      </c>
      <c r="B67" s="19"/>
      <c r="C67" s="20" t="s">
        <v>62</v>
      </c>
      <c r="D67" s="20"/>
      <c r="E67" s="20"/>
      <c r="F67" s="21"/>
      <c r="G67" s="44" t="s">
        <v>683</v>
      </c>
      <c r="H67" s="23">
        <v>65</v>
      </c>
      <c r="I67" s="23"/>
      <c r="J67" s="23"/>
      <c r="K67" s="23"/>
      <c r="L67" s="24"/>
      <c r="M67" s="25">
        <f t="shared" si="5"/>
        <v>65</v>
      </c>
      <c r="N67" s="25">
        <f t="shared" si="6"/>
        <v>0</v>
      </c>
      <c r="O67" s="25">
        <f t="shared" si="9"/>
        <v>0</v>
      </c>
      <c r="P67" s="25"/>
      <c r="Q67" s="26"/>
      <c r="R67" s="26"/>
      <c r="S67" s="27"/>
      <c r="T67" s="27"/>
      <c r="U67" s="27"/>
      <c r="V67" s="27"/>
      <c r="W67" s="27"/>
      <c r="X67" s="27"/>
      <c r="Y67" s="26"/>
      <c r="Z67" s="26"/>
      <c r="AA67" s="26">
        <v>65</v>
      </c>
      <c r="AB67" s="27"/>
      <c r="AC67" s="27"/>
      <c r="AD67" s="27"/>
      <c r="AE67" s="26"/>
      <c r="AF67" s="25">
        <f t="shared" si="7"/>
        <v>-65</v>
      </c>
      <c r="AG67" s="28">
        <f t="shared" si="8"/>
        <v>0</v>
      </c>
    </row>
    <row r="68" spans="1:33" s="29" customFormat="1" ht="24.75" customHeight="1" x14ac:dyDescent="0.2">
      <c r="A68" s="18">
        <v>43641</v>
      </c>
      <c r="B68" s="19"/>
      <c r="C68" s="20" t="s">
        <v>41</v>
      </c>
      <c r="D68" s="20" t="s">
        <v>42</v>
      </c>
      <c r="E68" s="20" t="s">
        <v>43</v>
      </c>
      <c r="F68" s="21">
        <v>75859</v>
      </c>
      <c r="G68" s="22" t="s">
        <v>44</v>
      </c>
      <c r="H68" s="23"/>
      <c r="I68" s="23"/>
      <c r="J68" s="23"/>
      <c r="K68" s="23">
        <v>180</v>
      </c>
      <c r="L68" s="24"/>
      <c r="M68" s="25">
        <f t="shared" si="5"/>
        <v>160.71428571428569</v>
      </c>
      <c r="N68" s="25">
        <f t="shared" si="6"/>
        <v>19.285714285714281</v>
      </c>
      <c r="O68" s="25">
        <f t="shared" si="9"/>
        <v>0</v>
      </c>
      <c r="P68" s="25"/>
      <c r="Q68" s="26">
        <v>160.71</v>
      </c>
      <c r="R68" s="26"/>
      <c r="S68" s="27"/>
      <c r="T68" s="27"/>
      <c r="U68" s="27"/>
      <c r="V68" s="27"/>
      <c r="W68" s="27"/>
      <c r="X68" s="26"/>
      <c r="Y68" s="26"/>
      <c r="Z68" s="26"/>
      <c r="AA68" s="26"/>
      <c r="AB68" s="27"/>
      <c r="AC68" s="27"/>
      <c r="AD68" s="26"/>
      <c r="AE68" s="26"/>
      <c r="AF68" s="25">
        <f t="shared" si="7"/>
        <v>-179.99571428571429</v>
      </c>
      <c r="AG68" s="28">
        <f t="shared" si="8"/>
        <v>4.2857142857144481E-3</v>
      </c>
    </row>
    <row r="69" spans="1:33" s="29" customFormat="1" ht="23.25" customHeight="1" x14ac:dyDescent="0.2">
      <c r="A69" s="18">
        <v>43641</v>
      </c>
      <c r="B69" s="19"/>
      <c r="C69" s="20" t="s">
        <v>54</v>
      </c>
      <c r="D69" s="20" t="s">
        <v>55</v>
      </c>
      <c r="E69" s="20" t="s">
        <v>56</v>
      </c>
      <c r="F69" s="21">
        <v>3226</v>
      </c>
      <c r="G69" s="44" t="s">
        <v>684</v>
      </c>
      <c r="H69" s="23"/>
      <c r="I69" s="23"/>
      <c r="J69" s="23">
        <v>930</v>
      </c>
      <c r="K69" s="23"/>
      <c r="L69" s="24"/>
      <c r="M69" s="25">
        <f t="shared" ref="M69:M85" si="10">SUM(H69:J69,K69/1.12)</f>
        <v>930</v>
      </c>
      <c r="N69" s="25">
        <f t="shared" ref="N69:N85" si="11">K69/1.12*0.12</f>
        <v>0</v>
      </c>
      <c r="O69" s="25">
        <f t="shared" si="9"/>
        <v>0</v>
      </c>
      <c r="P69" s="25">
        <v>930</v>
      </c>
      <c r="Q69" s="26"/>
      <c r="R69" s="26"/>
      <c r="S69" s="27"/>
      <c r="T69" s="27"/>
      <c r="U69" s="27"/>
      <c r="V69" s="27"/>
      <c r="W69" s="27"/>
      <c r="X69" s="27"/>
      <c r="Y69" s="26"/>
      <c r="Z69" s="26"/>
      <c r="AA69" s="26"/>
      <c r="AB69" s="27"/>
      <c r="AC69" s="27"/>
      <c r="AD69" s="27"/>
      <c r="AE69" s="26"/>
      <c r="AF69" s="25">
        <f t="shared" ref="AF69:AF85" si="12">-SUM(N69:AE69)</f>
        <v>-930</v>
      </c>
      <c r="AG69" s="28">
        <f t="shared" ref="AG69:AG85" si="13">SUM(H69:K69)+AF69+O69</f>
        <v>0</v>
      </c>
    </row>
    <row r="70" spans="1:33" s="29" customFormat="1" ht="23.25" customHeight="1" x14ac:dyDescent="0.2">
      <c r="A70" s="18">
        <v>43641</v>
      </c>
      <c r="B70" s="19"/>
      <c r="C70" s="20" t="s">
        <v>58</v>
      </c>
      <c r="D70" s="20"/>
      <c r="E70" s="20"/>
      <c r="F70" s="21"/>
      <c r="G70" s="44" t="s">
        <v>685</v>
      </c>
      <c r="H70" s="23">
        <v>100</v>
      </c>
      <c r="I70" s="23"/>
      <c r="J70" s="23"/>
      <c r="K70" s="23"/>
      <c r="L70" s="24"/>
      <c r="M70" s="25">
        <f t="shared" si="10"/>
        <v>100</v>
      </c>
      <c r="N70" s="25">
        <f t="shared" si="11"/>
        <v>0</v>
      </c>
      <c r="O70" s="25">
        <f t="shared" si="9"/>
        <v>0</v>
      </c>
      <c r="P70" s="25"/>
      <c r="Q70" s="26"/>
      <c r="R70" s="26"/>
      <c r="S70" s="27"/>
      <c r="T70" s="27"/>
      <c r="U70" s="27"/>
      <c r="V70" s="27"/>
      <c r="W70" s="27"/>
      <c r="X70" s="27"/>
      <c r="Y70" s="26"/>
      <c r="Z70" s="26"/>
      <c r="AA70" s="26">
        <v>100</v>
      </c>
      <c r="AB70" s="27"/>
      <c r="AC70" s="27"/>
      <c r="AD70" s="27"/>
      <c r="AE70" s="26"/>
      <c r="AF70" s="25">
        <f t="shared" si="12"/>
        <v>-100</v>
      </c>
      <c r="AG70" s="28">
        <f t="shared" si="13"/>
        <v>0</v>
      </c>
    </row>
    <row r="71" spans="1:33" s="29" customFormat="1" ht="23.25" customHeight="1" x14ac:dyDescent="0.2">
      <c r="A71" s="18">
        <v>43641</v>
      </c>
      <c r="B71" s="19"/>
      <c r="C71" s="20" t="s">
        <v>45</v>
      </c>
      <c r="D71" s="20" t="s">
        <v>46</v>
      </c>
      <c r="E71" s="20" t="s">
        <v>47</v>
      </c>
      <c r="F71" s="21">
        <v>175981</v>
      </c>
      <c r="G71" s="44" t="s">
        <v>686</v>
      </c>
      <c r="H71" s="23"/>
      <c r="I71" s="23"/>
      <c r="J71" s="23"/>
      <c r="K71" s="23">
        <v>96.6</v>
      </c>
      <c r="L71" s="24"/>
      <c r="M71" s="25">
        <f t="shared" si="10"/>
        <v>86.249999999999986</v>
      </c>
      <c r="N71" s="25">
        <f t="shared" si="11"/>
        <v>10.349999999999998</v>
      </c>
      <c r="O71" s="25">
        <f t="shared" si="9"/>
        <v>0</v>
      </c>
      <c r="P71" s="25"/>
      <c r="Q71" s="26"/>
      <c r="R71" s="26"/>
      <c r="S71" s="27">
        <v>86.25</v>
      </c>
      <c r="T71" s="27"/>
      <c r="U71" s="27"/>
      <c r="V71" s="27"/>
      <c r="W71" s="27"/>
      <c r="X71" s="27"/>
      <c r="Y71" s="26"/>
      <c r="Z71" s="26"/>
      <c r="AA71" s="26"/>
      <c r="AB71" s="27"/>
      <c r="AC71" s="27"/>
      <c r="AD71" s="27"/>
      <c r="AE71" s="26"/>
      <c r="AF71" s="25">
        <f t="shared" si="12"/>
        <v>-96.6</v>
      </c>
      <c r="AG71" s="28">
        <f t="shared" si="13"/>
        <v>0</v>
      </c>
    </row>
    <row r="72" spans="1:33" s="29" customFormat="1" ht="23.25" customHeight="1" x14ac:dyDescent="0.2">
      <c r="A72" s="18">
        <v>43641</v>
      </c>
      <c r="B72" s="19"/>
      <c r="C72" s="20" t="s">
        <v>37</v>
      </c>
      <c r="D72" s="20" t="s">
        <v>38</v>
      </c>
      <c r="E72" s="20" t="s">
        <v>39</v>
      </c>
      <c r="F72" s="21">
        <v>36128</v>
      </c>
      <c r="G72" s="44" t="s">
        <v>687</v>
      </c>
      <c r="H72" s="23"/>
      <c r="I72" s="23"/>
      <c r="J72" s="23"/>
      <c r="K72" s="23">
        <v>232.48</v>
      </c>
      <c r="L72" s="24"/>
      <c r="M72" s="25">
        <f t="shared" si="10"/>
        <v>207.57142857142856</v>
      </c>
      <c r="N72" s="25">
        <f t="shared" si="11"/>
        <v>24.908571428571427</v>
      </c>
      <c r="O72" s="25">
        <f t="shared" si="9"/>
        <v>0</v>
      </c>
      <c r="P72" s="25">
        <v>207.57</v>
      </c>
      <c r="Q72" s="26"/>
      <c r="R72" s="26"/>
      <c r="S72" s="27"/>
      <c r="T72" s="27"/>
      <c r="U72" s="27"/>
      <c r="V72" s="27"/>
      <c r="W72" s="27"/>
      <c r="X72" s="27"/>
      <c r="Y72" s="26"/>
      <c r="Z72" s="26"/>
      <c r="AA72" s="26"/>
      <c r="AB72" s="27"/>
      <c r="AC72" s="27"/>
      <c r="AD72" s="27"/>
      <c r="AE72" s="26"/>
      <c r="AF72" s="25">
        <f t="shared" si="12"/>
        <v>-232.47857142857143</v>
      </c>
      <c r="AG72" s="28">
        <f t="shared" si="13"/>
        <v>1.4285714285620088E-3</v>
      </c>
    </row>
    <row r="73" spans="1:33" s="29" customFormat="1" ht="24.75" customHeight="1" x14ac:dyDescent="0.2">
      <c r="A73" s="18">
        <v>43642</v>
      </c>
      <c r="B73" s="19"/>
      <c r="C73" s="20" t="s">
        <v>41</v>
      </c>
      <c r="D73" s="20" t="s">
        <v>42</v>
      </c>
      <c r="E73" s="20" t="s">
        <v>43</v>
      </c>
      <c r="F73" s="21">
        <v>180011</v>
      </c>
      <c r="G73" s="22" t="s">
        <v>44</v>
      </c>
      <c r="H73" s="23"/>
      <c r="I73" s="23"/>
      <c r="J73" s="23"/>
      <c r="K73" s="23">
        <v>180</v>
      </c>
      <c r="L73" s="24"/>
      <c r="M73" s="25">
        <f t="shared" si="10"/>
        <v>160.71428571428569</v>
      </c>
      <c r="N73" s="25">
        <f t="shared" si="11"/>
        <v>19.285714285714281</v>
      </c>
      <c r="O73" s="25">
        <f t="shared" si="9"/>
        <v>0</v>
      </c>
      <c r="P73" s="25"/>
      <c r="Q73" s="26">
        <v>160.71</v>
      </c>
      <c r="R73" s="26"/>
      <c r="S73" s="27"/>
      <c r="T73" s="27"/>
      <c r="U73" s="27"/>
      <c r="V73" s="27"/>
      <c r="W73" s="27"/>
      <c r="X73" s="26"/>
      <c r="Y73" s="26"/>
      <c r="Z73" s="26"/>
      <c r="AA73" s="26"/>
      <c r="AB73" s="27"/>
      <c r="AC73" s="27"/>
      <c r="AD73" s="26"/>
      <c r="AE73" s="26"/>
      <c r="AF73" s="25">
        <f t="shared" si="12"/>
        <v>-179.99571428571429</v>
      </c>
      <c r="AG73" s="28">
        <f t="shared" si="13"/>
        <v>4.2857142857144481E-3</v>
      </c>
    </row>
    <row r="74" spans="1:33" s="29" customFormat="1" ht="23.25" customHeight="1" x14ac:dyDescent="0.2">
      <c r="A74" s="18">
        <v>43642</v>
      </c>
      <c r="B74" s="19"/>
      <c r="C74" s="20" t="s">
        <v>45</v>
      </c>
      <c r="D74" s="20" t="s">
        <v>46</v>
      </c>
      <c r="E74" s="20" t="s">
        <v>47</v>
      </c>
      <c r="F74" s="21">
        <v>161480</v>
      </c>
      <c r="G74" s="44" t="s">
        <v>688</v>
      </c>
      <c r="H74" s="23"/>
      <c r="I74" s="23"/>
      <c r="J74" s="23"/>
      <c r="K74" s="23">
        <f>661.38+79.37</f>
        <v>740.75</v>
      </c>
      <c r="L74" s="24"/>
      <c r="M74" s="25">
        <f t="shared" si="10"/>
        <v>661.38392857142856</v>
      </c>
      <c r="N74" s="25">
        <f t="shared" si="11"/>
        <v>79.366071428571431</v>
      </c>
      <c r="O74" s="25">
        <f t="shared" si="9"/>
        <v>0</v>
      </c>
      <c r="P74" s="25">
        <v>661.38</v>
      </c>
      <c r="Q74" s="26"/>
      <c r="R74" s="26"/>
      <c r="S74" s="27"/>
      <c r="T74" s="27"/>
      <c r="U74" s="27"/>
      <c r="V74" s="27"/>
      <c r="W74" s="27"/>
      <c r="X74" s="27"/>
      <c r="Y74" s="26"/>
      <c r="Z74" s="26"/>
      <c r="AA74" s="26"/>
      <c r="AB74" s="27"/>
      <c r="AC74" s="27"/>
      <c r="AD74" s="27"/>
      <c r="AE74" s="26"/>
      <c r="AF74" s="25">
        <f t="shared" si="12"/>
        <v>-740.74607142857144</v>
      </c>
      <c r="AG74" s="28">
        <f t="shared" si="13"/>
        <v>3.9285714285597351E-3</v>
      </c>
    </row>
    <row r="75" spans="1:33" s="29" customFormat="1" ht="23.25" customHeight="1" x14ac:dyDescent="0.2">
      <c r="A75" s="18">
        <v>43642</v>
      </c>
      <c r="B75" s="19"/>
      <c r="C75" s="20" t="s">
        <v>45</v>
      </c>
      <c r="D75" s="20" t="s">
        <v>46</v>
      </c>
      <c r="E75" s="20" t="s">
        <v>47</v>
      </c>
      <c r="F75" s="21">
        <v>161480</v>
      </c>
      <c r="G75" s="44" t="s">
        <v>689</v>
      </c>
      <c r="H75" s="23"/>
      <c r="I75" s="23"/>
      <c r="J75" s="23">
        <v>250</v>
      </c>
      <c r="K75" s="23"/>
      <c r="L75" s="24"/>
      <c r="M75" s="25">
        <f t="shared" si="10"/>
        <v>250</v>
      </c>
      <c r="N75" s="25">
        <f t="shared" si="11"/>
        <v>0</v>
      </c>
      <c r="O75" s="25">
        <f t="shared" si="9"/>
        <v>0</v>
      </c>
      <c r="P75" s="25">
        <v>250</v>
      </c>
      <c r="Q75" s="26"/>
      <c r="R75" s="26"/>
      <c r="S75" s="27"/>
      <c r="T75" s="27"/>
      <c r="U75" s="27"/>
      <c r="V75" s="27"/>
      <c r="W75" s="27"/>
      <c r="X75" s="27"/>
      <c r="Y75" s="26"/>
      <c r="Z75" s="26"/>
      <c r="AA75" s="26"/>
      <c r="AB75" s="27"/>
      <c r="AC75" s="27"/>
      <c r="AD75" s="27"/>
      <c r="AE75" s="26"/>
      <c r="AF75" s="25">
        <f t="shared" si="12"/>
        <v>-250</v>
      </c>
      <c r="AG75" s="28">
        <f t="shared" si="13"/>
        <v>0</v>
      </c>
    </row>
    <row r="76" spans="1:33" s="29" customFormat="1" ht="23.25" customHeight="1" x14ac:dyDescent="0.2">
      <c r="A76" s="18">
        <v>43642</v>
      </c>
      <c r="B76" s="19"/>
      <c r="C76" s="20" t="s">
        <v>37</v>
      </c>
      <c r="D76" s="20" t="s">
        <v>38</v>
      </c>
      <c r="E76" s="20" t="s">
        <v>39</v>
      </c>
      <c r="F76" s="21">
        <v>36144</v>
      </c>
      <c r="G76" s="44" t="s">
        <v>690</v>
      </c>
      <c r="H76" s="23"/>
      <c r="I76" s="23"/>
      <c r="J76" s="23"/>
      <c r="K76" s="23">
        <v>172</v>
      </c>
      <c r="L76" s="24"/>
      <c r="M76" s="25">
        <f t="shared" si="10"/>
        <v>153.57142857142856</v>
      </c>
      <c r="N76" s="25">
        <f t="shared" si="11"/>
        <v>18.428571428571427</v>
      </c>
      <c r="O76" s="25">
        <f t="shared" si="9"/>
        <v>0</v>
      </c>
      <c r="P76" s="25">
        <v>153.57</v>
      </c>
      <c r="Q76" s="26"/>
      <c r="R76" s="26"/>
      <c r="S76" s="27"/>
      <c r="T76" s="27"/>
      <c r="U76" s="27"/>
      <c r="V76" s="27"/>
      <c r="W76" s="27"/>
      <c r="X76" s="27"/>
      <c r="Y76" s="26"/>
      <c r="Z76" s="26"/>
      <c r="AA76" s="26"/>
      <c r="AB76" s="27"/>
      <c r="AC76" s="27"/>
      <c r="AD76" s="27"/>
      <c r="AE76" s="26"/>
      <c r="AF76" s="25">
        <f t="shared" si="12"/>
        <v>-171.99857142857141</v>
      </c>
      <c r="AG76" s="28">
        <f t="shared" si="13"/>
        <v>1.4285714285904305E-3</v>
      </c>
    </row>
    <row r="77" spans="1:33" s="29" customFormat="1" ht="23.25" customHeight="1" x14ac:dyDescent="0.2">
      <c r="A77" s="18">
        <v>43642</v>
      </c>
      <c r="B77" s="19"/>
      <c r="C77" s="20" t="s">
        <v>54</v>
      </c>
      <c r="D77" s="20" t="s">
        <v>55</v>
      </c>
      <c r="E77" s="20" t="s">
        <v>56</v>
      </c>
      <c r="F77" s="21">
        <v>3229</v>
      </c>
      <c r="G77" s="44" t="s">
        <v>626</v>
      </c>
      <c r="H77" s="23"/>
      <c r="I77" s="23"/>
      <c r="J77" s="23">
        <v>880</v>
      </c>
      <c r="K77" s="23"/>
      <c r="L77" s="24"/>
      <c r="M77" s="25">
        <f t="shared" si="10"/>
        <v>880</v>
      </c>
      <c r="N77" s="25">
        <f t="shared" si="11"/>
        <v>0</v>
      </c>
      <c r="O77" s="25">
        <f t="shared" si="9"/>
        <v>0</v>
      </c>
      <c r="P77" s="25">
        <v>880</v>
      </c>
      <c r="Q77" s="26"/>
      <c r="R77" s="26"/>
      <c r="S77" s="27"/>
      <c r="T77" s="27"/>
      <c r="U77" s="27"/>
      <c r="V77" s="27"/>
      <c r="W77" s="27"/>
      <c r="X77" s="27"/>
      <c r="Y77" s="26"/>
      <c r="Z77" s="26"/>
      <c r="AA77" s="26"/>
      <c r="AB77" s="27"/>
      <c r="AC77" s="27"/>
      <c r="AD77" s="27"/>
      <c r="AE77" s="26"/>
      <c r="AF77" s="25">
        <f t="shared" si="12"/>
        <v>-880</v>
      </c>
      <c r="AG77" s="28">
        <f t="shared" si="13"/>
        <v>0</v>
      </c>
    </row>
    <row r="78" spans="1:33" s="41" customFormat="1" ht="23.25" customHeight="1" x14ac:dyDescent="0.2">
      <c r="A78" s="30">
        <v>43642</v>
      </c>
      <c r="B78" s="31"/>
      <c r="C78" s="32" t="s">
        <v>58</v>
      </c>
      <c r="D78" s="32"/>
      <c r="E78" s="32"/>
      <c r="F78" s="33"/>
      <c r="G78" s="34" t="s">
        <v>685</v>
      </c>
      <c r="H78" s="35">
        <v>100</v>
      </c>
      <c r="I78" s="35"/>
      <c r="J78" s="35"/>
      <c r="K78" s="35"/>
      <c r="L78" s="36"/>
      <c r="M78" s="37">
        <f t="shared" si="10"/>
        <v>100</v>
      </c>
      <c r="N78" s="37">
        <f t="shared" si="11"/>
        <v>0</v>
      </c>
      <c r="O78" s="37">
        <f t="shared" si="9"/>
        <v>0</v>
      </c>
      <c r="P78" s="37"/>
      <c r="Q78" s="38"/>
      <c r="R78" s="38"/>
      <c r="S78" s="39"/>
      <c r="T78" s="39"/>
      <c r="U78" s="39"/>
      <c r="V78" s="39"/>
      <c r="W78" s="39"/>
      <c r="X78" s="39"/>
      <c r="Y78" s="38"/>
      <c r="Z78" s="38"/>
      <c r="AA78" s="38">
        <v>100</v>
      </c>
      <c r="AB78" s="39"/>
      <c r="AC78" s="39"/>
      <c r="AD78" s="39"/>
      <c r="AE78" s="38"/>
      <c r="AF78" s="37">
        <f t="shared" si="12"/>
        <v>-100</v>
      </c>
      <c r="AG78" s="40">
        <f t="shared" si="13"/>
        <v>0</v>
      </c>
    </row>
    <row r="79" spans="1:33" s="29" customFormat="1" ht="23.25" customHeight="1" x14ac:dyDescent="0.2">
      <c r="A79" s="18">
        <v>43643</v>
      </c>
      <c r="B79" s="19"/>
      <c r="C79" s="20" t="s">
        <v>37</v>
      </c>
      <c r="D79" s="20" t="s">
        <v>38</v>
      </c>
      <c r="E79" s="20" t="s">
        <v>39</v>
      </c>
      <c r="F79" s="21">
        <v>36049</v>
      </c>
      <c r="G79" s="62" t="s">
        <v>691</v>
      </c>
      <c r="H79" s="23"/>
      <c r="I79" s="23"/>
      <c r="J79" s="23"/>
      <c r="K79" s="23">
        <v>398</v>
      </c>
      <c r="L79" s="24"/>
      <c r="M79" s="25">
        <f t="shared" si="10"/>
        <v>355.35714285714283</v>
      </c>
      <c r="N79" s="25">
        <f t="shared" si="11"/>
        <v>42.642857142857139</v>
      </c>
      <c r="O79" s="25">
        <f t="shared" si="9"/>
        <v>0</v>
      </c>
      <c r="P79" s="25"/>
      <c r="Q79" s="26">
        <v>355.36</v>
      </c>
      <c r="R79" s="26"/>
      <c r="S79" s="27"/>
      <c r="T79" s="27"/>
      <c r="U79" s="27"/>
      <c r="V79" s="27"/>
      <c r="W79" s="27"/>
      <c r="X79" s="26"/>
      <c r="Y79" s="26"/>
      <c r="Z79" s="26"/>
      <c r="AA79" s="26"/>
      <c r="AB79" s="27"/>
      <c r="AC79" s="27"/>
      <c r="AD79" s="26"/>
      <c r="AE79" s="26"/>
      <c r="AF79" s="25">
        <f t="shared" si="12"/>
        <v>-398.00285714285712</v>
      </c>
      <c r="AG79" s="28">
        <f t="shared" si="13"/>
        <v>-2.8571428571240176E-3</v>
      </c>
    </row>
    <row r="80" spans="1:33" s="29" customFormat="1" ht="24.75" customHeight="1" x14ac:dyDescent="0.2">
      <c r="A80" s="18">
        <v>43643</v>
      </c>
      <c r="B80" s="19"/>
      <c r="C80" s="20" t="s">
        <v>41</v>
      </c>
      <c r="D80" s="20" t="s">
        <v>42</v>
      </c>
      <c r="E80" s="20" t="s">
        <v>43</v>
      </c>
      <c r="F80" s="21">
        <v>75758</v>
      </c>
      <c r="G80" s="22" t="s">
        <v>44</v>
      </c>
      <c r="H80" s="23"/>
      <c r="I80" s="23"/>
      <c r="J80" s="23"/>
      <c r="K80" s="23">
        <v>180</v>
      </c>
      <c r="L80" s="24"/>
      <c r="M80" s="25">
        <f t="shared" si="10"/>
        <v>160.71428571428569</v>
      </c>
      <c r="N80" s="25">
        <f t="shared" si="11"/>
        <v>19.285714285714281</v>
      </c>
      <c r="O80" s="25">
        <f t="shared" si="9"/>
        <v>0</v>
      </c>
      <c r="P80" s="25"/>
      <c r="Q80" s="26">
        <v>160.71</v>
      </c>
      <c r="R80" s="26"/>
      <c r="S80" s="27"/>
      <c r="T80" s="27"/>
      <c r="U80" s="27"/>
      <c r="V80" s="27"/>
      <c r="W80" s="27"/>
      <c r="X80" s="26"/>
      <c r="Y80" s="26"/>
      <c r="Z80" s="26"/>
      <c r="AA80" s="26"/>
      <c r="AB80" s="27"/>
      <c r="AC80" s="27"/>
      <c r="AD80" s="26"/>
      <c r="AE80" s="26"/>
      <c r="AF80" s="25">
        <f t="shared" si="12"/>
        <v>-179.99571428571429</v>
      </c>
      <c r="AG80" s="28">
        <f t="shared" si="13"/>
        <v>4.2857142857144481E-3</v>
      </c>
    </row>
    <row r="81" spans="1:33" s="29" customFormat="1" ht="23.25" customHeight="1" x14ac:dyDescent="0.2">
      <c r="A81" s="18">
        <v>43644</v>
      </c>
      <c r="B81" s="19"/>
      <c r="C81" s="20" t="s">
        <v>692</v>
      </c>
      <c r="D81" s="20"/>
      <c r="E81" s="20"/>
      <c r="F81" s="21"/>
      <c r="G81" s="62" t="s">
        <v>693</v>
      </c>
      <c r="H81" s="23">
        <v>268.5</v>
      </c>
      <c r="I81" s="23"/>
      <c r="J81" s="23"/>
      <c r="K81" s="23"/>
      <c r="L81" s="24"/>
      <c r="M81" s="25">
        <f t="shared" si="10"/>
        <v>268.5</v>
      </c>
      <c r="N81" s="25">
        <f t="shared" si="11"/>
        <v>0</v>
      </c>
      <c r="O81" s="25">
        <f t="shared" si="9"/>
        <v>0</v>
      </c>
      <c r="P81" s="25"/>
      <c r="Q81" s="26"/>
      <c r="R81" s="26"/>
      <c r="S81" s="27"/>
      <c r="T81" s="27"/>
      <c r="U81" s="27"/>
      <c r="V81" s="27"/>
      <c r="W81" s="27"/>
      <c r="X81" s="26"/>
      <c r="Y81" s="26"/>
      <c r="Z81" s="26"/>
      <c r="AA81" s="26"/>
      <c r="AB81" s="27">
        <v>268.5</v>
      </c>
      <c r="AC81" s="27"/>
      <c r="AD81" s="26"/>
      <c r="AE81" s="26"/>
      <c r="AF81" s="25">
        <f t="shared" si="12"/>
        <v>-268.5</v>
      </c>
      <c r="AG81" s="28">
        <f t="shared" si="13"/>
        <v>0</v>
      </c>
    </row>
    <row r="82" spans="1:33" s="29" customFormat="1" ht="23.25" customHeight="1" x14ac:dyDescent="0.2">
      <c r="A82" s="18">
        <v>43644</v>
      </c>
      <c r="B82" s="19"/>
      <c r="C82" s="20" t="s">
        <v>694</v>
      </c>
      <c r="D82" s="20"/>
      <c r="E82" s="20"/>
      <c r="F82" s="21"/>
      <c r="G82" s="44" t="s">
        <v>695</v>
      </c>
      <c r="H82" s="23">
        <v>537</v>
      </c>
      <c r="I82" s="23"/>
      <c r="J82" s="23"/>
      <c r="K82" s="23"/>
      <c r="L82" s="24"/>
      <c r="M82" s="25">
        <f t="shared" si="10"/>
        <v>537</v>
      </c>
      <c r="N82" s="25">
        <f t="shared" si="11"/>
        <v>0</v>
      </c>
      <c r="O82" s="25">
        <f t="shared" si="9"/>
        <v>0</v>
      </c>
      <c r="P82" s="25"/>
      <c r="Q82" s="26"/>
      <c r="R82" s="26"/>
      <c r="S82" s="27"/>
      <c r="T82" s="27"/>
      <c r="U82" s="27"/>
      <c r="V82" s="27"/>
      <c r="W82" s="27"/>
      <c r="X82" s="26"/>
      <c r="Y82" s="26"/>
      <c r="Z82" s="26"/>
      <c r="AA82" s="26"/>
      <c r="AB82" s="27">
        <v>537</v>
      </c>
      <c r="AC82" s="27"/>
      <c r="AD82" s="26"/>
      <c r="AE82" s="26"/>
      <c r="AF82" s="25">
        <f t="shared" si="12"/>
        <v>-537</v>
      </c>
      <c r="AG82" s="28">
        <f t="shared" si="13"/>
        <v>0</v>
      </c>
    </row>
    <row r="83" spans="1:33" s="29" customFormat="1" ht="23.25" customHeight="1" x14ac:dyDescent="0.2">
      <c r="A83" s="18">
        <v>43644</v>
      </c>
      <c r="B83" s="19"/>
      <c r="C83" s="20" t="s">
        <v>45</v>
      </c>
      <c r="D83" s="20" t="s">
        <v>46</v>
      </c>
      <c r="E83" s="20" t="s">
        <v>47</v>
      </c>
      <c r="F83" s="21">
        <v>196404</v>
      </c>
      <c r="G83" s="20" t="s">
        <v>696</v>
      </c>
      <c r="H83" s="23"/>
      <c r="I83" s="23"/>
      <c r="J83" s="23"/>
      <c r="K83" s="23">
        <f>900.18+108.02</f>
        <v>1008.1999999999999</v>
      </c>
      <c r="L83" s="24"/>
      <c r="M83" s="25">
        <f t="shared" si="10"/>
        <v>900.17857142857133</v>
      </c>
      <c r="N83" s="25">
        <f t="shared" si="11"/>
        <v>108.02142857142856</v>
      </c>
      <c r="O83" s="25">
        <f t="shared" si="9"/>
        <v>0</v>
      </c>
      <c r="P83" s="25">
        <v>900.18</v>
      </c>
      <c r="Q83" s="26"/>
      <c r="R83" s="26"/>
      <c r="S83" s="27"/>
      <c r="T83" s="27"/>
      <c r="U83" s="27"/>
      <c r="V83" s="27"/>
      <c r="W83" s="27"/>
      <c r="X83" s="26"/>
      <c r="Y83" s="26"/>
      <c r="Z83" s="26"/>
      <c r="AA83" s="26"/>
      <c r="AB83" s="27"/>
      <c r="AC83" s="27"/>
      <c r="AD83" s="26"/>
      <c r="AE83" s="26"/>
      <c r="AF83" s="25">
        <f t="shared" si="12"/>
        <v>-1008.2014285714286</v>
      </c>
      <c r="AG83" s="28">
        <f t="shared" si="13"/>
        <v>-1.4285714286188522E-3</v>
      </c>
    </row>
    <row r="84" spans="1:33" s="29" customFormat="1" ht="23.25" customHeight="1" x14ac:dyDescent="0.2">
      <c r="A84" s="18">
        <v>43644</v>
      </c>
      <c r="B84" s="19"/>
      <c r="C84" s="20" t="s">
        <v>45</v>
      </c>
      <c r="D84" s="20" t="s">
        <v>46</v>
      </c>
      <c r="E84" s="20" t="s">
        <v>47</v>
      </c>
      <c r="F84" s="21">
        <v>196404</v>
      </c>
      <c r="G84" s="44" t="s">
        <v>697</v>
      </c>
      <c r="H84" s="23"/>
      <c r="I84" s="23"/>
      <c r="J84" s="23">
        <v>183.5</v>
      </c>
      <c r="K84" s="23"/>
      <c r="L84" s="24"/>
      <c r="M84" s="25">
        <f t="shared" si="10"/>
        <v>183.5</v>
      </c>
      <c r="N84" s="25">
        <f t="shared" si="11"/>
        <v>0</v>
      </c>
      <c r="O84" s="25">
        <f t="shared" si="9"/>
        <v>0</v>
      </c>
      <c r="P84" s="25">
        <v>183.5</v>
      </c>
      <c r="Q84" s="26"/>
      <c r="R84" s="26"/>
      <c r="S84" s="27"/>
      <c r="T84" s="27"/>
      <c r="U84" s="27"/>
      <c r="V84" s="27"/>
      <c r="W84" s="27"/>
      <c r="X84" s="26"/>
      <c r="Y84" s="26"/>
      <c r="Z84" s="26"/>
      <c r="AA84" s="26"/>
      <c r="AB84" s="27"/>
      <c r="AC84" s="27"/>
      <c r="AD84" s="26"/>
      <c r="AE84" s="26"/>
      <c r="AF84" s="25">
        <f t="shared" si="12"/>
        <v>-183.5</v>
      </c>
      <c r="AG84" s="28">
        <f t="shared" si="13"/>
        <v>0</v>
      </c>
    </row>
    <row r="85" spans="1:33" s="29" customFormat="1" ht="24.75" customHeight="1" x14ac:dyDescent="0.2">
      <c r="A85" s="18">
        <v>43644</v>
      </c>
      <c r="B85" s="19"/>
      <c r="C85" s="20" t="s">
        <v>41</v>
      </c>
      <c r="D85" s="20" t="s">
        <v>42</v>
      </c>
      <c r="E85" s="20" t="s">
        <v>43</v>
      </c>
      <c r="F85" s="21">
        <v>185715</v>
      </c>
      <c r="G85" s="22" t="s">
        <v>44</v>
      </c>
      <c r="H85" s="23"/>
      <c r="I85" s="23"/>
      <c r="J85" s="23"/>
      <c r="K85" s="23">
        <v>180</v>
      </c>
      <c r="L85" s="24"/>
      <c r="M85" s="25">
        <f t="shared" si="10"/>
        <v>160.71428571428569</v>
      </c>
      <c r="N85" s="25">
        <f t="shared" si="11"/>
        <v>19.285714285714281</v>
      </c>
      <c r="O85" s="25">
        <f t="shared" si="9"/>
        <v>0</v>
      </c>
      <c r="P85" s="25"/>
      <c r="Q85" s="26">
        <v>160.71</v>
      </c>
      <c r="R85" s="26"/>
      <c r="S85" s="27"/>
      <c r="T85" s="27"/>
      <c r="U85" s="27"/>
      <c r="V85" s="27"/>
      <c r="W85" s="27"/>
      <c r="X85" s="26"/>
      <c r="Y85" s="26"/>
      <c r="Z85" s="26"/>
      <c r="AA85" s="26"/>
      <c r="AB85" s="27"/>
      <c r="AC85" s="27"/>
      <c r="AD85" s="26"/>
      <c r="AE85" s="26"/>
      <c r="AF85" s="25">
        <f t="shared" si="12"/>
        <v>-179.99571428571429</v>
      </c>
      <c r="AG85" s="28">
        <f t="shared" si="13"/>
        <v>4.2857142857144481E-3</v>
      </c>
    </row>
    <row r="86" spans="1:33" s="29" customFormat="1" ht="23.25" customHeight="1" x14ac:dyDescent="0.2">
      <c r="A86" s="18"/>
      <c r="B86" s="19"/>
      <c r="C86" s="20"/>
      <c r="D86" s="20"/>
      <c r="E86" s="20"/>
      <c r="F86" s="21"/>
      <c r="G86" s="22"/>
      <c r="H86" s="23"/>
      <c r="I86" s="23"/>
      <c r="J86" s="23"/>
      <c r="K86" s="23"/>
      <c r="L86" s="24"/>
      <c r="M86" s="25"/>
      <c r="N86" s="25"/>
      <c r="O86" s="25"/>
      <c r="P86" s="25"/>
      <c r="Q86" s="26"/>
      <c r="R86" s="26"/>
      <c r="S86" s="27"/>
      <c r="T86" s="27"/>
      <c r="U86" s="27"/>
      <c r="V86" s="27"/>
      <c r="W86" s="27"/>
      <c r="X86" s="26"/>
      <c r="Y86" s="26"/>
      <c r="Z86" s="26"/>
      <c r="AA86" s="26"/>
      <c r="AB86" s="27"/>
      <c r="AC86" s="27"/>
      <c r="AD86" s="26"/>
      <c r="AE86" s="26"/>
      <c r="AF86" s="25"/>
      <c r="AG86" s="28"/>
    </row>
    <row r="87" spans="1:33" s="29" customFormat="1" ht="23.25" customHeight="1" x14ac:dyDescent="0.2">
      <c r="A87" s="18"/>
      <c r="B87" s="19"/>
      <c r="C87" s="20"/>
      <c r="D87" s="20"/>
      <c r="E87" s="20"/>
      <c r="F87" s="21"/>
      <c r="G87" s="22"/>
      <c r="H87" s="23"/>
      <c r="I87" s="23"/>
      <c r="J87" s="23"/>
      <c r="K87" s="23"/>
      <c r="L87" s="24"/>
      <c r="M87" s="25"/>
      <c r="N87" s="25"/>
      <c r="O87" s="25"/>
      <c r="P87" s="25"/>
      <c r="Q87" s="26"/>
      <c r="R87" s="26"/>
      <c r="S87" s="27"/>
      <c r="T87" s="27"/>
      <c r="U87" s="27"/>
      <c r="V87" s="27"/>
      <c r="W87" s="27"/>
      <c r="X87" s="26"/>
      <c r="Y87" s="26"/>
      <c r="Z87" s="26"/>
      <c r="AA87" s="26"/>
      <c r="AB87" s="27"/>
      <c r="AC87" s="27"/>
      <c r="AD87" s="26"/>
      <c r="AE87" s="26"/>
      <c r="AF87" s="25"/>
      <c r="AG87" s="28"/>
    </row>
    <row r="88" spans="1:33" s="29" customFormat="1" ht="23.25" customHeight="1" x14ac:dyDescent="0.2">
      <c r="A88" s="18"/>
      <c r="B88" s="19"/>
      <c r="C88" s="20"/>
      <c r="D88" s="20"/>
      <c r="E88" s="20"/>
      <c r="F88" s="21"/>
      <c r="G88" s="22"/>
      <c r="H88" s="23"/>
      <c r="I88" s="23"/>
      <c r="J88" s="23"/>
      <c r="K88" s="23"/>
      <c r="L88" s="24"/>
      <c r="M88" s="25"/>
      <c r="N88" s="25"/>
      <c r="O88" s="25"/>
      <c r="P88" s="25"/>
      <c r="Q88" s="26"/>
      <c r="R88" s="26"/>
      <c r="S88" s="27"/>
      <c r="T88" s="27"/>
      <c r="U88" s="27"/>
      <c r="V88" s="27"/>
      <c r="W88" s="27"/>
      <c r="X88" s="26"/>
      <c r="Y88" s="26"/>
      <c r="Z88" s="26"/>
      <c r="AA88" s="26"/>
      <c r="AB88" s="27"/>
      <c r="AC88" s="27"/>
      <c r="AD88" s="26"/>
      <c r="AE88" s="26"/>
      <c r="AF88" s="25"/>
      <c r="AG88" s="28"/>
    </row>
    <row r="89" spans="1:33" s="29" customFormat="1" ht="19.5" customHeight="1" x14ac:dyDescent="0.2">
      <c r="A89" s="18"/>
      <c r="B89" s="19"/>
      <c r="C89" s="45"/>
      <c r="D89" s="45"/>
      <c r="E89" s="45"/>
      <c r="F89" s="21"/>
      <c r="G89" s="22"/>
      <c r="H89" s="23"/>
      <c r="I89" s="23"/>
      <c r="J89" s="23"/>
      <c r="K89" s="23"/>
      <c r="L89" s="24"/>
      <c r="M89" s="26">
        <f>SUM(H89:J89,K89/1.12)</f>
        <v>0</v>
      </c>
      <c r="N89" s="26">
        <f>K89/1.12*0.12</f>
        <v>0</v>
      </c>
      <c r="O89" s="26">
        <f>-SUM(I89:J89,K89/1.12)*L89</f>
        <v>0</v>
      </c>
      <c r="P89" s="26"/>
      <c r="Q89" s="26"/>
      <c r="R89" s="26"/>
      <c r="S89" s="26"/>
      <c r="T89" s="27"/>
      <c r="U89" s="27"/>
      <c r="V89" s="27"/>
      <c r="W89" s="27"/>
      <c r="X89" s="27"/>
      <c r="Y89" s="46"/>
      <c r="Z89" s="26"/>
      <c r="AA89" s="26"/>
      <c r="AB89" s="26"/>
      <c r="AC89" s="27"/>
      <c r="AD89" s="27"/>
      <c r="AE89" s="47"/>
      <c r="AF89" s="25">
        <f>-SUM(N89:AE89)</f>
        <v>0</v>
      </c>
      <c r="AG89" s="28">
        <f>SUM(H89:K89)+AF89+O89</f>
        <v>0</v>
      </c>
    </row>
    <row r="90" spans="1:33" s="57" customFormat="1" ht="12" customHeight="1" x14ac:dyDescent="0.2">
      <c r="A90" s="49"/>
      <c r="B90" s="50"/>
      <c r="C90" s="51"/>
      <c r="D90" s="52"/>
      <c r="E90" s="52"/>
      <c r="F90" s="53"/>
      <c r="G90" s="51"/>
      <c r="H90" s="54">
        <f t="shared" ref="H90:AG90" si="14">SUM(H5:H89)</f>
        <v>3468.5</v>
      </c>
      <c r="I90" s="54">
        <f t="shared" si="14"/>
        <v>0</v>
      </c>
      <c r="J90" s="54">
        <f t="shared" si="14"/>
        <v>4785.6100000000006</v>
      </c>
      <c r="K90" s="54">
        <f t="shared" si="14"/>
        <v>30566.469999999998</v>
      </c>
      <c r="L90" s="54">
        <f t="shared" si="14"/>
        <v>0.01</v>
      </c>
      <c r="M90" s="54">
        <f t="shared" si="14"/>
        <v>35545.601071428558</v>
      </c>
      <c r="N90" s="54">
        <f t="shared" si="14"/>
        <v>3274.9789285714287</v>
      </c>
      <c r="O90" s="54">
        <f t="shared" si="14"/>
        <v>-11.785714285714285</v>
      </c>
      <c r="P90" s="54">
        <f t="shared" si="14"/>
        <v>14669.269999999999</v>
      </c>
      <c r="Q90" s="54">
        <f t="shared" si="14"/>
        <v>10839.219999999996</v>
      </c>
      <c r="R90" s="54">
        <f t="shared" si="14"/>
        <v>1931.78</v>
      </c>
      <c r="S90" s="54">
        <f t="shared" si="14"/>
        <v>3793.17</v>
      </c>
      <c r="T90" s="54">
        <f t="shared" si="14"/>
        <v>40</v>
      </c>
      <c r="U90" s="54">
        <f t="shared" si="14"/>
        <v>0</v>
      </c>
      <c r="V90" s="54">
        <f t="shared" si="14"/>
        <v>0</v>
      </c>
      <c r="W90" s="54">
        <f t="shared" si="14"/>
        <v>0</v>
      </c>
      <c r="X90" s="54">
        <f t="shared" si="14"/>
        <v>0</v>
      </c>
      <c r="Y90" s="54">
        <f t="shared" si="14"/>
        <v>0</v>
      </c>
      <c r="Z90" s="54">
        <f t="shared" si="14"/>
        <v>0</v>
      </c>
      <c r="AA90" s="54">
        <f t="shared" si="14"/>
        <v>515</v>
      </c>
      <c r="AB90" s="54">
        <f t="shared" si="14"/>
        <v>2953.5</v>
      </c>
      <c r="AC90" s="54">
        <f t="shared" si="14"/>
        <v>0</v>
      </c>
      <c r="AD90" s="54">
        <f t="shared" si="14"/>
        <v>803.57</v>
      </c>
      <c r="AE90" s="54">
        <f t="shared" si="14"/>
        <v>0</v>
      </c>
      <c r="AF90" s="54">
        <f t="shared" si="14"/>
        <v>-38808.703214285692</v>
      </c>
      <c r="AG90" s="54">
        <f t="shared" si="14"/>
        <v>9.1071428572234936E-2</v>
      </c>
    </row>
    <row r="94" spans="1:33" x14ac:dyDescent="0.25">
      <c r="Q94" s="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161"/>
  <sheetViews>
    <sheetView topLeftCell="A47" zoomScale="90" zoomScaleNormal="90" workbookViewId="0">
      <selection activeCell="H155" sqref="A155:XFD161"/>
    </sheetView>
  </sheetViews>
  <sheetFormatPr defaultRowHeight="13.2" x14ac:dyDescent="0.25"/>
  <cols>
    <col min="1" max="1" width="14.44140625" style="64" customWidth="1"/>
    <col min="2" max="2" width="9.21875" style="2" hidden="1" customWidth="1"/>
    <col min="3" max="3" width="30.21875" style="3" customWidth="1"/>
    <col min="4" max="4" width="17.6640625" style="4" customWidth="1"/>
    <col min="5" max="5" width="35.33203125" style="4" hidden="1" customWidth="1"/>
    <col min="6" max="6" width="9.88671875" style="2" customWidth="1"/>
    <col min="7" max="7" width="39.77734375" style="3" customWidth="1"/>
    <col min="8" max="8" width="13.88671875" style="65" customWidth="1"/>
    <col min="9" max="9" width="10.6640625" style="65" customWidth="1"/>
    <col min="10" max="10" width="12.21875" style="65" customWidth="1"/>
    <col min="11" max="11" width="13.109375" style="65" customWidth="1"/>
    <col min="12" max="12" width="9.88671875" style="6" customWidth="1"/>
    <col min="13" max="13" width="12.21875" style="5" customWidth="1"/>
    <col min="14" max="14" width="10.77734375" style="5" customWidth="1"/>
    <col min="15" max="15" width="11.33203125" style="5" customWidth="1"/>
    <col min="16" max="16" width="12.44140625" style="5" customWidth="1"/>
    <col min="17" max="17" width="12.109375" style="5" customWidth="1"/>
    <col min="18" max="18" width="13.44140625" style="5" customWidth="1"/>
    <col min="19" max="19" width="10.21875" style="5" customWidth="1"/>
    <col min="20" max="21" width="11.5546875" style="5"/>
    <col min="22" max="22" width="13.33203125" style="5" customWidth="1"/>
    <col min="23" max="23" width="10.21875" style="5" customWidth="1"/>
    <col min="24" max="24" width="12.44140625" style="5" customWidth="1"/>
    <col min="25" max="25" width="11.6640625" style="5" customWidth="1"/>
    <col min="26" max="26" width="10.44140625" style="5" customWidth="1"/>
    <col min="27" max="27" width="11" style="5" customWidth="1"/>
    <col min="28" max="28" width="12.109375" style="5" customWidth="1"/>
    <col min="29" max="30" width="10.109375" style="5" customWidth="1"/>
    <col min="31" max="31" width="12.77734375" style="5" customWidth="1"/>
    <col min="32" max="32" width="13.44140625" style="5" customWidth="1"/>
    <col min="33" max="33" width="13.44140625" style="3" customWidth="1"/>
    <col min="34" max="1025" width="11.5546875" style="3"/>
  </cols>
  <sheetData>
    <row r="1" spans="1:33" ht="12" customHeight="1" x14ac:dyDescent="0.25">
      <c r="A1" s="66" t="s">
        <v>0</v>
      </c>
      <c r="C1" s="8"/>
    </row>
    <row r="2" spans="1:33" ht="12" customHeight="1" x14ac:dyDescent="0.25">
      <c r="A2" s="66" t="s">
        <v>1</v>
      </c>
    </row>
    <row r="3" spans="1:33" ht="12" customHeight="1" x14ac:dyDescent="0.25">
      <c r="A3" s="66" t="s">
        <v>698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/>
      <c r="W3" s="10"/>
      <c r="X3" s="10">
        <v>6211</v>
      </c>
      <c r="Y3" s="10" t="s">
        <v>3</v>
      </c>
      <c r="Z3" s="10">
        <v>6231</v>
      </c>
      <c r="AA3" s="10">
        <v>6230</v>
      </c>
      <c r="AB3" s="10" t="s">
        <v>4</v>
      </c>
      <c r="AC3" s="10">
        <v>6202</v>
      </c>
      <c r="AD3" s="10">
        <v>6999</v>
      </c>
      <c r="AE3" s="10">
        <v>6109</v>
      </c>
      <c r="AF3" s="10">
        <v>1002</v>
      </c>
    </row>
    <row r="4" spans="1:33" s="17" customFormat="1" ht="43.5" customHeight="1" x14ac:dyDescent="0.25">
      <c r="A4" s="67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68" t="s">
        <v>12</v>
      </c>
      <c r="I4" s="68" t="s">
        <v>13</v>
      </c>
      <c r="J4" s="68" t="s">
        <v>14</v>
      </c>
      <c r="K4" s="68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pans="1:33" s="29" customFormat="1" ht="24.75" hidden="1" customHeight="1" x14ac:dyDescent="0.2">
      <c r="A5" s="69">
        <v>43647</v>
      </c>
      <c r="B5" s="19"/>
      <c r="C5" s="20" t="s">
        <v>185</v>
      </c>
      <c r="D5" s="20" t="s">
        <v>106</v>
      </c>
      <c r="E5" s="20" t="s">
        <v>47</v>
      </c>
      <c r="F5" s="21">
        <v>756009</v>
      </c>
      <c r="G5" s="22" t="s">
        <v>699</v>
      </c>
      <c r="H5" s="70"/>
      <c r="I5" s="70"/>
      <c r="J5" s="70"/>
      <c r="K5" s="70">
        <v>732.75</v>
      </c>
      <c r="L5" s="24"/>
      <c r="M5" s="25">
        <f t="shared" ref="M5:M36" si="0">SUM(H5:J5,K5/1.12)</f>
        <v>654.24107142857133</v>
      </c>
      <c r="N5" s="25">
        <f t="shared" ref="N5:N36" si="1">K5/1.12*0.12</f>
        <v>78.508928571428555</v>
      </c>
      <c r="O5" s="25">
        <f t="shared" ref="O5:O36" si="2">-SUM(I5:J5,K5/1.12)*L5</f>
        <v>0</v>
      </c>
      <c r="P5" s="25"/>
      <c r="Q5" s="26"/>
      <c r="R5" s="26"/>
      <c r="S5" s="27"/>
      <c r="T5" s="27">
        <v>654.24</v>
      </c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>
        <f t="shared" ref="AF5:AF36" si="3">-SUM(N5:AE5)</f>
        <v>-732.74892857142856</v>
      </c>
      <c r="AG5" s="28">
        <f t="shared" ref="AG5:AG36" si="4">SUM(H5:K5)+AF5+O5</f>
        <v>1.0714285714357175E-3</v>
      </c>
    </row>
    <row r="6" spans="1:33" s="29" customFormat="1" ht="24.75" hidden="1" customHeight="1" x14ac:dyDescent="0.2">
      <c r="A6" s="69">
        <v>43647</v>
      </c>
      <c r="B6" s="19"/>
      <c r="C6" s="20" t="s">
        <v>41</v>
      </c>
      <c r="D6" s="20" t="s">
        <v>42</v>
      </c>
      <c r="E6" s="20" t="s">
        <v>43</v>
      </c>
      <c r="F6" s="21">
        <v>193149</v>
      </c>
      <c r="G6" s="22" t="s">
        <v>44</v>
      </c>
      <c r="H6" s="70"/>
      <c r="I6" s="70"/>
      <c r="J6" s="70"/>
      <c r="K6" s="70">
        <v>180</v>
      </c>
      <c r="L6" s="24"/>
      <c r="M6" s="25">
        <f t="shared" si="0"/>
        <v>160.71428571428569</v>
      </c>
      <c r="N6" s="25">
        <f t="shared" si="1"/>
        <v>19.285714285714281</v>
      </c>
      <c r="O6" s="25">
        <f t="shared" si="2"/>
        <v>0</v>
      </c>
      <c r="P6" s="25"/>
      <c r="Q6" s="26">
        <v>160.71</v>
      </c>
      <c r="R6" s="26"/>
      <c r="S6" s="27"/>
      <c r="T6" s="27"/>
      <c r="U6" s="27"/>
      <c r="V6" s="27"/>
      <c r="W6" s="27"/>
      <c r="X6" s="26"/>
      <c r="Y6" s="26"/>
      <c r="Z6" s="26"/>
      <c r="AA6" s="26"/>
      <c r="AB6" s="27"/>
      <c r="AC6" s="27"/>
      <c r="AD6" s="26"/>
      <c r="AE6" s="26"/>
      <c r="AF6" s="25">
        <f t="shared" si="3"/>
        <v>-179.99571428571429</v>
      </c>
      <c r="AG6" s="28">
        <f t="shared" si="4"/>
        <v>4.2857142857144481E-3</v>
      </c>
    </row>
    <row r="7" spans="1:33" s="29" customFormat="1" ht="24.75" hidden="1" customHeight="1" x14ac:dyDescent="0.2">
      <c r="A7" s="69">
        <v>43647</v>
      </c>
      <c r="B7" s="19"/>
      <c r="C7" s="20" t="s">
        <v>54</v>
      </c>
      <c r="D7" s="20" t="s">
        <v>55</v>
      </c>
      <c r="E7" s="20" t="s">
        <v>56</v>
      </c>
      <c r="F7" s="21">
        <v>3240</v>
      </c>
      <c r="G7" s="22" t="s">
        <v>491</v>
      </c>
      <c r="H7" s="70"/>
      <c r="I7" s="70"/>
      <c r="J7" s="70">
        <v>2140</v>
      </c>
      <c r="K7" s="70"/>
      <c r="L7" s="24"/>
      <c r="M7" s="25">
        <f t="shared" si="0"/>
        <v>2140</v>
      </c>
      <c r="N7" s="25">
        <f t="shared" si="1"/>
        <v>0</v>
      </c>
      <c r="O7" s="25">
        <f t="shared" si="2"/>
        <v>0</v>
      </c>
      <c r="P7" s="25">
        <v>2140</v>
      </c>
      <c r="Q7" s="26"/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>
        <f t="shared" si="3"/>
        <v>-2140</v>
      </c>
      <c r="AG7" s="28">
        <f t="shared" si="4"/>
        <v>0</v>
      </c>
    </row>
    <row r="8" spans="1:33" s="29" customFormat="1" ht="24.75" hidden="1" customHeight="1" x14ac:dyDescent="0.2">
      <c r="A8" s="69">
        <v>43647</v>
      </c>
      <c r="B8" s="19"/>
      <c r="C8" s="20" t="s">
        <v>58</v>
      </c>
      <c r="D8" s="20"/>
      <c r="E8" s="20"/>
      <c r="F8" s="21"/>
      <c r="G8" s="22" t="s">
        <v>294</v>
      </c>
      <c r="H8" s="70">
        <v>100</v>
      </c>
      <c r="I8" s="70"/>
      <c r="J8" s="70"/>
      <c r="K8" s="70"/>
      <c r="L8" s="24"/>
      <c r="M8" s="25">
        <f t="shared" si="0"/>
        <v>100</v>
      </c>
      <c r="N8" s="25">
        <f t="shared" si="1"/>
        <v>0</v>
      </c>
      <c r="O8" s="25">
        <f t="shared" si="2"/>
        <v>0</v>
      </c>
      <c r="P8" s="25"/>
      <c r="Q8" s="26"/>
      <c r="R8" s="26"/>
      <c r="S8" s="27"/>
      <c r="T8" s="27"/>
      <c r="U8" s="27"/>
      <c r="V8" s="27"/>
      <c r="W8" s="27"/>
      <c r="X8" s="26"/>
      <c r="Y8" s="26"/>
      <c r="Z8" s="26"/>
      <c r="AA8" s="26">
        <v>100</v>
      </c>
      <c r="AB8" s="27"/>
      <c r="AC8" s="27"/>
      <c r="AD8" s="26"/>
      <c r="AE8" s="26"/>
      <c r="AF8" s="25">
        <f t="shared" si="3"/>
        <v>-100</v>
      </c>
      <c r="AG8" s="28">
        <f t="shared" si="4"/>
        <v>0</v>
      </c>
    </row>
    <row r="9" spans="1:33" s="29" customFormat="1" ht="24.75" hidden="1" customHeight="1" x14ac:dyDescent="0.2">
      <c r="A9" s="69">
        <v>43647</v>
      </c>
      <c r="B9" s="19"/>
      <c r="C9" s="20" t="s">
        <v>45</v>
      </c>
      <c r="D9" s="20" t="s">
        <v>46</v>
      </c>
      <c r="E9" s="20" t="s">
        <v>47</v>
      </c>
      <c r="F9" s="21">
        <v>167999</v>
      </c>
      <c r="G9" s="22" t="s">
        <v>700</v>
      </c>
      <c r="H9" s="70"/>
      <c r="I9" s="70"/>
      <c r="J9" s="70"/>
      <c r="K9" s="70">
        <v>1254.44</v>
      </c>
      <c r="L9" s="24"/>
      <c r="M9" s="25">
        <f t="shared" si="0"/>
        <v>1120.0357142857142</v>
      </c>
      <c r="N9" s="25">
        <f t="shared" si="1"/>
        <v>134.40428571428569</v>
      </c>
      <c r="O9" s="25">
        <f t="shared" si="2"/>
        <v>0</v>
      </c>
      <c r="P9" s="25">
        <v>1120.04</v>
      </c>
      <c r="Q9" s="26"/>
      <c r="R9" s="26"/>
      <c r="S9" s="27"/>
      <c r="T9" s="27"/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>
        <f t="shared" si="3"/>
        <v>-1254.4442857142856</v>
      </c>
      <c r="AG9" s="28">
        <f t="shared" si="4"/>
        <v>-4.2857142855154962E-3</v>
      </c>
    </row>
    <row r="10" spans="1:33" s="29" customFormat="1" ht="24.75" hidden="1" customHeight="1" x14ac:dyDescent="0.2">
      <c r="A10" s="69">
        <v>43647</v>
      </c>
      <c r="B10" s="19"/>
      <c r="C10" s="20" t="s">
        <v>41</v>
      </c>
      <c r="D10" s="20" t="s">
        <v>42</v>
      </c>
      <c r="E10" s="20" t="s">
        <v>43</v>
      </c>
      <c r="F10" s="21">
        <v>185798</v>
      </c>
      <c r="G10" s="22" t="s">
        <v>44</v>
      </c>
      <c r="H10" s="70"/>
      <c r="I10" s="70"/>
      <c r="J10" s="70"/>
      <c r="K10" s="70">
        <v>180</v>
      </c>
      <c r="L10" s="24"/>
      <c r="M10" s="25">
        <f t="shared" si="0"/>
        <v>160.71428571428569</v>
      </c>
      <c r="N10" s="25">
        <f t="shared" si="1"/>
        <v>19.285714285714281</v>
      </c>
      <c r="O10" s="25">
        <f t="shared" si="2"/>
        <v>0</v>
      </c>
      <c r="P10" s="25"/>
      <c r="Q10" s="26">
        <v>160.71</v>
      </c>
      <c r="R10" s="26"/>
      <c r="S10" s="27"/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>
        <f t="shared" si="3"/>
        <v>-179.99571428571429</v>
      </c>
      <c r="AG10" s="28">
        <f t="shared" si="4"/>
        <v>4.2857142857144481E-3</v>
      </c>
    </row>
    <row r="11" spans="1:33" s="29" customFormat="1" ht="24.75" hidden="1" customHeight="1" x14ac:dyDescent="0.2">
      <c r="A11" s="69">
        <v>43648</v>
      </c>
      <c r="B11" s="19"/>
      <c r="C11" s="20" t="s">
        <v>50</v>
      </c>
      <c r="D11" s="20" t="s">
        <v>51</v>
      </c>
      <c r="E11" s="20" t="s">
        <v>47</v>
      </c>
      <c r="F11" s="21">
        <v>58111</v>
      </c>
      <c r="G11" s="22" t="s">
        <v>701</v>
      </c>
      <c r="H11" s="70"/>
      <c r="I11" s="70"/>
      <c r="J11" s="70"/>
      <c r="K11" s="70">
        <v>834.47</v>
      </c>
      <c r="L11" s="24"/>
      <c r="M11" s="25">
        <f t="shared" si="0"/>
        <v>745.0625</v>
      </c>
      <c r="N11" s="25">
        <f t="shared" si="1"/>
        <v>89.407499999999999</v>
      </c>
      <c r="O11" s="25">
        <f t="shared" si="2"/>
        <v>0</v>
      </c>
      <c r="P11" s="25">
        <v>745.06</v>
      </c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>
        <f t="shared" si="3"/>
        <v>-834.46749999999997</v>
      </c>
      <c r="AG11" s="28">
        <f t="shared" si="4"/>
        <v>2.5000000000545697E-3</v>
      </c>
    </row>
    <row r="12" spans="1:33" s="29" customFormat="1" ht="24.75" hidden="1" customHeight="1" x14ac:dyDescent="0.2">
      <c r="A12" s="69">
        <v>43648</v>
      </c>
      <c r="B12" s="19"/>
      <c r="C12" s="20" t="s">
        <v>37</v>
      </c>
      <c r="D12" s="20" t="s">
        <v>38</v>
      </c>
      <c r="E12" s="20" t="s">
        <v>39</v>
      </c>
      <c r="F12" s="21">
        <v>36202</v>
      </c>
      <c r="G12" s="22" t="s">
        <v>702</v>
      </c>
      <c r="H12" s="70"/>
      <c r="I12" s="70"/>
      <c r="J12" s="70"/>
      <c r="K12" s="70">
        <v>72.25</v>
      </c>
      <c r="L12" s="24"/>
      <c r="M12" s="25">
        <f t="shared" si="0"/>
        <v>64.508928571428569</v>
      </c>
      <c r="N12" s="25">
        <f t="shared" si="1"/>
        <v>7.7410714285714279</v>
      </c>
      <c r="O12" s="25">
        <f t="shared" si="2"/>
        <v>0</v>
      </c>
      <c r="P12" s="25"/>
      <c r="Q12" s="26">
        <v>64.510000000000005</v>
      </c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>
        <f t="shared" si="3"/>
        <v>-72.251071428571436</v>
      </c>
      <c r="AG12" s="28">
        <f t="shared" si="4"/>
        <v>-1.0714285714357175E-3</v>
      </c>
    </row>
    <row r="13" spans="1:33" s="29" customFormat="1" ht="24.75" hidden="1" customHeight="1" x14ac:dyDescent="0.2">
      <c r="A13" s="69">
        <v>43648</v>
      </c>
      <c r="B13" s="19"/>
      <c r="C13" s="20" t="s">
        <v>37</v>
      </c>
      <c r="D13" s="20" t="s">
        <v>38</v>
      </c>
      <c r="E13" s="20" t="s">
        <v>39</v>
      </c>
      <c r="F13" s="21">
        <v>36254</v>
      </c>
      <c r="G13" s="22" t="s">
        <v>703</v>
      </c>
      <c r="H13" s="70"/>
      <c r="I13" s="70"/>
      <c r="J13" s="70"/>
      <c r="K13" s="70">
        <v>49.8</v>
      </c>
      <c r="L13" s="24"/>
      <c r="M13" s="25">
        <f t="shared" si="0"/>
        <v>44.464285714285708</v>
      </c>
      <c r="N13" s="25">
        <f t="shared" si="1"/>
        <v>5.3357142857142845</v>
      </c>
      <c r="O13" s="25">
        <f t="shared" si="2"/>
        <v>0</v>
      </c>
      <c r="P13" s="25">
        <v>44.46</v>
      </c>
      <c r="Q13" s="26"/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>
        <f t="shared" si="3"/>
        <v>-49.795714285714283</v>
      </c>
      <c r="AG13" s="28">
        <f t="shared" si="4"/>
        <v>4.2857142857144481E-3</v>
      </c>
    </row>
    <row r="14" spans="1:33" s="29" customFormat="1" ht="23.25" hidden="1" customHeight="1" x14ac:dyDescent="0.2">
      <c r="A14" s="69">
        <v>43649</v>
      </c>
      <c r="B14" s="19"/>
      <c r="C14" s="20" t="s">
        <v>37</v>
      </c>
      <c r="D14" s="20" t="s">
        <v>38</v>
      </c>
      <c r="E14" s="20" t="s">
        <v>39</v>
      </c>
      <c r="F14" s="21">
        <v>36211</v>
      </c>
      <c r="G14" s="22" t="s">
        <v>250</v>
      </c>
      <c r="H14" s="70"/>
      <c r="I14" s="70"/>
      <c r="J14" s="70"/>
      <c r="K14" s="70">
        <v>216</v>
      </c>
      <c r="L14" s="24"/>
      <c r="M14" s="25">
        <f t="shared" si="0"/>
        <v>192.85714285714283</v>
      </c>
      <c r="N14" s="25">
        <f t="shared" si="1"/>
        <v>23.142857142857139</v>
      </c>
      <c r="O14" s="25">
        <f t="shared" si="2"/>
        <v>0</v>
      </c>
      <c r="P14" s="25"/>
      <c r="Q14" s="26">
        <v>192.86</v>
      </c>
      <c r="R14" s="26"/>
      <c r="S14" s="27"/>
      <c r="T14" s="27"/>
      <c r="U14" s="27"/>
      <c r="V14" s="27"/>
      <c r="W14" s="27"/>
      <c r="X14" s="26"/>
      <c r="Y14" s="26"/>
      <c r="Z14" s="26"/>
      <c r="AA14" s="26"/>
      <c r="AB14" s="27"/>
      <c r="AC14" s="27"/>
      <c r="AD14" s="26"/>
      <c r="AE14" s="26"/>
      <c r="AF14" s="25">
        <f t="shared" si="3"/>
        <v>-216.00285714285715</v>
      </c>
      <c r="AG14" s="28">
        <f t="shared" si="4"/>
        <v>-2.8571428571524393E-3</v>
      </c>
    </row>
    <row r="15" spans="1:33" s="29" customFormat="1" ht="24.75" hidden="1" customHeight="1" x14ac:dyDescent="0.2">
      <c r="A15" s="69">
        <v>43649</v>
      </c>
      <c r="B15" s="19"/>
      <c r="C15" s="20" t="s">
        <v>41</v>
      </c>
      <c r="D15" s="20" t="s">
        <v>42</v>
      </c>
      <c r="E15" s="20" t="s">
        <v>43</v>
      </c>
      <c r="F15" s="21">
        <v>197844</v>
      </c>
      <c r="G15" s="22" t="s">
        <v>44</v>
      </c>
      <c r="H15" s="70"/>
      <c r="I15" s="70"/>
      <c r="J15" s="70"/>
      <c r="K15" s="70">
        <v>180</v>
      </c>
      <c r="L15" s="24"/>
      <c r="M15" s="25">
        <f t="shared" si="0"/>
        <v>160.71428571428569</v>
      </c>
      <c r="N15" s="25">
        <f t="shared" si="1"/>
        <v>19.285714285714281</v>
      </c>
      <c r="O15" s="25">
        <f t="shared" si="2"/>
        <v>0</v>
      </c>
      <c r="P15" s="25"/>
      <c r="Q15" s="26">
        <v>160.71</v>
      </c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>
        <f t="shared" si="3"/>
        <v>-179.99571428571429</v>
      </c>
      <c r="AG15" s="28">
        <f t="shared" si="4"/>
        <v>4.2857142857144481E-3</v>
      </c>
    </row>
    <row r="16" spans="1:33" s="29" customFormat="1" ht="23.25" hidden="1" customHeight="1" x14ac:dyDescent="0.2">
      <c r="A16" s="69">
        <v>43649</v>
      </c>
      <c r="B16" s="19"/>
      <c r="C16" s="20" t="s">
        <v>185</v>
      </c>
      <c r="D16" s="20" t="s">
        <v>106</v>
      </c>
      <c r="E16" s="20" t="s">
        <v>47</v>
      </c>
      <c r="F16" s="21">
        <v>715309</v>
      </c>
      <c r="G16" s="22" t="s">
        <v>231</v>
      </c>
      <c r="H16" s="70"/>
      <c r="I16" s="70"/>
      <c r="J16" s="70"/>
      <c r="K16" s="70">
        <v>44.5</v>
      </c>
      <c r="L16" s="24"/>
      <c r="M16" s="25">
        <f t="shared" si="0"/>
        <v>39.732142857142854</v>
      </c>
      <c r="N16" s="25">
        <f t="shared" si="1"/>
        <v>4.7678571428571423</v>
      </c>
      <c r="O16" s="25">
        <f t="shared" si="2"/>
        <v>0</v>
      </c>
      <c r="P16" s="25"/>
      <c r="Q16" s="26"/>
      <c r="R16" s="26"/>
      <c r="S16" s="27"/>
      <c r="T16" s="27">
        <v>39.729999999999997</v>
      </c>
      <c r="U16" s="27"/>
      <c r="V16" s="27"/>
      <c r="W16" s="27"/>
      <c r="X16" s="26"/>
      <c r="Y16" s="26"/>
      <c r="Z16" s="26"/>
      <c r="AA16" s="26"/>
      <c r="AB16" s="27"/>
      <c r="AC16" s="27"/>
      <c r="AD16" s="26"/>
      <c r="AE16" s="26"/>
      <c r="AF16" s="25">
        <f t="shared" si="3"/>
        <v>-44.497857142857143</v>
      </c>
      <c r="AG16" s="28">
        <f t="shared" si="4"/>
        <v>2.1428571428572241E-3</v>
      </c>
    </row>
    <row r="17" spans="1:33" s="29" customFormat="1" ht="23.25" hidden="1" customHeight="1" x14ac:dyDescent="0.2">
      <c r="A17" s="69">
        <v>43649</v>
      </c>
      <c r="B17" s="19"/>
      <c r="C17" s="20" t="s">
        <v>45</v>
      </c>
      <c r="D17" s="20" t="s">
        <v>46</v>
      </c>
      <c r="E17" s="20" t="s">
        <v>47</v>
      </c>
      <c r="F17" s="21">
        <v>177186</v>
      </c>
      <c r="G17" s="22" t="s">
        <v>704</v>
      </c>
      <c r="H17" s="70"/>
      <c r="I17" s="70"/>
      <c r="J17" s="70">
        <v>412.9</v>
      </c>
      <c r="K17" s="70"/>
      <c r="L17" s="24"/>
      <c r="M17" s="25">
        <f t="shared" si="0"/>
        <v>412.9</v>
      </c>
      <c r="N17" s="25">
        <f t="shared" si="1"/>
        <v>0</v>
      </c>
      <c r="O17" s="25">
        <f t="shared" si="2"/>
        <v>0</v>
      </c>
      <c r="P17" s="25">
        <v>412.9</v>
      </c>
      <c r="Q17" s="26"/>
      <c r="R17" s="26"/>
      <c r="S17" s="27"/>
      <c r="T17" s="27"/>
      <c r="U17" s="27"/>
      <c r="V17" s="27"/>
      <c r="W17" s="27"/>
      <c r="X17" s="26"/>
      <c r="Y17" s="26"/>
      <c r="Z17" s="26"/>
      <c r="AA17" s="26"/>
      <c r="AB17" s="27"/>
      <c r="AC17" s="27"/>
      <c r="AD17" s="26"/>
      <c r="AE17" s="26"/>
      <c r="AF17" s="25">
        <f t="shared" si="3"/>
        <v>-412.9</v>
      </c>
      <c r="AG17" s="28">
        <f t="shared" si="4"/>
        <v>0</v>
      </c>
    </row>
    <row r="18" spans="1:33" s="29" customFormat="1" ht="23.25" hidden="1" customHeight="1" x14ac:dyDescent="0.2">
      <c r="A18" s="69">
        <v>43649</v>
      </c>
      <c r="B18" s="19"/>
      <c r="C18" s="20" t="s">
        <v>45</v>
      </c>
      <c r="D18" s="20" t="s">
        <v>46</v>
      </c>
      <c r="E18" s="20" t="s">
        <v>47</v>
      </c>
      <c r="F18" s="21">
        <v>177186</v>
      </c>
      <c r="G18" s="22" t="s">
        <v>705</v>
      </c>
      <c r="H18" s="70"/>
      <c r="I18" s="70"/>
      <c r="J18" s="70"/>
      <c r="K18" s="70">
        <f>768.75+92.25</f>
        <v>861</v>
      </c>
      <c r="L18" s="24"/>
      <c r="M18" s="25">
        <f t="shared" si="0"/>
        <v>768.74999999999989</v>
      </c>
      <c r="N18" s="25">
        <f t="shared" si="1"/>
        <v>92.249999999999986</v>
      </c>
      <c r="O18" s="25">
        <f t="shared" si="2"/>
        <v>0</v>
      </c>
      <c r="P18" s="25">
        <v>768.75</v>
      </c>
      <c r="Q18" s="26"/>
      <c r="R18" s="26"/>
      <c r="S18" s="27"/>
      <c r="T18" s="27"/>
      <c r="U18" s="27"/>
      <c r="V18" s="27"/>
      <c r="W18" s="27"/>
      <c r="X18" s="26"/>
      <c r="Y18" s="26"/>
      <c r="Z18" s="26"/>
      <c r="AA18" s="26"/>
      <c r="AB18" s="27"/>
      <c r="AC18" s="27"/>
      <c r="AD18" s="26"/>
      <c r="AE18" s="26"/>
      <c r="AF18" s="25">
        <f t="shared" si="3"/>
        <v>-861</v>
      </c>
      <c r="AG18" s="28">
        <f t="shared" si="4"/>
        <v>0</v>
      </c>
    </row>
    <row r="19" spans="1:33" s="41" customFormat="1" ht="23.25" hidden="1" customHeight="1" x14ac:dyDescent="0.2">
      <c r="A19" s="71">
        <v>43649</v>
      </c>
      <c r="B19" s="31"/>
      <c r="C19" s="32" t="s">
        <v>37</v>
      </c>
      <c r="D19" s="32" t="s">
        <v>38</v>
      </c>
      <c r="E19" s="32" t="s">
        <v>39</v>
      </c>
      <c r="F19" s="33">
        <v>36260</v>
      </c>
      <c r="G19" s="34" t="s">
        <v>364</v>
      </c>
      <c r="H19" s="72"/>
      <c r="I19" s="72"/>
      <c r="J19" s="72"/>
      <c r="K19" s="72">
        <v>194</v>
      </c>
      <c r="L19" s="36"/>
      <c r="M19" s="37">
        <f t="shared" si="0"/>
        <v>173.21428571428569</v>
      </c>
      <c r="N19" s="37">
        <f t="shared" si="1"/>
        <v>20.785714285714281</v>
      </c>
      <c r="O19" s="37">
        <f t="shared" si="2"/>
        <v>0</v>
      </c>
      <c r="P19" s="37"/>
      <c r="Q19" s="38"/>
      <c r="R19" s="38"/>
      <c r="S19" s="39"/>
      <c r="T19" s="39"/>
      <c r="U19" s="39"/>
      <c r="V19" s="39"/>
      <c r="W19" s="39"/>
      <c r="X19" s="38"/>
      <c r="Y19" s="38">
        <v>173.21</v>
      </c>
      <c r="Z19" s="38"/>
      <c r="AA19" s="38"/>
      <c r="AB19" s="39"/>
      <c r="AC19" s="39"/>
      <c r="AD19" s="38"/>
      <c r="AE19" s="38"/>
      <c r="AF19" s="37">
        <f t="shared" si="3"/>
        <v>-193.99571428571429</v>
      </c>
      <c r="AG19" s="40">
        <f t="shared" si="4"/>
        <v>4.2857142857144481E-3</v>
      </c>
    </row>
    <row r="20" spans="1:33" s="29" customFormat="1" ht="23.25" hidden="1" customHeight="1" x14ac:dyDescent="0.2">
      <c r="A20" s="69">
        <v>43650</v>
      </c>
      <c r="B20" s="19"/>
      <c r="C20" s="20" t="s">
        <v>45</v>
      </c>
      <c r="D20" s="20" t="s">
        <v>46</v>
      </c>
      <c r="E20" s="20" t="s">
        <v>47</v>
      </c>
      <c r="F20" s="21">
        <v>131986</v>
      </c>
      <c r="G20" s="62" t="s">
        <v>706</v>
      </c>
      <c r="H20" s="70"/>
      <c r="I20" s="70"/>
      <c r="J20" s="70">
        <v>867</v>
      </c>
      <c r="K20" s="70"/>
      <c r="L20" s="24"/>
      <c r="M20" s="25">
        <f t="shared" si="0"/>
        <v>867</v>
      </c>
      <c r="N20" s="25">
        <f t="shared" si="1"/>
        <v>0</v>
      </c>
      <c r="O20" s="25">
        <f t="shared" si="2"/>
        <v>0</v>
      </c>
      <c r="P20" s="25">
        <v>867</v>
      </c>
      <c r="Q20" s="26"/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>
        <f t="shared" si="3"/>
        <v>-867</v>
      </c>
      <c r="AG20" s="28">
        <f t="shared" si="4"/>
        <v>0</v>
      </c>
    </row>
    <row r="21" spans="1:33" s="29" customFormat="1" ht="24.75" hidden="1" customHeight="1" x14ac:dyDescent="0.2">
      <c r="A21" s="69">
        <v>43650</v>
      </c>
      <c r="B21" s="19"/>
      <c r="C21" s="20" t="s">
        <v>45</v>
      </c>
      <c r="D21" s="20" t="s">
        <v>46</v>
      </c>
      <c r="E21" s="20" t="s">
        <v>47</v>
      </c>
      <c r="F21" s="21">
        <v>131986</v>
      </c>
      <c r="G21" s="22" t="s">
        <v>707</v>
      </c>
      <c r="H21" s="70"/>
      <c r="I21" s="70"/>
      <c r="J21" s="70"/>
      <c r="K21" s="70">
        <f>301.38+36.17</f>
        <v>337.55</v>
      </c>
      <c r="L21" s="24"/>
      <c r="M21" s="25">
        <f t="shared" si="0"/>
        <v>301.38392857142856</v>
      </c>
      <c r="N21" s="25">
        <f t="shared" si="1"/>
        <v>36.166071428571428</v>
      </c>
      <c r="O21" s="25">
        <f t="shared" si="2"/>
        <v>0</v>
      </c>
      <c r="P21" s="25">
        <v>301.38</v>
      </c>
      <c r="Q21" s="26"/>
      <c r="R21" s="26"/>
      <c r="S21" s="27"/>
      <c r="T21" s="27"/>
      <c r="U21" s="27"/>
      <c r="V21" s="27"/>
      <c r="W21" s="27"/>
      <c r="X21" s="26"/>
      <c r="Y21" s="26"/>
      <c r="Z21" s="26"/>
      <c r="AA21" s="26"/>
      <c r="AB21" s="27"/>
      <c r="AC21" s="27"/>
      <c r="AD21" s="26"/>
      <c r="AE21" s="26"/>
      <c r="AF21" s="25">
        <f t="shared" si="3"/>
        <v>-337.54607142857139</v>
      </c>
      <c r="AG21" s="28">
        <f t="shared" si="4"/>
        <v>3.9285714286165785E-3</v>
      </c>
    </row>
    <row r="22" spans="1:33" s="29" customFormat="1" ht="23.25" hidden="1" customHeight="1" x14ac:dyDescent="0.2">
      <c r="A22" s="69">
        <v>43650</v>
      </c>
      <c r="B22" s="19"/>
      <c r="C22" s="20" t="s">
        <v>41</v>
      </c>
      <c r="D22" s="20" t="s">
        <v>42</v>
      </c>
      <c r="E22" s="20" t="s">
        <v>43</v>
      </c>
      <c r="F22" s="21">
        <v>197890</v>
      </c>
      <c r="G22" s="62" t="s">
        <v>44</v>
      </c>
      <c r="H22" s="70"/>
      <c r="I22" s="70"/>
      <c r="J22" s="70"/>
      <c r="K22" s="70">
        <v>180</v>
      </c>
      <c r="L22" s="24"/>
      <c r="M22" s="25">
        <f t="shared" si="0"/>
        <v>160.71428571428569</v>
      </c>
      <c r="N22" s="25">
        <f t="shared" si="1"/>
        <v>19.285714285714281</v>
      </c>
      <c r="O22" s="25">
        <f t="shared" si="2"/>
        <v>0</v>
      </c>
      <c r="P22" s="25"/>
      <c r="Q22" s="26">
        <v>160.71</v>
      </c>
      <c r="R22" s="26"/>
      <c r="S22" s="27"/>
      <c r="T22" s="27"/>
      <c r="U22" s="27"/>
      <c r="V22" s="27"/>
      <c r="W22" s="27"/>
      <c r="X22" s="26"/>
      <c r="Y22" s="26"/>
      <c r="Z22" s="26"/>
      <c r="AA22" s="26"/>
      <c r="AB22" s="27"/>
      <c r="AC22" s="27"/>
      <c r="AD22" s="26"/>
      <c r="AE22" s="26"/>
      <c r="AF22" s="25">
        <f t="shared" si="3"/>
        <v>-179.99571428571429</v>
      </c>
      <c r="AG22" s="28">
        <f t="shared" si="4"/>
        <v>4.2857142857144481E-3</v>
      </c>
    </row>
    <row r="23" spans="1:33" s="29" customFormat="1" ht="23.25" hidden="1" customHeight="1" x14ac:dyDescent="0.2">
      <c r="A23" s="69">
        <v>43651</v>
      </c>
      <c r="B23" s="19"/>
      <c r="C23" s="20" t="s">
        <v>45</v>
      </c>
      <c r="D23" s="20" t="s">
        <v>46</v>
      </c>
      <c r="E23" s="20" t="s">
        <v>47</v>
      </c>
      <c r="F23" s="21">
        <v>174241</v>
      </c>
      <c r="G23" s="44" t="s">
        <v>708</v>
      </c>
      <c r="H23" s="70"/>
      <c r="I23" s="70"/>
      <c r="J23" s="70"/>
      <c r="K23" s="70">
        <f>1975.67+237.08</f>
        <v>2212.75</v>
      </c>
      <c r="L23" s="24"/>
      <c r="M23" s="25">
        <f t="shared" si="0"/>
        <v>1975.6696428571427</v>
      </c>
      <c r="N23" s="25">
        <f t="shared" si="1"/>
        <v>237.08035714285711</v>
      </c>
      <c r="O23" s="25">
        <f t="shared" si="2"/>
        <v>0</v>
      </c>
      <c r="P23" s="25">
        <v>1975.67</v>
      </c>
      <c r="Q23" s="26"/>
      <c r="R23" s="26"/>
      <c r="S23" s="27"/>
      <c r="T23" s="27"/>
      <c r="U23" s="27"/>
      <c r="V23" s="27"/>
      <c r="W23" s="27"/>
      <c r="X23" s="26"/>
      <c r="Y23" s="26"/>
      <c r="Z23" s="26"/>
      <c r="AA23" s="26"/>
      <c r="AB23" s="27"/>
      <c r="AC23" s="27"/>
      <c r="AD23" s="26"/>
      <c r="AE23" s="26"/>
      <c r="AF23" s="25">
        <f t="shared" si="3"/>
        <v>-2212.750357142857</v>
      </c>
      <c r="AG23" s="28">
        <f t="shared" si="4"/>
        <v>-3.5714285695576109E-4</v>
      </c>
    </row>
    <row r="24" spans="1:33" s="29" customFormat="1" ht="23.25" hidden="1" customHeight="1" x14ac:dyDescent="0.2">
      <c r="A24" s="69">
        <v>43651</v>
      </c>
      <c r="B24" s="19"/>
      <c r="C24" s="20" t="s">
        <v>45</v>
      </c>
      <c r="D24" s="20" t="s">
        <v>46</v>
      </c>
      <c r="E24" s="20" t="s">
        <v>47</v>
      </c>
      <c r="F24" s="21">
        <v>174241</v>
      </c>
      <c r="G24" s="20" t="s">
        <v>709</v>
      </c>
      <c r="H24" s="70"/>
      <c r="I24" s="70"/>
      <c r="J24" s="70">
        <v>197.45</v>
      </c>
      <c r="K24" s="70"/>
      <c r="L24" s="24"/>
      <c r="M24" s="25">
        <f t="shared" si="0"/>
        <v>197.45</v>
      </c>
      <c r="N24" s="25">
        <f t="shared" si="1"/>
        <v>0</v>
      </c>
      <c r="O24" s="25">
        <f t="shared" si="2"/>
        <v>0</v>
      </c>
      <c r="P24" s="25">
        <v>197.45</v>
      </c>
      <c r="Q24" s="26"/>
      <c r="R24" s="26"/>
      <c r="S24" s="27"/>
      <c r="T24" s="27"/>
      <c r="U24" s="27"/>
      <c r="V24" s="27"/>
      <c r="W24" s="27"/>
      <c r="X24" s="26"/>
      <c r="Y24" s="26"/>
      <c r="Z24" s="26"/>
      <c r="AA24" s="26"/>
      <c r="AB24" s="27"/>
      <c r="AC24" s="27"/>
      <c r="AD24" s="26"/>
      <c r="AE24" s="26"/>
      <c r="AF24" s="25">
        <f t="shared" si="3"/>
        <v>-197.45</v>
      </c>
      <c r="AG24" s="28">
        <f t="shared" si="4"/>
        <v>0</v>
      </c>
    </row>
    <row r="25" spans="1:33" s="29" customFormat="1" ht="23.25" hidden="1" customHeight="1" x14ac:dyDescent="0.2">
      <c r="A25" s="69">
        <v>43651</v>
      </c>
      <c r="B25" s="19"/>
      <c r="C25" s="20" t="s">
        <v>41</v>
      </c>
      <c r="D25" s="20" t="s">
        <v>42</v>
      </c>
      <c r="E25" s="20" t="s">
        <v>43</v>
      </c>
      <c r="F25" s="21">
        <v>197943</v>
      </c>
      <c r="G25" s="44" t="s">
        <v>44</v>
      </c>
      <c r="H25" s="70"/>
      <c r="I25" s="70"/>
      <c r="J25" s="70"/>
      <c r="K25" s="70">
        <v>180</v>
      </c>
      <c r="L25" s="24"/>
      <c r="M25" s="25">
        <f t="shared" si="0"/>
        <v>160.71428571428569</v>
      </c>
      <c r="N25" s="25">
        <f t="shared" si="1"/>
        <v>19.285714285714281</v>
      </c>
      <c r="O25" s="25">
        <f t="shared" si="2"/>
        <v>0</v>
      </c>
      <c r="P25" s="25"/>
      <c r="Q25" s="26">
        <v>160.71</v>
      </c>
      <c r="R25" s="26"/>
      <c r="S25" s="27"/>
      <c r="T25" s="27"/>
      <c r="U25" s="27"/>
      <c r="V25" s="27"/>
      <c r="W25" s="27"/>
      <c r="X25" s="26"/>
      <c r="Y25" s="26"/>
      <c r="Z25" s="26"/>
      <c r="AA25" s="26"/>
      <c r="AB25" s="27"/>
      <c r="AC25" s="27"/>
      <c r="AD25" s="26"/>
      <c r="AE25" s="26"/>
      <c r="AF25" s="25">
        <f t="shared" si="3"/>
        <v>-179.99571428571429</v>
      </c>
      <c r="AG25" s="28">
        <f t="shared" si="4"/>
        <v>4.2857142857144481E-3</v>
      </c>
    </row>
    <row r="26" spans="1:33" s="29" customFormat="1" ht="24.75" hidden="1" customHeight="1" x14ac:dyDescent="0.2">
      <c r="A26" s="69">
        <v>43652</v>
      </c>
      <c r="B26" s="19"/>
      <c r="C26" s="20" t="s">
        <v>347</v>
      </c>
      <c r="D26" s="20"/>
      <c r="E26" s="20"/>
      <c r="F26" s="21"/>
      <c r="G26" s="22" t="s">
        <v>710</v>
      </c>
      <c r="H26" s="70">
        <v>537</v>
      </c>
      <c r="I26" s="70"/>
      <c r="J26" s="70"/>
      <c r="K26" s="70"/>
      <c r="L26" s="24"/>
      <c r="M26" s="25">
        <f t="shared" si="0"/>
        <v>537</v>
      </c>
      <c r="N26" s="25">
        <f t="shared" si="1"/>
        <v>0</v>
      </c>
      <c r="O26" s="25">
        <f t="shared" si="2"/>
        <v>0</v>
      </c>
      <c r="P26" s="25"/>
      <c r="Q26" s="26"/>
      <c r="R26" s="26"/>
      <c r="S26" s="27"/>
      <c r="T26" s="27"/>
      <c r="U26" s="27"/>
      <c r="V26" s="27"/>
      <c r="W26" s="27"/>
      <c r="X26" s="26"/>
      <c r="Y26" s="26"/>
      <c r="Z26" s="26"/>
      <c r="AA26" s="26"/>
      <c r="AB26" s="27">
        <v>537</v>
      </c>
      <c r="AC26" s="27"/>
      <c r="AD26" s="26"/>
      <c r="AE26" s="26"/>
      <c r="AF26" s="25">
        <f t="shared" si="3"/>
        <v>-537</v>
      </c>
      <c r="AG26" s="28">
        <f t="shared" si="4"/>
        <v>0</v>
      </c>
    </row>
    <row r="27" spans="1:33" s="29" customFormat="1" ht="24.75" hidden="1" customHeight="1" x14ac:dyDescent="0.2">
      <c r="A27" s="69">
        <v>43652</v>
      </c>
      <c r="B27" s="19"/>
      <c r="C27" s="20" t="s">
        <v>321</v>
      </c>
      <c r="D27" s="20" t="s">
        <v>322</v>
      </c>
      <c r="E27" s="20" t="s">
        <v>711</v>
      </c>
      <c r="F27" s="21">
        <v>1444</v>
      </c>
      <c r="G27" s="22" t="s">
        <v>44</v>
      </c>
      <c r="H27" s="70"/>
      <c r="I27" s="70"/>
      <c r="J27" s="70"/>
      <c r="K27" s="70">
        <v>80</v>
      </c>
      <c r="L27" s="24"/>
      <c r="M27" s="25">
        <f t="shared" si="0"/>
        <v>71.428571428571416</v>
      </c>
      <c r="N27" s="25">
        <f t="shared" si="1"/>
        <v>8.5714285714285694</v>
      </c>
      <c r="O27" s="25">
        <f t="shared" si="2"/>
        <v>0</v>
      </c>
      <c r="P27" s="25"/>
      <c r="Q27" s="26">
        <v>71.430000000000007</v>
      </c>
      <c r="R27" s="26"/>
      <c r="S27" s="27"/>
      <c r="T27" s="27"/>
      <c r="U27" s="27"/>
      <c r="V27" s="27"/>
      <c r="W27" s="27"/>
      <c r="X27" s="26"/>
      <c r="Y27" s="26"/>
      <c r="Z27" s="26"/>
      <c r="AA27" s="26"/>
      <c r="AB27" s="27"/>
      <c r="AC27" s="27"/>
      <c r="AD27" s="26"/>
      <c r="AE27" s="26"/>
      <c r="AF27" s="25">
        <f t="shared" si="3"/>
        <v>-80.001428571428576</v>
      </c>
      <c r="AG27" s="28">
        <f t="shared" si="4"/>
        <v>-1.4285714285762197E-3</v>
      </c>
    </row>
    <row r="28" spans="1:33" s="29" customFormat="1" ht="24.75" hidden="1" customHeight="1" x14ac:dyDescent="0.2">
      <c r="A28" s="69">
        <v>43654</v>
      </c>
      <c r="B28" s="19"/>
      <c r="C28" s="20" t="s">
        <v>41</v>
      </c>
      <c r="D28" s="20" t="s">
        <v>42</v>
      </c>
      <c r="E28" s="20" t="s">
        <v>43</v>
      </c>
      <c r="F28" s="21">
        <v>153182</v>
      </c>
      <c r="G28" s="22" t="s">
        <v>44</v>
      </c>
      <c r="H28" s="70"/>
      <c r="I28" s="70"/>
      <c r="J28" s="70"/>
      <c r="K28" s="70">
        <v>180</v>
      </c>
      <c r="L28" s="24"/>
      <c r="M28" s="25">
        <f t="shared" si="0"/>
        <v>160.71428571428569</v>
      </c>
      <c r="N28" s="25">
        <f t="shared" si="1"/>
        <v>19.285714285714281</v>
      </c>
      <c r="O28" s="25">
        <f t="shared" si="2"/>
        <v>0</v>
      </c>
      <c r="P28" s="25"/>
      <c r="Q28" s="26">
        <v>160.71</v>
      </c>
      <c r="R28" s="26"/>
      <c r="S28" s="27"/>
      <c r="T28" s="27"/>
      <c r="U28" s="27"/>
      <c r="V28" s="27"/>
      <c r="W28" s="27"/>
      <c r="X28" s="26"/>
      <c r="Y28" s="26"/>
      <c r="Z28" s="26"/>
      <c r="AA28" s="26"/>
      <c r="AB28" s="27"/>
      <c r="AC28" s="27"/>
      <c r="AD28" s="26"/>
      <c r="AE28" s="26"/>
      <c r="AF28" s="25">
        <f t="shared" si="3"/>
        <v>-179.99571428571429</v>
      </c>
      <c r="AG28" s="28">
        <f t="shared" si="4"/>
        <v>4.2857142857144481E-3</v>
      </c>
    </row>
    <row r="29" spans="1:33" s="29" customFormat="1" ht="24.75" hidden="1" customHeight="1" x14ac:dyDescent="0.2">
      <c r="A29" s="69">
        <v>43654</v>
      </c>
      <c r="B29" s="19"/>
      <c r="C29" s="20" t="s">
        <v>347</v>
      </c>
      <c r="D29" s="20"/>
      <c r="E29" s="20"/>
      <c r="F29" s="21"/>
      <c r="G29" s="22" t="s">
        <v>712</v>
      </c>
      <c r="H29" s="70">
        <v>537</v>
      </c>
      <c r="I29" s="70"/>
      <c r="J29" s="70"/>
      <c r="K29" s="70"/>
      <c r="L29" s="24"/>
      <c r="M29" s="25">
        <f t="shared" si="0"/>
        <v>537</v>
      </c>
      <c r="N29" s="25">
        <f t="shared" si="1"/>
        <v>0</v>
      </c>
      <c r="O29" s="25">
        <f t="shared" si="2"/>
        <v>0</v>
      </c>
      <c r="P29" s="25"/>
      <c r="Q29" s="26"/>
      <c r="R29" s="26"/>
      <c r="S29" s="27"/>
      <c r="T29" s="27"/>
      <c r="U29" s="27"/>
      <c r="V29" s="27"/>
      <c r="W29" s="27"/>
      <c r="X29" s="26"/>
      <c r="Y29" s="26"/>
      <c r="Z29" s="26"/>
      <c r="AA29" s="26"/>
      <c r="AB29" s="27">
        <v>537</v>
      </c>
      <c r="AC29" s="27"/>
      <c r="AD29" s="26"/>
      <c r="AE29" s="26"/>
      <c r="AF29" s="25">
        <f t="shared" si="3"/>
        <v>-537</v>
      </c>
      <c r="AG29" s="28">
        <f t="shared" si="4"/>
        <v>0</v>
      </c>
    </row>
    <row r="30" spans="1:33" s="29" customFormat="1" ht="24.75" hidden="1" customHeight="1" x14ac:dyDescent="0.2">
      <c r="A30" s="69">
        <v>43654</v>
      </c>
      <c r="B30" s="19"/>
      <c r="C30" s="20" t="s">
        <v>713</v>
      </c>
      <c r="D30" s="20" t="s">
        <v>336</v>
      </c>
      <c r="E30" s="20" t="s">
        <v>47</v>
      </c>
      <c r="F30" s="21">
        <v>1697083</v>
      </c>
      <c r="G30" s="22" t="s">
        <v>714</v>
      </c>
      <c r="H30" s="70"/>
      <c r="I30" s="70"/>
      <c r="J30" s="70"/>
      <c r="K30" s="70">
        <v>219.5</v>
      </c>
      <c r="L30" s="24"/>
      <c r="M30" s="25">
        <f t="shared" si="0"/>
        <v>195.98214285714283</v>
      </c>
      <c r="N30" s="25">
        <f t="shared" si="1"/>
        <v>23.517857142857139</v>
      </c>
      <c r="O30" s="25">
        <f t="shared" si="2"/>
        <v>0</v>
      </c>
      <c r="P30" s="25"/>
      <c r="Q30" s="26"/>
      <c r="R30" s="26"/>
      <c r="S30" s="27"/>
      <c r="T30" s="27"/>
      <c r="U30" s="27"/>
      <c r="V30" s="27"/>
      <c r="W30" s="27"/>
      <c r="X30" s="26"/>
      <c r="Y30" s="26">
        <v>195.98</v>
      </c>
      <c r="Z30" s="26"/>
      <c r="AA30" s="26"/>
      <c r="AB30" s="27"/>
      <c r="AC30" s="27"/>
      <c r="AD30" s="26"/>
      <c r="AE30" s="26"/>
      <c r="AF30" s="25">
        <f t="shared" si="3"/>
        <v>-219.49785714285713</v>
      </c>
      <c r="AG30" s="28">
        <f t="shared" si="4"/>
        <v>2.1428571428714349E-3</v>
      </c>
    </row>
    <row r="31" spans="1:33" s="29" customFormat="1" ht="24.75" hidden="1" customHeight="1" x14ac:dyDescent="0.2">
      <c r="A31" s="69">
        <v>43655</v>
      </c>
      <c r="B31" s="19"/>
      <c r="C31" s="20" t="s">
        <v>341</v>
      </c>
      <c r="D31" s="20" t="s">
        <v>715</v>
      </c>
      <c r="E31" s="20" t="s">
        <v>711</v>
      </c>
      <c r="F31" s="21">
        <v>1745495</v>
      </c>
      <c r="G31" s="22" t="s">
        <v>44</v>
      </c>
      <c r="H31" s="70"/>
      <c r="I31" s="70"/>
      <c r="J31" s="70"/>
      <c r="K31" s="70">
        <v>48</v>
      </c>
      <c r="L31" s="24"/>
      <c r="M31" s="25">
        <f t="shared" si="0"/>
        <v>42.857142857142854</v>
      </c>
      <c r="N31" s="25">
        <f t="shared" si="1"/>
        <v>5.1428571428571423</v>
      </c>
      <c r="O31" s="25">
        <f t="shared" si="2"/>
        <v>0</v>
      </c>
      <c r="P31" s="25"/>
      <c r="Q31" s="26">
        <v>42.86</v>
      </c>
      <c r="R31" s="26"/>
      <c r="S31" s="27"/>
      <c r="T31" s="27"/>
      <c r="U31" s="27"/>
      <c r="V31" s="27"/>
      <c r="W31" s="27"/>
      <c r="X31" s="26"/>
      <c r="Y31" s="26"/>
      <c r="Z31" s="26"/>
      <c r="AA31" s="26"/>
      <c r="AB31" s="27"/>
      <c r="AC31" s="27"/>
      <c r="AD31" s="26"/>
      <c r="AE31" s="26"/>
      <c r="AF31" s="25">
        <f t="shared" si="3"/>
        <v>-48.002857142857138</v>
      </c>
      <c r="AG31" s="28">
        <f t="shared" si="4"/>
        <v>-2.8571428571382285E-3</v>
      </c>
    </row>
    <row r="32" spans="1:33" s="29" customFormat="1" ht="24.75" hidden="1" customHeight="1" x14ac:dyDescent="0.2">
      <c r="A32" s="69">
        <v>43655</v>
      </c>
      <c r="B32" s="19"/>
      <c r="C32" s="20" t="s">
        <v>321</v>
      </c>
      <c r="D32" s="20" t="s">
        <v>322</v>
      </c>
      <c r="E32" s="20" t="s">
        <v>711</v>
      </c>
      <c r="F32" s="21">
        <v>951</v>
      </c>
      <c r="G32" s="22" t="s">
        <v>44</v>
      </c>
      <c r="H32" s="70"/>
      <c r="I32" s="70"/>
      <c r="J32" s="70"/>
      <c r="K32" s="70">
        <v>40</v>
      </c>
      <c r="L32" s="24"/>
      <c r="M32" s="25">
        <f t="shared" si="0"/>
        <v>35.714285714285708</v>
      </c>
      <c r="N32" s="25">
        <f t="shared" si="1"/>
        <v>4.2857142857142847</v>
      </c>
      <c r="O32" s="25">
        <f t="shared" si="2"/>
        <v>0</v>
      </c>
      <c r="P32" s="25"/>
      <c r="Q32" s="26">
        <v>35.71</v>
      </c>
      <c r="R32" s="26"/>
      <c r="S32" s="27"/>
      <c r="T32" s="27"/>
      <c r="U32" s="27"/>
      <c r="V32" s="27"/>
      <c r="W32" s="27"/>
      <c r="X32" s="26"/>
      <c r="Y32" s="26"/>
      <c r="Z32" s="26"/>
      <c r="AA32" s="26"/>
      <c r="AB32" s="27"/>
      <c r="AC32" s="27"/>
      <c r="AD32" s="26"/>
      <c r="AE32" s="26"/>
      <c r="AF32" s="25">
        <f t="shared" si="3"/>
        <v>-39.995714285714286</v>
      </c>
      <c r="AG32" s="28">
        <f t="shared" si="4"/>
        <v>4.2857142857144481E-3</v>
      </c>
    </row>
    <row r="33" spans="1:33" s="29" customFormat="1" ht="23.25" customHeight="1" x14ac:dyDescent="0.2">
      <c r="A33" s="69">
        <v>43655</v>
      </c>
      <c r="B33" s="19"/>
      <c r="C33" s="20" t="s">
        <v>80</v>
      </c>
      <c r="D33" s="20" t="s">
        <v>181</v>
      </c>
      <c r="E33" s="20" t="s">
        <v>47</v>
      </c>
      <c r="F33" s="21">
        <v>1912</v>
      </c>
      <c r="G33" s="22" t="s">
        <v>716</v>
      </c>
      <c r="H33" s="70"/>
      <c r="I33" s="70"/>
      <c r="J33" s="70"/>
      <c r="K33" s="70">
        <v>1294</v>
      </c>
      <c r="L33" s="24">
        <v>0.01</v>
      </c>
      <c r="M33" s="25">
        <f t="shared" si="0"/>
        <v>1155.3571428571427</v>
      </c>
      <c r="N33" s="25">
        <f t="shared" si="1"/>
        <v>138.64285714285711</v>
      </c>
      <c r="O33" s="25">
        <f t="shared" si="2"/>
        <v>-11.553571428571427</v>
      </c>
      <c r="P33" s="25">
        <v>1155.3599999999999</v>
      </c>
      <c r="Q33" s="26"/>
      <c r="R33" s="26"/>
      <c r="S33" s="27"/>
      <c r="T33" s="27"/>
      <c r="U33" s="27"/>
      <c r="V33" s="27"/>
      <c r="W33" s="27"/>
      <c r="X33" s="26"/>
      <c r="Y33" s="26"/>
      <c r="Z33" s="26"/>
      <c r="AA33" s="26"/>
      <c r="AB33" s="27"/>
      <c r="AC33" s="27"/>
      <c r="AD33" s="26"/>
      <c r="AE33" s="26"/>
      <c r="AF33" s="25">
        <f t="shared" si="3"/>
        <v>-1282.4492857142857</v>
      </c>
      <c r="AG33" s="28">
        <f t="shared" si="4"/>
        <v>-2.857142857106254E-3</v>
      </c>
    </row>
    <row r="34" spans="1:33" s="29" customFormat="1" ht="24.75" hidden="1" customHeight="1" x14ac:dyDescent="0.2">
      <c r="A34" s="69">
        <v>43655</v>
      </c>
      <c r="B34" s="19"/>
      <c r="C34" s="20" t="s">
        <v>58</v>
      </c>
      <c r="D34" s="20"/>
      <c r="E34" s="20"/>
      <c r="F34" s="21"/>
      <c r="G34" s="22" t="s">
        <v>59</v>
      </c>
      <c r="H34" s="70">
        <v>50</v>
      </c>
      <c r="I34" s="70"/>
      <c r="J34" s="70"/>
      <c r="K34" s="70"/>
      <c r="L34" s="24"/>
      <c r="M34" s="25">
        <f t="shared" si="0"/>
        <v>50</v>
      </c>
      <c r="N34" s="25">
        <f t="shared" si="1"/>
        <v>0</v>
      </c>
      <c r="O34" s="25">
        <f t="shared" si="2"/>
        <v>0</v>
      </c>
      <c r="P34" s="25"/>
      <c r="Q34" s="26"/>
      <c r="R34" s="26"/>
      <c r="S34" s="27"/>
      <c r="T34" s="27"/>
      <c r="U34" s="27"/>
      <c r="V34" s="27"/>
      <c r="W34" s="27"/>
      <c r="X34" s="26"/>
      <c r="Y34" s="26"/>
      <c r="Z34" s="26"/>
      <c r="AA34" s="26">
        <v>50</v>
      </c>
      <c r="AB34" s="27"/>
      <c r="AC34" s="27"/>
      <c r="AD34" s="26"/>
      <c r="AE34" s="26"/>
      <c r="AF34" s="25">
        <f t="shared" si="3"/>
        <v>-50</v>
      </c>
      <c r="AG34" s="28">
        <f t="shared" si="4"/>
        <v>0</v>
      </c>
    </row>
    <row r="35" spans="1:33" s="29" customFormat="1" ht="23.25" hidden="1" customHeight="1" x14ac:dyDescent="0.2">
      <c r="A35" s="69">
        <v>43655</v>
      </c>
      <c r="B35" s="19"/>
      <c r="C35" s="20" t="s">
        <v>45</v>
      </c>
      <c r="D35" s="20" t="s">
        <v>46</v>
      </c>
      <c r="E35" s="20" t="s">
        <v>47</v>
      </c>
      <c r="F35" s="21">
        <v>213036</v>
      </c>
      <c r="G35" s="22" t="s">
        <v>717</v>
      </c>
      <c r="H35" s="70"/>
      <c r="I35" s="70"/>
      <c r="J35" s="70"/>
      <c r="K35" s="70">
        <f>788.84+94.66</f>
        <v>883.5</v>
      </c>
      <c r="L35" s="24"/>
      <c r="M35" s="25">
        <f t="shared" si="0"/>
        <v>788.83928571428567</v>
      </c>
      <c r="N35" s="25">
        <f t="shared" si="1"/>
        <v>94.660714285714278</v>
      </c>
      <c r="O35" s="25">
        <f t="shared" si="2"/>
        <v>0</v>
      </c>
      <c r="P35" s="25">
        <v>788.84</v>
      </c>
      <c r="Q35" s="26"/>
      <c r="R35" s="26"/>
      <c r="S35" s="27"/>
      <c r="T35" s="27"/>
      <c r="U35" s="27"/>
      <c r="V35" s="27"/>
      <c r="W35" s="27"/>
      <c r="X35" s="26"/>
      <c r="Y35" s="26"/>
      <c r="Z35" s="26"/>
      <c r="AA35" s="26"/>
      <c r="AB35" s="27"/>
      <c r="AC35" s="27"/>
      <c r="AD35" s="26"/>
      <c r="AE35" s="26"/>
      <c r="AF35" s="25">
        <f t="shared" si="3"/>
        <v>-883.50071428571437</v>
      </c>
      <c r="AG35" s="28">
        <f t="shared" si="4"/>
        <v>-7.1428571436626953E-4</v>
      </c>
    </row>
    <row r="36" spans="1:33" s="29" customFormat="1" ht="24.75" hidden="1" customHeight="1" x14ac:dyDescent="0.2">
      <c r="A36" s="69">
        <v>43655</v>
      </c>
      <c r="B36" s="19"/>
      <c r="C36" s="20" t="s">
        <v>45</v>
      </c>
      <c r="D36" s="20" t="s">
        <v>46</v>
      </c>
      <c r="E36" s="20" t="s">
        <v>47</v>
      </c>
      <c r="F36" s="21">
        <v>213036</v>
      </c>
      <c r="G36" s="22" t="s">
        <v>718</v>
      </c>
      <c r="H36" s="70"/>
      <c r="I36" s="70"/>
      <c r="J36" s="70">
        <v>136</v>
      </c>
      <c r="K36" s="70"/>
      <c r="L36" s="24"/>
      <c r="M36" s="25">
        <f t="shared" si="0"/>
        <v>136</v>
      </c>
      <c r="N36" s="25">
        <f t="shared" si="1"/>
        <v>0</v>
      </c>
      <c r="O36" s="25">
        <f t="shared" si="2"/>
        <v>0</v>
      </c>
      <c r="P36" s="25">
        <v>136</v>
      </c>
      <c r="Q36" s="26"/>
      <c r="R36" s="26"/>
      <c r="S36" s="27"/>
      <c r="T36" s="27"/>
      <c r="U36" s="27"/>
      <c r="V36" s="27"/>
      <c r="W36" s="27"/>
      <c r="X36" s="26"/>
      <c r="Y36" s="26"/>
      <c r="Z36" s="26"/>
      <c r="AA36" s="26"/>
      <c r="AB36" s="27"/>
      <c r="AC36" s="27"/>
      <c r="AD36" s="26"/>
      <c r="AE36" s="26"/>
      <c r="AF36" s="25">
        <f t="shared" si="3"/>
        <v>-136</v>
      </c>
      <c r="AG36" s="28">
        <f t="shared" si="4"/>
        <v>0</v>
      </c>
    </row>
    <row r="37" spans="1:33" s="29" customFormat="1" ht="24.75" hidden="1" customHeight="1" x14ac:dyDescent="0.2">
      <c r="A37" s="69">
        <v>43655</v>
      </c>
      <c r="B37" s="19"/>
      <c r="C37" s="20" t="s">
        <v>347</v>
      </c>
      <c r="D37" s="20"/>
      <c r="E37" s="20"/>
      <c r="F37" s="21"/>
      <c r="G37" s="22" t="s">
        <v>719</v>
      </c>
      <c r="H37" s="70">
        <v>537</v>
      </c>
      <c r="I37" s="70"/>
      <c r="J37" s="70"/>
      <c r="K37" s="70"/>
      <c r="L37" s="24"/>
      <c r="M37" s="25">
        <f t="shared" ref="M37:M68" si="5">SUM(H37:J37,K37/1.12)</f>
        <v>537</v>
      </c>
      <c r="N37" s="25">
        <f t="shared" ref="N37:N68" si="6">K37/1.12*0.12</f>
        <v>0</v>
      </c>
      <c r="O37" s="25">
        <f t="shared" ref="O37:O68" si="7">-SUM(I37:J37,K37/1.12)*L37</f>
        <v>0</v>
      </c>
      <c r="P37" s="25"/>
      <c r="Q37" s="26"/>
      <c r="R37" s="26"/>
      <c r="S37" s="27"/>
      <c r="T37" s="27"/>
      <c r="U37" s="27"/>
      <c r="V37" s="27"/>
      <c r="W37" s="27"/>
      <c r="X37" s="26"/>
      <c r="Y37" s="26"/>
      <c r="Z37" s="26"/>
      <c r="AA37" s="26"/>
      <c r="AB37" s="27">
        <v>537</v>
      </c>
      <c r="AC37" s="27"/>
      <c r="AD37" s="26"/>
      <c r="AE37" s="26"/>
      <c r="AF37" s="25">
        <f t="shared" ref="AF37:AF68" si="8">-SUM(N37:AE37)</f>
        <v>-537</v>
      </c>
      <c r="AG37" s="28">
        <f t="shared" ref="AG37:AG68" si="9">SUM(H37:K37)+AF37+O37</f>
        <v>0</v>
      </c>
    </row>
    <row r="38" spans="1:33" s="29" customFormat="1" ht="24.75" hidden="1" customHeight="1" x14ac:dyDescent="0.2">
      <c r="A38" s="69">
        <v>43655</v>
      </c>
      <c r="B38" s="19"/>
      <c r="C38" s="20" t="s">
        <v>41</v>
      </c>
      <c r="D38" s="20" t="s">
        <v>42</v>
      </c>
      <c r="E38" s="20" t="s">
        <v>43</v>
      </c>
      <c r="F38" s="21">
        <v>152958</v>
      </c>
      <c r="G38" s="22" t="s">
        <v>44</v>
      </c>
      <c r="H38" s="70"/>
      <c r="I38" s="70"/>
      <c r="J38" s="70"/>
      <c r="K38" s="70">
        <v>180</v>
      </c>
      <c r="L38" s="24"/>
      <c r="M38" s="25">
        <f t="shared" si="5"/>
        <v>160.71428571428569</v>
      </c>
      <c r="N38" s="25">
        <f t="shared" si="6"/>
        <v>19.285714285714281</v>
      </c>
      <c r="O38" s="25">
        <f t="shared" si="7"/>
        <v>0</v>
      </c>
      <c r="P38" s="25"/>
      <c r="Q38" s="26">
        <v>160.71</v>
      </c>
      <c r="R38" s="26"/>
      <c r="S38" s="27"/>
      <c r="T38" s="27"/>
      <c r="U38" s="27"/>
      <c r="V38" s="27"/>
      <c r="W38" s="27"/>
      <c r="X38" s="26"/>
      <c r="Y38" s="26"/>
      <c r="Z38" s="26"/>
      <c r="AA38" s="26"/>
      <c r="AB38" s="27"/>
      <c r="AC38" s="27"/>
      <c r="AD38" s="26"/>
      <c r="AE38" s="26"/>
      <c r="AF38" s="25">
        <f t="shared" si="8"/>
        <v>-179.99571428571429</v>
      </c>
      <c r="AG38" s="28">
        <f t="shared" si="9"/>
        <v>4.2857142857144481E-3</v>
      </c>
    </row>
    <row r="39" spans="1:33" s="29" customFormat="1" ht="24.75" hidden="1" customHeight="1" x14ac:dyDescent="0.2">
      <c r="A39" s="69">
        <v>43656</v>
      </c>
      <c r="B39" s="19"/>
      <c r="C39" s="20" t="s">
        <v>41</v>
      </c>
      <c r="D39" s="20" t="s">
        <v>42</v>
      </c>
      <c r="E39" s="20" t="s">
        <v>43</v>
      </c>
      <c r="F39" s="21">
        <v>152982</v>
      </c>
      <c r="G39" s="22" t="s">
        <v>44</v>
      </c>
      <c r="H39" s="70"/>
      <c r="I39" s="70"/>
      <c r="J39" s="70"/>
      <c r="K39" s="70">
        <v>180</v>
      </c>
      <c r="L39" s="24"/>
      <c r="M39" s="25">
        <f t="shared" si="5"/>
        <v>160.71428571428569</v>
      </c>
      <c r="N39" s="25">
        <f t="shared" si="6"/>
        <v>19.285714285714281</v>
      </c>
      <c r="O39" s="25">
        <f t="shared" si="7"/>
        <v>0</v>
      </c>
      <c r="P39" s="25"/>
      <c r="Q39" s="26">
        <v>160.71</v>
      </c>
      <c r="R39" s="26"/>
      <c r="S39" s="27"/>
      <c r="T39" s="27"/>
      <c r="U39" s="27"/>
      <c r="V39" s="27"/>
      <c r="W39" s="27"/>
      <c r="X39" s="26"/>
      <c r="Y39" s="26"/>
      <c r="Z39" s="26"/>
      <c r="AA39" s="26"/>
      <c r="AB39" s="27"/>
      <c r="AC39" s="27"/>
      <c r="AD39" s="26"/>
      <c r="AE39" s="26"/>
      <c r="AF39" s="25">
        <f t="shared" si="8"/>
        <v>-179.99571428571429</v>
      </c>
      <c r="AG39" s="28">
        <f t="shared" si="9"/>
        <v>4.2857142857144481E-3</v>
      </c>
    </row>
    <row r="40" spans="1:33" s="29" customFormat="1" ht="23.25" hidden="1" customHeight="1" x14ac:dyDescent="0.2">
      <c r="A40" s="69">
        <v>43656</v>
      </c>
      <c r="B40" s="19"/>
      <c r="C40" s="20" t="s">
        <v>58</v>
      </c>
      <c r="D40" s="20"/>
      <c r="E40" s="20"/>
      <c r="F40" s="21"/>
      <c r="G40" s="22" t="s">
        <v>720</v>
      </c>
      <c r="H40" s="70">
        <v>50</v>
      </c>
      <c r="I40" s="70"/>
      <c r="J40" s="70"/>
      <c r="K40" s="70"/>
      <c r="L40" s="24"/>
      <c r="M40" s="25">
        <f t="shared" si="5"/>
        <v>50</v>
      </c>
      <c r="N40" s="25">
        <f t="shared" si="6"/>
        <v>0</v>
      </c>
      <c r="O40" s="25">
        <f t="shared" si="7"/>
        <v>0</v>
      </c>
      <c r="P40" s="25"/>
      <c r="Q40" s="26"/>
      <c r="R40" s="26"/>
      <c r="S40" s="27"/>
      <c r="T40" s="27"/>
      <c r="U40" s="27"/>
      <c r="V40" s="27"/>
      <c r="W40" s="27"/>
      <c r="X40" s="26"/>
      <c r="Y40" s="26"/>
      <c r="Z40" s="26"/>
      <c r="AA40" s="26">
        <v>50</v>
      </c>
      <c r="AB40" s="27"/>
      <c r="AC40" s="27"/>
      <c r="AD40" s="26"/>
      <c r="AE40" s="26"/>
      <c r="AF40" s="25">
        <f t="shared" si="8"/>
        <v>-50</v>
      </c>
      <c r="AG40" s="28">
        <f t="shared" si="9"/>
        <v>0</v>
      </c>
    </row>
    <row r="41" spans="1:33" s="29" customFormat="1" ht="23.25" hidden="1" customHeight="1" x14ac:dyDescent="0.2">
      <c r="A41" s="69">
        <v>43656</v>
      </c>
      <c r="B41" s="19"/>
      <c r="C41" s="20" t="s">
        <v>37</v>
      </c>
      <c r="D41" s="20" t="s">
        <v>38</v>
      </c>
      <c r="E41" s="20" t="s">
        <v>39</v>
      </c>
      <c r="F41" s="21">
        <v>36328</v>
      </c>
      <c r="G41" s="22" t="s">
        <v>416</v>
      </c>
      <c r="H41" s="70"/>
      <c r="I41" s="70"/>
      <c r="J41" s="70"/>
      <c r="K41" s="70">
        <v>207</v>
      </c>
      <c r="L41" s="24"/>
      <c r="M41" s="25">
        <f t="shared" si="5"/>
        <v>184.82142857142856</v>
      </c>
      <c r="N41" s="25">
        <f t="shared" si="6"/>
        <v>22.178571428571427</v>
      </c>
      <c r="O41" s="25">
        <f t="shared" si="7"/>
        <v>0</v>
      </c>
      <c r="P41" s="25"/>
      <c r="Q41" s="26">
        <v>184.82</v>
      </c>
      <c r="R41" s="26"/>
      <c r="S41" s="27"/>
      <c r="T41" s="27"/>
      <c r="U41" s="27"/>
      <c r="V41" s="27"/>
      <c r="W41" s="27"/>
      <c r="X41" s="26"/>
      <c r="Y41" s="26"/>
      <c r="Z41" s="26"/>
      <c r="AA41" s="26"/>
      <c r="AB41" s="27"/>
      <c r="AC41" s="27"/>
      <c r="AD41" s="26"/>
      <c r="AE41" s="26"/>
      <c r="AF41" s="25">
        <f t="shared" si="8"/>
        <v>-206.99857142857141</v>
      </c>
      <c r="AG41" s="28">
        <f t="shared" si="9"/>
        <v>1.4285714285904305E-3</v>
      </c>
    </row>
    <row r="42" spans="1:33" s="29" customFormat="1" ht="23.25" hidden="1" customHeight="1" x14ac:dyDescent="0.2">
      <c r="A42" s="69">
        <v>43656</v>
      </c>
      <c r="B42" s="19"/>
      <c r="C42" s="20" t="s">
        <v>37</v>
      </c>
      <c r="D42" s="20" t="s">
        <v>38</v>
      </c>
      <c r="E42" s="20" t="s">
        <v>39</v>
      </c>
      <c r="F42" s="21">
        <v>36330</v>
      </c>
      <c r="G42" s="22" t="s">
        <v>721</v>
      </c>
      <c r="H42" s="70"/>
      <c r="I42" s="70"/>
      <c r="J42" s="70"/>
      <c r="K42" s="70">
        <v>443.5</v>
      </c>
      <c r="L42" s="24"/>
      <c r="M42" s="25">
        <f t="shared" si="5"/>
        <v>395.98214285714283</v>
      </c>
      <c r="N42" s="25">
        <f t="shared" si="6"/>
        <v>47.517857142857139</v>
      </c>
      <c r="O42" s="25">
        <f t="shared" si="7"/>
        <v>0</v>
      </c>
      <c r="P42" s="25">
        <v>395.98</v>
      </c>
      <c r="Q42" s="26"/>
      <c r="R42" s="26"/>
      <c r="S42" s="27"/>
      <c r="T42" s="27"/>
      <c r="U42" s="27"/>
      <c r="V42" s="27"/>
      <c r="W42" s="27"/>
      <c r="X42" s="26"/>
      <c r="Y42" s="26"/>
      <c r="Z42" s="26"/>
      <c r="AA42" s="26"/>
      <c r="AB42" s="27"/>
      <c r="AC42" s="27"/>
      <c r="AD42" s="26"/>
      <c r="AE42" s="26"/>
      <c r="AF42" s="25">
        <f t="shared" si="8"/>
        <v>-443.49785714285713</v>
      </c>
      <c r="AG42" s="28">
        <f t="shared" si="9"/>
        <v>2.1428571428714349E-3</v>
      </c>
    </row>
    <row r="43" spans="1:33" s="29" customFormat="1" ht="24.75" hidden="1" customHeight="1" x14ac:dyDescent="0.2">
      <c r="A43" s="69">
        <v>43656</v>
      </c>
      <c r="B43" s="19"/>
      <c r="C43" s="20" t="s">
        <v>347</v>
      </c>
      <c r="D43" s="20"/>
      <c r="E43" s="20"/>
      <c r="F43" s="21"/>
      <c r="G43" s="22" t="s">
        <v>722</v>
      </c>
      <c r="H43" s="70">
        <v>537</v>
      </c>
      <c r="I43" s="70"/>
      <c r="J43" s="70"/>
      <c r="K43" s="70"/>
      <c r="L43" s="24"/>
      <c r="M43" s="25">
        <f t="shared" si="5"/>
        <v>537</v>
      </c>
      <c r="N43" s="25">
        <f t="shared" si="6"/>
        <v>0</v>
      </c>
      <c r="O43" s="25">
        <f t="shared" si="7"/>
        <v>0</v>
      </c>
      <c r="P43" s="25"/>
      <c r="Q43" s="26"/>
      <c r="R43" s="26"/>
      <c r="S43" s="27"/>
      <c r="T43" s="27"/>
      <c r="U43" s="27"/>
      <c r="V43" s="27"/>
      <c r="W43" s="27"/>
      <c r="X43" s="26"/>
      <c r="Y43" s="26"/>
      <c r="Z43" s="26"/>
      <c r="AA43" s="26"/>
      <c r="AB43" s="27">
        <v>537</v>
      </c>
      <c r="AC43" s="27"/>
      <c r="AD43" s="26"/>
      <c r="AE43" s="26"/>
      <c r="AF43" s="25">
        <f t="shared" si="8"/>
        <v>-537</v>
      </c>
      <c r="AG43" s="28">
        <f t="shared" si="9"/>
        <v>0</v>
      </c>
    </row>
    <row r="44" spans="1:33" s="29" customFormat="1" ht="23.25" hidden="1" customHeight="1" x14ac:dyDescent="0.2">
      <c r="A44" s="69">
        <v>43656</v>
      </c>
      <c r="B44" s="19"/>
      <c r="C44" s="20" t="s">
        <v>185</v>
      </c>
      <c r="D44" s="20" t="s">
        <v>106</v>
      </c>
      <c r="E44" s="20" t="s">
        <v>47</v>
      </c>
      <c r="F44" s="21">
        <v>757961</v>
      </c>
      <c r="G44" s="22" t="s">
        <v>723</v>
      </c>
      <c r="H44" s="70"/>
      <c r="I44" s="70"/>
      <c r="J44" s="70"/>
      <c r="K44" s="70">
        <f>16.5+38.5+4</f>
        <v>59</v>
      </c>
      <c r="L44" s="24"/>
      <c r="M44" s="25">
        <f t="shared" si="5"/>
        <v>52.678571428571423</v>
      </c>
      <c r="N44" s="25">
        <f t="shared" si="6"/>
        <v>6.3214285714285703</v>
      </c>
      <c r="O44" s="25">
        <f t="shared" si="7"/>
        <v>0</v>
      </c>
      <c r="P44" s="25"/>
      <c r="Q44" s="26"/>
      <c r="R44" s="26"/>
      <c r="S44" s="27"/>
      <c r="T44" s="27"/>
      <c r="U44" s="27"/>
      <c r="V44" s="27"/>
      <c r="W44" s="27"/>
      <c r="X44" s="26"/>
      <c r="Y44" s="26"/>
      <c r="Z44" s="26">
        <v>52.68</v>
      </c>
      <c r="AA44" s="26"/>
      <c r="AB44" s="27"/>
      <c r="AC44" s="27"/>
      <c r="AD44" s="26"/>
      <c r="AE44" s="26"/>
      <c r="AF44" s="25">
        <f t="shared" si="8"/>
        <v>-59.001428571428569</v>
      </c>
      <c r="AG44" s="28">
        <f t="shared" si="9"/>
        <v>-1.4285714285691142E-3</v>
      </c>
    </row>
    <row r="45" spans="1:33" s="41" customFormat="1" ht="23.25" hidden="1" customHeight="1" x14ac:dyDescent="0.2">
      <c r="A45" s="71">
        <v>43656</v>
      </c>
      <c r="B45" s="31"/>
      <c r="C45" s="32" t="s">
        <v>185</v>
      </c>
      <c r="D45" s="32" t="s">
        <v>106</v>
      </c>
      <c r="E45" s="32" t="s">
        <v>47</v>
      </c>
      <c r="F45" s="33">
        <v>757961</v>
      </c>
      <c r="G45" s="34" t="s">
        <v>724</v>
      </c>
      <c r="H45" s="72"/>
      <c r="I45" s="72"/>
      <c r="J45" s="72"/>
      <c r="K45" s="72">
        <f>2.5+6.5</f>
        <v>9</v>
      </c>
      <c r="L45" s="36"/>
      <c r="M45" s="37">
        <f t="shared" si="5"/>
        <v>8.0357142857142847</v>
      </c>
      <c r="N45" s="37">
        <f t="shared" si="6"/>
        <v>0.96428571428571408</v>
      </c>
      <c r="O45" s="37">
        <f t="shared" si="7"/>
        <v>0</v>
      </c>
      <c r="P45" s="37"/>
      <c r="Q45" s="38"/>
      <c r="R45" s="38"/>
      <c r="S45" s="39"/>
      <c r="T45" s="39">
        <v>8.0399999999999991</v>
      </c>
      <c r="U45" s="39"/>
      <c r="V45" s="39"/>
      <c r="W45" s="39"/>
      <c r="X45" s="38"/>
      <c r="Y45" s="38"/>
      <c r="Z45" s="38"/>
      <c r="AA45" s="38"/>
      <c r="AB45" s="39"/>
      <c r="AC45" s="39"/>
      <c r="AD45" s="38"/>
      <c r="AE45" s="38"/>
      <c r="AF45" s="37">
        <f t="shared" si="8"/>
        <v>-9.0042857142857127</v>
      </c>
      <c r="AG45" s="40">
        <f t="shared" si="9"/>
        <v>-4.2857142857126718E-3</v>
      </c>
    </row>
    <row r="46" spans="1:33" s="29" customFormat="1" ht="23.25" hidden="1" customHeight="1" x14ac:dyDescent="0.2">
      <c r="A46" s="69">
        <v>43656</v>
      </c>
      <c r="B46" s="19"/>
      <c r="C46" s="20" t="s">
        <v>45</v>
      </c>
      <c r="D46" s="20" t="s">
        <v>46</v>
      </c>
      <c r="E46" s="20" t="s">
        <v>47</v>
      </c>
      <c r="F46" s="21">
        <v>154133</v>
      </c>
      <c r="G46" s="62" t="s">
        <v>725</v>
      </c>
      <c r="H46" s="70"/>
      <c r="I46" s="70"/>
      <c r="J46" s="70"/>
      <c r="K46" s="70">
        <v>791.3</v>
      </c>
      <c r="L46" s="24"/>
      <c r="M46" s="25">
        <f t="shared" si="5"/>
        <v>706.517857142857</v>
      </c>
      <c r="N46" s="25">
        <f t="shared" si="6"/>
        <v>84.78214285714283</v>
      </c>
      <c r="O46" s="25">
        <f t="shared" si="7"/>
        <v>0</v>
      </c>
      <c r="P46" s="25">
        <v>706.52</v>
      </c>
      <c r="Q46" s="26"/>
      <c r="R46" s="26"/>
      <c r="S46" s="27"/>
      <c r="T46" s="27"/>
      <c r="U46" s="27"/>
      <c r="V46" s="27"/>
      <c r="W46" s="27"/>
      <c r="X46" s="26"/>
      <c r="Y46" s="26"/>
      <c r="Z46" s="26"/>
      <c r="AA46" s="26"/>
      <c r="AB46" s="27"/>
      <c r="AC46" s="27"/>
      <c r="AD46" s="26"/>
      <c r="AE46" s="26"/>
      <c r="AF46" s="25">
        <f t="shared" si="8"/>
        <v>-791.30214285714283</v>
      </c>
      <c r="AG46" s="28">
        <f t="shared" si="9"/>
        <v>-2.1428571428714349E-3</v>
      </c>
    </row>
    <row r="47" spans="1:33" s="29" customFormat="1" ht="24.75" customHeight="1" x14ac:dyDescent="0.2">
      <c r="A47" s="69">
        <v>43657</v>
      </c>
      <c r="B47" s="19"/>
      <c r="C47" s="20" t="s">
        <v>80</v>
      </c>
      <c r="D47" s="20" t="s">
        <v>181</v>
      </c>
      <c r="E47" s="20" t="s">
        <v>726</v>
      </c>
      <c r="F47" s="21">
        <v>1919</v>
      </c>
      <c r="G47" s="22" t="s">
        <v>310</v>
      </c>
      <c r="H47" s="70"/>
      <c r="I47" s="70"/>
      <c r="J47" s="70"/>
      <c r="K47" s="70">
        <v>4000</v>
      </c>
      <c r="L47" s="24">
        <v>0.01</v>
      </c>
      <c r="M47" s="25">
        <f t="shared" si="5"/>
        <v>3571.4285714285711</v>
      </c>
      <c r="N47" s="25">
        <f t="shared" si="6"/>
        <v>428.5714285714285</v>
      </c>
      <c r="O47" s="25">
        <f t="shared" si="7"/>
        <v>-35.714285714285715</v>
      </c>
      <c r="P47" s="25">
        <v>3571.43</v>
      </c>
      <c r="Q47" s="26"/>
      <c r="R47" s="26"/>
      <c r="S47" s="27"/>
      <c r="T47" s="27"/>
      <c r="U47" s="27"/>
      <c r="V47" s="27"/>
      <c r="W47" s="27"/>
      <c r="X47" s="26"/>
      <c r="Y47" s="26"/>
      <c r="Z47" s="26"/>
      <c r="AA47" s="26"/>
      <c r="AB47" s="27"/>
      <c r="AC47" s="27"/>
      <c r="AD47" s="26"/>
      <c r="AE47" s="26"/>
      <c r="AF47" s="25">
        <f t="shared" si="8"/>
        <v>-3964.2871428571425</v>
      </c>
      <c r="AG47" s="28">
        <f t="shared" si="9"/>
        <v>-1.4285714282138429E-3</v>
      </c>
    </row>
    <row r="48" spans="1:33" s="29" customFormat="1" ht="23.25" hidden="1" customHeight="1" x14ac:dyDescent="0.2">
      <c r="A48" s="69">
        <v>43657</v>
      </c>
      <c r="B48" s="19"/>
      <c r="C48" s="20" t="s">
        <v>37</v>
      </c>
      <c r="D48" s="20" t="s">
        <v>38</v>
      </c>
      <c r="E48" s="20" t="s">
        <v>39</v>
      </c>
      <c r="F48" s="21">
        <v>99115</v>
      </c>
      <c r="G48" s="62" t="s">
        <v>727</v>
      </c>
      <c r="H48" s="70"/>
      <c r="I48" s="70"/>
      <c r="J48" s="70"/>
      <c r="K48" s="70">
        <v>79.53</v>
      </c>
      <c r="L48" s="24"/>
      <c r="M48" s="25">
        <f t="shared" si="5"/>
        <v>71.008928571428569</v>
      </c>
      <c r="N48" s="25">
        <f t="shared" si="6"/>
        <v>8.5210714285714282</v>
      </c>
      <c r="O48" s="25">
        <f t="shared" si="7"/>
        <v>0</v>
      </c>
      <c r="P48" s="25">
        <v>71.010000000000005</v>
      </c>
      <c r="Q48" s="26"/>
      <c r="R48" s="26"/>
      <c r="S48" s="27"/>
      <c r="T48" s="27"/>
      <c r="U48" s="27"/>
      <c r="V48" s="27"/>
      <c r="W48" s="27"/>
      <c r="X48" s="26"/>
      <c r="Y48" s="26"/>
      <c r="Z48" s="26"/>
      <c r="AA48" s="26"/>
      <c r="AB48" s="27"/>
      <c r="AC48" s="27"/>
      <c r="AD48" s="26"/>
      <c r="AE48" s="26"/>
      <c r="AF48" s="25">
        <f t="shared" si="8"/>
        <v>-79.531071428571437</v>
      </c>
      <c r="AG48" s="28">
        <f t="shared" si="9"/>
        <v>-1.0714285714357175E-3</v>
      </c>
    </row>
    <row r="49" spans="1:33" s="29" customFormat="1" ht="24.75" hidden="1" customHeight="1" x14ac:dyDescent="0.2">
      <c r="A49" s="69">
        <v>43657</v>
      </c>
      <c r="B49" s="19"/>
      <c r="C49" s="20" t="s">
        <v>41</v>
      </c>
      <c r="D49" s="20" t="s">
        <v>42</v>
      </c>
      <c r="E49" s="20" t="s">
        <v>43</v>
      </c>
      <c r="F49" s="21">
        <v>161376</v>
      </c>
      <c r="G49" s="22" t="s">
        <v>44</v>
      </c>
      <c r="H49" s="70"/>
      <c r="I49" s="70"/>
      <c r="J49" s="70"/>
      <c r="K49" s="70">
        <v>90</v>
      </c>
      <c r="L49" s="24"/>
      <c r="M49" s="25">
        <f t="shared" si="5"/>
        <v>80.357142857142847</v>
      </c>
      <c r="N49" s="25">
        <f t="shared" si="6"/>
        <v>9.6428571428571406</v>
      </c>
      <c r="O49" s="25">
        <f t="shared" si="7"/>
        <v>0</v>
      </c>
      <c r="P49" s="25"/>
      <c r="Q49" s="26">
        <v>80.36</v>
      </c>
      <c r="R49" s="26"/>
      <c r="S49" s="27"/>
      <c r="T49" s="27"/>
      <c r="U49" s="27"/>
      <c r="V49" s="27"/>
      <c r="W49" s="27"/>
      <c r="X49" s="26"/>
      <c r="Y49" s="26"/>
      <c r="Z49" s="26"/>
      <c r="AA49" s="26"/>
      <c r="AB49" s="27"/>
      <c r="AC49" s="27"/>
      <c r="AD49" s="26"/>
      <c r="AE49" s="26"/>
      <c r="AF49" s="25">
        <f t="shared" si="8"/>
        <v>-90.002857142857138</v>
      </c>
      <c r="AG49" s="28">
        <f t="shared" si="9"/>
        <v>-2.8571428571382285E-3</v>
      </c>
    </row>
    <row r="50" spans="1:33" s="29" customFormat="1" ht="23.25" hidden="1" customHeight="1" x14ac:dyDescent="0.2">
      <c r="A50" s="69">
        <v>43657</v>
      </c>
      <c r="B50" s="19"/>
      <c r="C50" s="20" t="s">
        <v>37</v>
      </c>
      <c r="D50" s="20" t="s">
        <v>38</v>
      </c>
      <c r="E50" s="20" t="s">
        <v>39</v>
      </c>
      <c r="F50" s="21">
        <v>36377</v>
      </c>
      <c r="G50" s="20" t="s">
        <v>728</v>
      </c>
      <c r="H50" s="70"/>
      <c r="I50" s="70"/>
      <c r="J50" s="70"/>
      <c r="K50" s="70">
        <v>400</v>
      </c>
      <c r="L50" s="24"/>
      <c r="M50" s="25">
        <f t="shared" si="5"/>
        <v>357.14285714285711</v>
      </c>
      <c r="N50" s="25">
        <f t="shared" si="6"/>
        <v>42.857142857142854</v>
      </c>
      <c r="O50" s="25">
        <f t="shared" si="7"/>
        <v>0</v>
      </c>
      <c r="P50" s="25">
        <v>357.14</v>
      </c>
      <c r="Q50" s="26"/>
      <c r="R50" s="26"/>
      <c r="S50" s="27"/>
      <c r="T50" s="27"/>
      <c r="U50" s="27"/>
      <c r="V50" s="27"/>
      <c r="W50" s="27"/>
      <c r="X50" s="26"/>
      <c r="Y50" s="26"/>
      <c r="Z50" s="26"/>
      <c r="AA50" s="26"/>
      <c r="AB50" s="27"/>
      <c r="AC50" s="27"/>
      <c r="AD50" s="26"/>
      <c r="AE50" s="26"/>
      <c r="AF50" s="25">
        <f t="shared" si="8"/>
        <v>-399.99714285714282</v>
      </c>
      <c r="AG50" s="28">
        <f t="shared" si="9"/>
        <v>2.857142857180861E-3</v>
      </c>
    </row>
    <row r="51" spans="1:33" s="29" customFormat="1" ht="23.25" hidden="1" customHeight="1" x14ac:dyDescent="0.2">
      <c r="A51" s="69">
        <v>43657</v>
      </c>
      <c r="B51" s="19"/>
      <c r="C51" s="20" t="s">
        <v>37</v>
      </c>
      <c r="D51" s="20" t="s">
        <v>38</v>
      </c>
      <c r="E51" s="20" t="s">
        <v>39</v>
      </c>
      <c r="F51" s="21">
        <v>36383</v>
      </c>
      <c r="G51" s="44" t="s">
        <v>465</v>
      </c>
      <c r="H51" s="70"/>
      <c r="I51" s="70"/>
      <c r="J51" s="70"/>
      <c r="K51" s="70">
        <v>598</v>
      </c>
      <c r="L51" s="24"/>
      <c r="M51" s="25">
        <f t="shared" si="5"/>
        <v>533.92857142857133</v>
      </c>
      <c r="N51" s="25">
        <f t="shared" si="6"/>
        <v>64.071428571428555</v>
      </c>
      <c r="O51" s="25">
        <f t="shared" si="7"/>
        <v>0</v>
      </c>
      <c r="P51" s="25"/>
      <c r="Q51" s="26">
        <v>533.92999999999995</v>
      </c>
      <c r="R51" s="26"/>
      <c r="S51" s="27"/>
      <c r="T51" s="27"/>
      <c r="U51" s="27"/>
      <c r="V51" s="27"/>
      <c r="W51" s="27"/>
      <c r="X51" s="26"/>
      <c r="Y51" s="26"/>
      <c r="Z51" s="26"/>
      <c r="AA51" s="26"/>
      <c r="AB51" s="27"/>
      <c r="AC51" s="27"/>
      <c r="AD51" s="26"/>
      <c r="AE51" s="26"/>
      <c r="AF51" s="25">
        <f t="shared" si="8"/>
        <v>-598.00142857142851</v>
      </c>
      <c r="AG51" s="28">
        <f t="shared" si="9"/>
        <v>-1.4285714285051654E-3</v>
      </c>
    </row>
    <row r="52" spans="1:33" s="29" customFormat="1" ht="24.75" hidden="1" customHeight="1" x14ac:dyDescent="0.2">
      <c r="A52" s="69">
        <v>43657</v>
      </c>
      <c r="B52" s="19"/>
      <c r="C52" s="20" t="s">
        <v>157</v>
      </c>
      <c r="D52" s="20"/>
      <c r="E52" s="20"/>
      <c r="F52" s="21"/>
      <c r="G52" s="22" t="s">
        <v>729</v>
      </c>
      <c r="H52" s="70">
        <v>140</v>
      </c>
      <c r="I52" s="70"/>
      <c r="J52" s="70"/>
      <c r="K52" s="70"/>
      <c r="L52" s="24"/>
      <c r="M52" s="25">
        <f t="shared" si="5"/>
        <v>140</v>
      </c>
      <c r="N52" s="25">
        <f t="shared" si="6"/>
        <v>0</v>
      </c>
      <c r="O52" s="25">
        <f t="shared" si="7"/>
        <v>0</v>
      </c>
      <c r="P52" s="25"/>
      <c r="Q52" s="26"/>
      <c r="R52" s="26"/>
      <c r="S52" s="27"/>
      <c r="T52" s="27"/>
      <c r="U52" s="27"/>
      <c r="V52" s="27"/>
      <c r="W52" s="27"/>
      <c r="X52" s="26"/>
      <c r="Y52" s="26"/>
      <c r="Z52" s="26"/>
      <c r="AA52" s="26">
        <v>140</v>
      </c>
      <c r="AB52" s="27"/>
      <c r="AC52" s="27"/>
      <c r="AD52" s="26"/>
      <c r="AE52" s="26"/>
      <c r="AF52" s="25">
        <f t="shared" si="8"/>
        <v>-140</v>
      </c>
      <c r="AG52" s="28">
        <f t="shared" si="9"/>
        <v>0</v>
      </c>
    </row>
    <row r="53" spans="1:33" s="29" customFormat="1" ht="24.75" hidden="1" customHeight="1" x14ac:dyDescent="0.2">
      <c r="A53" s="69">
        <v>43658</v>
      </c>
      <c r="B53" s="19"/>
      <c r="C53" s="20" t="s">
        <v>62</v>
      </c>
      <c r="D53" s="20"/>
      <c r="E53" s="20"/>
      <c r="F53" s="21"/>
      <c r="G53" s="22" t="s">
        <v>730</v>
      </c>
      <c r="H53" s="70">
        <v>40</v>
      </c>
      <c r="I53" s="70"/>
      <c r="J53" s="70"/>
      <c r="K53" s="70"/>
      <c r="L53" s="24"/>
      <c r="M53" s="25">
        <f t="shared" si="5"/>
        <v>40</v>
      </c>
      <c r="N53" s="25">
        <f t="shared" si="6"/>
        <v>0</v>
      </c>
      <c r="O53" s="25">
        <f t="shared" si="7"/>
        <v>0</v>
      </c>
      <c r="P53" s="25"/>
      <c r="Q53" s="26"/>
      <c r="R53" s="26"/>
      <c r="S53" s="27"/>
      <c r="T53" s="27"/>
      <c r="U53" s="27"/>
      <c r="V53" s="27"/>
      <c r="W53" s="27"/>
      <c r="X53" s="26"/>
      <c r="Y53" s="26"/>
      <c r="Z53" s="26"/>
      <c r="AA53" s="26">
        <v>40</v>
      </c>
      <c r="AB53" s="27"/>
      <c r="AC53" s="27"/>
      <c r="AD53" s="26"/>
      <c r="AE53" s="26"/>
      <c r="AF53" s="25">
        <f t="shared" si="8"/>
        <v>-40</v>
      </c>
      <c r="AG53" s="28">
        <f t="shared" si="9"/>
        <v>0</v>
      </c>
    </row>
    <row r="54" spans="1:33" s="29" customFormat="1" ht="24.75" hidden="1" customHeight="1" x14ac:dyDescent="0.2">
      <c r="A54" s="69">
        <v>43658</v>
      </c>
      <c r="B54" s="19"/>
      <c r="C54" s="20" t="s">
        <v>54</v>
      </c>
      <c r="D54" s="20" t="s">
        <v>55</v>
      </c>
      <c r="E54" s="20" t="s">
        <v>56</v>
      </c>
      <c r="F54" s="21">
        <v>3262</v>
      </c>
      <c r="G54" s="22" t="s">
        <v>731</v>
      </c>
      <c r="H54" s="70"/>
      <c r="I54" s="70"/>
      <c r="J54" s="70">
        <v>1085</v>
      </c>
      <c r="K54" s="70"/>
      <c r="L54" s="24"/>
      <c r="M54" s="25">
        <f t="shared" si="5"/>
        <v>1085</v>
      </c>
      <c r="N54" s="25">
        <f t="shared" si="6"/>
        <v>0</v>
      </c>
      <c r="O54" s="25">
        <f t="shared" si="7"/>
        <v>0</v>
      </c>
      <c r="P54" s="25">
        <v>1085</v>
      </c>
      <c r="Q54" s="26"/>
      <c r="R54" s="26"/>
      <c r="S54" s="27"/>
      <c r="T54" s="27"/>
      <c r="U54" s="27"/>
      <c r="V54" s="27"/>
      <c r="W54" s="27"/>
      <c r="X54" s="26"/>
      <c r="Y54" s="26"/>
      <c r="Z54" s="26"/>
      <c r="AA54" s="26"/>
      <c r="AB54" s="27"/>
      <c r="AC54" s="27"/>
      <c r="AD54" s="26"/>
      <c r="AE54" s="26"/>
      <c r="AF54" s="25">
        <f t="shared" si="8"/>
        <v>-1085</v>
      </c>
      <c r="AG54" s="28">
        <f t="shared" si="9"/>
        <v>0</v>
      </c>
    </row>
    <row r="55" spans="1:33" s="29" customFormat="1" ht="24.75" hidden="1" customHeight="1" x14ac:dyDescent="0.2">
      <c r="A55" s="69">
        <v>43658</v>
      </c>
      <c r="B55" s="19"/>
      <c r="C55" s="20" t="s">
        <v>41</v>
      </c>
      <c r="D55" s="20" t="s">
        <v>42</v>
      </c>
      <c r="E55" s="20" t="s">
        <v>43</v>
      </c>
      <c r="F55" s="21">
        <v>153071</v>
      </c>
      <c r="G55" s="22" t="s">
        <v>44</v>
      </c>
      <c r="H55" s="70"/>
      <c r="I55" s="70"/>
      <c r="J55" s="70"/>
      <c r="K55" s="70">
        <v>180</v>
      </c>
      <c r="L55" s="24"/>
      <c r="M55" s="25">
        <f t="shared" si="5"/>
        <v>160.71428571428569</v>
      </c>
      <c r="N55" s="25">
        <f t="shared" si="6"/>
        <v>19.285714285714281</v>
      </c>
      <c r="O55" s="25">
        <f t="shared" si="7"/>
        <v>0</v>
      </c>
      <c r="P55" s="25"/>
      <c r="Q55" s="26">
        <v>160.71</v>
      </c>
      <c r="R55" s="26"/>
      <c r="S55" s="27"/>
      <c r="T55" s="27"/>
      <c r="U55" s="27"/>
      <c r="V55" s="27"/>
      <c r="W55" s="27"/>
      <c r="X55" s="26"/>
      <c r="Y55" s="26"/>
      <c r="Z55" s="26"/>
      <c r="AA55" s="26"/>
      <c r="AB55" s="27"/>
      <c r="AC55" s="27"/>
      <c r="AD55" s="26"/>
      <c r="AE55" s="26"/>
      <c r="AF55" s="25">
        <f t="shared" si="8"/>
        <v>-179.99571428571429</v>
      </c>
      <c r="AG55" s="28">
        <f t="shared" si="9"/>
        <v>4.2857142857144481E-3</v>
      </c>
    </row>
    <row r="56" spans="1:33" s="29" customFormat="1" ht="24.75" hidden="1" customHeight="1" x14ac:dyDescent="0.2">
      <c r="A56" s="69">
        <v>43658</v>
      </c>
      <c r="B56" s="19"/>
      <c r="C56" s="20" t="s">
        <v>58</v>
      </c>
      <c r="D56" s="20"/>
      <c r="E56" s="20"/>
      <c r="F56" s="21"/>
      <c r="G56" s="22" t="s">
        <v>732</v>
      </c>
      <c r="H56" s="70">
        <v>100</v>
      </c>
      <c r="I56" s="70"/>
      <c r="J56" s="70"/>
      <c r="K56" s="70"/>
      <c r="L56" s="24"/>
      <c r="M56" s="25">
        <f t="shared" si="5"/>
        <v>100</v>
      </c>
      <c r="N56" s="25">
        <f t="shared" si="6"/>
        <v>0</v>
      </c>
      <c r="O56" s="25">
        <f t="shared" si="7"/>
        <v>0</v>
      </c>
      <c r="P56" s="25"/>
      <c r="Q56" s="26"/>
      <c r="R56" s="26"/>
      <c r="S56" s="27"/>
      <c r="T56" s="27"/>
      <c r="U56" s="27"/>
      <c r="V56" s="27"/>
      <c r="W56" s="27"/>
      <c r="X56" s="26"/>
      <c r="Y56" s="26"/>
      <c r="Z56" s="26"/>
      <c r="AA56" s="26">
        <v>100</v>
      </c>
      <c r="AB56" s="27"/>
      <c r="AC56" s="27"/>
      <c r="AD56" s="26"/>
      <c r="AE56" s="26"/>
      <c r="AF56" s="25">
        <f t="shared" si="8"/>
        <v>-100</v>
      </c>
      <c r="AG56" s="28">
        <f t="shared" si="9"/>
        <v>0</v>
      </c>
    </row>
    <row r="57" spans="1:33" s="29" customFormat="1" ht="24.75" hidden="1" customHeight="1" x14ac:dyDescent="0.2">
      <c r="A57" s="69">
        <v>43658</v>
      </c>
      <c r="B57" s="19"/>
      <c r="C57" s="20" t="s">
        <v>37</v>
      </c>
      <c r="D57" s="20" t="s">
        <v>38</v>
      </c>
      <c r="E57" s="20" t="s">
        <v>39</v>
      </c>
      <c r="F57" s="21">
        <v>36393</v>
      </c>
      <c r="G57" s="22" t="s">
        <v>733</v>
      </c>
      <c r="H57" s="70"/>
      <c r="I57" s="70"/>
      <c r="J57" s="70"/>
      <c r="K57" s="70">
        <v>118.5</v>
      </c>
      <c r="L57" s="24"/>
      <c r="M57" s="25">
        <f t="shared" si="5"/>
        <v>105.80357142857142</v>
      </c>
      <c r="N57" s="25">
        <f t="shared" si="6"/>
        <v>12.696428571428569</v>
      </c>
      <c r="O57" s="25">
        <f t="shared" si="7"/>
        <v>0</v>
      </c>
      <c r="P57" s="25">
        <v>105.8</v>
      </c>
      <c r="Q57" s="26"/>
      <c r="R57" s="26"/>
      <c r="S57" s="27"/>
      <c r="T57" s="27"/>
      <c r="U57" s="27"/>
      <c r="V57" s="27"/>
      <c r="W57" s="27"/>
      <c r="X57" s="26"/>
      <c r="Y57" s="26"/>
      <c r="Z57" s="26"/>
      <c r="AA57" s="26"/>
      <c r="AB57" s="27"/>
      <c r="AC57" s="27"/>
      <c r="AD57" s="26"/>
      <c r="AE57" s="26"/>
      <c r="AF57" s="25">
        <f t="shared" si="8"/>
        <v>-118.49642857142857</v>
      </c>
      <c r="AG57" s="28">
        <f t="shared" si="9"/>
        <v>3.5714285714334437E-3</v>
      </c>
    </row>
    <row r="58" spans="1:33" s="29" customFormat="1" ht="24.75" hidden="1" customHeight="1" x14ac:dyDescent="0.2">
      <c r="A58" s="69">
        <v>43658</v>
      </c>
      <c r="B58" s="19"/>
      <c r="C58" s="20" t="s">
        <v>734</v>
      </c>
      <c r="D58" s="20"/>
      <c r="E58" s="20"/>
      <c r="F58" s="21"/>
      <c r="G58" s="22" t="s">
        <v>735</v>
      </c>
      <c r="H58" s="70">
        <v>11.3</v>
      </c>
      <c r="I58" s="70"/>
      <c r="J58" s="70"/>
      <c r="K58" s="70"/>
      <c r="L58" s="24"/>
      <c r="M58" s="25">
        <f t="shared" si="5"/>
        <v>11.3</v>
      </c>
      <c r="N58" s="25">
        <f t="shared" si="6"/>
        <v>0</v>
      </c>
      <c r="O58" s="25">
        <f t="shared" si="7"/>
        <v>0</v>
      </c>
      <c r="P58" s="25"/>
      <c r="Q58" s="26"/>
      <c r="R58" s="26"/>
      <c r="S58" s="27"/>
      <c r="T58" s="27"/>
      <c r="U58" s="27"/>
      <c r="V58" s="27"/>
      <c r="W58" s="27"/>
      <c r="X58" s="26"/>
      <c r="Y58" s="26"/>
      <c r="Z58" s="26"/>
      <c r="AA58" s="26"/>
      <c r="AB58" s="27"/>
      <c r="AC58" s="27"/>
      <c r="AD58" s="26">
        <v>11.3</v>
      </c>
      <c r="AE58" s="26"/>
      <c r="AF58" s="25">
        <f t="shared" si="8"/>
        <v>-11.3</v>
      </c>
      <c r="AG58" s="28">
        <f t="shared" si="9"/>
        <v>0</v>
      </c>
    </row>
    <row r="59" spans="1:33" s="29" customFormat="1" ht="23.25" hidden="1" customHeight="1" x14ac:dyDescent="0.2">
      <c r="A59" s="69">
        <v>43658</v>
      </c>
      <c r="B59" s="19"/>
      <c r="C59" s="20" t="s">
        <v>45</v>
      </c>
      <c r="D59" s="20" t="s">
        <v>46</v>
      </c>
      <c r="E59" s="20" t="s">
        <v>47</v>
      </c>
      <c r="F59" s="21">
        <v>179321</v>
      </c>
      <c r="G59" s="22" t="s">
        <v>736</v>
      </c>
      <c r="H59" s="70"/>
      <c r="I59" s="70"/>
      <c r="J59" s="70"/>
      <c r="K59" s="70">
        <v>3563.9</v>
      </c>
      <c r="L59" s="24"/>
      <c r="M59" s="25">
        <f t="shared" si="5"/>
        <v>3182.0535714285711</v>
      </c>
      <c r="N59" s="25">
        <f t="shared" si="6"/>
        <v>381.84642857142853</v>
      </c>
      <c r="O59" s="25">
        <f t="shared" si="7"/>
        <v>0</v>
      </c>
      <c r="P59" s="25">
        <v>3182.05</v>
      </c>
      <c r="Q59" s="26"/>
      <c r="R59" s="26"/>
      <c r="S59" s="27"/>
      <c r="T59" s="27"/>
      <c r="U59" s="27"/>
      <c r="V59" s="27"/>
      <c r="W59" s="27"/>
      <c r="X59" s="26"/>
      <c r="Y59" s="26"/>
      <c r="Z59" s="26"/>
      <c r="AA59" s="26"/>
      <c r="AB59" s="27"/>
      <c r="AC59" s="27"/>
      <c r="AD59" s="26"/>
      <c r="AE59" s="26"/>
      <c r="AF59" s="25">
        <f t="shared" si="8"/>
        <v>-3563.8964285714287</v>
      </c>
      <c r="AG59" s="28">
        <f t="shared" si="9"/>
        <v>3.5714285713766003E-3</v>
      </c>
    </row>
    <row r="60" spans="1:33" s="29" customFormat="1" ht="24.75" hidden="1" customHeight="1" x14ac:dyDescent="0.2">
      <c r="A60" s="69">
        <v>43658</v>
      </c>
      <c r="B60" s="19"/>
      <c r="C60" s="20" t="s">
        <v>642</v>
      </c>
      <c r="D60" s="20" t="s">
        <v>643</v>
      </c>
      <c r="E60" s="20" t="s">
        <v>737</v>
      </c>
      <c r="F60" s="21">
        <v>5690</v>
      </c>
      <c r="G60" s="22" t="s">
        <v>645</v>
      </c>
      <c r="H60" s="70"/>
      <c r="I60" s="70"/>
      <c r="J60" s="70"/>
      <c r="K60" s="70">
        <v>2600</v>
      </c>
      <c r="L60" s="24"/>
      <c r="M60" s="25">
        <f t="shared" si="5"/>
        <v>2321.4285714285711</v>
      </c>
      <c r="N60" s="25">
        <f t="shared" si="6"/>
        <v>278.5714285714285</v>
      </c>
      <c r="O60" s="25">
        <f t="shared" si="7"/>
        <v>0</v>
      </c>
      <c r="P60" s="25"/>
      <c r="Q60" s="26">
        <v>2321.4299999999998</v>
      </c>
      <c r="R60" s="26"/>
      <c r="S60" s="27"/>
      <c r="T60" s="27"/>
      <c r="U60" s="27"/>
      <c r="V60" s="27"/>
      <c r="W60" s="27"/>
      <c r="X60" s="26"/>
      <c r="Y60" s="26"/>
      <c r="Z60" s="26"/>
      <c r="AA60" s="26"/>
      <c r="AB60" s="27"/>
      <c r="AC60" s="27"/>
      <c r="AD60" s="26"/>
      <c r="AE60" s="26"/>
      <c r="AF60" s="25">
        <f t="shared" si="8"/>
        <v>-2600.0014285714283</v>
      </c>
      <c r="AG60" s="28">
        <f t="shared" si="9"/>
        <v>-1.4285714282777917E-3</v>
      </c>
    </row>
    <row r="61" spans="1:33" s="29" customFormat="1" ht="23.25" hidden="1" customHeight="1" x14ac:dyDescent="0.2">
      <c r="A61" s="69">
        <v>43659</v>
      </c>
      <c r="B61" s="19"/>
      <c r="C61" s="20" t="s">
        <v>37</v>
      </c>
      <c r="D61" s="20" t="s">
        <v>38</v>
      </c>
      <c r="E61" s="20" t="s">
        <v>39</v>
      </c>
      <c r="F61" s="21">
        <v>36397</v>
      </c>
      <c r="G61" s="22" t="s">
        <v>738</v>
      </c>
      <c r="H61" s="70"/>
      <c r="I61" s="70"/>
      <c r="J61" s="70"/>
      <c r="K61" s="70">
        <v>482</v>
      </c>
      <c r="L61" s="24"/>
      <c r="M61" s="25">
        <f t="shared" si="5"/>
        <v>430.35714285714283</v>
      </c>
      <c r="N61" s="25">
        <f t="shared" si="6"/>
        <v>51.642857142857139</v>
      </c>
      <c r="O61" s="25">
        <f t="shared" si="7"/>
        <v>0</v>
      </c>
      <c r="P61" s="25">
        <v>430.36</v>
      </c>
      <c r="Q61" s="26"/>
      <c r="R61" s="26"/>
      <c r="S61" s="27"/>
      <c r="T61" s="27"/>
      <c r="U61" s="27"/>
      <c r="V61" s="27"/>
      <c r="W61" s="27"/>
      <c r="X61" s="26"/>
      <c r="Y61" s="26"/>
      <c r="Z61" s="26"/>
      <c r="AA61" s="26"/>
      <c r="AB61" s="27"/>
      <c r="AC61" s="27"/>
      <c r="AD61" s="26"/>
      <c r="AE61" s="26"/>
      <c r="AF61" s="25">
        <f t="shared" si="8"/>
        <v>-482.00285714285712</v>
      </c>
      <c r="AG61" s="28">
        <f t="shared" si="9"/>
        <v>-2.8571428571240176E-3</v>
      </c>
    </row>
    <row r="62" spans="1:33" s="29" customFormat="1" ht="24.75" hidden="1" customHeight="1" x14ac:dyDescent="0.2">
      <c r="A62" s="69">
        <v>43659</v>
      </c>
      <c r="B62" s="19"/>
      <c r="C62" s="20" t="s">
        <v>321</v>
      </c>
      <c r="D62" s="20" t="s">
        <v>322</v>
      </c>
      <c r="E62" s="20" t="s">
        <v>47</v>
      </c>
      <c r="F62" s="21">
        <v>981</v>
      </c>
      <c r="G62" s="22" t="s">
        <v>44</v>
      </c>
      <c r="H62" s="70"/>
      <c r="I62" s="70"/>
      <c r="J62" s="70"/>
      <c r="K62" s="70">
        <v>28</v>
      </c>
      <c r="L62" s="24"/>
      <c r="M62" s="25">
        <f t="shared" si="5"/>
        <v>24.999999999999996</v>
      </c>
      <c r="N62" s="25">
        <f t="shared" si="6"/>
        <v>2.9999999999999996</v>
      </c>
      <c r="O62" s="25">
        <f t="shared" si="7"/>
        <v>0</v>
      </c>
      <c r="P62" s="25"/>
      <c r="Q62" s="26">
        <v>25</v>
      </c>
      <c r="R62" s="26"/>
      <c r="S62" s="27"/>
      <c r="T62" s="27"/>
      <c r="U62" s="27"/>
      <c r="V62" s="27"/>
      <c r="W62" s="27"/>
      <c r="X62" s="26"/>
      <c r="Y62" s="26"/>
      <c r="Z62" s="26"/>
      <c r="AA62" s="26"/>
      <c r="AB62" s="27"/>
      <c r="AC62" s="27"/>
      <c r="AD62" s="26"/>
      <c r="AE62" s="26"/>
      <c r="AF62" s="25">
        <f t="shared" si="8"/>
        <v>-28</v>
      </c>
      <c r="AG62" s="28">
        <f t="shared" si="9"/>
        <v>0</v>
      </c>
    </row>
    <row r="63" spans="1:33" s="29" customFormat="1" ht="24.75" hidden="1" customHeight="1" x14ac:dyDescent="0.2">
      <c r="A63" s="69">
        <v>43661</v>
      </c>
      <c r="B63" s="19"/>
      <c r="C63" s="20" t="s">
        <v>37</v>
      </c>
      <c r="D63" s="20" t="s">
        <v>38</v>
      </c>
      <c r="E63" s="20" t="s">
        <v>39</v>
      </c>
      <c r="F63" s="21">
        <v>36421</v>
      </c>
      <c r="G63" s="22" t="s">
        <v>416</v>
      </c>
      <c r="H63" s="70"/>
      <c r="I63" s="70"/>
      <c r="J63" s="70"/>
      <c r="K63" s="70">
        <v>207</v>
      </c>
      <c r="L63" s="24"/>
      <c r="M63" s="25">
        <f t="shared" si="5"/>
        <v>184.82142857142856</v>
      </c>
      <c r="N63" s="25">
        <f t="shared" si="6"/>
        <v>22.178571428571427</v>
      </c>
      <c r="O63" s="25">
        <f t="shared" si="7"/>
        <v>0</v>
      </c>
      <c r="P63" s="25"/>
      <c r="Q63" s="26">
        <v>184.82</v>
      </c>
      <c r="R63" s="26"/>
      <c r="S63" s="27"/>
      <c r="T63" s="27"/>
      <c r="U63" s="27"/>
      <c r="V63" s="27"/>
      <c r="W63" s="27"/>
      <c r="X63" s="26"/>
      <c r="Y63" s="26"/>
      <c r="Z63" s="26"/>
      <c r="AA63" s="26"/>
      <c r="AB63" s="27"/>
      <c r="AC63" s="27"/>
      <c r="AD63" s="26"/>
      <c r="AE63" s="26"/>
      <c r="AF63" s="25">
        <f t="shared" si="8"/>
        <v>-206.99857142857141</v>
      </c>
      <c r="AG63" s="28">
        <f t="shared" si="9"/>
        <v>1.4285714285904305E-3</v>
      </c>
    </row>
    <row r="64" spans="1:33" s="29" customFormat="1" ht="24.75" hidden="1" customHeight="1" x14ac:dyDescent="0.2">
      <c r="A64" s="69">
        <v>43661</v>
      </c>
      <c r="B64" s="19"/>
      <c r="C64" s="20" t="s">
        <v>739</v>
      </c>
      <c r="D64" s="20" t="s">
        <v>740</v>
      </c>
      <c r="E64" s="20" t="s">
        <v>637</v>
      </c>
      <c r="F64" s="21">
        <v>191602</v>
      </c>
      <c r="G64" s="22" t="s">
        <v>741</v>
      </c>
      <c r="H64" s="70"/>
      <c r="I64" s="70"/>
      <c r="J64" s="70"/>
      <c r="K64" s="70">
        <v>27</v>
      </c>
      <c r="L64" s="24"/>
      <c r="M64" s="25">
        <f t="shared" si="5"/>
        <v>24.107142857142854</v>
      </c>
      <c r="N64" s="25">
        <f t="shared" si="6"/>
        <v>2.8928571428571423</v>
      </c>
      <c r="O64" s="25">
        <f t="shared" si="7"/>
        <v>0</v>
      </c>
      <c r="P64" s="25"/>
      <c r="Q64" s="26"/>
      <c r="R64" s="26"/>
      <c r="S64" s="27"/>
      <c r="T64" s="27"/>
      <c r="U64" s="27"/>
      <c r="V64" s="27"/>
      <c r="W64" s="27"/>
      <c r="X64" s="26"/>
      <c r="Y64" s="26"/>
      <c r="Z64" s="26">
        <v>24.11</v>
      </c>
      <c r="AA64" s="26"/>
      <c r="AB64" s="27"/>
      <c r="AC64" s="27"/>
      <c r="AD64" s="26"/>
      <c r="AE64" s="26"/>
      <c r="AF64" s="25">
        <f t="shared" si="8"/>
        <v>-27.002857142857142</v>
      </c>
      <c r="AG64" s="28">
        <f t="shared" si="9"/>
        <v>-2.8571428571417812E-3</v>
      </c>
    </row>
    <row r="65" spans="1:33" s="29" customFormat="1" ht="24.75" hidden="1" customHeight="1" x14ac:dyDescent="0.2">
      <c r="A65" s="69">
        <v>43661</v>
      </c>
      <c r="B65" s="19"/>
      <c r="C65" s="20" t="s">
        <v>157</v>
      </c>
      <c r="D65" s="20"/>
      <c r="E65" s="20"/>
      <c r="F65" s="21"/>
      <c r="G65" s="22" t="s">
        <v>729</v>
      </c>
      <c r="H65" s="70">
        <v>80</v>
      </c>
      <c r="I65" s="70"/>
      <c r="J65" s="70"/>
      <c r="K65" s="70"/>
      <c r="L65" s="24"/>
      <c r="M65" s="25">
        <f t="shared" si="5"/>
        <v>80</v>
      </c>
      <c r="N65" s="25">
        <f t="shared" si="6"/>
        <v>0</v>
      </c>
      <c r="O65" s="25">
        <f t="shared" si="7"/>
        <v>0</v>
      </c>
      <c r="P65" s="25"/>
      <c r="Q65" s="26"/>
      <c r="R65" s="26"/>
      <c r="S65" s="27"/>
      <c r="T65" s="27"/>
      <c r="U65" s="27"/>
      <c r="V65" s="27"/>
      <c r="W65" s="27"/>
      <c r="X65" s="26"/>
      <c r="Y65" s="26"/>
      <c r="Z65" s="26"/>
      <c r="AA65" s="26">
        <v>80</v>
      </c>
      <c r="AB65" s="27"/>
      <c r="AC65" s="27"/>
      <c r="AD65" s="26"/>
      <c r="AE65" s="26"/>
      <c r="AF65" s="25">
        <f t="shared" si="8"/>
        <v>-80</v>
      </c>
      <c r="AG65" s="28">
        <f t="shared" si="9"/>
        <v>0</v>
      </c>
    </row>
    <row r="66" spans="1:33" s="29" customFormat="1" ht="23.25" hidden="1" customHeight="1" x14ac:dyDescent="0.2">
      <c r="A66" s="69">
        <v>43661</v>
      </c>
      <c r="B66" s="19"/>
      <c r="C66" s="20" t="s">
        <v>742</v>
      </c>
      <c r="D66" s="20" t="s">
        <v>743</v>
      </c>
      <c r="E66" s="20" t="s">
        <v>47</v>
      </c>
      <c r="F66" s="21">
        <v>14788</v>
      </c>
      <c r="G66" s="22" t="s">
        <v>744</v>
      </c>
      <c r="H66" s="70"/>
      <c r="I66" s="70"/>
      <c r="J66" s="70"/>
      <c r="K66" s="70">
        <v>188</v>
      </c>
      <c r="L66" s="24"/>
      <c r="M66" s="25">
        <f t="shared" si="5"/>
        <v>167.85714285714283</v>
      </c>
      <c r="N66" s="25">
        <f t="shared" si="6"/>
        <v>20.142857142857139</v>
      </c>
      <c r="O66" s="25">
        <f t="shared" si="7"/>
        <v>0</v>
      </c>
      <c r="P66" s="25"/>
      <c r="Q66" s="26"/>
      <c r="R66" s="26"/>
      <c r="S66" s="27"/>
      <c r="T66" s="27"/>
      <c r="U66" s="27"/>
      <c r="V66" s="27"/>
      <c r="W66" s="27"/>
      <c r="X66" s="26"/>
      <c r="Y66" s="26"/>
      <c r="Z66" s="26"/>
      <c r="AA66" s="26"/>
      <c r="AB66" s="27"/>
      <c r="AC66" s="27"/>
      <c r="AD66" s="26">
        <v>167.86</v>
      </c>
      <c r="AE66" s="26"/>
      <c r="AF66" s="25">
        <f t="shared" si="8"/>
        <v>-188.00285714285715</v>
      </c>
      <c r="AG66" s="28">
        <f t="shared" si="9"/>
        <v>-2.8571428571524393E-3</v>
      </c>
    </row>
    <row r="67" spans="1:33" s="29" customFormat="1" ht="23.25" hidden="1" customHeight="1" x14ac:dyDescent="0.2">
      <c r="A67" s="69">
        <v>43661</v>
      </c>
      <c r="B67" s="19"/>
      <c r="C67" s="20" t="s">
        <v>62</v>
      </c>
      <c r="D67" s="20"/>
      <c r="E67" s="20"/>
      <c r="F67" s="21"/>
      <c r="G67" s="22" t="s">
        <v>63</v>
      </c>
      <c r="H67" s="70">
        <v>40</v>
      </c>
      <c r="I67" s="70"/>
      <c r="J67" s="70"/>
      <c r="K67" s="70"/>
      <c r="L67" s="24"/>
      <c r="M67" s="25">
        <f t="shared" si="5"/>
        <v>40</v>
      </c>
      <c r="N67" s="25">
        <f t="shared" si="6"/>
        <v>0</v>
      </c>
      <c r="O67" s="25">
        <f t="shared" si="7"/>
        <v>0</v>
      </c>
      <c r="P67" s="25"/>
      <c r="Q67" s="26"/>
      <c r="R67" s="26"/>
      <c r="S67" s="27"/>
      <c r="T67" s="27"/>
      <c r="U67" s="27"/>
      <c r="V67" s="27"/>
      <c r="W67" s="27"/>
      <c r="X67" s="26"/>
      <c r="Y67" s="26"/>
      <c r="Z67" s="26"/>
      <c r="AA67" s="26">
        <v>40</v>
      </c>
      <c r="AB67" s="27"/>
      <c r="AC67" s="27"/>
      <c r="AD67" s="26"/>
      <c r="AE67" s="26"/>
      <c r="AF67" s="25">
        <f t="shared" si="8"/>
        <v>-40</v>
      </c>
      <c r="AG67" s="28">
        <f t="shared" si="9"/>
        <v>0</v>
      </c>
    </row>
    <row r="68" spans="1:33" s="29" customFormat="1" ht="23.25" hidden="1" customHeight="1" x14ac:dyDescent="0.2">
      <c r="A68" s="69">
        <v>43661</v>
      </c>
      <c r="B68" s="19"/>
      <c r="C68" s="20" t="s">
        <v>60</v>
      </c>
      <c r="D68" s="20"/>
      <c r="E68" s="20"/>
      <c r="F68" s="21"/>
      <c r="G68" s="22" t="s">
        <v>61</v>
      </c>
      <c r="H68" s="70"/>
      <c r="I68" s="70"/>
      <c r="J68" s="70">
        <v>1150</v>
      </c>
      <c r="K68" s="70"/>
      <c r="L68" s="24"/>
      <c r="M68" s="25">
        <f t="shared" si="5"/>
        <v>1150</v>
      </c>
      <c r="N68" s="25">
        <f t="shared" si="6"/>
        <v>0</v>
      </c>
      <c r="O68" s="25">
        <f t="shared" si="7"/>
        <v>0</v>
      </c>
      <c r="P68" s="25">
        <v>1150</v>
      </c>
      <c r="Q68" s="26"/>
      <c r="R68" s="26"/>
      <c r="S68" s="27"/>
      <c r="T68" s="27"/>
      <c r="U68" s="27"/>
      <c r="V68" s="27"/>
      <c r="W68" s="27"/>
      <c r="X68" s="26"/>
      <c r="Y68" s="26"/>
      <c r="Z68" s="26"/>
      <c r="AA68" s="26"/>
      <c r="AB68" s="27"/>
      <c r="AC68" s="27"/>
      <c r="AD68" s="26"/>
      <c r="AE68" s="26"/>
      <c r="AF68" s="25">
        <f t="shared" si="8"/>
        <v>-1150</v>
      </c>
      <c r="AG68" s="28">
        <f t="shared" si="9"/>
        <v>0</v>
      </c>
    </row>
    <row r="69" spans="1:33" s="29" customFormat="1" ht="24.75" hidden="1" customHeight="1" x14ac:dyDescent="0.2">
      <c r="A69" s="69">
        <v>43661</v>
      </c>
      <c r="B69" s="19"/>
      <c r="C69" s="20" t="s">
        <v>41</v>
      </c>
      <c r="D69" s="20" t="s">
        <v>42</v>
      </c>
      <c r="E69" s="20" t="s">
        <v>43</v>
      </c>
      <c r="F69" s="21">
        <v>156013</v>
      </c>
      <c r="G69" s="22" t="s">
        <v>44</v>
      </c>
      <c r="H69" s="70"/>
      <c r="I69" s="70"/>
      <c r="J69" s="70"/>
      <c r="K69" s="70">
        <v>180</v>
      </c>
      <c r="L69" s="24"/>
      <c r="M69" s="25">
        <f t="shared" ref="M69:M100" si="10">SUM(H69:J69,K69/1.12)</f>
        <v>160.71428571428569</v>
      </c>
      <c r="N69" s="25">
        <f t="shared" ref="N69:N100" si="11">K69/1.12*0.12</f>
        <v>19.285714285714281</v>
      </c>
      <c r="O69" s="25">
        <f t="shared" ref="O69:O100" si="12">-SUM(I69:J69,K69/1.12)*L69</f>
        <v>0</v>
      </c>
      <c r="P69" s="25"/>
      <c r="Q69" s="26">
        <v>160.71</v>
      </c>
      <c r="R69" s="26"/>
      <c r="S69" s="27"/>
      <c r="T69" s="27"/>
      <c r="U69" s="27"/>
      <c r="V69" s="27"/>
      <c r="W69" s="27"/>
      <c r="X69" s="26"/>
      <c r="Y69" s="26"/>
      <c r="Z69" s="26"/>
      <c r="AA69" s="26"/>
      <c r="AB69" s="27"/>
      <c r="AC69" s="27"/>
      <c r="AD69" s="26"/>
      <c r="AE69" s="26"/>
      <c r="AF69" s="25">
        <f t="shared" ref="AF69:AF100" si="13">-SUM(N69:AE69)</f>
        <v>-179.99571428571429</v>
      </c>
      <c r="AG69" s="28">
        <f t="shared" ref="AG69:AG100" si="14">SUM(H69:K69)+AF69+O69</f>
        <v>4.2857142857144481E-3</v>
      </c>
    </row>
    <row r="70" spans="1:33" s="41" customFormat="1" ht="23.25" hidden="1" customHeight="1" x14ac:dyDescent="0.2">
      <c r="A70" s="71">
        <v>43661</v>
      </c>
      <c r="B70" s="31"/>
      <c r="C70" s="32" t="s">
        <v>37</v>
      </c>
      <c r="D70" s="32" t="s">
        <v>38</v>
      </c>
      <c r="E70" s="32" t="s">
        <v>39</v>
      </c>
      <c r="F70" s="33">
        <v>36422</v>
      </c>
      <c r="G70" s="34" t="s">
        <v>61</v>
      </c>
      <c r="H70" s="72"/>
      <c r="I70" s="72"/>
      <c r="J70" s="72"/>
      <c r="K70" s="72">
        <v>315</v>
      </c>
      <c r="L70" s="36"/>
      <c r="M70" s="37">
        <f t="shared" si="10"/>
        <v>281.25</v>
      </c>
      <c r="N70" s="37">
        <f t="shared" si="11"/>
        <v>33.75</v>
      </c>
      <c r="O70" s="37">
        <f t="shared" si="12"/>
        <v>0</v>
      </c>
      <c r="P70" s="37">
        <v>281.25</v>
      </c>
      <c r="Q70" s="38"/>
      <c r="R70" s="38"/>
      <c r="S70" s="39"/>
      <c r="T70" s="39"/>
      <c r="U70" s="39"/>
      <c r="V70" s="39"/>
      <c r="W70" s="39"/>
      <c r="X70" s="38"/>
      <c r="Y70" s="38"/>
      <c r="Z70" s="38"/>
      <c r="AA70" s="38"/>
      <c r="AB70" s="39"/>
      <c r="AC70" s="39"/>
      <c r="AD70" s="38"/>
      <c r="AE70" s="38"/>
      <c r="AF70" s="37">
        <f t="shared" si="13"/>
        <v>-315</v>
      </c>
      <c r="AG70" s="40">
        <f t="shared" si="14"/>
        <v>0</v>
      </c>
    </row>
    <row r="71" spans="1:33" s="29" customFormat="1" ht="23.25" hidden="1" customHeight="1" x14ac:dyDescent="0.2">
      <c r="A71" s="69">
        <v>43662</v>
      </c>
      <c r="B71" s="19"/>
      <c r="C71" s="20" t="s">
        <v>62</v>
      </c>
      <c r="D71" s="20"/>
      <c r="E71" s="20"/>
      <c r="F71" s="21"/>
      <c r="G71" s="62" t="s">
        <v>745</v>
      </c>
      <c r="H71" s="70">
        <v>60</v>
      </c>
      <c r="I71" s="70"/>
      <c r="J71" s="70"/>
      <c r="K71" s="70"/>
      <c r="L71" s="24"/>
      <c r="M71" s="25">
        <f t="shared" si="10"/>
        <v>60</v>
      </c>
      <c r="N71" s="25">
        <f t="shared" si="11"/>
        <v>0</v>
      </c>
      <c r="O71" s="25">
        <f t="shared" si="12"/>
        <v>0</v>
      </c>
      <c r="P71" s="25"/>
      <c r="Q71" s="26"/>
      <c r="R71" s="26"/>
      <c r="S71" s="27"/>
      <c r="T71" s="27"/>
      <c r="U71" s="27"/>
      <c r="V71" s="27"/>
      <c r="W71" s="27"/>
      <c r="X71" s="26"/>
      <c r="Y71" s="26"/>
      <c r="Z71" s="26"/>
      <c r="AA71" s="26">
        <v>60</v>
      </c>
      <c r="AB71" s="27"/>
      <c r="AC71" s="27"/>
      <c r="AD71" s="26"/>
      <c r="AE71" s="26"/>
      <c r="AF71" s="25">
        <f t="shared" si="13"/>
        <v>-60</v>
      </c>
      <c r="AG71" s="28">
        <f t="shared" si="14"/>
        <v>0</v>
      </c>
    </row>
    <row r="72" spans="1:33" s="29" customFormat="1" ht="24.75" hidden="1" customHeight="1" x14ac:dyDescent="0.2">
      <c r="A72" s="69">
        <v>43662</v>
      </c>
      <c r="B72" s="19"/>
      <c r="C72" s="20" t="s">
        <v>37</v>
      </c>
      <c r="D72" s="20" t="s">
        <v>38</v>
      </c>
      <c r="E72" s="20" t="s">
        <v>39</v>
      </c>
      <c r="F72" s="21">
        <v>964463</v>
      </c>
      <c r="G72" s="22" t="s">
        <v>647</v>
      </c>
      <c r="H72" s="70"/>
      <c r="I72" s="70"/>
      <c r="J72" s="70"/>
      <c r="K72" s="70">
        <v>106.72</v>
      </c>
      <c r="L72" s="24"/>
      <c r="M72" s="25">
        <f t="shared" si="10"/>
        <v>95.285714285714278</v>
      </c>
      <c r="N72" s="25">
        <f t="shared" si="11"/>
        <v>11.434285714285712</v>
      </c>
      <c r="O72" s="25">
        <f t="shared" si="12"/>
        <v>0</v>
      </c>
      <c r="P72" s="25">
        <v>95.29</v>
      </c>
      <c r="Q72" s="26"/>
      <c r="R72" s="26"/>
      <c r="S72" s="27"/>
      <c r="T72" s="27"/>
      <c r="U72" s="27"/>
      <c r="V72" s="27"/>
      <c r="W72" s="27"/>
      <c r="X72" s="26"/>
      <c r="Y72" s="26"/>
      <c r="Z72" s="26"/>
      <c r="AA72" s="26"/>
      <c r="AB72" s="27"/>
      <c r="AC72" s="27"/>
      <c r="AD72" s="26"/>
      <c r="AE72" s="26"/>
      <c r="AF72" s="25">
        <f t="shared" si="13"/>
        <v>-106.72428571428571</v>
      </c>
      <c r="AG72" s="28">
        <f t="shared" si="14"/>
        <v>-4.2857142857144481E-3</v>
      </c>
    </row>
    <row r="73" spans="1:33" s="29" customFormat="1" ht="23.25" hidden="1" customHeight="1" x14ac:dyDescent="0.2">
      <c r="A73" s="69">
        <v>43662</v>
      </c>
      <c r="B73" s="19"/>
      <c r="C73" s="20" t="s">
        <v>37</v>
      </c>
      <c r="D73" s="20" t="s">
        <v>38</v>
      </c>
      <c r="E73" s="20" t="s">
        <v>39</v>
      </c>
      <c r="F73" s="21">
        <v>36429</v>
      </c>
      <c r="G73" s="62" t="s">
        <v>746</v>
      </c>
      <c r="H73" s="70"/>
      <c r="I73" s="70"/>
      <c r="J73" s="70"/>
      <c r="K73" s="70">
        <v>398</v>
      </c>
      <c r="L73" s="24"/>
      <c r="M73" s="25">
        <f t="shared" si="10"/>
        <v>355.35714285714283</v>
      </c>
      <c r="N73" s="25">
        <f t="shared" si="11"/>
        <v>42.642857142857139</v>
      </c>
      <c r="O73" s="25">
        <f t="shared" si="12"/>
        <v>0</v>
      </c>
      <c r="P73" s="25"/>
      <c r="Q73" s="26">
        <v>355.36</v>
      </c>
      <c r="R73" s="26"/>
      <c r="S73" s="27"/>
      <c r="T73" s="27"/>
      <c r="U73" s="27"/>
      <c r="V73" s="27"/>
      <c r="W73" s="27"/>
      <c r="X73" s="26"/>
      <c r="Y73" s="26"/>
      <c r="Z73" s="26"/>
      <c r="AA73" s="26"/>
      <c r="AB73" s="27"/>
      <c r="AC73" s="27"/>
      <c r="AD73" s="26"/>
      <c r="AE73" s="26"/>
      <c r="AF73" s="25">
        <f t="shared" si="13"/>
        <v>-398.00285714285712</v>
      </c>
      <c r="AG73" s="28">
        <f t="shared" si="14"/>
        <v>-2.8571428571240176E-3</v>
      </c>
    </row>
    <row r="74" spans="1:33" s="29" customFormat="1" ht="24.75" hidden="1" customHeight="1" x14ac:dyDescent="0.2">
      <c r="A74" s="69">
        <v>43662</v>
      </c>
      <c r="B74" s="19"/>
      <c r="C74" s="20" t="s">
        <v>41</v>
      </c>
      <c r="D74" s="20" t="s">
        <v>42</v>
      </c>
      <c r="E74" s="20" t="s">
        <v>43</v>
      </c>
      <c r="F74" s="21">
        <v>155808</v>
      </c>
      <c r="G74" s="22" t="s">
        <v>44</v>
      </c>
      <c r="H74" s="70"/>
      <c r="I74" s="70"/>
      <c r="J74" s="70"/>
      <c r="K74" s="70">
        <v>180</v>
      </c>
      <c r="L74" s="24"/>
      <c r="M74" s="25">
        <f t="shared" si="10"/>
        <v>160.71428571428569</v>
      </c>
      <c r="N74" s="25">
        <f t="shared" si="11"/>
        <v>19.285714285714281</v>
      </c>
      <c r="O74" s="25">
        <f t="shared" si="12"/>
        <v>0</v>
      </c>
      <c r="P74" s="25"/>
      <c r="Q74" s="26">
        <v>160.71</v>
      </c>
      <c r="R74" s="26"/>
      <c r="S74" s="27"/>
      <c r="T74" s="27"/>
      <c r="U74" s="27"/>
      <c r="V74" s="27"/>
      <c r="W74" s="27"/>
      <c r="X74" s="26"/>
      <c r="Y74" s="26"/>
      <c r="Z74" s="26"/>
      <c r="AA74" s="26"/>
      <c r="AB74" s="27"/>
      <c r="AC74" s="27"/>
      <c r="AD74" s="26"/>
      <c r="AE74" s="26"/>
      <c r="AF74" s="25">
        <f t="shared" si="13"/>
        <v>-179.99571428571429</v>
      </c>
      <c r="AG74" s="28">
        <f t="shared" si="14"/>
        <v>4.2857142857144481E-3</v>
      </c>
    </row>
    <row r="75" spans="1:33" s="29" customFormat="1" ht="23.25" hidden="1" customHeight="1" x14ac:dyDescent="0.2">
      <c r="A75" s="69">
        <v>43663</v>
      </c>
      <c r="B75" s="19"/>
      <c r="C75" s="20" t="s">
        <v>58</v>
      </c>
      <c r="D75" s="20"/>
      <c r="E75" s="20"/>
      <c r="F75" s="21"/>
      <c r="G75" s="20" t="s">
        <v>747</v>
      </c>
      <c r="H75" s="70">
        <v>50</v>
      </c>
      <c r="I75" s="70"/>
      <c r="J75" s="70"/>
      <c r="K75" s="70"/>
      <c r="L75" s="24"/>
      <c r="M75" s="25">
        <f t="shared" si="10"/>
        <v>50</v>
      </c>
      <c r="N75" s="25">
        <f t="shared" si="11"/>
        <v>0</v>
      </c>
      <c r="O75" s="25">
        <f t="shared" si="12"/>
        <v>0</v>
      </c>
      <c r="P75" s="25"/>
      <c r="Q75" s="26"/>
      <c r="R75" s="26"/>
      <c r="S75" s="27"/>
      <c r="T75" s="27"/>
      <c r="U75" s="27"/>
      <c r="V75" s="27"/>
      <c r="W75" s="27"/>
      <c r="X75" s="26"/>
      <c r="Y75" s="26"/>
      <c r="Z75" s="26"/>
      <c r="AA75" s="26">
        <v>50</v>
      </c>
      <c r="AB75" s="27"/>
      <c r="AC75" s="27"/>
      <c r="AD75" s="26"/>
      <c r="AE75" s="26"/>
      <c r="AF75" s="25">
        <f t="shared" si="13"/>
        <v>-50</v>
      </c>
      <c r="AG75" s="28">
        <f t="shared" si="14"/>
        <v>0</v>
      </c>
    </row>
    <row r="76" spans="1:33" s="29" customFormat="1" ht="24.75" hidden="1" customHeight="1" x14ac:dyDescent="0.2">
      <c r="A76" s="69">
        <v>43663</v>
      </c>
      <c r="B76" s="19"/>
      <c r="C76" s="20" t="s">
        <v>41</v>
      </c>
      <c r="D76" s="20" t="s">
        <v>42</v>
      </c>
      <c r="E76" s="20" t="s">
        <v>43</v>
      </c>
      <c r="F76" s="21">
        <v>155848</v>
      </c>
      <c r="G76" s="22" t="s">
        <v>44</v>
      </c>
      <c r="H76" s="70"/>
      <c r="I76" s="70"/>
      <c r="J76" s="70"/>
      <c r="K76" s="70">
        <v>180</v>
      </c>
      <c r="L76" s="24"/>
      <c r="M76" s="25">
        <f t="shared" si="10"/>
        <v>160.71428571428569</v>
      </c>
      <c r="N76" s="25">
        <f t="shared" si="11"/>
        <v>19.285714285714281</v>
      </c>
      <c r="O76" s="25">
        <f t="shared" si="12"/>
        <v>0</v>
      </c>
      <c r="P76" s="25"/>
      <c r="Q76" s="26">
        <v>160.71</v>
      </c>
      <c r="R76" s="26"/>
      <c r="S76" s="27"/>
      <c r="T76" s="27"/>
      <c r="U76" s="27"/>
      <c r="V76" s="27"/>
      <c r="W76" s="27"/>
      <c r="X76" s="26"/>
      <c r="Y76" s="26"/>
      <c r="Z76" s="26"/>
      <c r="AA76" s="26"/>
      <c r="AB76" s="27"/>
      <c r="AC76" s="27"/>
      <c r="AD76" s="26"/>
      <c r="AE76" s="26"/>
      <c r="AF76" s="25">
        <f t="shared" si="13"/>
        <v>-179.99571428571429</v>
      </c>
      <c r="AG76" s="28">
        <f t="shared" si="14"/>
        <v>4.2857142857144481E-3</v>
      </c>
    </row>
    <row r="77" spans="1:33" s="29" customFormat="1" ht="24.75" hidden="1" customHeight="1" x14ac:dyDescent="0.2">
      <c r="A77" s="69">
        <v>43663</v>
      </c>
      <c r="B77" s="19"/>
      <c r="C77" s="20" t="s">
        <v>45</v>
      </c>
      <c r="D77" s="20" t="s">
        <v>46</v>
      </c>
      <c r="E77" s="20" t="s">
        <v>47</v>
      </c>
      <c r="F77" s="21">
        <v>133724</v>
      </c>
      <c r="G77" s="22" t="s">
        <v>69</v>
      </c>
      <c r="H77" s="70"/>
      <c r="I77" s="70"/>
      <c r="J77" s="70">
        <v>222.05</v>
      </c>
      <c r="K77" s="70"/>
      <c r="L77" s="24"/>
      <c r="M77" s="25">
        <f t="shared" si="10"/>
        <v>222.05</v>
      </c>
      <c r="N77" s="25">
        <f t="shared" si="11"/>
        <v>0</v>
      </c>
      <c r="O77" s="25">
        <f t="shared" si="12"/>
        <v>0</v>
      </c>
      <c r="P77" s="25">
        <v>222.05</v>
      </c>
      <c r="Q77" s="26"/>
      <c r="R77" s="26"/>
      <c r="S77" s="27"/>
      <c r="T77" s="27"/>
      <c r="U77" s="27"/>
      <c r="V77" s="27"/>
      <c r="W77" s="27"/>
      <c r="X77" s="26"/>
      <c r="Y77" s="26"/>
      <c r="Z77" s="26"/>
      <c r="AA77" s="26"/>
      <c r="AB77" s="27"/>
      <c r="AC77" s="27"/>
      <c r="AD77" s="26"/>
      <c r="AE77" s="26"/>
      <c r="AF77" s="25">
        <f t="shared" si="13"/>
        <v>-222.05</v>
      </c>
      <c r="AG77" s="28">
        <f t="shared" si="14"/>
        <v>0</v>
      </c>
    </row>
    <row r="78" spans="1:33" s="29" customFormat="1" ht="24.75" hidden="1" customHeight="1" x14ac:dyDescent="0.2">
      <c r="A78" s="69">
        <v>43663</v>
      </c>
      <c r="B78" s="19"/>
      <c r="C78" s="20" t="s">
        <v>45</v>
      </c>
      <c r="D78" s="20" t="s">
        <v>46</v>
      </c>
      <c r="E78" s="20" t="s">
        <v>47</v>
      </c>
      <c r="F78" s="21">
        <v>133724</v>
      </c>
      <c r="G78" s="22" t="s">
        <v>748</v>
      </c>
      <c r="H78" s="70"/>
      <c r="I78" s="70"/>
      <c r="J78" s="70"/>
      <c r="K78" s="70">
        <f>1672.9+200.75</f>
        <v>1873.65</v>
      </c>
      <c r="L78" s="24"/>
      <c r="M78" s="25">
        <f t="shared" si="10"/>
        <v>1672.9017857142856</v>
      </c>
      <c r="N78" s="25">
        <f t="shared" si="11"/>
        <v>200.74821428571425</v>
      </c>
      <c r="O78" s="25">
        <f t="shared" si="12"/>
        <v>0</v>
      </c>
      <c r="P78" s="25">
        <v>1672.9</v>
      </c>
      <c r="Q78" s="26"/>
      <c r="R78" s="26"/>
      <c r="S78" s="27"/>
      <c r="T78" s="27"/>
      <c r="U78" s="27"/>
      <c r="V78" s="27"/>
      <c r="W78" s="27"/>
      <c r="X78" s="26"/>
      <c r="Y78" s="26"/>
      <c r="Z78" s="26"/>
      <c r="AA78" s="26"/>
      <c r="AB78" s="27"/>
      <c r="AC78" s="27"/>
      <c r="AD78" s="26"/>
      <c r="AE78" s="26"/>
      <c r="AF78" s="25">
        <f t="shared" si="13"/>
        <v>-1873.6482142857144</v>
      </c>
      <c r="AG78" s="28">
        <f t="shared" si="14"/>
        <v>1.7857142856883002E-3</v>
      </c>
    </row>
    <row r="79" spans="1:33" s="29" customFormat="1" ht="24.75" customHeight="1" x14ac:dyDescent="0.2">
      <c r="A79" s="69">
        <v>43663</v>
      </c>
      <c r="B79" s="19"/>
      <c r="C79" s="20" t="s">
        <v>80</v>
      </c>
      <c r="D79" s="20" t="s">
        <v>181</v>
      </c>
      <c r="E79" s="20" t="s">
        <v>649</v>
      </c>
      <c r="F79" s="21">
        <v>1932</v>
      </c>
      <c r="G79" s="22" t="s">
        <v>749</v>
      </c>
      <c r="H79" s="70"/>
      <c r="I79" s="70"/>
      <c r="J79" s="70"/>
      <c r="K79" s="70">
        <v>218</v>
      </c>
      <c r="L79" s="24">
        <v>0.01</v>
      </c>
      <c r="M79" s="25">
        <f t="shared" si="10"/>
        <v>194.64285714285711</v>
      </c>
      <c r="N79" s="25">
        <f t="shared" si="11"/>
        <v>23.357142857142854</v>
      </c>
      <c r="O79" s="25">
        <f t="shared" si="12"/>
        <v>-1.9464285714285712</v>
      </c>
      <c r="P79" s="25">
        <v>194.64</v>
      </c>
      <c r="Q79" s="26"/>
      <c r="R79" s="26"/>
      <c r="S79" s="27"/>
      <c r="T79" s="27"/>
      <c r="U79" s="27"/>
      <c r="V79" s="27"/>
      <c r="W79" s="27"/>
      <c r="X79" s="26"/>
      <c r="Y79" s="26"/>
      <c r="Z79" s="26"/>
      <c r="AA79" s="26"/>
      <c r="AB79" s="27"/>
      <c r="AC79" s="27"/>
      <c r="AD79" s="26"/>
      <c r="AE79" s="26"/>
      <c r="AF79" s="25">
        <f t="shared" si="13"/>
        <v>-216.05071428571426</v>
      </c>
      <c r="AG79" s="28">
        <f t="shared" si="14"/>
        <v>2.8571428571648738E-3</v>
      </c>
    </row>
    <row r="80" spans="1:33" s="29" customFormat="1" ht="24.75" hidden="1" customHeight="1" x14ac:dyDescent="0.2">
      <c r="A80" s="69">
        <v>43664</v>
      </c>
      <c r="B80" s="19"/>
      <c r="C80" s="20" t="s">
        <v>45</v>
      </c>
      <c r="D80" s="20" t="s">
        <v>46</v>
      </c>
      <c r="E80" s="20" t="s">
        <v>47</v>
      </c>
      <c r="F80" s="21">
        <v>171168</v>
      </c>
      <c r="G80" s="22" t="s">
        <v>750</v>
      </c>
      <c r="H80" s="70"/>
      <c r="I80" s="70"/>
      <c r="J80" s="70"/>
      <c r="K80" s="70">
        <f>1309.51+157.14</f>
        <v>1466.65</v>
      </c>
      <c r="L80" s="24"/>
      <c r="M80" s="25">
        <f t="shared" si="10"/>
        <v>1309.5089285714284</v>
      </c>
      <c r="N80" s="25">
        <f t="shared" si="11"/>
        <v>157.14107142857139</v>
      </c>
      <c r="O80" s="25">
        <f t="shared" si="12"/>
        <v>0</v>
      </c>
      <c r="P80" s="25">
        <v>1309.51</v>
      </c>
      <c r="Q80" s="26"/>
      <c r="R80" s="26"/>
      <c r="S80" s="27"/>
      <c r="T80" s="27"/>
      <c r="U80" s="27"/>
      <c r="V80" s="27"/>
      <c r="W80" s="27"/>
      <c r="X80" s="26"/>
      <c r="Y80" s="26"/>
      <c r="Z80" s="26"/>
      <c r="AA80" s="26"/>
      <c r="AB80" s="27"/>
      <c r="AC80" s="27"/>
      <c r="AD80" s="26"/>
      <c r="AE80" s="26"/>
      <c r="AF80" s="25">
        <f t="shared" si="13"/>
        <v>-1466.6510714285714</v>
      </c>
      <c r="AG80" s="28">
        <f t="shared" si="14"/>
        <v>-1.0714285713220306E-3</v>
      </c>
    </row>
    <row r="81" spans="1:33" s="29" customFormat="1" ht="24.75" hidden="1" customHeight="1" x14ac:dyDescent="0.2">
      <c r="A81" s="69">
        <v>43664</v>
      </c>
      <c r="B81" s="19"/>
      <c r="C81" s="20" t="s">
        <v>45</v>
      </c>
      <c r="D81" s="20" t="s">
        <v>46</v>
      </c>
      <c r="E81" s="20" t="s">
        <v>47</v>
      </c>
      <c r="F81" s="21">
        <v>171168</v>
      </c>
      <c r="G81" s="22" t="s">
        <v>751</v>
      </c>
      <c r="H81" s="70"/>
      <c r="I81" s="70"/>
      <c r="J81" s="70">
        <v>284</v>
      </c>
      <c r="K81" s="70"/>
      <c r="L81" s="24"/>
      <c r="M81" s="25">
        <f t="shared" si="10"/>
        <v>284</v>
      </c>
      <c r="N81" s="25">
        <f t="shared" si="11"/>
        <v>0</v>
      </c>
      <c r="O81" s="25">
        <f t="shared" si="12"/>
        <v>0</v>
      </c>
      <c r="P81" s="25">
        <v>284</v>
      </c>
      <c r="Q81" s="26"/>
      <c r="R81" s="26"/>
      <c r="S81" s="27"/>
      <c r="T81" s="27"/>
      <c r="U81" s="27"/>
      <c r="V81" s="27"/>
      <c r="W81" s="27"/>
      <c r="X81" s="26"/>
      <c r="Y81" s="26"/>
      <c r="Z81" s="26"/>
      <c r="AA81" s="26"/>
      <c r="AB81" s="27"/>
      <c r="AC81" s="27"/>
      <c r="AD81" s="26"/>
      <c r="AE81" s="26"/>
      <c r="AF81" s="25">
        <f t="shared" si="13"/>
        <v>-284</v>
      </c>
      <c r="AG81" s="28">
        <f t="shared" si="14"/>
        <v>0</v>
      </c>
    </row>
    <row r="82" spans="1:33" s="29" customFormat="1" ht="24.75" hidden="1" customHeight="1" x14ac:dyDescent="0.2">
      <c r="A82" s="69">
        <v>43664</v>
      </c>
      <c r="B82" s="19"/>
      <c r="C82" s="20" t="s">
        <v>41</v>
      </c>
      <c r="D82" s="20" t="s">
        <v>42</v>
      </c>
      <c r="E82" s="20" t="s">
        <v>43</v>
      </c>
      <c r="F82" s="21">
        <v>153044</v>
      </c>
      <c r="G82" s="22" t="s">
        <v>44</v>
      </c>
      <c r="H82" s="70"/>
      <c r="I82" s="70"/>
      <c r="J82" s="70"/>
      <c r="K82" s="70">
        <v>180</v>
      </c>
      <c r="L82" s="24"/>
      <c r="M82" s="25">
        <f t="shared" si="10"/>
        <v>160.71428571428569</v>
      </c>
      <c r="N82" s="25">
        <f t="shared" si="11"/>
        <v>19.285714285714281</v>
      </c>
      <c r="O82" s="25">
        <f t="shared" si="12"/>
        <v>0</v>
      </c>
      <c r="P82" s="25"/>
      <c r="Q82" s="26">
        <v>160.71</v>
      </c>
      <c r="R82" s="26"/>
      <c r="S82" s="27"/>
      <c r="T82" s="27"/>
      <c r="U82" s="27"/>
      <c r="V82" s="27"/>
      <c r="W82" s="27"/>
      <c r="X82" s="26"/>
      <c r="Y82" s="26"/>
      <c r="Z82" s="26"/>
      <c r="AA82" s="26"/>
      <c r="AB82" s="27"/>
      <c r="AC82" s="27"/>
      <c r="AD82" s="26"/>
      <c r="AE82" s="26"/>
      <c r="AF82" s="25">
        <f t="shared" si="13"/>
        <v>-179.99571428571429</v>
      </c>
      <c r="AG82" s="28">
        <f t="shared" si="14"/>
        <v>4.2857142857144481E-3</v>
      </c>
    </row>
    <row r="83" spans="1:33" s="29" customFormat="1" ht="24.75" hidden="1" customHeight="1" x14ac:dyDescent="0.2">
      <c r="A83" s="69">
        <v>43664</v>
      </c>
      <c r="B83" s="19"/>
      <c r="C83" s="73" t="s">
        <v>752</v>
      </c>
      <c r="D83" s="20" t="s">
        <v>753</v>
      </c>
      <c r="E83" s="20" t="s">
        <v>39</v>
      </c>
      <c r="F83" s="21">
        <v>70464</v>
      </c>
      <c r="G83" s="22" t="s">
        <v>754</v>
      </c>
      <c r="H83" s="70"/>
      <c r="I83" s="70"/>
      <c r="J83" s="70"/>
      <c r="K83" s="70">
        <v>3000</v>
      </c>
      <c r="L83" s="24"/>
      <c r="M83" s="25">
        <f t="shared" si="10"/>
        <v>2678.5714285714284</v>
      </c>
      <c r="N83" s="25">
        <f t="shared" si="11"/>
        <v>321.42857142857139</v>
      </c>
      <c r="O83" s="25">
        <f t="shared" si="12"/>
        <v>0</v>
      </c>
      <c r="P83" s="25"/>
      <c r="Q83" s="26"/>
      <c r="R83" s="26"/>
      <c r="S83" s="27"/>
      <c r="T83" s="27"/>
      <c r="U83" s="27"/>
      <c r="V83" s="27"/>
      <c r="W83" s="27"/>
      <c r="X83" s="26"/>
      <c r="Y83" s="26">
        <v>2678.57</v>
      </c>
      <c r="Z83" s="26"/>
      <c r="AA83" s="26"/>
      <c r="AB83" s="27"/>
      <c r="AC83" s="27"/>
      <c r="AD83" s="26"/>
      <c r="AE83" s="26"/>
      <c r="AF83" s="25">
        <f t="shared" si="13"/>
        <v>-2999.9985714285717</v>
      </c>
      <c r="AG83" s="28">
        <f t="shared" si="14"/>
        <v>1.4285714282777917E-3</v>
      </c>
    </row>
    <row r="84" spans="1:33" s="29" customFormat="1" ht="23.25" hidden="1" customHeight="1" x14ac:dyDescent="0.2">
      <c r="A84" s="69">
        <v>43664</v>
      </c>
      <c r="B84" s="19"/>
      <c r="C84" s="20" t="s">
        <v>154</v>
      </c>
      <c r="D84" s="20"/>
      <c r="E84" s="20"/>
      <c r="F84" s="21"/>
      <c r="G84" s="22" t="s">
        <v>755</v>
      </c>
      <c r="H84" s="70">
        <v>77</v>
      </c>
      <c r="I84" s="70"/>
      <c r="J84" s="70"/>
      <c r="K84" s="70"/>
      <c r="L84" s="24"/>
      <c r="M84" s="25">
        <f t="shared" si="10"/>
        <v>77</v>
      </c>
      <c r="N84" s="25">
        <f t="shared" si="11"/>
        <v>0</v>
      </c>
      <c r="O84" s="25">
        <f t="shared" si="12"/>
        <v>0</v>
      </c>
      <c r="P84" s="25"/>
      <c r="Q84" s="26"/>
      <c r="R84" s="26"/>
      <c r="S84" s="27"/>
      <c r="T84" s="27"/>
      <c r="U84" s="27"/>
      <c r="V84" s="27"/>
      <c r="W84" s="27"/>
      <c r="X84" s="26"/>
      <c r="Y84" s="26"/>
      <c r="Z84" s="26"/>
      <c r="AA84" s="26">
        <v>77</v>
      </c>
      <c r="AB84" s="27"/>
      <c r="AC84" s="27"/>
      <c r="AD84" s="26"/>
      <c r="AE84" s="26"/>
      <c r="AF84" s="25">
        <f t="shared" si="13"/>
        <v>-77</v>
      </c>
      <c r="AG84" s="28">
        <f t="shared" si="14"/>
        <v>0</v>
      </c>
    </row>
    <row r="85" spans="1:33" s="29" customFormat="1" ht="24.75" hidden="1" customHeight="1" x14ac:dyDescent="0.2">
      <c r="A85" s="69">
        <v>43664</v>
      </c>
      <c r="B85" s="19"/>
      <c r="C85" s="20" t="s">
        <v>37</v>
      </c>
      <c r="D85" s="20" t="s">
        <v>38</v>
      </c>
      <c r="E85" s="20" t="s">
        <v>39</v>
      </c>
      <c r="F85" s="21">
        <v>36474</v>
      </c>
      <c r="G85" s="22" t="s">
        <v>140</v>
      </c>
      <c r="H85" s="70"/>
      <c r="I85" s="70"/>
      <c r="J85" s="70"/>
      <c r="K85" s="70">
        <v>350</v>
      </c>
      <c r="L85" s="24"/>
      <c r="M85" s="25">
        <f t="shared" si="10"/>
        <v>312.49999999999994</v>
      </c>
      <c r="N85" s="25">
        <f t="shared" si="11"/>
        <v>37.499999999999993</v>
      </c>
      <c r="O85" s="25">
        <f t="shared" si="12"/>
        <v>0</v>
      </c>
      <c r="P85" s="25">
        <v>312.5</v>
      </c>
      <c r="Q85" s="26"/>
      <c r="R85" s="26"/>
      <c r="S85" s="27"/>
      <c r="T85" s="27"/>
      <c r="U85" s="27"/>
      <c r="V85" s="27"/>
      <c r="W85" s="27"/>
      <c r="X85" s="26"/>
      <c r="Y85" s="26"/>
      <c r="Z85" s="26"/>
      <c r="AA85" s="26"/>
      <c r="AB85" s="27"/>
      <c r="AC85" s="27"/>
      <c r="AD85" s="26"/>
      <c r="AE85" s="26"/>
      <c r="AF85" s="25">
        <f t="shared" si="13"/>
        <v>-350</v>
      </c>
      <c r="AG85" s="28">
        <f t="shared" si="14"/>
        <v>0</v>
      </c>
    </row>
    <row r="86" spans="1:33" s="29" customFormat="1" ht="23.25" hidden="1" customHeight="1" x14ac:dyDescent="0.2">
      <c r="A86" s="69">
        <v>43665</v>
      </c>
      <c r="B86" s="19"/>
      <c r="C86" s="20" t="s">
        <v>58</v>
      </c>
      <c r="D86" s="20"/>
      <c r="E86" s="20"/>
      <c r="F86" s="21"/>
      <c r="G86" s="20" t="s">
        <v>756</v>
      </c>
      <c r="H86" s="70">
        <v>50</v>
      </c>
      <c r="I86" s="70"/>
      <c r="J86" s="70"/>
      <c r="K86" s="70"/>
      <c r="L86" s="24"/>
      <c r="M86" s="25">
        <f t="shared" si="10"/>
        <v>50</v>
      </c>
      <c r="N86" s="25">
        <f t="shared" si="11"/>
        <v>0</v>
      </c>
      <c r="O86" s="25">
        <f t="shared" si="12"/>
        <v>0</v>
      </c>
      <c r="P86" s="25"/>
      <c r="Q86" s="26"/>
      <c r="R86" s="26"/>
      <c r="S86" s="27"/>
      <c r="T86" s="27"/>
      <c r="U86" s="27"/>
      <c r="V86" s="27"/>
      <c r="W86" s="27"/>
      <c r="X86" s="26"/>
      <c r="Y86" s="26"/>
      <c r="Z86" s="26"/>
      <c r="AA86" s="26">
        <v>50</v>
      </c>
      <c r="AB86" s="27"/>
      <c r="AC86" s="27"/>
      <c r="AD86" s="26"/>
      <c r="AE86" s="26"/>
      <c r="AF86" s="25">
        <f t="shared" si="13"/>
        <v>-50</v>
      </c>
      <c r="AG86" s="28">
        <f t="shared" si="14"/>
        <v>0</v>
      </c>
    </row>
    <row r="87" spans="1:33" s="29" customFormat="1" ht="24.75" hidden="1" customHeight="1" x14ac:dyDescent="0.2">
      <c r="A87" s="69">
        <v>43664</v>
      </c>
      <c r="B87" s="19"/>
      <c r="C87" s="20" t="s">
        <v>41</v>
      </c>
      <c r="D87" s="20" t="s">
        <v>42</v>
      </c>
      <c r="E87" s="20" t="s">
        <v>43</v>
      </c>
      <c r="F87" s="21">
        <v>153044</v>
      </c>
      <c r="G87" s="22" t="s">
        <v>44</v>
      </c>
      <c r="H87" s="70"/>
      <c r="I87" s="70"/>
      <c r="J87" s="70"/>
      <c r="K87" s="70">
        <v>180</v>
      </c>
      <c r="L87" s="24"/>
      <c r="M87" s="25">
        <f t="shared" si="10"/>
        <v>160.71428571428569</v>
      </c>
      <c r="N87" s="25">
        <f t="shared" si="11"/>
        <v>19.285714285714281</v>
      </c>
      <c r="O87" s="25">
        <f t="shared" si="12"/>
        <v>0</v>
      </c>
      <c r="P87" s="25"/>
      <c r="Q87" s="26">
        <v>160.71</v>
      </c>
      <c r="R87" s="26"/>
      <c r="S87" s="27"/>
      <c r="T87" s="27"/>
      <c r="U87" s="27"/>
      <c r="V87" s="27"/>
      <c r="W87" s="27"/>
      <c r="X87" s="26"/>
      <c r="Y87" s="26"/>
      <c r="Z87" s="26"/>
      <c r="AA87" s="26"/>
      <c r="AB87" s="27"/>
      <c r="AC87" s="27"/>
      <c r="AD87" s="26"/>
      <c r="AE87" s="26"/>
      <c r="AF87" s="25">
        <f t="shared" si="13"/>
        <v>-179.99571428571429</v>
      </c>
      <c r="AG87" s="28">
        <f t="shared" si="14"/>
        <v>4.2857142857144481E-3</v>
      </c>
    </row>
    <row r="88" spans="1:33" s="29" customFormat="1" ht="24.75" hidden="1" customHeight="1" x14ac:dyDescent="0.2">
      <c r="A88" s="69">
        <v>43665</v>
      </c>
      <c r="B88" s="19"/>
      <c r="C88" s="20" t="s">
        <v>37</v>
      </c>
      <c r="D88" s="20" t="s">
        <v>38</v>
      </c>
      <c r="E88" s="20" t="s">
        <v>39</v>
      </c>
      <c r="F88" s="21">
        <v>36498</v>
      </c>
      <c r="G88" s="22" t="s">
        <v>757</v>
      </c>
      <c r="H88" s="70"/>
      <c r="I88" s="70"/>
      <c r="J88" s="70"/>
      <c r="K88" s="70">
        <v>296</v>
      </c>
      <c r="L88" s="24"/>
      <c r="M88" s="25">
        <f t="shared" si="10"/>
        <v>264.28571428571428</v>
      </c>
      <c r="N88" s="25">
        <f t="shared" si="11"/>
        <v>31.714285714285712</v>
      </c>
      <c r="O88" s="25">
        <f t="shared" si="12"/>
        <v>0</v>
      </c>
      <c r="P88" s="25">
        <v>264.29000000000002</v>
      </c>
      <c r="Q88" s="26"/>
      <c r="R88" s="26"/>
      <c r="S88" s="27"/>
      <c r="T88" s="27"/>
      <c r="U88" s="27"/>
      <c r="V88" s="27"/>
      <c r="W88" s="27"/>
      <c r="X88" s="26"/>
      <c r="Y88" s="26"/>
      <c r="Z88" s="26"/>
      <c r="AA88" s="26"/>
      <c r="AB88" s="27"/>
      <c r="AC88" s="27"/>
      <c r="AD88" s="26"/>
      <c r="AE88" s="26"/>
      <c r="AF88" s="25">
        <f t="shared" si="13"/>
        <v>-296.00428571428574</v>
      </c>
      <c r="AG88" s="28">
        <f t="shared" si="14"/>
        <v>-4.2857142857428698E-3</v>
      </c>
    </row>
    <row r="89" spans="1:33" s="29" customFormat="1" ht="24.75" hidden="1" customHeight="1" x14ac:dyDescent="0.2">
      <c r="A89" s="69">
        <v>43665</v>
      </c>
      <c r="B89" s="19"/>
      <c r="C89" s="20" t="s">
        <v>50</v>
      </c>
      <c r="D89" s="20" t="s">
        <v>51</v>
      </c>
      <c r="E89" s="20" t="s">
        <v>47</v>
      </c>
      <c r="F89" s="21">
        <v>58157</v>
      </c>
      <c r="G89" s="22" t="s">
        <v>758</v>
      </c>
      <c r="H89" s="70"/>
      <c r="I89" s="70"/>
      <c r="J89" s="70"/>
      <c r="K89" s="70">
        <v>446.69</v>
      </c>
      <c r="L89" s="24"/>
      <c r="M89" s="25">
        <f t="shared" si="10"/>
        <v>398.83035714285711</v>
      </c>
      <c r="N89" s="25">
        <f t="shared" si="11"/>
        <v>47.859642857142852</v>
      </c>
      <c r="O89" s="25">
        <f t="shared" si="12"/>
        <v>0</v>
      </c>
      <c r="P89" s="25">
        <v>398.83</v>
      </c>
      <c r="Q89" s="26"/>
      <c r="R89" s="26"/>
      <c r="S89" s="27"/>
      <c r="T89" s="27"/>
      <c r="U89" s="27"/>
      <c r="V89" s="27"/>
      <c r="W89" s="27"/>
      <c r="X89" s="26"/>
      <c r="Y89" s="26"/>
      <c r="Z89" s="26"/>
      <c r="AA89" s="26"/>
      <c r="AB89" s="27"/>
      <c r="AC89" s="27"/>
      <c r="AD89" s="26"/>
      <c r="AE89" s="26"/>
      <c r="AF89" s="25">
        <f t="shared" si="13"/>
        <v>-446.68964285714281</v>
      </c>
      <c r="AG89" s="28">
        <f t="shared" si="14"/>
        <v>3.5714285718313477E-4</v>
      </c>
    </row>
    <row r="90" spans="1:33" s="29" customFormat="1" ht="24.75" hidden="1" customHeight="1" x14ac:dyDescent="0.2">
      <c r="A90" s="69">
        <v>43666</v>
      </c>
      <c r="B90" s="19"/>
      <c r="C90" s="20" t="s">
        <v>45</v>
      </c>
      <c r="D90" s="20" t="s">
        <v>46</v>
      </c>
      <c r="E90" s="20" t="s">
        <v>47</v>
      </c>
      <c r="F90" s="21">
        <v>164437</v>
      </c>
      <c r="G90" s="22" t="s">
        <v>759</v>
      </c>
      <c r="H90" s="70"/>
      <c r="I90" s="70"/>
      <c r="J90" s="70"/>
      <c r="K90" s="70">
        <f>1952.14+234.26</f>
        <v>2186.4</v>
      </c>
      <c r="L90" s="24"/>
      <c r="M90" s="25">
        <f t="shared" si="10"/>
        <v>1952.1428571428571</v>
      </c>
      <c r="N90" s="25">
        <f t="shared" si="11"/>
        <v>234.25714285714284</v>
      </c>
      <c r="O90" s="25">
        <f t="shared" si="12"/>
        <v>0</v>
      </c>
      <c r="P90" s="25">
        <v>1952.14</v>
      </c>
      <c r="Q90" s="26"/>
      <c r="R90" s="26"/>
      <c r="S90" s="27"/>
      <c r="T90" s="27"/>
      <c r="U90" s="27"/>
      <c r="V90" s="27"/>
      <c r="W90" s="27"/>
      <c r="X90" s="26"/>
      <c r="Y90" s="26"/>
      <c r="Z90" s="26"/>
      <c r="AA90" s="26"/>
      <c r="AB90" s="27"/>
      <c r="AC90" s="27"/>
      <c r="AD90" s="26"/>
      <c r="AE90" s="26"/>
      <c r="AF90" s="25">
        <f t="shared" si="13"/>
        <v>-2186.3971428571431</v>
      </c>
      <c r="AG90" s="28">
        <f t="shared" si="14"/>
        <v>2.8571428570103308E-3</v>
      </c>
    </row>
    <row r="91" spans="1:33" s="41" customFormat="1" ht="24.75" hidden="1" customHeight="1" x14ac:dyDescent="0.2">
      <c r="A91" s="71">
        <v>43666</v>
      </c>
      <c r="B91" s="31"/>
      <c r="C91" s="32" t="s">
        <v>45</v>
      </c>
      <c r="D91" s="32" t="s">
        <v>46</v>
      </c>
      <c r="E91" s="32" t="s">
        <v>47</v>
      </c>
      <c r="F91" s="33">
        <v>164437</v>
      </c>
      <c r="G91" s="34" t="s">
        <v>760</v>
      </c>
      <c r="H91" s="72"/>
      <c r="I91" s="72"/>
      <c r="J91" s="72">
        <v>228.05</v>
      </c>
      <c r="K91" s="72"/>
      <c r="L91" s="36"/>
      <c r="M91" s="37">
        <f t="shared" si="10"/>
        <v>228.05</v>
      </c>
      <c r="N91" s="37">
        <f t="shared" si="11"/>
        <v>0</v>
      </c>
      <c r="O91" s="37">
        <f t="shared" si="12"/>
        <v>0</v>
      </c>
      <c r="P91" s="37">
        <v>228.05</v>
      </c>
      <c r="Q91" s="38"/>
      <c r="R91" s="38"/>
      <c r="S91" s="39"/>
      <c r="T91" s="39"/>
      <c r="U91" s="39"/>
      <c r="V91" s="39"/>
      <c r="W91" s="39"/>
      <c r="X91" s="38"/>
      <c r="Y91" s="38"/>
      <c r="Z91" s="38"/>
      <c r="AA91" s="38"/>
      <c r="AB91" s="39"/>
      <c r="AC91" s="39"/>
      <c r="AD91" s="38"/>
      <c r="AE91" s="38"/>
      <c r="AF91" s="37">
        <f t="shared" si="13"/>
        <v>-228.05</v>
      </c>
      <c r="AG91" s="40">
        <f t="shared" si="14"/>
        <v>0</v>
      </c>
    </row>
    <row r="92" spans="1:33" s="29" customFormat="1" ht="23.25" hidden="1" customHeight="1" x14ac:dyDescent="0.2">
      <c r="A92" s="69">
        <v>43662</v>
      </c>
      <c r="B92" s="19"/>
      <c r="C92" s="20" t="s">
        <v>761</v>
      </c>
      <c r="D92" s="20"/>
      <c r="E92" s="20"/>
      <c r="F92" s="21"/>
      <c r="G92" s="62" t="s">
        <v>762</v>
      </c>
      <c r="H92" s="70"/>
      <c r="I92" s="70"/>
      <c r="J92" s="70">
        <v>1200</v>
      </c>
      <c r="K92" s="70"/>
      <c r="L92" s="24"/>
      <c r="M92" s="25">
        <f t="shared" si="10"/>
        <v>1200</v>
      </c>
      <c r="N92" s="25">
        <f t="shared" si="11"/>
        <v>0</v>
      </c>
      <c r="O92" s="25">
        <f t="shared" si="12"/>
        <v>0</v>
      </c>
      <c r="P92" s="25">
        <v>1200</v>
      </c>
      <c r="Q92" s="26"/>
      <c r="R92" s="26"/>
      <c r="S92" s="27"/>
      <c r="T92" s="27"/>
      <c r="U92" s="27"/>
      <c r="V92" s="27"/>
      <c r="W92" s="27"/>
      <c r="X92" s="26"/>
      <c r="Y92" s="26"/>
      <c r="Z92" s="26"/>
      <c r="AA92" s="26"/>
      <c r="AB92" s="27"/>
      <c r="AC92" s="27"/>
      <c r="AD92" s="26"/>
      <c r="AE92" s="26"/>
      <c r="AF92" s="25">
        <f t="shared" si="13"/>
        <v>-1200</v>
      </c>
      <c r="AG92" s="28">
        <f t="shared" si="14"/>
        <v>0</v>
      </c>
    </row>
    <row r="93" spans="1:33" s="29" customFormat="1" ht="24.75" hidden="1" customHeight="1" x14ac:dyDescent="0.2">
      <c r="A93" s="69">
        <v>43666</v>
      </c>
      <c r="B93" s="19"/>
      <c r="C93" s="20" t="s">
        <v>347</v>
      </c>
      <c r="D93" s="20"/>
      <c r="E93" s="20"/>
      <c r="F93" s="21"/>
      <c r="G93" s="22" t="s">
        <v>177</v>
      </c>
      <c r="H93" s="70">
        <v>537</v>
      </c>
      <c r="I93" s="70"/>
      <c r="J93" s="70"/>
      <c r="K93" s="70"/>
      <c r="L93" s="24"/>
      <c r="M93" s="25">
        <f t="shared" si="10"/>
        <v>537</v>
      </c>
      <c r="N93" s="25">
        <f t="shared" si="11"/>
        <v>0</v>
      </c>
      <c r="O93" s="25">
        <f t="shared" si="12"/>
        <v>0</v>
      </c>
      <c r="P93" s="25"/>
      <c r="Q93" s="26"/>
      <c r="R93" s="26"/>
      <c r="S93" s="27"/>
      <c r="T93" s="27"/>
      <c r="U93" s="27"/>
      <c r="V93" s="27"/>
      <c r="W93" s="27"/>
      <c r="X93" s="26"/>
      <c r="Y93" s="26"/>
      <c r="Z93" s="26"/>
      <c r="AA93" s="26"/>
      <c r="AB93" s="27">
        <v>537</v>
      </c>
      <c r="AC93" s="27"/>
      <c r="AD93" s="26"/>
      <c r="AE93" s="26"/>
      <c r="AF93" s="25">
        <f t="shared" si="13"/>
        <v>-537</v>
      </c>
      <c r="AG93" s="28">
        <f t="shared" si="14"/>
        <v>0</v>
      </c>
    </row>
    <row r="94" spans="1:33" s="29" customFormat="1" ht="23.25" hidden="1" customHeight="1" x14ac:dyDescent="0.2">
      <c r="A94" s="69">
        <v>43668</v>
      </c>
      <c r="B94" s="19"/>
      <c r="C94" s="20" t="s">
        <v>185</v>
      </c>
      <c r="D94" s="20" t="s">
        <v>763</v>
      </c>
      <c r="E94" s="20" t="s">
        <v>47</v>
      </c>
      <c r="F94" s="21">
        <v>718434</v>
      </c>
      <c r="G94" s="62" t="s">
        <v>764</v>
      </c>
      <c r="H94" s="70"/>
      <c r="I94" s="70"/>
      <c r="J94" s="70"/>
      <c r="K94" s="70">
        <v>950</v>
      </c>
      <c r="L94" s="24"/>
      <c r="M94" s="25">
        <f t="shared" si="10"/>
        <v>848.21428571428567</v>
      </c>
      <c r="N94" s="25">
        <f t="shared" si="11"/>
        <v>101.78571428571428</v>
      </c>
      <c r="O94" s="25">
        <f t="shared" si="12"/>
        <v>0</v>
      </c>
      <c r="P94" s="25"/>
      <c r="Q94" s="26"/>
      <c r="R94" s="26"/>
      <c r="S94" s="27"/>
      <c r="T94" s="27">
        <v>848.21</v>
      </c>
      <c r="U94" s="27"/>
      <c r="V94" s="27"/>
      <c r="W94" s="27"/>
      <c r="X94" s="26"/>
      <c r="Y94" s="26"/>
      <c r="Z94" s="26"/>
      <c r="AA94" s="26"/>
      <c r="AB94" s="27"/>
      <c r="AC94" s="27"/>
      <c r="AD94" s="26"/>
      <c r="AE94" s="26"/>
      <c r="AF94" s="25">
        <f t="shared" si="13"/>
        <v>-949.99571428571426</v>
      </c>
      <c r="AG94" s="28">
        <f t="shared" si="14"/>
        <v>4.2857142857428698E-3</v>
      </c>
    </row>
    <row r="95" spans="1:33" s="29" customFormat="1" ht="24.75" hidden="1" customHeight="1" x14ac:dyDescent="0.2">
      <c r="A95" s="69">
        <v>43668</v>
      </c>
      <c r="B95" s="19"/>
      <c r="C95" s="20" t="s">
        <v>41</v>
      </c>
      <c r="D95" s="20" t="s">
        <v>42</v>
      </c>
      <c r="E95" s="20" t="s">
        <v>43</v>
      </c>
      <c r="F95" s="21">
        <v>174624</v>
      </c>
      <c r="G95" s="22" t="s">
        <v>44</v>
      </c>
      <c r="H95" s="70"/>
      <c r="I95" s="70"/>
      <c r="J95" s="70"/>
      <c r="K95" s="70">
        <v>180</v>
      </c>
      <c r="L95" s="24"/>
      <c r="M95" s="25">
        <f t="shared" si="10"/>
        <v>160.71428571428569</v>
      </c>
      <c r="N95" s="25">
        <f t="shared" si="11"/>
        <v>19.285714285714281</v>
      </c>
      <c r="O95" s="25">
        <f t="shared" si="12"/>
        <v>0</v>
      </c>
      <c r="P95" s="25"/>
      <c r="Q95" s="26">
        <v>160.71</v>
      </c>
      <c r="R95" s="26"/>
      <c r="S95" s="27"/>
      <c r="T95" s="27"/>
      <c r="U95" s="27"/>
      <c r="V95" s="27"/>
      <c r="W95" s="27"/>
      <c r="X95" s="26"/>
      <c r="Y95" s="26"/>
      <c r="Z95" s="26"/>
      <c r="AA95" s="26"/>
      <c r="AB95" s="27"/>
      <c r="AC95" s="27"/>
      <c r="AD95" s="26"/>
      <c r="AE95" s="26"/>
      <c r="AF95" s="25">
        <f t="shared" si="13"/>
        <v>-179.99571428571429</v>
      </c>
      <c r="AG95" s="28">
        <f t="shared" si="14"/>
        <v>4.2857142857144481E-3</v>
      </c>
    </row>
    <row r="96" spans="1:33" s="29" customFormat="1" ht="23.25" hidden="1" customHeight="1" x14ac:dyDescent="0.2">
      <c r="A96" s="69">
        <v>43669</v>
      </c>
      <c r="B96" s="19"/>
      <c r="C96" s="20" t="s">
        <v>45</v>
      </c>
      <c r="D96" s="20" t="s">
        <v>46</v>
      </c>
      <c r="E96" s="20" t="s">
        <v>47</v>
      </c>
      <c r="F96" s="21">
        <v>156051</v>
      </c>
      <c r="G96" s="20" t="s">
        <v>765</v>
      </c>
      <c r="H96" s="70"/>
      <c r="I96" s="70"/>
      <c r="J96" s="70"/>
      <c r="K96" s="70">
        <v>773.65</v>
      </c>
      <c r="L96" s="24"/>
      <c r="M96" s="25">
        <f t="shared" si="10"/>
        <v>690.75892857142844</v>
      </c>
      <c r="N96" s="25">
        <f t="shared" si="11"/>
        <v>82.891071428571408</v>
      </c>
      <c r="O96" s="25">
        <f t="shared" si="12"/>
        <v>0</v>
      </c>
      <c r="P96" s="25">
        <v>690.76</v>
      </c>
      <c r="Q96" s="26"/>
      <c r="R96" s="26"/>
      <c r="S96" s="27"/>
      <c r="T96" s="27"/>
      <c r="U96" s="27"/>
      <c r="V96" s="27"/>
      <c r="W96" s="27"/>
      <c r="X96" s="26"/>
      <c r="Y96" s="26"/>
      <c r="Z96" s="26"/>
      <c r="AA96" s="26"/>
      <c r="AB96" s="27"/>
      <c r="AC96" s="27"/>
      <c r="AD96" s="26"/>
      <c r="AE96" s="26"/>
      <c r="AF96" s="25">
        <f t="shared" si="13"/>
        <v>-773.65107142857141</v>
      </c>
      <c r="AG96" s="28">
        <f t="shared" si="14"/>
        <v>-1.0714285714357175E-3</v>
      </c>
    </row>
    <row r="97" spans="1:33" s="29" customFormat="1" ht="24.75" hidden="1" customHeight="1" x14ac:dyDescent="0.2">
      <c r="A97" s="69">
        <v>43668</v>
      </c>
      <c r="B97" s="19"/>
      <c r="C97" s="20" t="s">
        <v>41</v>
      </c>
      <c r="D97" s="20" t="s">
        <v>42</v>
      </c>
      <c r="E97" s="20" t="s">
        <v>43</v>
      </c>
      <c r="F97" s="21">
        <v>174672</v>
      </c>
      <c r="G97" s="22" t="s">
        <v>44</v>
      </c>
      <c r="H97" s="70"/>
      <c r="I97" s="70"/>
      <c r="J97" s="70"/>
      <c r="K97" s="70">
        <v>180</v>
      </c>
      <c r="L97" s="24"/>
      <c r="M97" s="25">
        <f t="shared" si="10"/>
        <v>160.71428571428569</v>
      </c>
      <c r="N97" s="25">
        <f t="shared" si="11"/>
        <v>19.285714285714281</v>
      </c>
      <c r="O97" s="25">
        <f t="shared" si="12"/>
        <v>0</v>
      </c>
      <c r="P97" s="25"/>
      <c r="Q97" s="26">
        <v>160.71</v>
      </c>
      <c r="R97" s="26"/>
      <c r="S97" s="27"/>
      <c r="T97" s="27"/>
      <c r="U97" s="27"/>
      <c r="V97" s="27"/>
      <c r="W97" s="27"/>
      <c r="X97" s="26"/>
      <c r="Y97" s="26"/>
      <c r="Z97" s="26"/>
      <c r="AA97" s="26"/>
      <c r="AB97" s="27"/>
      <c r="AC97" s="27"/>
      <c r="AD97" s="26"/>
      <c r="AE97" s="26"/>
      <c r="AF97" s="25">
        <f t="shared" si="13"/>
        <v>-179.99571428571429</v>
      </c>
      <c r="AG97" s="28">
        <f t="shared" si="14"/>
        <v>4.2857142857144481E-3</v>
      </c>
    </row>
    <row r="98" spans="1:33" s="29" customFormat="1" ht="24.75" hidden="1" customHeight="1" x14ac:dyDescent="0.2">
      <c r="A98" s="69">
        <v>43669</v>
      </c>
      <c r="B98" s="19"/>
      <c r="C98" s="20" t="s">
        <v>45</v>
      </c>
      <c r="D98" s="20" t="s">
        <v>46</v>
      </c>
      <c r="E98" s="20" t="s">
        <v>47</v>
      </c>
      <c r="F98" s="21">
        <v>185599</v>
      </c>
      <c r="G98" s="22" t="s">
        <v>766</v>
      </c>
      <c r="H98" s="70"/>
      <c r="I98" s="70"/>
      <c r="J98" s="70"/>
      <c r="K98" s="70">
        <f>969.2+116.3</f>
        <v>1085.5</v>
      </c>
      <c r="L98" s="24"/>
      <c r="M98" s="25">
        <f t="shared" si="10"/>
        <v>969.19642857142844</v>
      </c>
      <c r="N98" s="25">
        <f t="shared" si="11"/>
        <v>116.3035714285714</v>
      </c>
      <c r="O98" s="25">
        <f t="shared" si="12"/>
        <v>0</v>
      </c>
      <c r="P98" s="25">
        <v>969.2</v>
      </c>
      <c r="Q98" s="26"/>
      <c r="R98" s="26"/>
      <c r="S98" s="27"/>
      <c r="T98" s="27"/>
      <c r="U98" s="27"/>
      <c r="V98" s="27"/>
      <c r="W98" s="27"/>
      <c r="X98" s="26"/>
      <c r="Y98" s="26"/>
      <c r="Z98" s="26"/>
      <c r="AA98" s="26"/>
      <c r="AB98" s="27"/>
      <c r="AC98" s="27"/>
      <c r="AD98" s="26"/>
      <c r="AE98" s="26"/>
      <c r="AF98" s="25">
        <f t="shared" si="13"/>
        <v>-1085.5035714285714</v>
      </c>
      <c r="AG98" s="28">
        <f t="shared" si="14"/>
        <v>-3.5714285713766003E-3</v>
      </c>
    </row>
    <row r="99" spans="1:33" s="29" customFormat="1" ht="24.75" hidden="1" customHeight="1" x14ac:dyDescent="0.2">
      <c r="A99" s="69">
        <v>43669</v>
      </c>
      <c r="B99" s="19"/>
      <c r="C99" s="20" t="s">
        <v>45</v>
      </c>
      <c r="D99" s="20" t="s">
        <v>46</v>
      </c>
      <c r="E99" s="20" t="s">
        <v>47</v>
      </c>
      <c r="F99" s="21">
        <v>185599</v>
      </c>
      <c r="G99" s="22" t="s">
        <v>767</v>
      </c>
      <c r="H99" s="70"/>
      <c r="I99" s="70"/>
      <c r="J99" s="70">
        <v>261.2</v>
      </c>
      <c r="K99" s="70"/>
      <c r="L99" s="24"/>
      <c r="M99" s="25">
        <f t="shared" si="10"/>
        <v>261.2</v>
      </c>
      <c r="N99" s="25">
        <f t="shared" si="11"/>
        <v>0</v>
      </c>
      <c r="O99" s="25">
        <f t="shared" si="12"/>
        <v>0</v>
      </c>
      <c r="P99" s="25">
        <v>261.2</v>
      </c>
      <c r="Q99" s="26"/>
      <c r="R99" s="26"/>
      <c r="S99" s="27"/>
      <c r="T99" s="27"/>
      <c r="U99" s="27"/>
      <c r="V99" s="27"/>
      <c r="W99" s="27"/>
      <c r="X99" s="26"/>
      <c r="Y99" s="26"/>
      <c r="Z99" s="26"/>
      <c r="AA99" s="26"/>
      <c r="AB99" s="27"/>
      <c r="AC99" s="27"/>
      <c r="AD99" s="26"/>
      <c r="AE99" s="26"/>
      <c r="AF99" s="25">
        <f t="shared" si="13"/>
        <v>-261.2</v>
      </c>
      <c r="AG99" s="28">
        <f t="shared" si="14"/>
        <v>0</v>
      </c>
    </row>
    <row r="100" spans="1:33" s="29" customFormat="1" ht="24.75" hidden="1" customHeight="1" x14ac:dyDescent="0.2">
      <c r="A100" s="69">
        <v>43670</v>
      </c>
      <c r="B100" s="19"/>
      <c r="C100" s="20" t="s">
        <v>37</v>
      </c>
      <c r="D100" s="20" t="s">
        <v>38</v>
      </c>
      <c r="E100" s="20" t="s">
        <v>39</v>
      </c>
      <c r="F100" s="21">
        <v>36529</v>
      </c>
      <c r="G100" s="22" t="s">
        <v>140</v>
      </c>
      <c r="H100" s="70"/>
      <c r="I100" s="70"/>
      <c r="J100" s="70"/>
      <c r="K100" s="70">
        <v>350</v>
      </c>
      <c r="L100" s="24"/>
      <c r="M100" s="25">
        <f t="shared" si="10"/>
        <v>312.49999999999994</v>
      </c>
      <c r="N100" s="25">
        <f t="shared" si="11"/>
        <v>37.499999999999993</v>
      </c>
      <c r="O100" s="25">
        <f t="shared" si="12"/>
        <v>0</v>
      </c>
      <c r="P100" s="25"/>
      <c r="Q100" s="26">
        <v>312.5</v>
      </c>
      <c r="R100" s="26"/>
      <c r="S100" s="27"/>
      <c r="T100" s="27"/>
      <c r="U100" s="27"/>
      <c r="V100" s="27"/>
      <c r="W100" s="27"/>
      <c r="X100" s="26"/>
      <c r="Y100" s="26"/>
      <c r="Z100" s="26"/>
      <c r="AA100" s="26"/>
      <c r="AB100" s="27"/>
      <c r="AC100" s="27"/>
      <c r="AD100" s="26"/>
      <c r="AE100" s="26"/>
      <c r="AF100" s="25">
        <f t="shared" si="13"/>
        <v>-350</v>
      </c>
      <c r="AG100" s="28">
        <f t="shared" si="14"/>
        <v>0</v>
      </c>
    </row>
    <row r="101" spans="1:33" s="29" customFormat="1" ht="24.75" hidden="1" customHeight="1" x14ac:dyDescent="0.2">
      <c r="A101" s="69">
        <v>43670</v>
      </c>
      <c r="B101" s="19"/>
      <c r="C101" s="20" t="s">
        <v>62</v>
      </c>
      <c r="D101" s="20"/>
      <c r="E101" s="20"/>
      <c r="F101" s="21"/>
      <c r="G101" s="22" t="s">
        <v>63</v>
      </c>
      <c r="H101" s="70">
        <v>40</v>
      </c>
      <c r="I101" s="70"/>
      <c r="J101" s="70"/>
      <c r="K101" s="70"/>
      <c r="L101" s="24"/>
      <c r="M101" s="25">
        <f t="shared" ref="M101:M132" si="15">SUM(H101:J101,K101/1.12)</f>
        <v>40</v>
      </c>
      <c r="N101" s="25">
        <f t="shared" ref="N101:N132" si="16">K101/1.12*0.12</f>
        <v>0</v>
      </c>
      <c r="O101" s="25">
        <f t="shared" ref="O101:O132" si="17">-SUM(I101:J101,K101/1.12)*L101</f>
        <v>0</v>
      </c>
      <c r="P101" s="25"/>
      <c r="Q101" s="26"/>
      <c r="R101" s="26"/>
      <c r="S101" s="27"/>
      <c r="T101" s="27"/>
      <c r="U101" s="27"/>
      <c r="V101" s="27"/>
      <c r="W101" s="27"/>
      <c r="X101" s="26"/>
      <c r="Y101" s="26"/>
      <c r="Z101" s="26"/>
      <c r="AA101" s="26">
        <v>40</v>
      </c>
      <c r="AB101" s="27"/>
      <c r="AC101" s="27"/>
      <c r="AD101" s="26"/>
      <c r="AE101" s="26"/>
      <c r="AF101" s="25">
        <f t="shared" ref="AF101:AF132" si="18">-SUM(N101:AE101)</f>
        <v>-40</v>
      </c>
      <c r="AG101" s="28">
        <f t="shared" ref="AG101:AG132" si="19">SUM(H101:K101)+AF101+O101</f>
        <v>0</v>
      </c>
    </row>
    <row r="102" spans="1:33" s="29" customFormat="1" ht="24.75" hidden="1" customHeight="1" x14ac:dyDescent="0.2">
      <c r="A102" s="69">
        <v>43670</v>
      </c>
      <c r="B102" s="19"/>
      <c r="C102" s="20" t="s">
        <v>60</v>
      </c>
      <c r="D102" s="20"/>
      <c r="E102" s="20"/>
      <c r="F102" s="21"/>
      <c r="G102" s="22" t="s">
        <v>61</v>
      </c>
      <c r="H102" s="70"/>
      <c r="I102" s="70"/>
      <c r="J102" s="70">
        <v>1150</v>
      </c>
      <c r="K102" s="70"/>
      <c r="L102" s="24"/>
      <c r="M102" s="25">
        <f t="shared" si="15"/>
        <v>1150</v>
      </c>
      <c r="N102" s="25">
        <f t="shared" si="16"/>
        <v>0</v>
      </c>
      <c r="O102" s="25">
        <f t="shared" si="17"/>
        <v>0</v>
      </c>
      <c r="P102" s="25">
        <v>1150</v>
      </c>
      <c r="Q102" s="26"/>
      <c r="R102" s="26"/>
      <c r="S102" s="27"/>
      <c r="T102" s="27"/>
      <c r="U102" s="27"/>
      <c r="V102" s="27"/>
      <c r="W102" s="27"/>
      <c r="X102" s="26"/>
      <c r="Y102" s="26"/>
      <c r="Z102" s="26"/>
      <c r="AA102" s="26"/>
      <c r="AB102" s="27"/>
      <c r="AC102" s="27"/>
      <c r="AD102" s="26"/>
      <c r="AE102" s="26"/>
      <c r="AF102" s="25">
        <f t="shared" si="18"/>
        <v>-1150</v>
      </c>
      <c r="AG102" s="28">
        <f t="shared" si="19"/>
        <v>0</v>
      </c>
    </row>
    <row r="103" spans="1:33" s="29" customFormat="1" ht="24.75" hidden="1" customHeight="1" x14ac:dyDescent="0.2">
      <c r="A103" s="69">
        <v>43670</v>
      </c>
      <c r="B103" s="19"/>
      <c r="C103" s="20" t="s">
        <v>41</v>
      </c>
      <c r="D103" s="20" t="s">
        <v>42</v>
      </c>
      <c r="E103" s="20" t="s">
        <v>43</v>
      </c>
      <c r="F103" s="21">
        <v>179719</v>
      </c>
      <c r="G103" s="22" t="s">
        <v>44</v>
      </c>
      <c r="H103" s="70"/>
      <c r="I103" s="70"/>
      <c r="J103" s="70"/>
      <c r="K103" s="70">
        <v>180</v>
      </c>
      <c r="L103" s="24"/>
      <c r="M103" s="25">
        <f t="shared" si="15"/>
        <v>160.71428571428569</v>
      </c>
      <c r="N103" s="25">
        <f t="shared" si="16"/>
        <v>19.285714285714281</v>
      </c>
      <c r="O103" s="25">
        <f t="shared" si="17"/>
        <v>0</v>
      </c>
      <c r="P103" s="25"/>
      <c r="Q103" s="26">
        <v>160.71</v>
      </c>
      <c r="R103" s="26"/>
      <c r="S103" s="27"/>
      <c r="T103" s="27"/>
      <c r="U103" s="27"/>
      <c r="V103" s="27"/>
      <c r="W103" s="27"/>
      <c r="X103" s="26"/>
      <c r="Y103" s="26"/>
      <c r="Z103" s="26"/>
      <c r="AA103" s="26"/>
      <c r="AB103" s="27"/>
      <c r="AC103" s="27"/>
      <c r="AD103" s="26"/>
      <c r="AE103" s="26"/>
      <c r="AF103" s="25">
        <f t="shared" si="18"/>
        <v>-179.99571428571429</v>
      </c>
      <c r="AG103" s="28">
        <f t="shared" si="19"/>
        <v>4.2857142857144481E-3</v>
      </c>
    </row>
    <row r="104" spans="1:33" s="29" customFormat="1" ht="24.75" hidden="1" customHeight="1" x14ac:dyDescent="0.2">
      <c r="A104" s="69">
        <v>43670</v>
      </c>
      <c r="B104" s="19"/>
      <c r="C104" s="20" t="s">
        <v>54</v>
      </c>
      <c r="D104" s="20" t="s">
        <v>55</v>
      </c>
      <c r="E104" s="20" t="s">
        <v>56</v>
      </c>
      <c r="F104" s="21">
        <v>3275</v>
      </c>
      <c r="G104" s="22" t="s">
        <v>768</v>
      </c>
      <c r="H104" s="70"/>
      <c r="I104" s="70"/>
      <c r="J104" s="70">
        <v>900</v>
      </c>
      <c r="K104" s="70"/>
      <c r="L104" s="24"/>
      <c r="M104" s="25">
        <f t="shared" si="15"/>
        <v>900</v>
      </c>
      <c r="N104" s="25">
        <f t="shared" si="16"/>
        <v>0</v>
      </c>
      <c r="O104" s="25">
        <f t="shared" si="17"/>
        <v>0</v>
      </c>
      <c r="P104" s="25">
        <v>900</v>
      </c>
      <c r="Q104" s="26"/>
      <c r="R104" s="26"/>
      <c r="S104" s="27"/>
      <c r="T104" s="27"/>
      <c r="U104" s="27"/>
      <c r="V104" s="27"/>
      <c r="W104" s="27"/>
      <c r="X104" s="26"/>
      <c r="Y104" s="26"/>
      <c r="Z104" s="26"/>
      <c r="AA104" s="26"/>
      <c r="AB104" s="27"/>
      <c r="AC104" s="27"/>
      <c r="AD104" s="26"/>
      <c r="AE104" s="26"/>
      <c r="AF104" s="25">
        <f t="shared" si="18"/>
        <v>-900</v>
      </c>
      <c r="AG104" s="28">
        <f t="shared" si="19"/>
        <v>0</v>
      </c>
    </row>
    <row r="105" spans="1:33" s="29" customFormat="1" ht="23.25" hidden="1" customHeight="1" x14ac:dyDescent="0.2">
      <c r="A105" s="69">
        <v>43670</v>
      </c>
      <c r="B105" s="19"/>
      <c r="C105" s="20" t="s">
        <v>58</v>
      </c>
      <c r="D105" s="20"/>
      <c r="E105" s="20"/>
      <c r="F105" s="21"/>
      <c r="G105" s="22" t="s">
        <v>769</v>
      </c>
      <c r="H105" s="70">
        <v>50</v>
      </c>
      <c r="I105" s="70"/>
      <c r="J105" s="70"/>
      <c r="K105" s="70"/>
      <c r="L105" s="24"/>
      <c r="M105" s="25">
        <f t="shared" si="15"/>
        <v>50</v>
      </c>
      <c r="N105" s="25">
        <f t="shared" si="16"/>
        <v>0</v>
      </c>
      <c r="O105" s="25">
        <f t="shared" si="17"/>
        <v>0</v>
      </c>
      <c r="P105" s="25"/>
      <c r="Q105" s="26"/>
      <c r="R105" s="26"/>
      <c r="S105" s="27"/>
      <c r="T105" s="27"/>
      <c r="U105" s="27"/>
      <c r="V105" s="27"/>
      <c r="W105" s="27"/>
      <c r="X105" s="26"/>
      <c r="Y105" s="26"/>
      <c r="Z105" s="26"/>
      <c r="AA105" s="26">
        <v>50</v>
      </c>
      <c r="AB105" s="27"/>
      <c r="AC105" s="27"/>
      <c r="AD105" s="26"/>
      <c r="AE105" s="26"/>
      <c r="AF105" s="25">
        <f t="shared" si="18"/>
        <v>-50</v>
      </c>
      <c r="AG105" s="28">
        <f t="shared" si="19"/>
        <v>0</v>
      </c>
    </row>
    <row r="106" spans="1:33" s="29" customFormat="1" ht="24.75" hidden="1" customHeight="1" x14ac:dyDescent="0.2">
      <c r="A106" s="69">
        <v>43670</v>
      </c>
      <c r="B106" s="19"/>
      <c r="C106" s="20" t="s">
        <v>770</v>
      </c>
      <c r="D106" s="20" t="s">
        <v>771</v>
      </c>
      <c r="E106" s="20" t="s">
        <v>47</v>
      </c>
      <c r="F106" s="21">
        <v>2652</v>
      </c>
      <c r="G106" s="22" t="s">
        <v>183</v>
      </c>
      <c r="H106" s="70"/>
      <c r="I106" s="70"/>
      <c r="J106" s="70"/>
      <c r="K106" s="70">
        <v>390</v>
      </c>
      <c r="L106" s="24"/>
      <c r="M106" s="25">
        <f t="shared" si="15"/>
        <v>348.21428571428567</v>
      </c>
      <c r="N106" s="25">
        <f t="shared" si="16"/>
        <v>41.785714285714278</v>
      </c>
      <c r="O106" s="25">
        <f t="shared" si="17"/>
        <v>0</v>
      </c>
      <c r="P106" s="25">
        <v>348.21</v>
      </c>
      <c r="Q106" s="26"/>
      <c r="R106" s="26"/>
      <c r="S106" s="27"/>
      <c r="T106" s="27"/>
      <c r="U106" s="27"/>
      <c r="V106" s="27"/>
      <c r="W106" s="27"/>
      <c r="X106" s="26"/>
      <c r="Y106" s="26"/>
      <c r="Z106" s="26"/>
      <c r="AA106" s="26"/>
      <c r="AB106" s="27"/>
      <c r="AC106" s="27"/>
      <c r="AD106" s="26"/>
      <c r="AE106" s="26"/>
      <c r="AF106" s="25">
        <f t="shared" si="18"/>
        <v>-389.99571428571426</v>
      </c>
      <c r="AG106" s="28">
        <f t="shared" si="19"/>
        <v>4.2857142857428698E-3</v>
      </c>
    </row>
    <row r="107" spans="1:33" s="29" customFormat="1" ht="24.75" hidden="1" customHeight="1" x14ac:dyDescent="0.2">
      <c r="A107" s="69">
        <v>43670</v>
      </c>
      <c r="B107" s="19"/>
      <c r="C107" s="20" t="s">
        <v>772</v>
      </c>
      <c r="D107" s="20" t="s">
        <v>773</v>
      </c>
      <c r="E107" s="20" t="s">
        <v>47</v>
      </c>
      <c r="F107" s="21">
        <v>527913</v>
      </c>
      <c r="G107" s="22" t="s">
        <v>774</v>
      </c>
      <c r="H107" s="70"/>
      <c r="I107" s="70"/>
      <c r="J107" s="70"/>
      <c r="K107" s="70">
        <v>669</v>
      </c>
      <c r="L107" s="24"/>
      <c r="M107" s="25">
        <f t="shared" si="15"/>
        <v>597.32142857142856</v>
      </c>
      <c r="N107" s="25">
        <f t="shared" si="16"/>
        <v>71.678571428571431</v>
      </c>
      <c r="O107" s="25">
        <f t="shared" si="17"/>
        <v>0</v>
      </c>
      <c r="P107" s="25"/>
      <c r="Q107" s="26"/>
      <c r="R107" s="26"/>
      <c r="S107" s="27"/>
      <c r="T107" s="27"/>
      <c r="U107" s="27"/>
      <c r="V107" s="27"/>
      <c r="W107" s="27"/>
      <c r="X107" s="26">
        <v>597.32000000000005</v>
      </c>
      <c r="Y107" s="26"/>
      <c r="Z107" s="26"/>
      <c r="AA107" s="26"/>
      <c r="AB107" s="27"/>
      <c r="AC107" s="27"/>
      <c r="AD107" s="26"/>
      <c r="AE107" s="26"/>
      <c r="AF107" s="25">
        <f t="shared" si="18"/>
        <v>-668.99857142857149</v>
      </c>
      <c r="AG107" s="28">
        <f t="shared" si="19"/>
        <v>1.4285714285051654E-3</v>
      </c>
    </row>
    <row r="108" spans="1:33" s="29" customFormat="1" ht="24.75" hidden="1" customHeight="1" x14ac:dyDescent="0.2">
      <c r="A108" s="69">
        <v>43671</v>
      </c>
      <c r="B108" s="19"/>
      <c r="C108" s="20" t="s">
        <v>41</v>
      </c>
      <c r="D108" s="20" t="s">
        <v>42</v>
      </c>
      <c r="E108" s="20" t="s">
        <v>43</v>
      </c>
      <c r="F108" s="21">
        <v>179766</v>
      </c>
      <c r="G108" s="22" t="s">
        <v>44</v>
      </c>
      <c r="H108" s="70"/>
      <c r="I108" s="70"/>
      <c r="J108" s="70"/>
      <c r="K108" s="70">
        <v>180</v>
      </c>
      <c r="L108" s="24"/>
      <c r="M108" s="25">
        <f t="shared" si="15"/>
        <v>160.71428571428569</v>
      </c>
      <c r="N108" s="25">
        <f t="shared" si="16"/>
        <v>19.285714285714281</v>
      </c>
      <c r="O108" s="25">
        <f t="shared" si="17"/>
        <v>0</v>
      </c>
      <c r="P108" s="25"/>
      <c r="Q108" s="26">
        <v>160.71</v>
      </c>
      <c r="R108" s="26"/>
      <c r="S108" s="27"/>
      <c r="T108" s="27"/>
      <c r="U108" s="27"/>
      <c r="V108" s="27"/>
      <c r="W108" s="27"/>
      <c r="X108" s="26"/>
      <c r="Y108" s="26"/>
      <c r="Z108" s="26"/>
      <c r="AA108" s="26"/>
      <c r="AB108" s="27"/>
      <c r="AC108" s="27"/>
      <c r="AD108" s="26"/>
      <c r="AE108" s="26"/>
      <c r="AF108" s="25">
        <f t="shared" si="18"/>
        <v>-179.99571428571429</v>
      </c>
      <c r="AG108" s="28">
        <f t="shared" si="19"/>
        <v>4.2857142857144481E-3</v>
      </c>
    </row>
    <row r="109" spans="1:33" s="29" customFormat="1" ht="24.75" hidden="1" customHeight="1" x14ac:dyDescent="0.2">
      <c r="A109" s="69">
        <v>43671</v>
      </c>
      <c r="B109" s="19"/>
      <c r="C109" s="20" t="s">
        <v>45</v>
      </c>
      <c r="D109" s="20" t="s">
        <v>46</v>
      </c>
      <c r="E109" s="20" t="s">
        <v>47</v>
      </c>
      <c r="F109" s="21">
        <v>180899</v>
      </c>
      <c r="G109" s="22" t="s">
        <v>775</v>
      </c>
      <c r="H109" s="70"/>
      <c r="I109" s="70"/>
      <c r="J109" s="70"/>
      <c r="K109" s="70">
        <f>669.2+80.3</f>
        <v>749.5</v>
      </c>
      <c r="L109" s="24"/>
      <c r="M109" s="25">
        <f t="shared" si="15"/>
        <v>669.19642857142856</v>
      </c>
      <c r="N109" s="25">
        <f t="shared" si="16"/>
        <v>80.303571428571431</v>
      </c>
      <c r="O109" s="25">
        <f t="shared" si="17"/>
        <v>0</v>
      </c>
      <c r="P109" s="25">
        <v>669.2</v>
      </c>
      <c r="Q109" s="26"/>
      <c r="R109" s="26"/>
      <c r="S109" s="27"/>
      <c r="T109" s="27"/>
      <c r="U109" s="27"/>
      <c r="V109" s="27"/>
      <c r="W109" s="27"/>
      <c r="X109" s="26"/>
      <c r="Y109" s="26"/>
      <c r="Z109" s="26"/>
      <c r="AA109" s="26"/>
      <c r="AB109" s="27"/>
      <c r="AC109" s="27"/>
      <c r="AD109" s="26"/>
      <c r="AE109" s="26"/>
      <c r="AF109" s="25">
        <f t="shared" si="18"/>
        <v>-749.50357142857149</v>
      </c>
      <c r="AG109" s="28">
        <f t="shared" si="19"/>
        <v>-3.5714285714902871E-3</v>
      </c>
    </row>
    <row r="110" spans="1:33" s="29" customFormat="1" ht="24.75" hidden="1" customHeight="1" x14ac:dyDescent="0.2">
      <c r="A110" s="69">
        <v>43671</v>
      </c>
      <c r="B110" s="19"/>
      <c r="C110" s="20" t="s">
        <v>776</v>
      </c>
      <c r="D110" s="20" t="s">
        <v>636</v>
      </c>
      <c r="E110" s="20" t="s">
        <v>47</v>
      </c>
      <c r="F110" s="21">
        <v>93529</v>
      </c>
      <c r="G110" s="22" t="s">
        <v>777</v>
      </c>
      <c r="H110" s="70"/>
      <c r="I110" s="70"/>
      <c r="J110" s="70"/>
      <c r="K110" s="70">
        <v>47</v>
      </c>
      <c r="L110" s="24"/>
      <c r="M110" s="25">
        <f t="shared" si="15"/>
        <v>41.964285714285708</v>
      </c>
      <c r="N110" s="25">
        <f t="shared" si="16"/>
        <v>5.0357142857142847</v>
      </c>
      <c r="O110" s="25">
        <f t="shared" si="17"/>
        <v>0</v>
      </c>
      <c r="P110" s="25"/>
      <c r="Q110" s="26"/>
      <c r="R110" s="26"/>
      <c r="S110" s="27">
        <v>41.96</v>
      </c>
      <c r="T110" s="27"/>
      <c r="U110" s="27"/>
      <c r="V110" s="27"/>
      <c r="W110" s="27"/>
      <c r="X110" s="26"/>
      <c r="Y110" s="26"/>
      <c r="Z110" s="26"/>
      <c r="AA110" s="26"/>
      <c r="AB110" s="27"/>
      <c r="AC110" s="27"/>
      <c r="AD110" s="26"/>
      <c r="AE110" s="26"/>
      <c r="AF110" s="25">
        <f t="shared" si="18"/>
        <v>-46.995714285714286</v>
      </c>
      <c r="AG110" s="28">
        <f t="shared" si="19"/>
        <v>4.2857142857144481E-3</v>
      </c>
    </row>
    <row r="111" spans="1:33" s="29" customFormat="1" ht="24.75" hidden="1" customHeight="1" x14ac:dyDescent="0.2">
      <c r="A111" s="69">
        <v>43671</v>
      </c>
      <c r="B111" s="19"/>
      <c r="C111" s="20" t="s">
        <v>58</v>
      </c>
      <c r="D111" s="20"/>
      <c r="E111" s="20"/>
      <c r="F111" s="21"/>
      <c r="G111" s="22" t="s">
        <v>769</v>
      </c>
      <c r="H111" s="70">
        <v>100</v>
      </c>
      <c r="I111" s="70"/>
      <c r="J111" s="70"/>
      <c r="K111" s="70"/>
      <c r="L111" s="24"/>
      <c r="M111" s="25">
        <f t="shared" si="15"/>
        <v>100</v>
      </c>
      <c r="N111" s="25">
        <f t="shared" si="16"/>
        <v>0</v>
      </c>
      <c r="O111" s="25">
        <f t="shared" si="17"/>
        <v>0</v>
      </c>
      <c r="P111" s="25"/>
      <c r="Q111" s="26"/>
      <c r="R111" s="26"/>
      <c r="S111" s="27"/>
      <c r="T111" s="27"/>
      <c r="U111" s="27"/>
      <c r="V111" s="27"/>
      <c r="W111" s="27"/>
      <c r="X111" s="26"/>
      <c r="Y111" s="26"/>
      <c r="Z111" s="26"/>
      <c r="AA111" s="26">
        <v>100</v>
      </c>
      <c r="AB111" s="27"/>
      <c r="AC111" s="27"/>
      <c r="AD111" s="26"/>
      <c r="AE111" s="26"/>
      <c r="AF111" s="25">
        <f t="shared" si="18"/>
        <v>-100</v>
      </c>
      <c r="AG111" s="28">
        <f t="shared" si="19"/>
        <v>0</v>
      </c>
    </row>
    <row r="112" spans="1:33" s="29" customFormat="1" ht="24.75" hidden="1" customHeight="1" x14ac:dyDescent="0.2">
      <c r="A112" s="69">
        <v>43671</v>
      </c>
      <c r="B112" s="19"/>
      <c r="C112" s="20" t="s">
        <v>308</v>
      </c>
      <c r="D112" s="20" t="s">
        <v>309</v>
      </c>
      <c r="E112" s="20" t="s">
        <v>56</v>
      </c>
      <c r="F112" s="21">
        <v>115584</v>
      </c>
      <c r="G112" s="22" t="s">
        <v>762</v>
      </c>
      <c r="H112" s="70"/>
      <c r="I112" s="70"/>
      <c r="J112" s="70">
        <v>380</v>
      </c>
      <c r="K112" s="70"/>
      <c r="L112" s="24"/>
      <c r="M112" s="25">
        <f t="shared" si="15"/>
        <v>380</v>
      </c>
      <c r="N112" s="25">
        <f t="shared" si="16"/>
        <v>0</v>
      </c>
      <c r="O112" s="25">
        <f t="shared" si="17"/>
        <v>0</v>
      </c>
      <c r="P112" s="25">
        <v>380</v>
      </c>
      <c r="Q112" s="26"/>
      <c r="R112" s="26"/>
      <c r="S112" s="27"/>
      <c r="T112" s="27"/>
      <c r="U112" s="27"/>
      <c r="V112" s="27"/>
      <c r="W112" s="27"/>
      <c r="X112" s="26"/>
      <c r="Y112" s="26"/>
      <c r="Z112" s="26"/>
      <c r="AA112" s="26"/>
      <c r="AB112" s="27"/>
      <c r="AC112" s="27"/>
      <c r="AD112" s="26"/>
      <c r="AE112" s="26"/>
      <c r="AF112" s="25">
        <f t="shared" si="18"/>
        <v>-380</v>
      </c>
      <c r="AG112" s="28">
        <f t="shared" si="19"/>
        <v>0</v>
      </c>
    </row>
    <row r="113" spans="1:33" s="29" customFormat="1" ht="24.75" customHeight="1" x14ac:dyDescent="0.2">
      <c r="A113" s="69">
        <v>43671</v>
      </c>
      <c r="B113" s="19"/>
      <c r="C113" s="20" t="s">
        <v>80</v>
      </c>
      <c r="D113" s="20" t="s">
        <v>181</v>
      </c>
      <c r="E113" s="20" t="s">
        <v>649</v>
      </c>
      <c r="F113" s="21">
        <v>1953</v>
      </c>
      <c r="G113" s="22" t="s">
        <v>183</v>
      </c>
      <c r="H113" s="70"/>
      <c r="I113" s="70"/>
      <c r="J113" s="70"/>
      <c r="K113" s="70">
        <v>390</v>
      </c>
      <c r="L113" s="24">
        <v>0.01</v>
      </c>
      <c r="M113" s="25">
        <f t="shared" si="15"/>
        <v>348.21428571428567</v>
      </c>
      <c r="N113" s="25">
        <f t="shared" si="16"/>
        <v>41.785714285714278</v>
      </c>
      <c r="O113" s="25">
        <f t="shared" si="17"/>
        <v>-3.4821428571428568</v>
      </c>
      <c r="P113" s="25" t="s">
        <v>778</v>
      </c>
      <c r="Q113" s="26"/>
      <c r="R113" s="26"/>
      <c r="S113" s="27"/>
      <c r="T113" s="27"/>
      <c r="U113" s="27"/>
      <c r="V113" s="27"/>
      <c r="W113" s="27"/>
      <c r="X113" s="26"/>
      <c r="Y113" s="26"/>
      <c r="Z113" s="26"/>
      <c r="AA113" s="26"/>
      <c r="AB113" s="27"/>
      <c r="AC113" s="27"/>
      <c r="AD113" s="26"/>
      <c r="AE113" s="26"/>
      <c r="AF113" s="25">
        <f t="shared" si="18"/>
        <v>-38.303571428571423</v>
      </c>
      <c r="AG113" s="28">
        <f t="shared" si="19"/>
        <v>348.21428571428572</v>
      </c>
    </row>
    <row r="114" spans="1:33" s="29" customFormat="1" ht="24.75" customHeight="1" x14ac:dyDescent="0.2">
      <c r="A114" s="69">
        <v>43671</v>
      </c>
      <c r="B114" s="19"/>
      <c r="C114" s="20" t="s">
        <v>80</v>
      </c>
      <c r="D114" s="20" t="s">
        <v>181</v>
      </c>
      <c r="E114" s="20" t="s">
        <v>649</v>
      </c>
      <c r="F114" s="21">
        <v>1952</v>
      </c>
      <c r="G114" s="22" t="s">
        <v>779</v>
      </c>
      <c r="H114" s="70"/>
      <c r="I114" s="70"/>
      <c r="J114" s="70"/>
      <c r="K114" s="70">
        <v>2000</v>
      </c>
      <c r="L114" s="24">
        <v>0.01</v>
      </c>
      <c r="M114" s="25">
        <f t="shared" si="15"/>
        <v>1785.7142857142856</v>
      </c>
      <c r="N114" s="25">
        <f t="shared" si="16"/>
        <v>214.28571428571425</v>
      </c>
      <c r="O114" s="25">
        <f t="shared" si="17"/>
        <v>-17.857142857142858</v>
      </c>
      <c r="P114" s="25">
        <v>1785.71</v>
      </c>
      <c r="Q114" s="26"/>
      <c r="R114" s="26"/>
      <c r="S114" s="27"/>
      <c r="T114" s="27"/>
      <c r="U114" s="27"/>
      <c r="V114" s="27"/>
      <c r="W114" s="27"/>
      <c r="X114" s="26"/>
      <c r="Y114" s="26"/>
      <c r="Z114" s="26"/>
      <c r="AA114" s="26"/>
      <c r="AB114" s="27"/>
      <c r="AC114" s="27"/>
      <c r="AD114" s="26"/>
      <c r="AE114" s="26"/>
      <c r="AF114" s="25">
        <f t="shared" si="18"/>
        <v>-1982.1385714285714</v>
      </c>
      <c r="AG114" s="28">
        <f t="shared" si="19"/>
        <v>4.2857142857748443E-3</v>
      </c>
    </row>
    <row r="115" spans="1:33" s="41" customFormat="1" ht="24.75" customHeight="1" x14ac:dyDescent="0.2">
      <c r="A115" s="71">
        <v>43671</v>
      </c>
      <c r="B115" s="31"/>
      <c r="C115" s="32" t="s">
        <v>80</v>
      </c>
      <c r="D115" s="32" t="s">
        <v>181</v>
      </c>
      <c r="E115" s="32" t="s">
        <v>649</v>
      </c>
      <c r="F115" s="33">
        <v>1954</v>
      </c>
      <c r="G115" s="34" t="s">
        <v>780</v>
      </c>
      <c r="H115" s="72"/>
      <c r="I115" s="72"/>
      <c r="J115" s="72"/>
      <c r="K115" s="72">
        <v>1444</v>
      </c>
      <c r="L115" s="36">
        <v>0.01</v>
      </c>
      <c r="M115" s="37">
        <f t="shared" si="15"/>
        <v>1289.2857142857142</v>
      </c>
      <c r="N115" s="37">
        <f t="shared" si="16"/>
        <v>154.71428571428569</v>
      </c>
      <c r="O115" s="37">
        <f t="shared" si="17"/>
        <v>-12.892857142857142</v>
      </c>
      <c r="P115" s="37">
        <v>1289.29</v>
      </c>
      <c r="Q115" s="38"/>
      <c r="R115" s="38"/>
      <c r="S115" s="39"/>
      <c r="T115" s="39"/>
      <c r="U115" s="39"/>
      <c r="V115" s="39"/>
      <c r="W115" s="39"/>
      <c r="X115" s="38"/>
      <c r="Y115" s="38"/>
      <c r="Z115" s="38"/>
      <c r="AA115" s="38"/>
      <c r="AB115" s="39"/>
      <c r="AC115" s="39"/>
      <c r="AD115" s="38"/>
      <c r="AE115" s="38"/>
      <c r="AF115" s="37">
        <f t="shared" si="18"/>
        <v>-1431.1114285714284</v>
      </c>
      <c r="AG115" s="40">
        <f t="shared" si="19"/>
        <v>-4.2857142855474706E-3</v>
      </c>
    </row>
    <row r="116" spans="1:33" s="29" customFormat="1" ht="23.25" hidden="1" customHeight="1" x14ac:dyDescent="0.2">
      <c r="A116" s="69">
        <v>43671</v>
      </c>
      <c r="B116" s="19"/>
      <c r="C116" s="20" t="s">
        <v>37</v>
      </c>
      <c r="D116" s="20" t="s">
        <v>38</v>
      </c>
      <c r="E116" s="20" t="s">
        <v>39</v>
      </c>
      <c r="F116" s="21">
        <v>36534</v>
      </c>
      <c r="G116" s="62" t="s">
        <v>781</v>
      </c>
      <c r="H116" s="70"/>
      <c r="I116" s="70"/>
      <c r="J116" s="70"/>
      <c r="K116" s="70">
        <v>417</v>
      </c>
      <c r="L116" s="24"/>
      <c r="M116" s="25">
        <f t="shared" si="15"/>
        <v>372.32142857142856</v>
      </c>
      <c r="N116" s="25">
        <f t="shared" si="16"/>
        <v>44.678571428571423</v>
      </c>
      <c r="O116" s="25">
        <f t="shared" si="17"/>
        <v>0</v>
      </c>
      <c r="P116" s="25">
        <v>372.32</v>
      </c>
      <c r="Q116" s="26"/>
      <c r="R116" s="26"/>
      <c r="S116" s="27"/>
      <c r="T116" s="27"/>
      <c r="U116" s="27"/>
      <c r="V116" s="27"/>
      <c r="W116" s="27"/>
      <c r="X116" s="26"/>
      <c r="Y116" s="26"/>
      <c r="Z116" s="26"/>
      <c r="AA116" s="26"/>
      <c r="AB116" s="27"/>
      <c r="AC116" s="27"/>
      <c r="AD116" s="26"/>
      <c r="AE116" s="26"/>
      <c r="AF116" s="25">
        <f t="shared" si="18"/>
        <v>-416.99857142857144</v>
      </c>
      <c r="AG116" s="28">
        <f t="shared" si="19"/>
        <v>1.4285714285620088E-3</v>
      </c>
    </row>
    <row r="117" spans="1:33" s="29" customFormat="1" ht="23.25" hidden="1" customHeight="1" x14ac:dyDescent="0.2">
      <c r="A117" s="69">
        <v>43671</v>
      </c>
      <c r="B117" s="19"/>
      <c r="C117" s="20" t="s">
        <v>157</v>
      </c>
      <c r="D117" s="20"/>
      <c r="E117" s="20"/>
      <c r="F117" s="21"/>
      <c r="G117" s="44" t="s">
        <v>782</v>
      </c>
      <c r="H117" s="70">
        <v>393</v>
      </c>
      <c r="I117" s="70"/>
      <c r="J117" s="70"/>
      <c r="K117" s="70"/>
      <c r="L117" s="24"/>
      <c r="M117" s="25">
        <f t="shared" si="15"/>
        <v>393</v>
      </c>
      <c r="N117" s="25">
        <f t="shared" si="16"/>
        <v>0</v>
      </c>
      <c r="O117" s="25">
        <f t="shared" si="17"/>
        <v>0</v>
      </c>
      <c r="P117" s="25"/>
      <c r="Q117" s="26"/>
      <c r="R117" s="26"/>
      <c r="S117" s="27"/>
      <c r="T117" s="27"/>
      <c r="U117" s="27"/>
      <c r="V117" s="27"/>
      <c r="W117" s="27"/>
      <c r="X117" s="26"/>
      <c r="Y117" s="26"/>
      <c r="Z117" s="26"/>
      <c r="AA117" s="26">
        <v>393</v>
      </c>
      <c r="AB117" s="27"/>
      <c r="AC117" s="27"/>
      <c r="AD117" s="26"/>
      <c r="AE117" s="26"/>
      <c r="AF117" s="25">
        <f t="shared" si="18"/>
        <v>-393</v>
      </c>
      <c r="AG117" s="28">
        <f t="shared" si="19"/>
        <v>0</v>
      </c>
    </row>
    <row r="118" spans="1:33" s="29" customFormat="1" ht="23.25" hidden="1" customHeight="1" x14ac:dyDescent="0.2">
      <c r="A118" s="69">
        <v>43671</v>
      </c>
      <c r="B118" s="19"/>
      <c r="C118" s="20" t="s">
        <v>45</v>
      </c>
      <c r="D118" s="20" t="s">
        <v>46</v>
      </c>
      <c r="E118" s="20" t="s">
        <v>47</v>
      </c>
      <c r="F118" s="21">
        <v>172144</v>
      </c>
      <c r="G118" s="44" t="s">
        <v>783</v>
      </c>
      <c r="H118" s="70"/>
      <c r="I118" s="70"/>
      <c r="J118" s="70"/>
      <c r="K118" s="70">
        <f>2046.16+245.54</f>
        <v>2291.7000000000003</v>
      </c>
      <c r="L118" s="24"/>
      <c r="M118" s="25">
        <f t="shared" si="15"/>
        <v>2046.1607142857144</v>
      </c>
      <c r="N118" s="25">
        <f t="shared" si="16"/>
        <v>245.53928571428571</v>
      </c>
      <c r="O118" s="25">
        <f t="shared" si="17"/>
        <v>0</v>
      </c>
      <c r="P118" s="25">
        <v>2046.16</v>
      </c>
      <c r="Q118" s="26"/>
      <c r="R118" s="26"/>
      <c r="S118" s="27"/>
      <c r="T118" s="27"/>
      <c r="U118" s="27"/>
      <c r="V118" s="27"/>
      <c r="W118" s="27"/>
      <c r="X118" s="26"/>
      <c r="Y118" s="26"/>
      <c r="Z118" s="26"/>
      <c r="AA118" s="26"/>
      <c r="AB118" s="27"/>
      <c r="AC118" s="27"/>
      <c r="AD118" s="26"/>
      <c r="AE118" s="26"/>
      <c r="AF118" s="25">
        <f t="shared" si="18"/>
        <v>-2291.6992857142859</v>
      </c>
      <c r="AG118" s="28">
        <f t="shared" si="19"/>
        <v>7.1428571436626953E-4</v>
      </c>
    </row>
    <row r="119" spans="1:33" s="29" customFormat="1" ht="23.25" hidden="1" customHeight="1" x14ac:dyDescent="0.2">
      <c r="A119" s="69">
        <v>43671</v>
      </c>
      <c r="B119" s="19"/>
      <c r="C119" s="20" t="s">
        <v>45</v>
      </c>
      <c r="D119" s="20" t="s">
        <v>46</v>
      </c>
      <c r="E119" s="20" t="s">
        <v>47</v>
      </c>
      <c r="F119" s="21">
        <v>172144</v>
      </c>
      <c r="G119" s="44" t="s">
        <v>426</v>
      </c>
      <c r="H119" s="70"/>
      <c r="I119" s="70"/>
      <c r="J119" s="70">
        <v>108.5</v>
      </c>
      <c r="K119" s="70"/>
      <c r="L119" s="24"/>
      <c r="M119" s="25">
        <f t="shared" si="15"/>
        <v>108.5</v>
      </c>
      <c r="N119" s="25">
        <f t="shared" si="16"/>
        <v>0</v>
      </c>
      <c r="O119" s="25">
        <f t="shared" si="17"/>
        <v>0</v>
      </c>
      <c r="P119" s="25">
        <v>108.5</v>
      </c>
      <c r="Q119" s="26"/>
      <c r="R119" s="26"/>
      <c r="S119" s="27"/>
      <c r="T119" s="27"/>
      <c r="U119" s="27"/>
      <c r="V119" s="27"/>
      <c r="W119" s="27"/>
      <c r="X119" s="26"/>
      <c r="Y119" s="26"/>
      <c r="Z119" s="26"/>
      <c r="AA119" s="26"/>
      <c r="AB119" s="27"/>
      <c r="AC119" s="27"/>
      <c r="AD119" s="26"/>
      <c r="AE119" s="26"/>
      <c r="AF119" s="25">
        <f t="shared" si="18"/>
        <v>-108.5</v>
      </c>
      <c r="AG119" s="28">
        <f t="shared" si="19"/>
        <v>0</v>
      </c>
    </row>
    <row r="120" spans="1:33" s="29" customFormat="1" ht="23.25" hidden="1" customHeight="1" x14ac:dyDescent="0.2">
      <c r="A120" s="69">
        <v>43672</v>
      </c>
      <c r="B120" s="19"/>
      <c r="C120" s="20" t="s">
        <v>37</v>
      </c>
      <c r="D120" s="20" t="s">
        <v>38</v>
      </c>
      <c r="E120" s="20" t="s">
        <v>39</v>
      </c>
      <c r="F120" s="21">
        <v>36543</v>
      </c>
      <c r="G120" s="44" t="s">
        <v>784</v>
      </c>
      <c r="H120" s="70"/>
      <c r="I120" s="70"/>
      <c r="J120" s="70"/>
      <c r="K120" s="70">
        <v>540</v>
      </c>
      <c r="L120" s="24"/>
      <c r="M120" s="25">
        <f t="shared" si="15"/>
        <v>482.14285714285711</v>
      </c>
      <c r="N120" s="25">
        <f t="shared" si="16"/>
        <v>57.857142857142854</v>
      </c>
      <c r="O120" s="25">
        <f t="shared" si="17"/>
        <v>0</v>
      </c>
      <c r="P120" s="25">
        <v>482.14</v>
      </c>
      <c r="Q120" s="26"/>
      <c r="R120" s="26"/>
      <c r="S120" s="27"/>
      <c r="T120" s="27"/>
      <c r="U120" s="27"/>
      <c r="V120" s="27"/>
      <c r="W120" s="27"/>
      <c r="X120" s="26"/>
      <c r="Y120" s="26"/>
      <c r="Z120" s="26"/>
      <c r="AA120" s="26"/>
      <c r="AB120" s="27"/>
      <c r="AC120" s="27"/>
      <c r="AD120" s="26"/>
      <c r="AE120" s="26"/>
      <c r="AF120" s="25">
        <f t="shared" si="18"/>
        <v>-539.99714285714288</v>
      </c>
      <c r="AG120" s="28">
        <f t="shared" si="19"/>
        <v>2.8571428571240176E-3</v>
      </c>
    </row>
    <row r="121" spans="1:33" s="29" customFormat="1" ht="23.25" hidden="1" customHeight="1" x14ac:dyDescent="0.2">
      <c r="A121" s="69">
        <v>43672</v>
      </c>
      <c r="B121" s="19"/>
      <c r="C121" s="20" t="s">
        <v>41</v>
      </c>
      <c r="D121" s="20" t="s">
        <v>42</v>
      </c>
      <c r="E121" s="20" t="s">
        <v>43</v>
      </c>
      <c r="F121" s="21">
        <v>179812</v>
      </c>
      <c r="G121" s="44" t="s">
        <v>44</v>
      </c>
      <c r="H121" s="70"/>
      <c r="I121" s="70"/>
      <c r="J121" s="70"/>
      <c r="K121" s="70">
        <v>180</v>
      </c>
      <c r="L121" s="24"/>
      <c r="M121" s="25">
        <f t="shared" si="15"/>
        <v>160.71428571428569</v>
      </c>
      <c r="N121" s="25">
        <f t="shared" si="16"/>
        <v>19.285714285714281</v>
      </c>
      <c r="O121" s="25">
        <f t="shared" si="17"/>
        <v>0</v>
      </c>
      <c r="P121" s="25"/>
      <c r="Q121" s="26">
        <v>160.71</v>
      </c>
      <c r="R121" s="26"/>
      <c r="S121" s="27"/>
      <c r="T121" s="27"/>
      <c r="U121" s="27"/>
      <c r="V121" s="27"/>
      <c r="W121" s="27"/>
      <c r="X121" s="26"/>
      <c r="Y121" s="26"/>
      <c r="Z121" s="26"/>
      <c r="AA121" s="26"/>
      <c r="AB121" s="27"/>
      <c r="AC121" s="27"/>
      <c r="AD121" s="26"/>
      <c r="AE121" s="26"/>
      <c r="AF121" s="25">
        <f t="shared" si="18"/>
        <v>-179.99571428571429</v>
      </c>
      <c r="AG121" s="28">
        <f t="shared" si="19"/>
        <v>4.2857142857144481E-3</v>
      </c>
    </row>
    <row r="122" spans="1:33" s="29" customFormat="1" ht="23.25" hidden="1" customHeight="1" x14ac:dyDescent="0.2">
      <c r="A122" s="69">
        <v>43672</v>
      </c>
      <c r="B122" s="19"/>
      <c r="C122" s="20" t="s">
        <v>37</v>
      </c>
      <c r="D122" s="20" t="s">
        <v>38</v>
      </c>
      <c r="E122" s="20" t="s">
        <v>39</v>
      </c>
      <c r="F122" s="21">
        <v>96734</v>
      </c>
      <c r="G122" s="44" t="s">
        <v>552</v>
      </c>
      <c r="H122" s="70"/>
      <c r="I122" s="70"/>
      <c r="J122" s="70"/>
      <c r="K122" s="70">
        <v>108.34</v>
      </c>
      <c r="L122" s="24"/>
      <c r="M122" s="25">
        <f t="shared" si="15"/>
        <v>96.732142857142847</v>
      </c>
      <c r="N122" s="25">
        <f t="shared" si="16"/>
        <v>11.60785714285714</v>
      </c>
      <c r="O122" s="25">
        <f t="shared" si="17"/>
        <v>0</v>
      </c>
      <c r="P122" s="25">
        <v>96.73</v>
      </c>
      <c r="Q122" s="26"/>
      <c r="R122" s="26"/>
      <c r="S122" s="27"/>
      <c r="T122" s="27"/>
      <c r="U122" s="27"/>
      <c r="V122" s="27"/>
      <c r="W122" s="27"/>
      <c r="X122" s="26"/>
      <c r="Y122" s="26"/>
      <c r="Z122" s="26"/>
      <c r="AA122" s="26"/>
      <c r="AB122" s="27"/>
      <c r="AC122" s="27"/>
      <c r="AD122" s="26"/>
      <c r="AE122" s="26"/>
      <c r="AF122" s="25">
        <f t="shared" si="18"/>
        <v>-108.33785714285715</v>
      </c>
      <c r="AG122" s="28">
        <f t="shared" si="19"/>
        <v>2.1428571428572241E-3</v>
      </c>
    </row>
    <row r="123" spans="1:33" s="29" customFormat="1" ht="23.25" hidden="1" customHeight="1" x14ac:dyDescent="0.2">
      <c r="A123" s="69">
        <v>43673</v>
      </c>
      <c r="B123" s="19"/>
      <c r="C123" s="20" t="s">
        <v>454</v>
      </c>
      <c r="D123" s="20" t="s">
        <v>455</v>
      </c>
      <c r="E123" s="20" t="s">
        <v>785</v>
      </c>
      <c r="F123" s="21">
        <v>1047</v>
      </c>
      <c r="G123" s="44" t="s">
        <v>44</v>
      </c>
      <c r="H123" s="70"/>
      <c r="I123" s="70"/>
      <c r="J123" s="70"/>
      <c r="K123" s="70">
        <v>40</v>
      </c>
      <c r="L123" s="24"/>
      <c r="M123" s="25">
        <f t="shared" si="15"/>
        <v>35.714285714285708</v>
      </c>
      <c r="N123" s="25">
        <f t="shared" si="16"/>
        <v>4.2857142857142847</v>
      </c>
      <c r="O123" s="25">
        <f t="shared" si="17"/>
        <v>0</v>
      </c>
      <c r="P123" s="25"/>
      <c r="Q123" s="26">
        <v>35.71</v>
      </c>
      <c r="R123" s="26"/>
      <c r="S123" s="27"/>
      <c r="T123" s="27"/>
      <c r="U123" s="27"/>
      <c r="V123" s="27"/>
      <c r="W123" s="27"/>
      <c r="X123" s="26"/>
      <c r="Y123" s="26"/>
      <c r="Z123" s="26"/>
      <c r="AA123" s="26"/>
      <c r="AB123" s="27"/>
      <c r="AC123" s="27"/>
      <c r="AD123" s="26"/>
      <c r="AE123" s="26"/>
      <c r="AF123" s="25">
        <f t="shared" si="18"/>
        <v>-39.995714285714286</v>
      </c>
      <c r="AG123" s="28">
        <f t="shared" si="19"/>
        <v>4.2857142857144481E-3</v>
      </c>
    </row>
    <row r="124" spans="1:33" s="29" customFormat="1" ht="23.25" hidden="1" customHeight="1" x14ac:dyDescent="0.2">
      <c r="A124" s="69">
        <v>43673</v>
      </c>
      <c r="B124" s="19"/>
      <c r="C124" s="20" t="s">
        <v>37</v>
      </c>
      <c r="D124" s="20" t="s">
        <v>38</v>
      </c>
      <c r="E124" s="20" t="s">
        <v>39</v>
      </c>
      <c r="F124" s="21">
        <v>36609</v>
      </c>
      <c r="G124" s="44" t="s">
        <v>786</v>
      </c>
      <c r="H124" s="70"/>
      <c r="I124" s="70"/>
      <c r="J124" s="70"/>
      <c r="K124" s="70">
        <v>175.75</v>
      </c>
      <c r="L124" s="24"/>
      <c r="M124" s="25">
        <f t="shared" si="15"/>
        <v>156.91964285714283</v>
      </c>
      <c r="N124" s="25">
        <f t="shared" si="16"/>
        <v>18.830357142857139</v>
      </c>
      <c r="O124" s="25">
        <f t="shared" si="17"/>
        <v>0</v>
      </c>
      <c r="P124" s="25">
        <v>156.91999999999999</v>
      </c>
      <c r="Q124" s="26"/>
      <c r="R124" s="26"/>
      <c r="S124" s="27"/>
      <c r="T124" s="27"/>
      <c r="U124" s="27"/>
      <c r="V124" s="27"/>
      <c r="W124" s="27"/>
      <c r="X124" s="26"/>
      <c r="Y124" s="26"/>
      <c r="Z124" s="26"/>
      <c r="AA124" s="26"/>
      <c r="AB124" s="27"/>
      <c r="AC124" s="27"/>
      <c r="AD124" s="26"/>
      <c r="AE124" s="26"/>
      <c r="AF124" s="25">
        <f t="shared" si="18"/>
        <v>-175.75035714285713</v>
      </c>
      <c r="AG124" s="28">
        <f t="shared" si="19"/>
        <v>-3.5714285712629135E-4</v>
      </c>
    </row>
    <row r="125" spans="1:33" s="29" customFormat="1" ht="23.25" hidden="1" customHeight="1" x14ac:dyDescent="0.2">
      <c r="A125" s="69">
        <v>43673</v>
      </c>
      <c r="B125" s="19"/>
      <c r="C125" s="20" t="s">
        <v>45</v>
      </c>
      <c r="D125" s="20" t="s">
        <v>46</v>
      </c>
      <c r="E125" s="20" t="s">
        <v>47</v>
      </c>
      <c r="F125" s="21">
        <v>223762</v>
      </c>
      <c r="G125" s="44" t="s">
        <v>787</v>
      </c>
      <c r="H125" s="70"/>
      <c r="I125" s="70"/>
      <c r="J125" s="70">
        <v>102</v>
      </c>
      <c r="K125" s="70"/>
      <c r="L125" s="24"/>
      <c r="M125" s="25">
        <f t="shared" si="15"/>
        <v>102</v>
      </c>
      <c r="N125" s="25">
        <f t="shared" si="16"/>
        <v>0</v>
      </c>
      <c r="O125" s="25">
        <f t="shared" si="17"/>
        <v>0</v>
      </c>
      <c r="P125" s="25">
        <v>102</v>
      </c>
      <c r="Q125" s="26"/>
      <c r="R125" s="26"/>
      <c r="S125" s="27"/>
      <c r="T125" s="27"/>
      <c r="U125" s="27"/>
      <c r="V125" s="27"/>
      <c r="W125" s="27"/>
      <c r="X125" s="26"/>
      <c r="Y125" s="26"/>
      <c r="Z125" s="26"/>
      <c r="AA125" s="26"/>
      <c r="AB125" s="27"/>
      <c r="AC125" s="27"/>
      <c r="AD125" s="26"/>
      <c r="AE125" s="26"/>
      <c r="AF125" s="25">
        <f t="shared" si="18"/>
        <v>-102</v>
      </c>
      <c r="AG125" s="28">
        <f t="shared" si="19"/>
        <v>0</v>
      </c>
    </row>
    <row r="126" spans="1:33" ht="23.25" hidden="1" customHeight="1" x14ac:dyDescent="0.25">
      <c r="A126" s="74">
        <v>43673</v>
      </c>
      <c r="B126" s="75"/>
      <c r="C126" s="76" t="s">
        <v>54</v>
      </c>
      <c r="D126" s="76" t="s">
        <v>55</v>
      </c>
      <c r="E126" s="76" t="s">
        <v>56</v>
      </c>
      <c r="F126" s="62">
        <v>3279</v>
      </c>
      <c r="G126" s="44" t="s">
        <v>788</v>
      </c>
      <c r="H126" s="77"/>
      <c r="I126" s="77"/>
      <c r="J126" s="77">
        <v>730</v>
      </c>
      <c r="K126" s="77"/>
      <c r="L126" s="78"/>
      <c r="M126" s="79">
        <f t="shared" si="15"/>
        <v>730</v>
      </c>
      <c r="N126" s="79">
        <f t="shared" si="16"/>
        <v>0</v>
      </c>
      <c r="O126" s="79">
        <f t="shared" si="17"/>
        <v>0</v>
      </c>
      <c r="P126" s="79">
        <v>730</v>
      </c>
      <c r="Q126" s="46"/>
      <c r="R126" s="46"/>
      <c r="S126" s="80"/>
      <c r="T126" s="80"/>
      <c r="U126" s="80"/>
      <c r="V126" s="80"/>
      <c r="W126" s="80"/>
      <c r="X126" s="46"/>
      <c r="Y126" s="46"/>
      <c r="Z126" s="46"/>
      <c r="AA126" s="46"/>
      <c r="AB126" s="80"/>
      <c r="AC126" s="80"/>
      <c r="AD126" s="46"/>
      <c r="AE126" s="46"/>
      <c r="AF126" s="79">
        <f t="shared" si="18"/>
        <v>-730</v>
      </c>
      <c r="AG126" s="81">
        <f t="shared" si="19"/>
        <v>0</v>
      </c>
    </row>
    <row r="127" spans="1:33" s="29" customFormat="1" ht="23.25" customHeight="1" x14ac:dyDescent="0.2">
      <c r="A127" s="69">
        <v>43673</v>
      </c>
      <c r="B127" s="19"/>
      <c r="C127" s="20" t="s">
        <v>80</v>
      </c>
      <c r="D127" s="20" t="s">
        <v>181</v>
      </c>
      <c r="E127" s="20" t="s">
        <v>649</v>
      </c>
      <c r="F127" s="21">
        <v>1946</v>
      </c>
      <c r="G127" s="44" t="s">
        <v>789</v>
      </c>
      <c r="H127" s="70"/>
      <c r="I127" s="70"/>
      <c r="J127" s="70"/>
      <c r="K127" s="70">
        <v>1350</v>
      </c>
      <c r="L127" s="24">
        <v>0.01</v>
      </c>
      <c r="M127" s="25">
        <f t="shared" si="15"/>
        <v>1205.3571428571427</v>
      </c>
      <c r="N127" s="25">
        <f t="shared" si="16"/>
        <v>144.64285714285711</v>
      </c>
      <c r="O127" s="25">
        <f t="shared" si="17"/>
        <v>-12.053571428571427</v>
      </c>
      <c r="P127" s="25">
        <v>1205.3599999999999</v>
      </c>
      <c r="Q127" s="26"/>
      <c r="R127" s="26"/>
      <c r="S127" s="27"/>
      <c r="T127" s="27"/>
      <c r="U127" s="27"/>
      <c r="V127" s="27"/>
      <c r="W127" s="27"/>
      <c r="X127" s="26"/>
      <c r="Y127" s="26"/>
      <c r="Z127" s="26"/>
      <c r="AA127" s="26"/>
      <c r="AB127" s="27"/>
      <c r="AC127" s="27"/>
      <c r="AD127" s="26"/>
      <c r="AE127" s="26"/>
      <c r="AF127" s="25">
        <f t="shared" si="18"/>
        <v>-1337.9492857142857</v>
      </c>
      <c r="AG127" s="28">
        <f t="shared" si="19"/>
        <v>-2.857142857106254E-3</v>
      </c>
    </row>
    <row r="128" spans="1:33" s="29" customFormat="1" ht="23.25" hidden="1" customHeight="1" x14ac:dyDescent="0.2">
      <c r="A128" s="69">
        <v>43673</v>
      </c>
      <c r="B128" s="19"/>
      <c r="C128" s="20" t="s">
        <v>308</v>
      </c>
      <c r="D128" s="20" t="s">
        <v>309</v>
      </c>
      <c r="E128" s="20" t="s">
        <v>56</v>
      </c>
      <c r="F128" s="21">
        <v>17448</v>
      </c>
      <c r="G128" s="44" t="s">
        <v>762</v>
      </c>
      <c r="H128" s="70"/>
      <c r="I128" s="70"/>
      <c r="J128" s="70">
        <v>380</v>
      </c>
      <c r="K128" s="70"/>
      <c r="L128" s="24"/>
      <c r="M128" s="25">
        <f t="shared" si="15"/>
        <v>380</v>
      </c>
      <c r="N128" s="25">
        <f t="shared" si="16"/>
        <v>0</v>
      </c>
      <c r="O128" s="25">
        <f t="shared" si="17"/>
        <v>0</v>
      </c>
      <c r="P128" s="25">
        <v>380</v>
      </c>
      <c r="Q128" s="26"/>
      <c r="R128" s="26"/>
      <c r="S128" s="27"/>
      <c r="T128" s="27"/>
      <c r="U128" s="27"/>
      <c r="V128" s="27"/>
      <c r="W128" s="27"/>
      <c r="X128" s="26"/>
      <c r="Y128" s="26"/>
      <c r="Z128" s="26"/>
      <c r="AA128" s="26"/>
      <c r="AB128" s="27"/>
      <c r="AC128" s="27"/>
      <c r="AD128" s="26"/>
      <c r="AE128" s="26"/>
      <c r="AF128" s="25">
        <f t="shared" si="18"/>
        <v>-380</v>
      </c>
      <c r="AG128" s="28">
        <f t="shared" si="19"/>
        <v>0</v>
      </c>
    </row>
    <row r="129" spans="1:33" s="29" customFormat="1" ht="23.25" hidden="1" customHeight="1" x14ac:dyDescent="0.2">
      <c r="A129" s="69">
        <v>43673</v>
      </c>
      <c r="B129" s="19"/>
      <c r="C129" s="20" t="s">
        <v>58</v>
      </c>
      <c r="D129" s="20"/>
      <c r="E129" s="20"/>
      <c r="F129" s="21"/>
      <c r="G129" s="44" t="s">
        <v>790</v>
      </c>
      <c r="H129" s="70">
        <v>50</v>
      </c>
      <c r="I129" s="70"/>
      <c r="J129" s="70"/>
      <c r="K129" s="70"/>
      <c r="L129" s="24"/>
      <c r="M129" s="25">
        <f t="shared" si="15"/>
        <v>50</v>
      </c>
      <c r="N129" s="25">
        <f t="shared" si="16"/>
        <v>0</v>
      </c>
      <c r="O129" s="25">
        <f t="shared" si="17"/>
        <v>0</v>
      </c>
      <c r="P129" s="25"/>
      <c r="Q129" s="26"/>
      <c r="R129" s="26"/>
      <c r="S129" s="27"/>
      <c r="T129" s="27"/>
      <c r="U129" s="27"/>
      <c r="V129" s="27"/>
      <c r="W129" s="27"/>
      <c r="X129" s="26"/>
      <c r="Y129" s="26"/>
      <c r="Z129" s="26"/>
      <c r="AA129" s="26">
        <v>50</v>
      </c>
      <c r="AB129" s="27"/>
      <c r="AC129" s="27"/>
      <c r="AD129" s="26"/>
      <c r="AE129" s="26"/>
      <c r="AF129" s="25">
        <f t="shared" si="18"/>
        <v>-50</v>
      </c>
      <c r="AG129" s="28">
        <f t="shared" si="19"/>
        <v>0</v>
      </c>
    </row>
    <row r="130" spans="1:33" s="29" customFormat="1" ht="23.25" hidden="1" customHeight="1" x14ac:dyDescent="0.2">
      <c r="A130" s="69">
        <v>43675</v>
      </c>
      <c r="B130" s="19"/>
      <c r="C130" s="20" t="s">
        <v>37</v>
      </c>
      <c r="D130" s="20" t="s">
        <v>38</v>
      </c>
      <c r="E130" s="20" t="s">
        <v>39</v>
      </c>
      <c r="F130" s="21">
        <v>68749</v>
      </c>
      <c r="G130" s="44" t="s">
        <v>140</v>
      </c>
      <c r="H130" s="70"/>
      <c r="I130" s="70"/>
      <c r="J130" s="70"/>
      <c r="K130" s="70">
        <v>350</v>
      </c>
      <c r="L130" s="24"/>
      <c r="M130" s="25">
        <f t="shared" si="15"/>
        <v>312.49999999999994</v>
      </c>
      <c r="N130" s="25">
        <f t="shared" si="16"/>
        <v>37.499999999999993</v>
      </c>
      <c r="O130" s="25">
        <f t="shared" si="17"/>
        <v>0</v>
      </c>
      <c r="P130" s="25"/>
      <c r="Q130" s="26">
        <v>312.5</v>
      </c>
      <c r="R130" s="26"/>
      <c r="S130" s="27"/>
      <c r="T130" s="27"/>
      <c r="U130" s="27"/>
      <c r="V130" s="27"/>
      <c r="W130" s="27"/>
      <c r="X130" s="26"/>
      <c r="Y130" s="26"/>
      <c r="Z130" s="26"/>
      <c r="AA130" s="26"/>
      <c r="AB130" s="27"/>
      <c r="AC130" s="27"/>
      <c r="AD130" s="26"/>
      <c r="AE130" s="26"/>
      <c r="AF130" s="25">
        <f t="shared" si="18"/>
        <v>-350</v>
      </c>
      <c r="AG130" s="28">
        <f t="shared" si="19"/>
        <v>0</v>
      </c>
    </row>
    <row r="131" spans="1:33" s="29" customFormat="1" ht="24.75" hidden="1" customHeight="1" x14ac:dyDescent="0.2">
      <c r="A131" s="69">
        <v>43675</v>
      </c>
      <c r="B131" s="19"/>
      <c r="C131" s="20" t="s">
        <v>37</v>
      </c>
      <c r="D131" s="20" t="s">
        <v>38</v>
      </c>
      <c r="E131" s="20" t="s">
        <v>39</v>
      </c>
      <c r="F131" s="21">
        <v>36628</v>
      </c>
      <c r="G131" s="22" t="s">
        <v>791</v>
      </c>
      <c r="H131" s="70"/>
      <c r="I131" s="70"/>
      <c r="J131" s="70"/>
      <c r="K131" s="70">
        <v>249</v>
      </c>
      <c r="L131" s="24"/>
      <c r="M131" s="25">
        <f t="shared" si="15"/>
        <v>222.32142857142856</v>
      </c>
      <c r="N131" s="25">
        <f t="shared" si="16"/>
        <v>26.678571428571427</v>
      </c>
      <c r="O131" s="25">
        <f t="shared" si="17"/>
        <v>0</v>
      </c>
      <c r="P131" s="25">
        <v>222.32</v>
      </c>
      <c r="Q131" s="26"/>
      <c r="R131" s="26"/>
      <c r="S131" s="27"/>
      <c r="T131" s="27"/>
      <c r="U131" s="27"/>
      <c r="V131" s="27"/>
      <c r="W131" s="27"/>
      <c r="X131" s="26"/>
      <c r="Y131" s="26"/>
      <c r="Z131" s="26"/>
      <c r="AA131" s="26"/>
      <c r="AB131" s="27"/>
      <c r="AC131" s="27"/>
      <c r="AD131" s="26"/>
      <c r="AE131" s="26"/>
      <c r="AF131" s="25">
        <f t="shared" si="18"/>
        <v>-248.99857142857141</v>
      </c>
      <c r="AG131" s="28">
        <f t="shared" si="19"/>
        <v>1.4285714285904305E-3</v>
      </c>
    </row>
    <row r="132" spans="1:33" s="29" customFormat="1" ht="23.25" hidden="1" customHeight="1" x14ac:dyDescent="0.2">
      <c r="A132" s="69">
        <v>43675</v>
      </c>
      <c r="B132" s="19"/>
      <c r="C132" s="20" t="s">
        <v>50</v>
      </c>
      <c r="D132" s="20" t="s">
        <v>51</v>
      </c>
      <c r="E132" s="20" t="s">
        <v>47</v>
      </c>
      <c r="F132" s="21">
        <v>58186</v>
      </c>
      <c r="G132" s="62" t="s">
        <v>792</v>
      </c>
      <c r="H132" s="70"/>
      <c r="I132" s="70"/>
      <c r="J132" s="70"/>
      <c r="K132" s="70">
        <v>87.32</v>
      </c>
      <c r="L132" s="24"/>
      <c r="M132" s="25">
        <f t="shared" si="15"/>
        <v>77.964285714285694</v>
      </c>
      <c r="N132" s="25">
        <f t="shared" si="16"/>
        <v>9.3557142857142832</v>
      </c>
      <c r="O132" s="25">
        <f t="shared" si="17"/>
        <v>0</v>
      </c>
      <c r="P132" s="25">
        <v>77.959999999999994</v>
      </c>
      <c r="Q132" s="26"/>
      <c r="R132" s="26"/>
      <c r="S132" s="27"/>
      <c r="T132" s="27"/>
      <c r="U132" s="27"/>
      <c r="V132" s="27"/>
      <c r="W132" s="27"/>
      <c r="X132" s="26"/>
      <c r="Y132" s="26"/>
      <c r="Z132" s="26"/>
      <c r="AA132" s="26"/>
      <c r="AB132" s="27"/>
      <c r="AC132" s="27"/>
      <c r="AD132" s="26"/>
      <c r="AE132" s="26"/>
      <c r="AF132" s="25">
        <f t="shared" si="18"/>
        <v>-87.315714285714279</v>
      </c>
      <c r="AG132" s="28">
        <f t="shared" si="19"/>
        <v>4.2857142857144481E-3</v>
      </c>
    </row>
    <row r="133" spans="1:33" s="29" customFormat="1" ht="24.75" hidden="1" customHeight="1" x14ac:dyDescent="0.2">
      <c r="A133" s="69">
        <v>43675</v>
      </c>
      <c r="B133" s="19"/>
      <c r="C133" s="20" t="s">
        <v>37</v>
      </c>
      <c r="D133" s="20" t="s">
        <v>38</v>
      </c>
      <c r="E133" s="20" t="s">
        <v>39</v>
      </c>
      <c r="F133" s="21">
        <v>366220</v>
      </c>
      <c r="G133" s="22" t="s">
        <v>793</v>
      </c>
      <c r="H133" s="70"/>
      <c r="I133" s="70"/>
      <c r="J133" s="70"/>
      <c r="K133" s="70">
        <v>77.180000000000007</v>
      </c>
      <c r="L133" s="24"/>
      <c r="M133" s="25">
        <f t="shared" ref="M133:M153" si="20">SUM(H133:J133,K133/1.12)</f>
        <v>68.910714285714292</v>
      </c>
      <c r="N133" s="25">
        <f t="shared" ref="N133:N153" si="21">K133/1.12*0.12</f>
        <v>8.269285714285715</v>
      </c>
      <c r="O133" s="25">
        <f t="shared" ref="O133:O153" si="22">-SUM(I133:J133,K133/1.12)*L133</f>
        <v>0</v>
      </c>
      <c r="P133" s="25">
        <v>68.91</v>
      </c>
      <c r="Q133" s="26"/>
      <c r="R133" s="26"/>
      <c r="S133" s="27"/>
      <c r="T133" s="27"/>
      <c r="U133" s="27"/>
      <c r="V133" s="27"/>
      <c r="W133" s="27"/>
      <c r="X133" s="26"/>
      <c r="Y133" s="26"/>
      <c r="Z133" s="26"/>
      <c r="AA133" s="26"/>
      <c r="AB133" s="27"/>
      <c r="AC133" s="27"/>
      <c r="AD133" s="26"/>
      <c r="AE133" s="26"/>
      <c r="AF133" s="25">
        <f t="shared" ref="AF133:AF153" si="23">-SUM(N133:AE133)</f>
        <v>-77.179285714285712</v>
      </c>
      <c r="AG133" s="28">
        <f t="shared" ref="AG133:AG153" si="24">SUM(H133:K133)+AF133+O133</f>
        <v>7.1428571429521526E-4</v>
      </c>
    </row>
    <row r="134" spans="1:33" s="29" customFormat="1" ht="23.25" hidden="1" customHeight="1" x14ac:dyDescent="0.2">
      <c r="A134" s="69">
        <v>43675</v>
      </c>
      <c r="B134" s="19"/>
      <c r="C134" s="20" t="s">
        <v>45</v>
      </c>
      <c r="D134" s="20" t="s">
        <v>46</v>
      </c>
      <c r="E134" s="20" t="s">
        <v>47</v>
      </c>
      <c r="F134" s="21">
        <v>224192</v>
      </c>
      <c r="G134" s="20" t="s">
        <v>794</v>
      </c>
      <c r="H134" s="70"/>
      <c r="I134" s="70"/>
      <c r="J134" s="70"/>
      <c r="K134" s="70">
        <v>1183.55</v>
      </c>
      <c r="L134" s="24"/>
      <c r="M134" s="25">
        <f t="shared" si="20"/>
        <v>1056.7410714285713</v>
      </c>
      <c r="N134" s="25">
        <f t="shared" si="21"/>
        <v>126.80892857142855</v>
      </c>
      <c r="O134" s="25">
        <f t="shared" si="22"/>
        <v>0</v>
      </c>
      <c r="P134" s="25">
        <v>1056.74</v>
      </c>
      <c r="Q134" s="26"/>
      <c r="R134" s="26"/>
      <c r="S134" s="27"/>
      <c r="T134" s="27"/>
      <c r="U134" s="27"/>
      <c r="V134" s="27"/>
      <c r="W134" s="27"/>
      <c r="X134" s="26"/>
      <c r="Y134" s="26"/>
      <c r="Z134" s="26"/>
      <c r="AA134" s="26"/>
      <c r="AB134" s="27"/>
      <c r="AC134" s="27"/>
      <c r="AD134" s="26"/>
      <c r="AE134" s="26"/>
      <c r="AF134" s="25">
        <f t="shared" si="23"/>
        <v>-1183.5489285714286</v>
      </c>
      <c r="AG134" s="28">
        <f t="shared" si="24"/>
        <v>1.0714285713220306E-3</v>
      </c>
    </row>
    <row r="135" spans="1:33" s="29" customFormat="1" ht="24.75" hidden="1" customHeight="1" x14ac:dyDescent="0.2">
      <c r="A135" s="69">
        <v>43675</v>
      </c>
      <c r="B135" s="19"/>
      <c r="C135" s="20" t="s">
        <v>41</v>
      </c>
      <c r="D135" s="20" t="s">
        <v>42</v>
      </c>
      <c r="E135" s="20" t="s">
        <v>43</v>
      </c>
      <c r="F135" s="21">
        <v>181736</v>
      </c>
      <c r="G135" s="22" t="s">
        <v>44</v>
      </c>
      <c r="H135" s="70"/>
      <c r="I135" s="70"/>
      <c r="J135" s="70"/>
      <c r="K135" s="70">
        <v>180</v>
      </c>
      <c r="L135" s="24"/>
      <c r="M135" s="25">
        <f t="shared" si="20"/>
        <v>160.71428571428569</v>
      </c>
      <c r="N135" s="25">
        <f t="shared" si="21"/>
        <v>19.285714285714281</v>
      </c>
      <c r="O135" s="25">
        <f t="shared" si="22"/>
        <v>0</v>
      </c>
      <c r="P135" s="25"/>
      <c r="Q135" s="26">
        <v>160.71</v>
      </c>
      <c r="R135" s="26"/>
      <c r="S135" s="27"/>
      <c r="T135" s="27"/>
      <c r="U135" s="27"/>
      <c r="V135" s="27"/>
      <c r="W135" s="27"/>
      <c r="X135" s="26"/>
      <c r="Y135" s="26"/>
      <c r="Z135" s="26"/>
      <c r="AA135" s="26"/>
      <c r="AB135" s="27"/>
      <c r="AC135" s="27"/>
      <c r="AD135" s="26"/>
      <c r="AE135" s="26"/>
      <c r="AF135" s="25">
        <f t="shared" si="23"/>
        <v>-179.99571428571429</v>
      </c>
      <c r="AG135" s="28">
        <f t="shared" si="24"/>
        <v>4.2857142857144481E-3</v>
      </c>
    </row>
    <row r="136" spans="1:33" s="29" customFormat="1" ht="24.75" hidden="1" customHeight="1" x14ac:dyDescent="0.2">
      <c r="A136" s="69">
        <v>43676</v>
      </c>
      <c r="B136" s="19"/>
      <c r="C136" s="20" t="s">
        <v>37</v>
      </c>
      <c r="D136" s="20" t="s">
        <v>38</v>
      </c>
      <c r="E136" s="20" t="s">
        <v>39</v>
      </c>
      <c r="F136" s="21">
        <v>36638</v>
      </c>
      <c r="G136" s="22" t="s">
        <v>795</v>
      </c>
      <c r="H136" s="70"/>
      <c r="I136" s="70"/>
      <c r="J136" s="70"/>
      <c r="K136" s="70">
        <v>1292.6400000000001</v>
      </c>
      <c r="L136" s="24"/>
      <c r="M136" s="25">
        <f t="shared" si="20"/>
        <v>1154.1428571428571</v>
      </c>
      <c r="N136" s="25">
        <f t="shared" si="21"/>
        <v>138.49714285714285</v>
      </c>
      <c r="O136" s="25">
        <f t="shared" si="22"/>
        <v>0</v>
      </c>
      <c r="P136" s="25">
        <v>1154.1400000000001</v>
      </c>
      <c r="Q136" s="26"/>
      <c r="R136" s="26"/>
      <c r="S136" s="27"/>
      <c r="T136" s="27"/>
      <c r="U136" s="27"/>
      <c r="V136" s="27"/>
      <c r="W136" s="27"/>
      <c r="X136" s="26"/>
      <c r="Y136" s="26"/>
      <c r="Z136" s="26"/>
      <c r="AA136" s="26"/>
      <c r="AB136" s="27"/>
      <c r="AC136" s="27"/>
      <c r="AD136" s="26"/>
      <c r="AE136" s="26"/>
      <c r="AF136" s="25">
        <f t="shared" si="23"/>
        <v>-1292.6371428571429</v>
      </c>
      <c r="AG136" s="28">
        <f t="shared" si="24"/>
        <v>2.8571428572377044E-3</v>
      </c>
    </row>
    <row r="137" spans="1:33" s="29" customFormat="1" ht="24.75" hidden="1" customHeight="1" x14ac:dyDescent="0.2">
      <c r="A137" s="69">
        <v>43676</v>
      </c>
      <c r="B137" s="19"/>
      <c r="C137" s="20" t="s">
        <v>45</v>
      </c>
      <c r="D137" s="20" t="s">
        <v>46</v>
      </c>
      <c r="E137" s="20" t="s">
        <v>47</v>
      </c>
      <c r="F137" s="21">
        <v>179142</v>
      </c>
      <c r="G137" s="22" t="s">
        <v>796</v>
      </c>
      <c r="H137" s="70"/>
      <c r="I137" s="70"/>
      <c r="J137" s="70"/>
      <c r="K137" s="70">
        <f>2264.46+271.74</f>
        <v>2536.1999999999998</v>
      </c>
      <c r="L137" s="24"/>
      <c r="M137" s="25">
        <f t="shared" si="20"/>
        <v>2264.4642857142853</v>
      </c>
      <c r="N137" s="25">
        <f t="shared" si="21"/>
        <v>271.73571428571421</v>
      </c>
      <c r="O137" s="25">
        <f t="shared" si="22"/>
        <v>0</v>
      </c>
      <c r="P137" s="25">
        <v>2264.46</v>
      </c>
      <c r="Q137" s="26"/>
      <c r="R137" s="26"/>
      <c r="S137" s="27"/>
      <c r="T137" s="27"/>
      <c r="U137" s="27"/>
      <c r="V137" s="27"/>
      <c r="W137" s="27"/>
      <c r="X137" s="26"/>
      <c r="Y137" s="26"/>
      <c r="Z137" s="26"/>
      <c r="AA137" s="26"/>
      <c r="AB137" s="27"/>
      <c r="AC137" s="27"/>
      <c r="AD137" s="26"/>
      <c r="AE137" s="26"/>
      <c r="AF137" s="25">
        <f t="shared" si="23"/>
        <v>-2536.1957142857141</v>
      </c>
      <c r="AG137" s="28">
        <f t="shared" si="24"/>
        <v>4.2857142857428698E-3</v>
      </c>
    </row>
    <row r="138" spans="1:33" s="29" customFormat="1" ht="24.75" hidden="1" customHeight="1" x14ac:dyDescent="0.2">
      <c r="A138" s="69">
        <v>43676</v>
      </c>
      <c r="B138" s="19"/>
      <c r="C138" s="20" t="s">
        <v>45</v>
      </c>
      <c r="D138" s="20" t="s">
        <v>46</v>
      </c>
      <c r="E138" s="20" t="s">
        <v>47</v>
      </c>
      <c r="F138" s="21">
        <v>179142</v>
      </c>
      <c r="G138" s="22" t="s">
        <v>429</v>
      </c>
      <c r="H138" s="70"/>
      <c r="I138" s="70"/>
      <c r="J138" s="70">
        <v>50.6</v>
      </c>
      <c r="K138" s="70"/>
      <c r="L138" s="24"/>
      <c r="M138" s="25">
        <f t="shared" si="20"/>
        <v>50.6</v>
      </c>
      <c r="N138" s="25">
        <f t="shared" si="21"/>
        <v>0</v>
      </c>
      <c r="O138" s="25">
        <f t="shared" si="22"/>
        <v>0</v>
      </c>
      <c r="P138" s="25">
        <v>50.6</v>
      </c>
      <c r="Q138" s="26"/>
      <c r="R138" s="26"/>
      <c r="S138" s="27"/>
      <c r="T138" s="27"/>
      <c r="U138" s="27"/>
      <c r="V138" s="27"/>
      <c r="W138" s="27"/>
      <c r="X138" s="26"/>
      <c r="Y138" s="26"/>
      <c r="Z138" s="26"/>
      <c r="AA138" s="26"/>
      <c r="AB138" s="27"/>
      <c r="AC138" s="27"/>
      <c r="AD138" s="26"/>
      <c r="AE138" s="26"/>
      <c r="AF138" s="25">
        <f t="shared" si="23"/>
        <v>-50.6</v>
      </c>
      <c r="AG138" s="28">
        <f t="shared" si="24"/>
        <v>0</v>
      </c>
    </row>
    <row r="139" spans="1:33" s="29" customFormat="1" ht="24.75" customHeight="1" x14ac:dyDescent="0.2">
      <c r="A139" s="69">
        <v>43676</v>
      </c>
      <c r="B139" s="19"/>
      <c r="C139" s="20" t="s">
        <v>80</v>
      </c>
      <c r="D139" s="20" t="s">
        <v>181</v>
      </c>
      <c r="E139" s="20" t="s">
        <v>649</v>
      </c>
      <c r="F139" s="21">
        <v>1957</v>
      </c>
      <c r="G139" s="22" t="s">
        <v>797</v>
      </c>
      <c r="H139" s="70"/>
      <c r="I139" s="70"/>
      <c r="J139" s="70"/>
      <c r="K139" s="70">
        <v>443</v>
      </c>
      <c r="L139" s="24">
        <v>0.01</v>
      </c>
      <c r="M139" s="25">
        <f t="shared" si="20"/>
        <v>395.53571428571422</v>
      </c>
      <c r="N139" s="25">
        <f t="shared" si="21"/>
        <v>47.464285714285708</v>
      </c>
      <c r="O139" s="25">
        <f t="shared" si="22"/>
        <v>-3.9553571428571423</v>
      </c>
      <c r="P139" s="25">
        <v>395.54</v>
      </c>
      <c r="Q139" s="26"/>
      <c r="R139" s="26"/>
      <c r="S139" s="27"/>
      <c r="T139" s="27"/>
      <c r="U139" s="27"/>
      <c r="V139" s="27"/>
      <c r="W139" s="27"/>
      <c r="X139" s="26"/>
      <c r="Y139" s="26"/>
      <c r="Z139" s="26"/>
      <c r="AA139" s="26"/>
      <c r="AB139" s="27"/>
      <c r="AC139" s="27"/>
      <c r="AD139" s="26"/>
      <c r="AE139" s="26"/>
      <c r="AF139" s="25">
        <f t="shared" si="23"/>
        <v>-439.04892857142858</v>
      </c>
      <c r="AG139" s="28">
        <f t="shared" si="24"/>
        <v>-4.2857142857180008E-3</v>
      </c>
    </row>
    <row r="140" spans="1:33" s="29" customFormat="1" ht="24.75" hidden="1" customHeight="1" x14ac:dyDescent="0.2">
      <c r="A140" s="69">
        <v>43676</v>
      </c>
      <c r="B140" s="19"/>
      <c r="C140" s="20" t="s">
        <v>41</v>
      </c>
      <c r="D140" s="20" t="s">
        <v>42</v>
      </c>
      <c r="E140" s="20" t="s">
        <v>43</v>
      </c>
      <c r="F140" s="21">
        <v>181784</v>
      </c>
      <c r="G140" s="22" t="s">
        <v>44</v>
      </c>
      <c r="H140" s="70"/>
      <c r="I140" s="70"/>
      <c r="J140" s="70"/>
      <c r="K140" s="70">
        <v>180</v>
      </c>
      <c r="L140" s="24"/>
      <c r="M140" s="25">
        <f t="shared" si="20"/>
        <v>160.71428571428569</v>
      </c>
      <c r="N140" s="25">
        <f t="shared" si="21"/>
        <v>19.285714285714281</v>
      </c>
      <c r="O140" s="25">
        <f t="shared" si="22"/>
        <v>0</v>
      </c>
      <c r="P140" s="25"/>
      <c r="Q140" s="26">
        <v>160.71</v>
      </c>
      <c r="R140" s="26"/>
      <c r="S140" s="27"/>
      <c r="T140" s="27"/>
      <c r="U140" s="27"/>
      <c r="V140" s="27"/>
      <c r="W140" s="27"/>
      <c r="X140" s="26"/>
      <c r="Y140" s="26"/>
      <c r="Z140" s="26"/>
      <c r="AA140" s="26"/>
      <c r="AB140" s="27"/>
      <c r="AC140" s="27"/>
      <c r="AD140" s="26"/>
      <c r="AE140" s="26"/>
      <c r="AF140" s="25">
        <f t="shared" si="23"/>
        <v>-179.99571428571429</v>
      </c>
      <c r="AG140" s="28">
        <f t="shared" si="24"/>
        <v>4.2857142857144481E-3</v>
      </c>
    </row>
    <row r="141" spans="1:33" s="29" customFormat="1" ht="24.75" hidden="1" customHeight="1" x14ac:dyDescent="0.2">
      <c r="A141" s="69">
        <v>43676</v>
      </c>
      <c r="B141" s="19"/>
      <c r="C141" s="20" t="s">
        <v>58</v>
      </c>
      <c r="D141" s="20"/>
      <c r="E141" s="20"/>
      <c r="F141" s="21"/>
      <c r="G141" s="22" t="s">
        <v>266</v>
      </c>
      <c r="H141" s="70">
        <v>50</v>
      </c>
      <c r="I141" s="70"/>
      <c r="J141" s="70"/>
      <c r="K141" s="70"/>
      <c r="L141" s="24"/>
      <c r="M141" s="25">
        <f t="shared" si="20"/>
        <v>50</v>
      </c>
      <c r="N141" s="25">
        <f t="shared" si="21"/>
        <v>0</v>
      </c>
      <c r="O141" s="25">
        <f t="shared" si="22"/>
        <v>0</v>
      </c>
      <c r="P141" s="25"/>
      <c r="Q141" s="26"/>
      <c r="R141" s="26"/>
      <c r="S141" s="27"/>
      <c r="T141" s="27"/>
      <c r="U141" s="27"/>
      <c r="V141" s="27"/>
      <c r="W141" s="27"/>
      <c r="X141" s="26"/>
      <c r="Y141" s="26"/>
      <c r="Z141" s="26"/>
      <c r="AA141" s="26">
        <v>50</v>
      </c>
      <c r="AB141" s="27"/>
      <c r="AC141" s="27"/>
      <c r="AD141" s="26"/>
      <c r="AE141" s="26"/>
      <c r="AF141" s="25">
        <f t="shared" si="23"/>
        <v>-50</v>
      </c>
      <c r="AG141" s="28">
        <f t="shared" si="24"/>
        <v>0</v>
      </c>
    </row>
    <row r="142" spans="1:33" s="29" customFormat="1" ht="24.75" hidden="1" customHeight="1" x14ac:dyDescent="0.2">
      <c r="A142" s="69">
        <v>43676</v>
      </c>
      <c r="B142" s="19"/>
      <c r="C142" s="20" t="s">
        <v>58</v>
      </c>
      <c r="D142" s="20"/>
      <c r="E142" s="20"/>
      <c r="F142" s="21"/>
      <c r="G142" s="22" t="s">
        <v>798</v>
      </c>
      <c r="H142" s="70"/>
      <c r="I142" s="70"/>
      <c r="J142" s="70">
        <v>500</v>
      </c>
      <c r="K142" s="70"/>
      <c r="L142" s="24"/>
      <c r="M142" s="25">
        <f t="shared" si="20"/>
        <v>500</v>
      </c>
      <c r="N142" s="25">
        <f t="shared" si="21"/>
        <v>0</v>
      </c>
      <c r="O142" s="25">
        <f t="shared" si="22"/>
        <v>0</v>
      </c>
      <c r="P142" s="25">
        <v>500</v>
      </c>
      <c r="Q142" s="26"/>
      <c r="R142" s="26"/>
      <c r="S142" s="27"/>
      <c r="T142" s="27"/>
      <c r="U142" s="27"/>
      <c r="V142" s="27"/>
      <c r="W142" s="27"/>
      <c r="X142" s="26"/>
      <c r="Y142" s="26"/>
      <c r="Z142" s="26"/>
      <c r="AA142" s="26"/>
      <c r="AB142" s="27"/>
      <c r="AC142" s="27"/>
      <c r="AD142" s="26"/>
      <c r="AE142" s="26"/>
      <c r="AF142" s="25">
        <f t="shared" si="23"/>
        <v>-500</v>
      </c>
      <c r="AG142" s="28">
        <f t="shared" si="24"/>
        <v>0</v>
      </c>
    </row>
    <row r="143" spans="1:33" s="41" customFormat="1" ht="23.25" hidden="1" customHeight="1" x14ac:dyDescent="0.2">
      <c r="A143" s="71">
        <v>43677</v>
      </c>
      <c r="B143" s="31"/>
      <c r="C143" s="32" t="s">
        <v>41</v>
      </c>
      <c r="D143" s="32" t="s">
        <v>42</v>
      </c>
      <c r="E143" s="32" t="s">
        <v>43</v>
      </c>
      <c r="F143" s="33">
        <v>181828</v>
      </c>
      <c r="G143" s="34" t="s">
        <v>44</v>
      </c>
      <c r="H143" s="72"/>
      <c r="I143" s="72"/>
      <c r="J143" s="72"/>
      <c r="K143" s="72">
        <v>180</v>
      </c>
      <c r="L143" s="36"/>
      <c r="M143" s="37">
        <f t="shared" si="20"/>
        <v>160.71428571428569</v>
      </c>
      <c r="N143" s="37">
        <f t="shared" si="21"/>
        <v>19.285714285714281</v>
      </c>
      <c r="O143" s="37">
        <f t="shared" si="22"/>
        <v>0</v>
      </c>
      <c r="P143" s="37"/>
      <c r="Q143" s="38">
        <v>160.71</v>
      </c>
      <c r="R143" s="38"/>
      <c r="S143" s="39"/>
      <c r="T143" s="39"/>
      <c r="U143" s="39"/>
      <c r="V143" s="39"/>
      <c r="W143" s="39"/>
      <c r="X143" s="38"/>
      <c r="Y143" s="38"/>
      <c r="Z143" s="38"/>
      <c r="AA143" s="38"/>
      <c r="AB143" s="39"/>
      <c r="AC143" s="39"/>
      <c r="AD143" s="38"/>
      <c r="AE143" s="38"/>
      <c r="AF143" s="37">
        <f t="shared" si="23"/>
        <v>-179.99571428571429</v>
      </c>
      <c r="AG143" s="40">
        <f t="shared" si="24"/>
        <v>4.2857142857144481E-3</v>
      </c>
    </row>
    <row r="144" spans="1:33" s="29" customFormat="1" ht="23.25" customHeight="1" x14ac:dyDescent="0.2">
      <c r="A144" s="69">
        <v>43677</v>
      </c>
      <c r="B144" s="19"/>
      <c r="C144" s="20" t="s">
        <v>80</v>
      </c>
      <c r="D144" s="20" t="s">
        <v>181</v>
      </c>
      <c r="E144" s="20" t="s">
        <v>649</v>
      </c>
      <c r="F144" s="21">
        <v>23482</v>
      </c>
      <c r="G144" s="22" t="s">
        <v>80</v>
      </c>
      <c r="H144" s="70"/>
      <c r="I144" s="70"/>
      <c r="J144" s="70"/>
      <c r="K144" s="70">
        <v>274</v>
      </c>
      <c r="L144" s="24">
        <v>0.01</v>
      </c>
      <c r="M144" s="25">
        <f t="shared" si="20"/>
        <v>244.64285714285711</v>
      </c>
      <c r="N144" s="25">
        <f t="shared" si="21"/>
        <v>29.357142857142851</v>
      </c>
      <c r="O144" s="25">
        <f t="shared" si="22"/>
        <v>-2.4464285714285712</v>
      </c>
      <c r="P144" s="25">
        <v>244.64</v>
      </c>
      <c r="Q144" s="26"/>
      <c r="R144" s="26"/>
      <c r="S144" s="27"/>
      <c r="T144" s="27"/>
      <c r="U144" s="27"/>
      <c r="V144" s="27"/>
      <c r="W144" s="27"/>
      <c r="X144" s="26"/>
      <c r="Y144" s="26"/>
      <c r="Z144" s="26"/>
      <c r="AA144" s="26"/>
      <c r="AB144" s="27"/>
      <c r="AC144" s="27"/>
      <c r="AD144" s="26"/>
      <c r="AE144" s="26"/>
      <c r="AF144" s="25">
        <f t="shared" si="23"/>
        <v>-271.55071428571426</v>
      </c>
      <c r="AG144" s="28">
        <f t="shared" si="24"/>
        <v>2.8571428571648738E-3</v>
      </c>
    </row>
    <row r="145" spans="1:33" s="29" customFormat="1" ht="23.25" hidden="1" customHeight="1" x14ac:dyDescent="0.2">
      <c r="A145" s="69">
        <v>43677</v>
      </c>
      <c r="B145" s="19"/>
      <c r="C145" s="20" t="s">
        <v>37</v>
      </c>
      <c r="D145" s="20" t="s">
        <v>38</v>
      </c>
      <c r="E145" s="20" t="s">
        <v>39</v>
      </c>
      <c r="F145" s="21">
        <v>36705</v>
      </c>
      <c r="G145" s="22" t="s">
        <v>641</v>
      </c>
      <c r="H145" s="70"/>
      <c r="I145" s="70"/>
      <c r="J145" s="70"/>
      <c r="K145" s="70">
        <v>194</v>
      </c>
      <c r="L145" s="24"/>
      <c r="M145" s="25">
        <f t="shared" si="20"/>
        <v>173.21428571428569</v>
      </c>
      <c r="N145" s="25">
        <f t="shared" si="21"/>
        <v>20.785714285714281</v>
      </c>
      <c r="O145" s="25">
        <f t="shared" si="22"/>
        <v>0</v>
      </c>
      <c r="P145" s="25">
        <v>173.21</v>
      </c>
      <c r="Q145" s="26"/>
      <c r="R145" s="26"/>
      <c r="S145" s="27"/>
      <c r="T145" s="27"/>
      <c r="U145" s="27"/>
      <c r="V145" s="27"/>
      <c r="W145" s="27"/>
      <c r="X145" s="26"/>
      <c r="Y145" s="26"/>
      <c r="Z145" s="26"/>
      <c r="AA145" s="26"/>
      <c r="AB145" s="27"/>
      <c r="AC145" s="27"/>
      <c r="AD145" s="26"/>
      <c r="AE145" s="26"/>
      <c r="AF145" s="25">
        <f t="shared" si="23"/>
        <v>-193.99571428571429</v>
      </c>
      <c r="AG145" s="28">
        <f t="shared" si="24"/>
        <v>4.2857142857144481E-3</v>
      </c>
    </row>
    <row r="146" spans="1:33" s="29" customFormat="1" ht="23.25" hidden="1" customHeight="1" x14ac:dyDescent="0.2">
      <c r="A146" s="69">
        <v>43677</v>
      </c>
      <c r="B146" s="19"/>
      <c r="C146" s="20" t="s">
        <v>37</v>
      </c>
      <c r="D146" s="20" t="s">
        <v>38</v>
      </c>
      <c r="E146" s="20" t="s">
        <v>39</v>
      </c>
      <c r="F146" s="21">
        <v>36709</v>
      </c>
      <c r="G146" s="22" t="s">
        <v>799</v>
      </c>
      <c r="H146" s="70"/>
      <c r="I146" s="70"/>
      <c r="J146" s="70"/>
      <c r="K146" s="70">
        <v>350.5</v>
      </c>
      <c r="L146" s="24"/>
      <c r="M146" s="25">
        <f t="shared" si="20"/>
        <v>312.94642857142856</v>
      </c>
      <c r="N146" s="25">
        <f t="shared" si="21"/>
        <v>37.553571428571423</v>
      </c>
      <c r="O146" s="25">
        <f t="shared" si="22"/>
        <v>0</v>
      </c>
      <c r="P146" s="25">
        <v>312.95</v>
      </c>
      <c r="Q146" s="26"/>
      <c r="R146" s="26"/>
      <c r="S146" s="27"/>
      <c r="T146" s="27"/>
      <c r="U146" s="27"/>
      <c r="V146" s="27"/>
      <c r="W146" s="27"/>
      <c r="X146" s="26"/>
      <c r="Y146" s="26"/>
      <c r="Z146" s="26"/>
      <c r="AA146" s="26"/>
      <c r="AB146" s="27"/>
      <c r="AC146" s="27"/>
      <c r="AD146" s="26"/>
      <c r="AE146" s="26"/>
      <c r="AF146" s="25">
        <f t="shared" si="23"/>
        <v>-350.50357142857143</v>
      </c>
      <c r="AG146" s="28">
        <f t="shared" si="24"/>
        <v>-3.5714285714334437E-3</v>
      </c>
    </row>
    <row r="147" spans="1:33" s="29" customFormat="1" ht="23.25" hidden="1" customHeight="1" x14ac:dyDescent="0.2">
      <c r="A147" s="69">
        <v>43677</v>
      </c>
      <c r="B147" s="19"/>
      <c r="C147" s="20" t="s">
        <v>37</v>
      </c>
      <c r="D147" s="20" t="s">
        <v>38</v>
      </c>
      <c r="E147" s="20" t="s">
        <v>39</v>
      </c>
      <c r="F147" s="21">
        <v>69241</v>
      </c>
      <c r="G147" s="22" t="s">
        <v>800</v>
      </c>
      <c r="H147" s="70"/>
      <c r="I147" s="70"/>
      <c r="J147" s="70"/>
      <c r="K147" s="70">
        <v>51.62</v>
      </c>
      <c r="L147" s="24"/>
      <c r="M147" s="25">
        <f t="shared" si="20"/>
        <v>46.089285714285708</v>
      </c>
      <c r="N147" s="25">
        <f t="shared" si="21"/>
        <v>5.5307142857142848</v>
      </c>
      <c r="O147" s="25">
        <f t="shared" si="22"/>
        <v>0</v>
      </c>
      <c r="P147" s="25"/>
      <c r="Q147" s="26"/>
      <c r="R147" s="26"/>
      <c r="S147" s="27"/>
      <c r="T147" s="27"/>
      <c r="U147" s="27"/>
      <c r="V147" s="27"/>
      <c r="W147" s="27"/>
      <c r="X147" s="26"/>
      <c r="Y147" s="26"/>
      <c r="Z147" s="26"/>
      <c r="AA147" s="26"/>
      <c r="AB147" s="27"/>
      <c r="AC147" s="27"/>
      <c r="AD147" s="26"/>
      <c r="AE147" s="26">
        <v>46.09</v>
      </c>
      <c r="AF147" s="25">
        <f t="shared" si="23"/>
        <v>-51.620714285714286</v>
      </c>
      <c r="AG147" s="28">
        <f t="shared" si="24"/>
        <v>-7.1428571428810983E-4</v>
      </c>
    </row>
    <row r="148" spans="1:33" s="29" customFormat="1" ht="23.25" hidden="1" customHeight="1" x14ac:dyDescent="0.2">
      <c r="A148" s="69">
        <v>43677</v>
      </c>
      <c r="B148" s="19"/>
      <c r="C148" s="20" t="s">
        <v>37</v>
      </c>
      <c r="D148" s="20" t="s">
        <v>38</v>
      </c>
      <c r="E148" s="20" t="s">
        <v>39</v>
      </c>
      <c r="F148" s="21">
        <v>36714</v>
      </c>
      <c r="G148" s="22" t="s">
        <v>183</v>
      </c>
      <c r="H148" s="70"/>
      <c r="I148" s="70"/>
      <c r="J148" s="70"/>
      <c r="K148" s="70">
        <v>117</v>
      </c>
      <c r="L148" s="24"/>
      <c r="M148" s="25">
        <f t="shared" si="20"/>
        <v>104.46428571428571</v>
      </c>
      <c r="N148" s="25">
        <f t="shared" si="21"/>
        <v>12.535714285714285</v>
      </c>
      <c r="O148" s="25">
        <f t="shared" si="22"/>
        <v>0</v>
      </c>
      <c r="P148" s="25">
        <v>104.46</v>
      </c>
      <c r="Q148" s="26"/>
      <c r="R148" s="26"/>
      <c r="S148" s="27"/>
      <c r="T148" s="27"/>
      <c r="U148" s="27"/>
      <c r="V148" s="27"/>
      <c r="W148" s="27"/>
      <c r="X148" s="26"/>
      <c r="Y148" s="26"/>
      <c r="Z148" s="26"/>
      <c r="AA148" s="26"/>
      <c r="AB148" s="27"/>
      <c r="AC148" s="27"/>
      <c r="AD148" s="26"/>
      <c r="AE148" s="26"/>
      <c r="AF148" s="25">
        <f t="shared" si="23"/>
        <v>-116.99571428571429</v>
      </c>
      <c r="AG148" s="28">
        <f t="shared" si="24"/>
        <v>4.2857142857144481E-3</v>
      </c>
    </row>
    <row r="149" spans="1:33" s="29" customFormat="1" ht="23.25" hidden="1" customHeight="1" x14ac:dyDescent="0.2">
      <c r="A149" s="69">
        <v>43677</v>
      </c>
      <c r="B149" s="19"/>
      <c r="C149" s="20" t="s">
        <v>45</v>
      </c>
      <c r="D149" s="20" t="s">
        <v>46</v>
      </c>
      <c r="E149" s="20" t="s">
        <v>47</v>
      </c>
      <c r="F149" s="21">
        <v>190564</v>
      </c>
      <c r="G149" s="22" t="s">
        <v>801</v>
      </c>
      <c r="H149" s="70"/>
      <c r="I149" s="70"/>
      <c r="J149" s="70">
        <v>767.3</v>
      </c>
      <c r="K149" s="70"/>
      <c r="L149" s="24"/>
      <c r="M149" s="25">
        <f t="shared" si="20"/>
        <v>767.3</v>
      </c>
      <c r="N149" s="25">
        <f t="shared" si="21"/>
        <v>0</v>
      </c>
      <c r="O149" s="25">
        <f t="shared" si="22"/>
        <v>0</v>
      </c>
      <c r="P149" s="25">
        <v>767.3</v>
      </c>
      <c r="Q149" s="26"/>
      <c r="R149" s="26"/>
      <c r="S149" s="27"/>
      <c r="T149" s="27"/>
      <c r="U149" s="27"/>
      <c r="V149" s="27"/>
      <c r="W149" s="27"/>
      <c r="X149" s="26"/>
      <c r="Y149" s="26"/>
      <c r="Z149" s="26"/>
      <c r="AA149" s="26"/>
      <c r="AB149" s="27"/>
      <c r="AC149" s="27"/>
      <c r="AD149" s="26"/>
      <c r="AE149" s="26"/>
      <c r="AF149" s="25">
        <f t="shared" si="23"/>
        <v>-767.3</v>
      </c>
      <c r="AG149" s="28">
        <f t="shared" si="24"/>
        <v>0</v>
      </c>
    </row>
    <row r="150" spans="1:33" s="29" customFormat="1" ht="23.25" hidden="1" customHeight="1" x14ac:dyDescent="0.2">
      <c r="A150" s="69">
        <v>43677</v>
      </c>
      <c r="B150" s="19"/>
      <c r="C150" s="20" t="s">
        <v>45</v>
      </c>
      <c r="D150" s="20" t="s">
        <v>46</v>
      </c>
      <c r="E150" s="20" t="s">
        <v>47</v>
      </c>
      <c r="F150" s="21">
        <v>190564</v>
      </c>
      <c r="G150" s="22" t="s">
        <v>802</v>
      </c>
      <c r="H150" s="70"/>
      <c r="I150" s="70"/>
      <c r="J150" s="70"/>
      <c r="K150" s="70">
        <f>393.3+47.2</f>
        <v>440.5</v>
      </c>
      <c r="L150" s="24"/>
      <c r="M150" s="25">
        <f t="shared" si="20"/>
        <v>393.30357142857139</v>
      </c>
      <c r="N150" s="25">
        <f t="shared" si="21"/>
        <v>47.196428571428562</v>
      </c>
      <c r="O150" s="25">
        <f t="shared" si="22"/>
        <v>0</v>
      </c>
      <c r="P150" s="25">
        <v>393.3</v>
      </c>
      <c r="Q150" s="26"/>
      <c r="R150" s="26"/>
      <c r="S150" s="27"/>
      <c r="T150" s="27"/>
      <c r="U150" s="27"/>
      <c r="V150" s="27"/>
      <c r="W150" s="27"/>
      <c r="X150" s="26"/>
      <c r="Y150" s="26"/>
      <c r="Z150" s="26"/>
      <c r="AA150" s="26"/>
      <c r="AB150" s="27"/>
      <c r="AC150" s="27"/>
      <c r="AD150" s="26"/>
      <c r="AE150" s="26"/>
      <c r="AF150" s="25">
        <f t="shared" si="23"/>
        <v>-440.49642857142857</v>
      </c>
      <c r="AG150" s="28">
        <f t="shared" si="24"/>
        <v>3.5714285714334437E-3</v>
      </c>
    </row>
    <row r="151" spans="1:33" s="29" customFormat="1" ht="23.25" hidden="1" customHeight="1" x14ac:dyDescent="0.2">
      <c r="A151" s="69">
        <v>43677</v>
      </c>
      <c r="B151" s="19"/>
      <c r="C151" s="20" t="s">
        <v>62</v>
      </c>
      <c r="D151" s="20"/>
      <c r="E151" s="20"/>
      <c r="F151" s="21"/>
      <c r="G151" s="22" t="s">
        <v>730</v>
      </c>
      <c r="H151" s="70">
        <v>60</v>
      </c>
      <c r="I151" s="70"/>
      <c r="J151" s="70"/>
      <c r="K151" s="70"/>
      <c r="L151" s="24"/>
      <c r="M151" s="25">
        <f t="shared" si="20"/>
        <v>60</v>
      </c>
      <c r="N151" s="25">
        <f t="shared" si="21"/>
        <v>0</v>
      </c>
      <c r="O151" s="25">
        <f t="shared" si="22"/>
        <v>0</v>
      </c>
      <c r="P151" s="25"/>
      <c r="Q151" s="26"/>
      <c r="R151" s="26"/>
      <c r="S151" s="27"/>
      <c r="T151" s="27"/>
      <c r="U151" s="27"/>
      <c r="V151" s="27"/>
      <c r="W151" s="27"/>
      <c r="X151" s="26"/>
      <c r="Y151" s="26"/>
      <c r="Z151" s="26"/>
      <c r="AA151" s="26">
        <v>60</v>
      </c>
      <c r="AB151" s="27"/>
      <c r="AC151" s="27"/>
      <c r="AD151" s="26"/>
      <c r="AE151" s="26"/>
      <c r="AF151" s="25">
        <f t="shared" si="23"/>
        <v>-60</v>
      </c>
      <c r="AG151" s="28">
        <f t="shared" si="24"/>
        <v>0</v>
      </c>
    </row>
    <row r="152" spans="1:33" s="29" customFormat="1" ht="23.25" customHeight="1" x14ac:dyDescent="0.2">
      <c r="A152" s="69"/>
      <c r="B152" s="19"/>
      <c r="C152" s="20"/>
      <c r="D152" s="20"/>
      <c r="E152" s="20"/>
      <c r="F152" s="21"/>
      <c r="G152" s="22"/>
      <c r="H152" s="70"/>
      <c r="I152" s="70"/>
      <c r="J152" s="70"/>
      <c r="K152" s="70"/>
      <c r="L152" s="24"/>
      <c r="M152" s="25">
        <f t="shared" si="20"/>
        <v>0</v>
      </c>
      <c r="N152" s="25">
        <f t="shared" si="21"/>
        <v>0</v>
      </c>
      <c r="O152" s="25">
        <f t="shared" si="22"/>
        <v>0</v>
      </c>
      <c r="P152" s="25"/>
      <c r="Q152" s="26"/>
      <c r="R152" s="26"/>
      <c r="S152" s="27"/>
      <c r="T152" s="27"/>
      <c r="U152" s="27"/>
      <c r="V152" s="27"/>
      <c r="W152" s="27"/>
      <c r="X152" s="26"/>
      <c r="Y152" s="26"/>
      <c r="Z152" s="26"/>
      <c r="AA152" s="26"/>
      <c r="AB152" s="27"/>
      <c r="AC152" s="27"/>
      <c r="AD152" s="26"/>
      <c r="AE152" s="26"/>
      <c r="AF152" s="25">
        <f t="shared" si="23"/>
        <v>0</v>
      </c>
      <c r="AG152" s="28">
        <f t="shared" si="24"/>
        <v>0</v>
      </c>
    </row>
    <row r="153" spans="1:33" s="29" customFormat="1" ht="19.5" customHeight="1" x14ac:dyDescent="0.2">
      <c r="A153" s="69"/>
      <c r="B153" s="19"/>
      <c r="C153" s="45"/>
      <c r="D153" s="45"/>
      <c r="E153" s="45"/>
      <c r="F153" s="21"/>
      <c r="G153" s="22"/>
      <c r="H153" s="70"/>
      <c r="I153" s="70"/>
      <c r="J153" s="70"/>
      <c r="K153" s="70"/>
      <c r="L153" s="24"/>
      <c r="M153" s="26">
        <f t="shared" si="20"/>
        <v>0</v>
      </c>
      <c r="N153" s="26">
        <f t="shared" si="21"/>
        <v>0</v>
      </c>
      <c r="O153" s="26">
        <f t="shared" si="22"/>
        <v>0</v>
      </c>
      <c r="P153" s="26"/>
      <c r="Q153" s="26"/>
      <c r="R153" s="26"/>
      <c r="S153" s="26"/>
      <c r="T153" s="27"/>
      <c r="U153" s="27"/>
      <c r="V153" s="27"/>
      <c r="W153" s="27"/>
      <c r="X153" s="27"/>
      <c r="Y153" s="46"/>
      <c r="Z153" s="26"/>
      <c r="AA153" s="26"/>
      <c r="AB153" s="26"/>
      <c r="AC153" s="27"/>
      <c r="AD153" s="27"/>
      <c r="AE153" s="47"/>
      <c r="AF153" s="25">
        <f t="shared" si="23"/>
        <v>0</v>
      </c>
      <c r="AG153" s="28">
        <f t="shared" si="24"/>
        <v>0</v>
      </c>
    </row>
    <row r="154" spans="1:33" s="57" customFormat="1" ht="12" customHeight="1" x14ac:dyDescent="0.2">
      <c r="A154" s="82"/>
      <c r="B154" s="50"/>
      <c r="C154" s="51"/>
      <c r="D154" s="52"/>
      <c r="E154" s="52"/>
      <c r="F154" s="53"/>
      <c r="G154" s="51"/>
      <c r="H154" s="83">
        <f t="shared" ref="H154:AG154" si="25">SUM(H5:H153)</f>
        <v>4276.3</v>
      </c>
      <c r="I154" s="83">
        <f t="shared" si="25"/>
        <v>0</v>
      </c>
      <c r="J154" s="83">
        <f t="shared" si="25"/>
        <v>13252.050000000001</v>
      </c>
      <c r="K154" s="83">
        <f t="shared" si="25"/>
        <v>59301.30000000001</v>
      </c>
      <c r="L154" s="54">
        <f t="shared" si="25"/>
        <v>0.09</v>
      </c>
      <c r="M154" s="54">
        <f t="shared" si="25"/>
        <v>70475.939285714267</v>
      </c>
      <c r="N154" s="54">
        <f t="shared" si="25"/>
        <v>6353.7107142857194</v>
      </c>
      <c r="O154" s="54">
        <f t="shared" si="25"/>
        <v>-101.90178571428569</v>
      </c>
      <c r="P154" s="54">
        <f t="shared" si="25"/>
        <v>52033.88</v>
      </c>
      <c r="Q154" s="54">
        <f t="shared" si="25"/>
        <v>8289.4199999999983</v>
      </c>
      <c r="R154" s="54">
        <f t="shared" si="25"/>
        <v>0</v>
      </c>
      <c r="S154" s="54">
        <f t="shared" si="25"/>
        <v>41.96</v>
      </c>
      <c r="T154" s="54">
        <f t="shared" si="25"/>
        <v>1550.22</v>
      </c>
      <c r="U154" s="54">
        <f t="shared" si="25"/>
        <v>0</v>
      </c>
      <c r="V154" s="54">
        <f t="shared" si="25"/>
        <v>0</v>
      </c>
      <c r="W154" s="54">
        <f t="shared" si="25"/>
        <v>0</v>
      </c>
      <c r="X154" s="54">
        <f t="shared" si="25"/>
        <v>597.32000000000005</v>
      </c>
      <c r="Y154" s="54">
        <f t="shared" si="25"/>
        <v>3047.76</v>
      </c>
      <c r="Z154" s="54">
        <f t="shared" si="25"/>
        <v>76.789999999999992</v>
      </c>
      <c r="AA154" s="54">
        <f t="shared" si="25"/>
        <v>1580</v>
      </c>
      <c r="AB154" s="54">
        <f t="shared" si="25"/>
        <v>2685</v>
      </c>
      <c r="AC154" s="54">
        <f t="shared" si="25"/>
        <v>0</v>
      </c>
      <c r="AD154" s="54">
        <f t="shared" si="25"/>
        <v>179.16000000000003</v>
      </c>
      <c r="AE154" s="54">
        <f t="shared" si="25"/>
        <v>46.09</v>
      </c>
      <c r="AF154" s="54">
        <f t="shared" si="25"/>
        <v>-76379.408928571458</v>
      </c>
      <c r="AG154" s="54">
        <f t="shared" si="25"/>
        <v>348.33928571428709</v>
      </c>
    </row>
    <row r="161" spans="17:17" x14ac:dyDescent="0.25">
      <c r="Q161" s="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43"/>
  <sheetViews>
    <sheetView topLeftCell="A22" zoomScale="90" zoomScaleNormal="90" workbookViewId="0"/>
  </sheetViews>
  <sheetFormatPr defaultRowHeight="13.2" x14ac:dyDescent="0.25"/>
  <cols>
    <col min="1" max="1" width="10.21875" style="84" customWidth="1"/>
    <col min="2" max="2" width="9.21875" style="85" hidden="1" customWidth="1"/>
    <col min="3" max="3" width="30.21875" style="86" customWidth="1"/>
    <col min="4" max="4" width="17.6640625" style="87" hidden="1" customWidth="1"/>
    <col min="5" max="5" width="35.33203125" style="87" hidden="1" customWidth="1"/>
    <col min="6" max="6" width="9.88671875" style="85" customWidth="1"/>
    <col min="7" max="7" width="38.6640625" style="86" customWidth="1"/>
    <col min="8" max="8" width="9.88671875" style="88" customWidth="1"/>
    <col min="9" max="9" width="10.6640625" style="88" hidden="1" customWidth="1"/>
    <col min="10" max="10" width="12.21875" style="88" customWidth="1"/>
    <col min="11" max="11" width="12.5546875" style="88" customWidth="1"/>
    <col min="12" max="12" width="6.44140625" style="89" customWidth="1"/>
    <col min="13" max="13" width="11.6640625" style="88" customWidth="1"/>
    <col min="14" max="14" width="10.21875" style="88" customWidth="1"/>
    <col min="15" max="15" width="8.21875" style="88" customWidth="1"/>
    <col min="16" max="16" width="10.21875" style="88" customWidth="1"/>
    <col min="17" max="17" width="12.5546875" style="88" customWidth="1"/>
    <col min="18" max="18" width="11.5546875" style="88"/>
    <col min="19" max="19" width="10.21875" style="88" customWidth="1"/>
    <col min="20" max="21" width="11.5546875" style="88"/>
    <col min="22" max="22" width="13.33203125" style="88" customWidth="1"/>
    <col min="23" max="23" width="10.21875" style="88" customWidth="1"/>
    <col min="24" max="24" width="12.44140625" style="88" customWidth="1"/>
    <col min="25" max="25" width="11.6640625" style="88" customWidth="1"/>
    <col min="26" max="26" width="10.44140625" style="88" customWidth="1"/>
    <col min="27" max="27" width="9" style="88" customWidth="1"/>
    <col min="28" max="28" width="11.33203125" style="88" customWidth="1"/>
    <col min="29" max="30" width="10.109375" style="88" customWidth="1"/>
    <col min="31" max="31" width="12.77734375" style="88" customWidth="1"/>
    <col min="32" max="32" width="13.33203125" style="88" customWidth="1"/>
    <col min="33" max="33" width="7" style="86" customWidth="1"/>
    <col min="34" max="1025" width="11.5546875" style="86"/>
  </cols>
  <sheetData>
    <row r="1" spans="1:33" ht="12" customHeight="1" x14ac:dyDescent="0.25">
      <c r="A1" s="90" t="s">
        <v>0</v>
      </c>
      <c r="C1" s="91"/>
    </row>
    <row r="2" spans="1:33" ht="12" customHeight="1" x14ac:dyDescent="0.25">
      <c r="A2" s="90" t="s">
        <v>1</v>
      </c>
    </row>
    <row r="3" spans="1:33" ht="12" customHeight="1" x14ac:dyDescent="0.25">
      <c r="A3" s="90" t="s">
        <v>803</v>
      </c>
      <c r="B3" s="91"/>
      <c r="C3" s="92"/>
      <c r="N3" s="93">
        <v>1301</v>
      </c>
      <c r="O3" s="93">
        <v>2402</v>
      </c>
      <c r="P3" s="93">
        <v>5001</v>
      </c>
      <c r="Q3" s="93">
        <v>5002</v>
      </c>
      <c r="R3" s="93">
        <v>6220</v>
      </c>
      <c r="S3" s="93">
        <v>6219</v>
      </c>
      <c r="T3" s="93">
        <v>6212</v>
      </c>
      <c r="U3" s="93"/>
      <c r="V3" s="93"/>
      <c r="W3" s="93"/>
      <c r="X3" s="93"/>
      <c r="Y3" s="93" t="s">
        <v>3</v>
      </c>
      <c r="Z3" s="93"/>
      <c r="AA3" s="93">
        <v>6230</v>
      </c>
      <c r="AB3" s="93" t="s">
        <v>4</v>
      </c>
      <c r="AC3" s="93">
        <v>6202</v>
      </c>
      <c r="AD3" s="93"/>
      <c r="AE3" s="93">
        <v>6109</v>
      </c>
      <c r="AF3" s="93">
        <v>1002</v>
      </c>
    </row>
    <row r="4" spans="1:33" s="101" customFormat="1" ht="44.25" customHeight="1" x14ac:dyDescent="0.25">
      <c r="A4" s="94" t="s">
        <v>5</v>
      </c>
      <c r="B4" s="95" t="s">
        <v>6</v>
      </c>
      <c r="C4" s="95" t="s">
        <v>7</v>
      </c>
      <c r="D4" s="95" t="s">
        <v>8</v>
      </c>
      <c r="E4" s="95" t="s">
        <v>9</v>
      </c>
      <c r="F4" s="95" t="s">
        <v>10</v>
      </c>
      <c r="G4" s="95" t="s">
        <v>11</v>
      </c>
      <c r="H4" s="95" t="s">
        <v>12</v>
      </c>
      <c r="I4" s="95" t="s">
        <v>13</v>
      </c>
      <c r="J4" s="95" t="s">
        <v>14</v>
      </c>
      <c r="K4" s="95" t="s">
        <v>15</v>
      </c>
      <c r="L4" s="96" t="s">
        <v>16</v>
      </c>
      <c r="M4" s="95" t="s">
        <v>17</v>
      </c>
      <c r="N4" s="97" t="s">
        <v>18</v>
      </c>
      <c r="O4" s="97" t="s">
        <v>19</v>
      </c>
      <c r="P4" s="97" t="s">
        <v>20</v>
      </c>
      <c r="Q4" s="97" t="s">
        <v>21</v>
      </c>
      <c r="R4" s="97" t="s">
        <v>22</v>
      </c>
      <c r="S4" s="97" t="s">
        <v>23</v>
      </c>
      <c r="T4" s="97" t="s">
        <v>24</v>
      </c>
      <c r="U4" s="97" t="s">
        <v>25</v>
      </c>
      <c r="V4" s="97" t="s">
        <v>26</v>
      </c>
      <c r="W4" s="97" t="s">
        <v>27</v>
      </c>
      <c r="X4" s="97" t="s">
        <v>28</v>
      </c>
      <c r="Y4" s="97" t="s">
        <v>29</v>
      </c>
      <c r="Z4" s="97" t="s">
        <v>30</v>
      </c>
      <c r="AA4" s="97" t="s">
        <v>31</v>
      </c>
      <c r="AB4" s="97" t="s">
        <v>32</v>
      </c>
      <c r="AC4" s="98" t="s">
        <v>33</v>
      </c>
      <c r="AD4" s="97" t="s">
        <v>34</v>
      </c>
      <c r="AE4" s="99" t="s">
        <v>35</v>
      </c>
      <c r="AF4" s="100" t="s">
        <v>36</v>
      </c>
    </row>
    <row r="5" spans="1:33" s="110" customFormat="1" ht="23.25" customHeight="1" x14ac:dyDescent="0.2">
      <c r="A5" s="18">
        <v>43711</v>
      </c>
      <c r="B5" s="102"/>
      <c r="C5" s="20" t="s">
        <v>157</v>
      </c>
      <c r="D5" s="20"/>
      <c r="E5" s="20"/>
      <c r="F5" s="103"/>
      <c r="G5" s="104" t="s">
        <v>804</v>
      </c>
      <c r="H5" s="23">
        <v>120</v>
      </c>
      <c r="I5" s="23"/>
      <c r="J5" s="23"/>
      <c r="K5" s="23"/>
      <c r="L5" s="105"/>
      <c r="M5" s="106">
        <f t="shared" ref="M5:M33" si="0">SUM(H5:J5,K5/1.12)</f>
        <v>120</v>
      </c>
      <c r="N5" s="106">
        <f t="shared" ref="N5:N33" si="1">K5/1.12*0.12</f>
        <v>0</v>
      </c>
      <c r="O5" s="106">
        <f t="shared" ref="O5:O12" si="2">-SUM(I5:J5,K5/1.12)*L5</f>
        <v>0</v>
      </c>
      <c r="P5" s="106"/>
      <c r="Q5" s="107"/>
      <c r="R5" s="107"/>
      <c r="S5" s="108"/>
      <c r="T5" s="108"/>
      <c r="U5" s="108"/>
      <c r="V5" s="108"/>
      <c r="W5" s="108"/>
      <c r="X5" s="107"/>
      <c r="Y5" s="107"/>
      <c r="Z5" s="107"/>
      <c r="AA5" s="107"/>
      <c r="AB5" s="108"/>
      <c r="AC5" s="108"/>
      <c r="AD5" s="107"/>
      <c r="AE5" s="107">
        <v>120</v>
      </c>
      <c r="AF5" s="106">
        <f t="shared" ref="AF5:AF33" si="3">-SUM(N5:AE5)</f>
        <v>-120</v>
      </c>
      <c r="AG5" s="109">
        <f t="shared" ref="AG5:AG33" si="4">SUM(H5:K5)+AF5+O5</f>
        <v>0</v>
      </c>
    </row>
    <row r="6" spans="1:33" s="110" customFormat="1" ht="23.25" customHeight="1" x14ac:dyDescent="0.2">
      <c r="A6" s="18">
        <v>43692</v>
      </c>
      <c r="B6" s="102"/>
      <c r="C6" s="20" t="s">
        <v>62</v>
      </c>
      <c r="D6" s="20"/>
      <c r="E6" s="20"/>
      <c r="F6" s="103"/>
      <c r="G6" s="104" t="s">
        <v>805</v>
      </c>
      <c r="H6" s="23">
        <v>60</v>
      </c>
      <c r="I6" s="23"/>
      <c r="J6" s="23"/>
      <c r="K6" s="23"/>
      <c r="L6" s="105"/>
      <c r="M6" s="106">
        <f t="shared" si="0"/>
        <v>60</v>
      </c>
      <c r="N6" s="106">
        <f t="shared" si="1"/>
        <v>0</v>
      </c>
      <c r="O6" s="106">
        <f t="shared" si="2"/>
        <v>0</v>
      </c>
      <c r="P6" s="106"/>
      <c r="Q6" s="107"/>
      <c r="R6" s="107"/>
      <c r="S6" s="108"/>
      <c r="T6" s="108"/>
      <c r="U6" s="108"/>
      <c r="V6" s="108"/>
      <c r="W6" s="108"/>
      <c r="X6" s="107"/>
      <c r="Y6" s="107"/>
      <c r="Z6" s="107"/>
      <c r="AA6" s="107"/>
      <c r="AB6" s="108"/>
      <c r="AC6" s="108"/>
      <c r="AD6" s="107"/>
      <c r="AE6" s="107">
        <v>60</v>
      </c>
      <c r="AF6" s="106">
        <f t="shared" si="3"/>
        <v>-60</v>
      </c>
      <c r="AG6" s="109">
        <f t="shared" si="4"/>
        <v>0</v>
      </c>
    </row>
    <row r="7" spans="1:33" s="110" customFormat="1" ht="23.25" customHeight="1" x14ac:dyDescent="0.2">
      <c r="A7" s="18">
        <v>43693</v>
      </c>
      <c r="B7" s="102"/>
      <c r="C7" s="20" t="s">
        <v>58</v>
      </c>
      <c r="D7" s="20"/>
      <c r="E7" s="20"/>
      <c r="F7" s="103"/>
      <c r="G7" s="104" t="s">
        <v>806</v>
      </c>
      <c r="H7" s="23">
        <v>50</v>
      </c>
      <c r="I7" s="23"/>
      <c r="J7" s="23"/>
      <c r="K7" s="23"/>
      <c r="L7" s="105"/>
      <c r="M7" s="106">
        <f t="shared" si="0"/>
        <v>50</v>
      </c>
      <c r="N7" s="106">
        <f t="shared" si="1"/>
        <v>0</v>
      </c>
      <c r="O7" s="106">
        <f t="shared" si="2"/>
        <v>0</v>
      </c>
      <c r="P7" s="106"/>
      <c r="Q7" s="107"/>
      <c r="R7" s="107"/>
      <c r="S7" s="108"/>
      <c r="T7" s="108"/>
      <c r="U7" s="108"/>
      <c r="V7" s="108"/>
      <c r="W7" s="108"/>
      <c r="X7" s="107"/>
      <c r="Y7" s="107"/>
      <c r="Z7" s="107"/>
      <c r="AA7" s="107">
        <v>50</v>
      </c>
      <c r="AB7" s="108"/>
      <c r="AC7" s="108"/>
      <c r="AD7" s="107"/>
      <c r="AE7" s="107"/>
      <c r="AF7" s="106">
        <f t="shared" si="3"/>
        <v>-50</v>
      </c>
      <c r="AG7" s="109">
        <f t="shared" si="4"/>
        <v>0</v>
      </c>
    </row>
    <row r="8" spans="1:33" s="110" customFormat="1" ht="23.25" customHeight="1" x14ac:dyDescent="0.2">
      <c r="A8" s="18">
        <v>43693</v>
      </c>
      <c r="B8" s="102"/>
      <c r="C8" s="20" t="s">
        <v>58</v>
      </c>
      <c r="D8" s="20"/>
      <c r="E8" s="20"/>
      <c r="F8" s="103"/>
      <c r="G8" s="104" t="s">
        <v>807</v>
      </c>
      <c r="H8" s="23">
        <v>60</v>
      </c>
      <c r="I8" s="23"/>
      <c r="J8" s="23"/>
      <c r="K8" s="23"/>
      <c r="L8" s="105"/>
      <c r="M8" s="106">
        <f t="shared" si="0"/>
        <v>60</v>
      </c>
      <c r="N8" s="106">
        <f t="shared" si="1"/>
        <v>0</v>
      </c>
      <c r="O8" s="106">
        <f t="shared" si="2"/>
        <v>0</v>
      </c>
      <c r="P8" s="106"/>
      <c r="Q8" s="107"/>
      <c r="R8" s="107"/>
      <c r="S8" s="108"/>
      <c r="T8" s="108"/>
      <c r="U8" s="108"/>
      <c r="V8" s="108"/>
      <c r="W8" s="108"/>
      <c r="X8" s="107"/>
      <c r="Y8" s="107"/>
      <c r="Z8" s="107"/>
      <c r="AA8" s="107"/>
      <c r="AB8" s="108"/>
      <c r="AC8" s="108"/>
      <c r="AD8" s="107"/>
      <c r="AE8" s="107">
        <v>60</v>
      </c>
      <c r="AF8" s="106">
        <f t="shared" si="3"/>
        <v>-60</v>
      </c>
      <c r="AG8" s="109">
        <f t="shared" si="4"/>
        <v>0</v>
      </c>
    </row>
    <row r="9" spans="1:33" s="110" customFormat="1" ht="23.25" customHeight="1" x14ac:dyDescent="0.2">
      <c r="A9" s="18">
        <v>43693</v>
      </c>
      <c r="B9" s="102"/>
      <c r="C9" s="20" t="s">
        <v>157</v>
      </c>
      <c r="D9" s="20"/>
      <c r="E9" s="20"/>
      <c r="F9" s="103"/>
      <c r="G9" s="104" t="s">
        <v>808</v>
      </c>
      <c r="H9" s="23">
        <v>60</v>
      </c>
      <c r="I9" s="23"/>
      <c r="J9" s="23"/>
      <c r="K9" s="23"/>
      <c r="L9" s="105"/>
      <c r="M9" s="106">
        <f t="shared" si="0"/>
        <v>60</v>
      </c>
      <c r="N9" s="106">
        <f t="shared" si="1"/>
        <v>0</v>
      </c>
      <c r="O9" s="106">
        <f t="shared" si="2"/>
        <v>0</v>
      </c>
      <c r="P9" s="106"/>
      <c r="Q9" s="107"/>
      <c r="R9" s="107"/>
      <c r="S9" s="108"/>
      <c r="T9" s="108"/>
      <c r="U9" s="108"/>
      <c r="V9" s="108"/>
      <c r="W9" s="108"/>
      <c r="X9" s="107"/>
      <c r="Y9" s="107"/>
      <c r="Z9" s="107"/>
      <c r="AA9" s="107"/>
      <c r="AB9" s="108"/>
      <c r="AC9" s="108"/>
      <c r="AD9" s="107"/>
      <c r="AE9" s="107">
        <v>60</v>
      </c>
      <c r="AF9" s="106">
        <f t="shared" si="3"/>
        <v>-60</v>
      </c>
      <c r="AG9" s="109">
        <f t="shared" si="4"/>
        <v>0</v>
      </c>
    </row>
    <row r="10" spans="1:33" s="110" customFormat="1" ht="23.25" customHeight="1" x14ac:dyDescent="0.2">
      <c r="A10" s="18">
        <v>43693</v>
      </c>
      <c r="B10" s="102"/>
      <c r="C10" s="20" t="s">
        <v>154</v>
      </c>
      <c r="D10" s="20"/>
      <c r="E10" s="20"/>
      <c r="F10" s="103"/>
      <c r="G10" s="104" t="s">
        <v>807</v>
      </c>
      <c r="H10" s="23">
        <v>60</v>
      </c>
      <c r="I10" s="23"/>
      <c r="J10" s="23"/>
      <c r="K10" s="23"/>
      <c r="L10" s="105"/>
      <c r="M10" s="106">
        <f t="shared" si="0"/>
        <v>60</v>
      </c>
      <c r="N10" s="106">
        <f t="shared" si="1"/>
        <v>0</v>
      </c>
      <c r="O10" s="106">
        <f t="shared" si="2"/>
        <v>0</v>
      </c>
      <c r="P10" s="106"/>
      <c r="Q10" s="107"/>
      <c r="R10" s="107"/>
      <c r="S10" s="108"/>
      <c r="T10" s="108"/>
      <c r="U10" s="108"/>
      <c r="V10" s="108"/>
      <c r="W10" s="108"/>
      <c r="X10" s="107"/>
      <c r="Y10" s="107"/>
      <c r="Z10" s="107"/>
      <c r="AA10" s="107"/>
      <c r="AB10" s="108"/>
      <c r="AC10" s="108"/>
      <c r="AD10" s="107"/>
      <c r="AE10" s="107">
        <v>60</v>
      </c>
      <c r="AF10" s="106">
        <f t="shared" si="3"/>
        <v>-60</v>
      </c>
      <c r="AG10" s="109">
        <f t="shared" si="4"/>
        <v>0</v>
      </c>
    </row>
    <row r="11" spans="1:33" s="110" customFormat="1" ht="23.25" customHeight="1" x14ac:dyDescent="0.2">
      <c r="A11" s="18">
        <v>43693</v>
      </c>
      <c r="B11" s="102"/>
      <c r="C11" s="20" t="s">
        <v>62</v>
      </c>
      <c r="D11" s="20"/>
      <c r="E11" s="20"/>
      <c r="F11" s="103"/>
      <c r="G11" s="104" t="s">
        <v>807</v>
      </c>
      <c r="H11" s="23">
        <v>60</v>
      </c>
      <c r="I11" s="23"/>
      <c r="J11" s="23"/>
      <c r="K11" s="23"/>
      <c r="L11" s="105"/>
      <c r="M11" s="106">
        <f t="shared" si="0"/>
        <v>60</v>
      </c>
      <c r="N11" s="106">
        <f t="shared" si="1"/>
        <v>0</v>
      </c>
      <c r="O11" s="106">
        <f t="shared" si="2"/>
        <v>0</v>
      </c>
      <c r="P11" s="106"/>
      <c r="Q11" s="107"/>
      <c r="R11" s="107"/>
      <c r="S11" s="108"/>
      <c r="T11" s="108"/>
      <c r="U11" s="108"/>
      <c r="V11" s="108"/>
      <c r="W11" s="108"/>
      <c r="X11" s="107"/>
      <c r="Y11" s="107"/>
      <c r="Z11" s="107"/>
      <c r="AA11" s="107"/>
      <c r="AB11" s="108"/>
      <c r="AC11" s="108"/>
      <c r="AD11" s="107"/>
      <c r="AE11" s="107">
        <v>60</v>
      </c>
      <c r="AF11" s="106">
        <f t="shared" si="3"/>
        <v>-60</v>
      </c>
      <c r="AG11" s="109">
        <f t="shared" si="4"/>
        <v>0</v>
      </c>
    </row>
    <row r="12" spans="1:33" s="110" customFormat="1" ht="23.25" customHeight="1" x14ac:dyDescent="0.2">
      <c r="A12" s="18">
        <v>43696</v>
      </c>
      <c r="B12" s="102"/>
      <c r="C12" s="20" t="s">
        <v>58</v>
      </c>
      <c r="D12" s="20"/>
      <c r="E12" s="20"/>
      <c r="F12" s="103"/>
      <c r="G12" s="104" t="s">
        <v>809</v>
      </c>
      <c r="H12" s="23">
        <v>120</v>
      </c>
      <c r="I12" s="23"/>
      <c r="J12" s="23"/>
      <c r="K12" s="23"/>
      <c r="L12" s="105"/>
      <c r="M12" s="106">
        <f t="shared" si="0"/>
        <v>120</v>
      </c>
      <c r="N12" s="106">
        <f t="shared" si="1"/>
        <v>0</v>
      </c>
      <c r="O12" s="106">
        <f t="shared" si="2"/>
        <v>0</v>
      </c>
      <c r="P12" s="106"/>
      <c r="Q12" s="107"/>
      <c r="R12" s="107"/>
      <c r="S12" s="108"/>
      <c r="T12" s="108"/>
      <c r="U12" s="108"/>
      <c r="V12" s="108"/>
      <c r="W12" s="108"/>
      <c r="X12" s="107"/>
      <c r="Y12" s="107"/>
      <c r="Z12" s="107"/>
      <c r="AA12" s="107"/>
      <c r="AB12" s="108"/>
      <c r="AC12" s="108"/>
      <c r="AD12" s="107"/>
      <c r="AE12" s="107">
        <v>120</v>
      </c>
      <c r="AF12" s="106">
        <f t="shared" si="3"/>
        <v>-120</v>
      </c>
      <c r="AG12" s="109">
        <f t="shared" si="4"/>
        <v>0</v>
      </c>
    </row>
    <row r="13" spans="1:33" s="110" customFormat="1" ht="23.25" customHeight="1" x14ac:dyDescent="0.2">
      <c r="A13" s="18">
        <v>43696</v>
      </c>
      <c r="B13" s="102"/>
      <c r="C13" s="20" t="s">
        <v>154</v>
      </c>
      <c r="D13" s="20"/>
      <c r="E13" s="20"/>
      <c r="F13" s="103"/>
      <c r="G13" s="104" t="s">
        <v>807</v>
      </c>
      <c r="H13" s="23">
        <v>60</v>
      </c>
      <c r="I13" s="23"/>
      <c r="J13" s="23"/>
      <c r="K13" s="23"/>
      <c r="L13" s="105"/>
      <c r="M13" s="106">
        <f t="shared" si="0"/>
        <v>60</v>
      </c>
      <c r="N13" s="106">
        <f t="shared" si="1"/>
        <v>0</v>
      </c>
      <c r="O13" s="106"/>
      <c r="P13" s="106"/>
      <c r="Q13" s="107"/>
      <c r="R13" s="107"/>
      <c r="S13" s="108"/>
      <c r="T13" s="108"/>
      <c r="U13" s="108"/>
      <c r="V13" s="108"/>
      <c r="W13" s="108"/>
      <c r="X13" s="107"/>
      <c r="Y13" s="107"/>
      <c r="Z13" s="107"/>
      <c r="AA13" s="107"/>
      <c r="AB13" s="108"/>
      <c r="AC13" s="108"/>
      <c r="AD13" s="107"/>
      <c r="AE13" s="107">
        <v>60</v>
      </c>
      <c r="AF13" s="106">
        <f t="shared" si="3"/>
        <v>-60</v>
      </c>
      <c r="AG13" s="109">
        <f t="shared" si="4"/>
        <v>0</v>
      </c>
    </row>
    <row r="14" spans="1:33" s="110" customFormat="1" ht="23.25" customHeight="1" x14ac:dyDescent="0.2">
      <c r="A14" s="18">
        <v>43696</v>
      </c>
      <c r="B14" s="102"/>
      <c r="C14" s="20" t="s">
        <v>157</v>
      </c>
      <c r="D14" s="20"/>
      <c r="E14" s="20"/>
      <c r="F14" s="103"/>
      <c r="G14" s="104" t="s">
        <v>807</v>
      </c>
      <c r="H14" s="23">
        <v>60</v>
      </c>
      <c r="I14" s="23"/>
      <c r="J14" s="23"/>
      <c r="K14" s="23"/>
      <c r="L14" s="105"/>
      <c r="M14" s="106">
        <f t="shared" si="0"/>
        <v>60</v>
      </c>
      <c r="N14" s="106">
        <f t="shared" si="1"/>
        <v>0</v>
      </c>
      <c r="O14" s="106"/>
      <c r="P14" s="106"/>
      <c r="Q14" s="107"/>
      <c r="R14" s="107"/>
      <c r="S14" s="108"/>
      <c r="T14" s="108"/>
      <c r="U14" s="108"/>
      <c r="V14" s="108"/>
      <c r="W14" s="108"/>
      <c r="X14" s="107"/>
      <c r="Y14" s="107"/>
      <c r="Z14" s="107"/>
      <c r="AA14" s="107"/>
      <c r="AB14" s="108"/>
      <c r="AC14" s="108"/>
      <c r="AD14" s="107"/>
      <c r="AE14" s="107">
        <v>60</v>
      </c>
      <c r="AF14" s="106">
        <f t="shared" si="3"/>
        <v>-60</v>
      </c>
      <c r="AG14" s="109">
        <f t="shared" si="4"/>
        <v>0</v>
      </c>
    </row>
    <row r="15" spans="1:33" s="110" customFormat="1" ht="23.25" customHeight="1" x14ac:dyDescent="0.2">
      <c r="A15" s="18">
        <v>43696</v>
      </c>
      <c r="B15" s="102"/>
      <c r="C15" s="20" t="s">
        <v>62</v>
      </c>
      <c r="D15" s="20"/>
      <c r="E15" s="20"/>
      <c r="F15" s="103"/>
      <c r="G15" s="104" t="s">
        <v>807</v>
      </c>
      <c r="H15" s="23">
        <v>60</v>
      </c>
      <c r="I15" s="23"/>
      <c r="J15" s="23"/>
      <c r="K15" s="23"/>
      <c r="L15" s="105"/>
      <c r="M15" s="106">
        <f t="shared" si="0"/>
        <v>60</v>
      </c>
      <c r="N15" s="106">
        <f t="shared" si="1"/>
        <v>0</v>
      </c>
      <c r="O15" s="106"/>
      <c r="P15" s="106"/>
      <c r="Q15" s="107"/>
      <c r="R15" s="107"/>
      <c r="S15" s="108"/>
      <c r="T15" s="108"/>
      <c r="U15" s="108"/>
      <c r="V15" s="108"/>
      <c r="W15" s="108"/>
      <c r="X15" s="107"/>
      <c r="Y15" s="107"/>
      <c r="Z15" s="107"/>
      <c r="AA15" s="107"/>
      <c r="AB15" s="108"/>
      <c r="AC15" s="108"/>
      <c r="AD15" s="107"/>
      <c r="AE15" s="107">
        <v>60</v>
      </c>
      <c r="AF15" s="106">
        <f t="shared" si="3"/>
        <v>-60</v>
      </c>
      <c r="AG15" s="109">
        <f t="shared" si="4"/>
        <v>0</v>
      </c>
    </row>
    <row r="16" spans="1:33" s="110" customFormat="1" ht="23.25" customHeight="1" x14ac:dyDescent="0.2">
      <c r="A16" s="18">
        <v>43697</v>
      </c>
      <c r="B16" s="102"/>
      <c r="C16" s="59" t="s">
        <v>157</v>
      </c>
      <c r="D16" s="20"/>
      <c r="E16" s="20"/>
      <c r="F16" s="103"/>
      <c r="G16" s="104" t="s">
        <v>807</v>
      </c>
      <c r="H16" s="23">
        <v>60</v>
      </c>
      <c r="I16" s="23"/>
      <c r="J16" s="23"/>
      <c r="K16" s="23"/>
      <c r="L16" s="105"/>
      <c r="M16" s="106">
        <f t="shared" si="0"/>
        <v>60</v>
      </c>
      <c r="N16" s="106">
        <f t="shared" si="1"/>
        <v>0</v>
      </c>
      <c r="O16" s="106"/>
      <c r="P16" s="106"/>
      <c r="Q16" s="107"/>
      <c r="R16" s="107"/>
      <c r="S16" s="108"/>
      <c r="T16" s="108"/>
      <c r="U16" s="108"/>
      <c r="V16" s="108"/>
      <c r="W16" s="108"/>
      <c r="X16" s="107"/>
      <c r="Y16" s="107"/>
      <c r="Z16" s="107"/>
      <c r="AA16" s="107"/>
      <c r="AB16" s="108"/>
      <c r="AC16" s="108"/>
      <c r="AD16" s="107"/>
      <c r="AE16" s="107">
        <v>60</v>
      </c>
      <c r="AF16" s="106">
        <f t="shared" si="3"/>
        <v>-60</v>
      </c>
      <c r="AG16" s="109">
        <f t="shared" si="4"/>
        <v>0</v>
      </c>
    </row>
    <row r="17" spans="1:33" s="110" customFormat="1" ht="23.25" customHeight="1" x14ac:dyDescent="0.2">
      <c r="A17" s="18">
        <v>43697</v>
      </c>
      <c r="B17" s="102"/>
      <c r="C17" s="20" t="s">
        <v>154</v>
      </c>
      <c r="D17" s="20"/>
      <c r="E17" s="20"/>
      <c r="F17" s="103"/>
      <c r="G17" s="104" t="s">
        <v>807</v>
      </c>
      <c r="H17" s="23">
        <v>60</v>
      </c>
      <c r="I17" s="23"/>
      <c r="J17" s="23"/>
      <c r="K17" s="23"/>
      <c r="L17" s="105"/>
      <c r="M17" s="106">
        <f t="shared" si="0"/>
        <v>60</v>
      </c>
      <c r="N17" s="106">
        <f t="shared" si="1"/>
        <v>0</v>
      </c>
      <c r="O17" s="106"/>
      <c r="P17" s="106"/>
      <c r="Q17" s="107"/>
      <c r="R17" s="107"/>
      <c r="S17" s="108"/>
      <c r="T17" s="108"/>
      <c r="U17" s="108"/>
      <c r="V17" s="108"/>
      <c r="W17" s="108"/>
      <c r="X17" s="107"/>
      <c r="Y17" s="107"/>
      <c r="Z17" s="107"/>
      <c r="AA17" s="107"/>
      <c r="AB17" s="108"/>
      <c r="AC17" s="108"/>
      <c r="AD17" s="107"/>
      <c r="AE17" s="107">
        <v>60</v>
      </c>
      <c r="AF17" s="106">
        <f t="shared" si="3"/>
        <v>-60</v>
      </c>
      <c r="AG17" s="109">
        <f t="shared" si="4"/>
        <v>0</v>
      </c>
    </row>
    <row r="18" spans="1:33" s="110" customFormat="1" ht="23.25" customHeight="1" x14ac:dyDescent="0.2">
      <c r="A18" s="18">
        <v>43698</v>
      </c>
      <c r="B18" s="102"/>
      <c r="C18" s="20" t="s">
        <v>62</v>
      </c>
      <c r="D18" s="20"/>
      <c r="E18" s="20"/>
      <c r="F18" s="103"/>
      <c r="G18" s="104" t="s">
        <v>807</v>
      </c>
      <c r="H18" s="23">
        <v>60</v>
      </c>
      <c r="I18" s="23"/>
      <c r="J18" s="23"/>
      <c r="K18" s="23"/>
      <c r="L18" s="105"/>
      <c r="M18" s="106">
        <f t="shared" si="0"/>
        <v>60</v>
      </c>
      <c r="N18" s="106">
        <f t="shared" si="1"/>
        <v>0</v>
      </c>
      <c r="O18" s="106">
        <f>-SUM(I18:J18,K18/1.12)*L18</f>
        <v>0</v>
      </c>
      <c r="P18" s="106"/>
      <c r="Q18" s="107"/>
      <c r="R18" s="107"/>
      <c r="S18" s="108"/>
      <c r="T18" s="108"/>
      <c r="U18" s="108"/>
      <c r="V18" s="108"/>
      <c r="W18" s="108"/>
      <c r="X18" s="107"/>
      <c r="Y18" s="107"/>
      <c r="Z18" s="107"/>
      <c r="AA18" s="107"/>
      <c r="AB18" s="108"/>
      <c r="AC18" s="108"/>
      <c r="AD18" s="107"/>
      <c r="AE18" s="107">
        <v>60</v>
      </c>
      <c r="AF18" s="106">
        <f t="shared" si="3"/>
        <v>-60</v>
      </c>
      <c r="AG18" s="109">
        <f t="shared" si="4"/>
        <v>0</v>
      </c>
    </row>
    <row r="19" spans="1:33" s="110" customFormat="1" ht="23.25" customHeight="1" x14ac:dyDescent="0.2">
      <c r="A19" s="18">
        <v>43699</v>
      </c>
      <c r="B19" s="102"/>
      <c r="C19" s="20" t="s">
        <v>154</v>
      </c>
      <c r="D19" s="20"/>
      <c r="E19" s="20"/>
      <c r="F19" s="103"/>
      <c r="G19" s="104" t="s">
        <v>807</v>
      </c>
      <c r="H19" s="23">
        <v>60</v>
      </c>
      <c r="I19" s="23"/>
      <c r="J19" s="23"/>
      <c r="K19" s="23"/>
      <c r="L19" s="105"/>
      <c r="M19" s="106">
        <f t="shared" si="0"/>
        <v>60</v>
      </c>
      <c r="N19" s="106">
        <f t="shared" si="1"/>
        <v>0</v>
      </c>
      <c r="O19" s="106"/>
      <c r="P19" s="106"/>
      <c r="Q19" s="107"/>
      <c r="R19" s="107"/>
      <c r="S19" s="108"/>
      <c r="T19" s="108"/>
      <c r="U19" s="108"/>
      <c r="V19" s="108"/>
      <c r="W19" s="108"/>
      <c r="X19" s="107"/>
      <c r="Y19" s="107"/>
      <c r="Z19" s="107"/>
      <c r="AA19" s="107"/>
      <c r="AB19" s="108"/>
      <c r="AC19" s="108"/>
      <c r="AD19" s="107"/>
      <c r="AE19" s="107">
        <v>60</v>
      </c>
      <c r="AF19" s="106">
        <f t="shared" si="3"/>
        <v>-60</v>
      </c>
      <c r="AG19" s="109">
        <f t="shared" si="4"/>
        <v>0</v>
      </c>
    </row>
    <row r="20" spans="1:33" s="110" customFormat="1" ht="23.25" customHeight="1" x14ac:dyDescent="0.2">
      <c r="A20" s="18">
        <v>43699</v>
      </c>
      <c r="B20" s="102"/>
      <c r="C20" s="20" t="s">
        <v>62</v>
      </c>
      <c r="D20" s="20"/>
      <c r="E20" s="20"/>
      <c r="F20" s="103"/>
      <c r="G20" s="104" t="s">
        <v>807</v>
      </c>
      <c r="H20" s="23">
        <v>60</v>
      </c>
      <c r="I20" s="23"/>
      <c r="J20" s="23"/>
      <c r="K20" s="23"/>
      <c r="L20" s="105"/>
      <c r="M20" s="106">
        <f t="shared" si="0"/>
        <v>60</v>
      </c>
      <c r="N20" s="106">
        <f t="shared" si="1"/>
        <v>0</v>
      </c>
      <c r="O20" s="106"/>
      <c r="P20" s="106"/>
      <c r="Q20" s="107"/>
      <c r="R20" s="107"/>
      <c r="S20" s="108"/>
      <c r="T20" s="108"/>
      <c r="U20" s="108"/>
      <c r="V20" s="108"/>
      <c r="W20" s="108"/>
      <c r="X20" s="107"/>
      <c r="Y20" s="107"/>
      <c r="Z20" s="107"/>
      <c r="AA20" s="107"/>
      <c r="AB20" s="108"/>
      <c r="AC20" s="108"/>
      <c r="AD20" s="107"/>
      <c r="AE20" s="107">
        <v>60</v>
      </c>
      <c r="AF20" s="106">
        <f t="shared" si="3"/>
        <v>-60</v>
      </c>
      <c r="AG20" s="109">
        <f t="shared" si="4"/>
        <v>0</v>
      </c>
    </row>
    <row r="21" spans="1:33" s="110" customFormat="1" ht="23.25" customHeight="1" x14ac:dyDescent="0.2">
      <c r="A21" s="18">
        <v>43700</v>
      </c>
      <c r="B21" s="102"/>
      <c r="C21" s="20" t="s">
        <v>157</v>
      </c>
      <c r="D21" s="20"/>
      <c r="E21" s="20"/>
      <c r="F21" s="103"/>
      <c r="G21" s="104" t="s">
        <v>807</v>
      </c>
      <c r="H21" s="23">
        <v>60</v>
      </c>
      <c r="I21" s="23"/>
      <c r="J21" s="23"/>
      <c r="K21" s="23"/>
      <c r="L21" s="105"/>
      <c r="M21" s="106">
        <f t="shared" si="0"/>
        <v>60</v>
      </c>
      <c r="N21" s="106">
        <f t="shared" si="1"/>
        <v>0</v>
      </c>
      <c r="O21" s="106">
        <f>-SUM(I21:J21,K21/1.12)*L21</f>
        <v>0</v>
      </c>
      <c r="P21" s="106"/>
      <c r="Q21" s="107"/>
      <c r="R21" s="107"/>
      <c r="S21" s="108"/>
      <c r="T21" s="108"/>
      <c r="U21" s="108"/>
      <c r="V21" s="108"/>
      <c r="W21" s="108"/>
      <c r="X21" s="107"/>
      <c r="Y21" s="107"/>
      <c r="Z21" s="107"/>
      <c r="AA21" s="107"/>
      <c r="AB21" s="108"/>
      <c r="AC21" s="108"/>
      <c r="AD21" s="107"/>
      <c r="AE21" s="107">
        <v>60</v>
      </c>
      <c r="AF21" s="106">
        <f t="shared" si="3"/>
        <v>-60</v>
      </c>
      <c r="AG21" s="109">
        <f t="shared" si="4"/>
        <v>0</v>
      </c>
    </row>
    <row r="22" spans="1:33" s="110" customFormat="1" ht="23.25" customHeight="1" x14ac:dyDescent="0.2">
      <c r="A22" s="18">
        <v>43700</v>
      </c>
      <c r="B22" s="102"/>
      <c r="C22" s="20" t="s">
        <v>154</v>
      </c>
      <c r="D22" s="20"/>
      <c r="E22" s="20"/>
      <c r="F22" s="103"/>
      <c r="G22" s="104" t="s">
        <v>807</v>
      </c>
      <c r="H22" s="23">
        <v>60</v>
      </c>
      <c r="I22" s="23"/>
      <c r="J22" s="23"/>
      <c r="K22" s="23"/>
      <c r="L22" s="105"/>
      <c r="M22" s="106">
        <f t="shared" si="0"/>
        <v>60</v>
      </c>
      <c r="N22" s="106">
        <f t="shared" si="1"/>
        <v>0</v>
      </c>
      <c r="O22" s="106">
        <f>-SUM(I22:J22,K22/1.12)*L22</f>
        <v>0</v>
      </c>
      <c r="P22" s="106"/>
      <c r="Q22" s="107"/>
      <c r="R22" s="107"/>
      <c r="S22" s="108"/>
      <c r="T22" s="108"/>
      <c r="U22" s="108"/>
      <c r="V22" s="108"/>
      <c r="W22" s="108"/>
      <c r="X22" s="107"/>
      <c r="Y22" s="107"/>
      <c r="Z22" s="107"/>
      <c r="AA22" s="107"/>
      <c r="AB22" s="108"/>
      <c r="AC22" s="108"/>
      <c r="AD22" s="107"/>
      <c r="AE22" s="107">
        <v>60</v>
      </c>
      <c r="AF22" s="106">
        <f t="shared" si="3"/>
        <v>-60</v>
      </c>
      <c r="AG22" s="109">
        <f t="shared" si="4"/>
        <v>0</v>
      </c>
    </row>
    <row r="23" spans="1:33" s="110" customFormat="1" ht="23.25" customHeight="1" x14ac:dyDescent="0.2">
      <c r="A23" s="18">
        <v>43700</v>
      </c>
      <c r="B23" s="102"/>
      <c r="C23" s="20" t="s">
        <v>62</v>
      </c>
      <c r="D23" s="20"/>
      <c r="E23" s="20"/>
      <c r="F23" s="103"/>
      <c r="G23" s="104" t="s">
        <v>807</v>
      </c>
      <c r="H23" s="23">
        <v>60</v>
      </c>
      <c r="I23" s="23"/>
      <c r="J23" s="23"/>
      <c r="K23" s="23"/>
      <c r="L23" s="105"/>
      <c r="M23" s="106">
        <f t="shared" si="0"/>
        <v>60</v>
      </c>
      <c r="N23" s="106">
        <f t="shared" si="1"/>
        <v>0</v>
      </c>
      <c r="O23" s="106"/>
      <c r="P23" s="106"/>
      <c r="Q23" s="107"/>
      <c r="R23" s="107"/>
      <c r="S23" s="108"/>
      <c r="T23" s="108"/>
      <c r="U23" s="108"/>
      <c r="V23" s="108"/>
      <c r="W23" s="108"/>
      <c r="X23" s="107"/>
      <c r="Y23" s="107"/>
      <c r="Z23" s="107"/>
      <c r="AA23" s="107"/>
      <c r="AB23" s="108"/>
      <c r="AC23" s="108"/>
      <c r="AD23" s="107"/>
      <c r="AE23" s="107">
        <v>60</v>
      </c>
      <c r="AF23" s="106">
        <f t="shared" si="3"/>
        <v>-60</v>
      </c>
      <c r="AG23" s="109">
        <f t="shared" si="4"/>
        <v>0</v>
      </c>
    </row>
    <row r="24" spans="1:33" s="110" customFormat="1" ht="23.25" customHeight="1" x14ac:dyDescent="0.2">
      <c r="A24" s="18">
        <v>43701</v>
      </c>
      <c r="B24" s="102"/>
      <c r="C24" s="20" t="s">
        <v>154</v>
      </c>
      <c r="D24" s="20"/>
      <c r="E24" s="20"/>
      <c r="F24" s="103"/>
      <c r="G24" s="104" t="s">
        <v>807</v>
      </c>
      <c r="H24" s="23">
        <v>60</v>
      </c>
      <c r="I24" s="23"/>
      <c r="J24" s="23"/>
      <c r="K24" s="23"/>
      <c r="L24" s="105"/>
      <c r="M24" s="106">
        <f t="shared" si="0"/>
        <v>60</v>
      </c>
      <c r="N24" s="106">
        <f t="shared" si="1"/>
        <v>0</v>
      </c>
      <c r="O24" s="106"/>
      <c r="P24" s="106"/>
      <c r="Q24" s="107"/>
      <c r="R24" s="107"/>
      <c r="S24" s="108"/>
      <c r="T24" s="108"/>
      <c r="U24" s="108"/>
      <c r="V24" s="108"/>
      <c r="W24" s="108"/>
      <c r="X24" s="107"/>
      <c r="Y24" s="107"/>
      <c r="Z24" s="107"/>
      <c r="AA24" s="107"/>
      <c r="AB24" s="108"/>
      <c r="AC24" s="108"/>
      <c r="AD24" s="107"/>
      <c r="AE24" s="107">
        <v>60</v>
      </c>
      <c r="AF24" s="106">
        <f t="shared" si="3"/>
        <v>-60</v>
      </c>
      <c r="AG24" s="109">
        <f t="shared" si="4"/>
        <v>0</v>
      </c>
    </row>
    <row r="25" spans="1:33" s="110" customFormat="1" ht="23.25" customHeight="1" x14ac:dyDescent="0.2">
      <c r="A25" s="18">
        <v>43704</v>
      </c>
      <c r="B25" s="102"/>
      <c r="C25" s="20" t="s">
        <v>62</v>
      </c>
      <c r="D25" s="20"/>
      <c r="E25" s="20"/>
      <c r="F25" s="103"/>
      <c r="G25" s="104" t="s">
        <v>807</v>
      </c>
      <c r="H25" s="23">
        <v>60</v>
      </c>
      <c r="I25" s="23"/>
      <c r="J25" s="23"/>
      <c r="K25" s="23"/>
      <c r="L25" s="105"/>
      <c r="M25" s="106">
        <f t="shared" si="0"/>
        <v>60</v>
      </c>
      <c r="N25" s="106">
        <f t="shared" si="1"/>
        <v>0</v>
      </c>
      <c r="O25" s="106">
        <f>-SUM(I25:J25,K25/1.12)*L25</f>
        <v>0</v>
      </c>
      <c r="P25" s="106"/>
      <c r="Q25" s="107"/>
      <c r="R25" s="107"/>
      <c r="S25" s="108"/>
      <c r="T25" s="108"/>
      <c r="U25" s="108"/>
      <c r="V25" s="108"/>
      <c r="W25" s="108"/>
      <c r="X25" s="107"/>
      <c r="Y25" s="107"/>
      <c r="Z25" s="107"/>
      <c r="AA25" s="107"/>
      <c r="AB25" s="108"/>
      <c r="AC25" s="108"/>
      <c r="AD25" s="107"/>
      <c r="AE25" s="107">
        <v>60</v>
      </c>
      <c r="AF25" s="106">
        <f t="shared" si="3"/>
        <v>-60</v>
      </c>
      <c r="AG25" s="109">
        <f t="shared" si="4"/>
        <v>0</v>
      </c>
    </row>
    <row r="26" spans="1:33" s="110" customFormat="1" ht="23.25" customHeight="1" x14ac:dyDescent="0.2">
      <c r="A26" s="18">
        <v>43705</v>
      </c>
      <c r="B26" s="102"/>
      <c r="C26" s="20" t="s">
        <v>62</v>
      </c>
      <c r="D26" s="20"/>
      <c r="E26" s="20"/>
      <c r="F26" s="103"/>
      <c r="G26" s="104" t="s">
        <v>807</v>
      </c>
      <c r="H26" s="23">
        <v>60</v>
      </c>
      <c r="I26" s="23"/>
      <c r="J26" s="23"/>
      <c r="K26" s="23"/>
      <c r="L26" s="105"/>
      <c r="M26" s="106">
        <f t="shared" si="0"/>
        <v>60</v>
      </c>
      <c r="N26" s="106">
        <f t="shared" si="1"/>
        <v>0</v>
      </c>
      <c r="O26" s="106"/>
      <c r="P26" s="106"/>
      <c r="Q26" s="107"/>
      <c r="R26" s="107"/>
      <c r="S26" s="108"/>
      <c r="T26" s="108"/>
      <c r="U26" s="108"/>
      <c r="V26" s="108"/>
      <c r="W26" s="108"/>
      <c r="X26" s="107"/>
      <c r="Y26" s="107"/>
      <c r="Z26" s="107"/>
      <c r="AA26" s="107"/>
      <c r="AB26" s="108"/>
      <c r="AC26" s="108"/>
      <c r="AD26" s="107"/>
      <c r="AE26" s="107">
        <v>60</v>
      </c>
      <c r="AF26" s="106">
        <f t="shared" si="3"/>
        <v>-60</v>
      </c>
      <c r="AG26" s="109">
        <f t="shared" si="4"/>
        <v>0</v>
      </c>
    </row>
    <row r="27" spans="1:33" s="110" customFormat="1" ht="23.25" customHeight="1" x14ac:dyDescent="0.2">
      <c r="A27" s="18">
        <v>43706</v>
      </c>
      <c r="B27" s="102"/>
      <c r="C27" s="20" t="s">
        <v>62</v>
      </c>
      <c r="D27" s="20"/>
      <c r="E27" s="20"/>
      <c r="F27" s="103"/>
      <c r="G27" s="104" t="s">
        <v>807</v>
      </c>
      <c r="H27" s="23">
        <v>60</v>
      </c>
      <c r="I27" s="23"/>
      <c r="J27" s="23"/>
      <c r="K27" s="23"/>
      <c r="L27" s="105"/>
      <c r="M27" s="106">
        <f t="shared" si="0"/>
        <v>60</v>
      </c>
      <c r="N27" s="106">
        <f t="shared" si="1"/>
        <v>0</v>
      </c>
      <c r="O27" s="106">
        <f>-SUM(I27:J27,K27/1.12)*L27</f>
        <v>0</v>
      </c>
      <c r="P27" s="106"/>
      <c r="Q27" s="107"/>
      <c r="R27" s="107"/>
      <c r="S27" s="108"/>
      <c r="T27" s="108"/>
      <c r="U27" s="108"/>
      <c r="V27" s="108"/>
      <c r="W27" s="108"/>
      <c r="X27" s="107"/>
      <c r="Y27" s="107"/>
      <c r="Z27" s="107"/>
      <c r="AA27" s="107"/>
      <c r="AB27" s="108"/>
      <c r="AC27" s="108"/>
      <c r="AD27" s="107"/>
      <c r="AE27" s="107">
        <v>60</v>
      </c>
      <c r="AF27" s="106">
        <f t="shared" si="3"/>
        <v>-60</v>
      </c>
      <c r="AG27" s="109">
        <f t="shared" si="4"/>
        <v>0</v>
      </c>
    </row>
    <row r="28" spans="1:33" s="110" customFormat="1" ht="23.25" customHeight="1" x14ac:dyDescent="0.2">
      <c r="A28" s="18">
        <v>43707</v>
      </c>
      <c r="B28" s="102"/>
      <c r="C28" s="20" t="s">
        <v>62</v>
      </c>
      <c r="D28" s="20"/>
      <c r="E28" s="20"/>
      <c r="F28" s="103"/>
      <c r="G28" s="104" t="s">
        <v>807</v>
      </c>
      <c r="H28" s="23">
        <v>60</v>
      </c>
      <c r="I28" s="23"/>
      <c r="J28" s="23"/>
      <c r="K28" s="23"/>
      <c r="L28" s="105"/>
      <c r="M28" s="106">
        <f t="shared" si="0"/>
        <v>60</v>
      </c>
      <c r="N28" s="106">
        <f t="shared" si="1"/>
        <v>0</v>
      </c>
      <c r="O28" s="106">
        <f>-SUM(I28:J28,K28/1.12)*L28</f>
        <v>0</v>
      </c>
      <c r="P28" s="106"/>
      <c r="Q28" s="107"/>
      <c r="R28" s="107"/>
      <c r="S28" s="108"/>
      <c r="T28" s="108"/>
      <c r="U28" s="108"/>
      <c r="V28" s="108"/>
      <c r="W28" s="108"/>
      <c r="X28" s="107"/>
      <c r="Y28" s="107"/>
      <c r="Z28" s="107"/>
      <c r="AA28" s="107"/>
      <c r="AB28" s="108"/>
      <c r="AC28" s="108"/>
      <c r="AD28" s="107"/>
      <c r="AE28" s="107">
        <v>60</v>
      </c>
      <c r="AF28" s="106">
        <f t="shared" si="3"/>
        <v>-60</v>
      </c>
      <c r="AG28" s="109">
        <f t="shared" si="4"/>
        <v>0</v>
      </c>
    </row>
    <row r="29" spans="1:33" s="110" customFormat="1" ht="23.25" customHeight="1" x14ac:dyDescent="0.2">
      <c r="A29" s="18">
        <v>43713</v>
      </c>
      <c r="B29" s="102"/>
      <c r="C29" s="20" t="s">
        <v>154</v>
      </c>
      <c r="D29" s="20"/>
      <c r="E29" s="20"/>
      <c r="F29" s="111"/>
      <c r="G29" s="104" t="s">
        <v>807</v>
      </c>
      <c r="H29" s="23">
        <v>60</v>
      </c>
      <c r="I29" s="23"/>
      <c r="J29" s="23"/>
      <c r="K29" s="23"/>
      <c r="L29" s="105"/>
      <c r="M29" s="106">
        <f t="shared" si="0"/>
        <v>60</v>
      </c>
      <c r="N29" s="106">
        <f t="shared" si="1"/>
        <v>0</v>
      </c>
      <c r="O29" s="106">
        <f>-SUM(I29:J29,K29/1.12)*L29</f>
        <v>0</v>
      </c>
      <c r="P29" s="106"/>
      <c r="Q29" s="107"/>
      <c r="R29" s="107"/>
      <c r="S29" s="108"/>
      <c r="T29" s="108"/>
      <c r="U29" s="108"/>
      <c r="V29" s="108"/>
      <c r="W29" s="108"/>
      <c r="X29" s="107"/>
      <c r="Y29" s="107"/>
      <c r="Z29" s="107"/>
      <c r="AA29" s="107"/>
      <c r="AB29" s="108"/>
      <c r="AC29" s="108"/>
      <c r="AD29" s="107"/>
      <c r="AE29" s="107">
        <v>60</v>
      </c>
      <c r="AF29" s="106">
        <f t="shared" si="3"/>
        <v>-60</v>
      </c>
      <c r="AG29" s="109">
        <f t="shared" si="4"/>
        <v>0</v>
      </c>
    </row>
    <row r="30" spans="1:33" s="110" customFormat="1" ht="23.25" customHeight="1" x14ac:dyDescent="0.2">
      <c r="A30" s="18">
        <v>43719</v>
      </c>
      <c r="B30" s="102"/>
      <c r="C30" s="20" t="s">
        <v>154</v>
      </c>
      <c r="D30" s="20"/>
      <c r="E30" s="20"/>
      <c r="F30" s="103"/>
      <c r="G30" s="112" t="s">
        <v>810</v>
      </c>
      <c r="H30" s="23">
        <v>120</v>
      </c>
      <c r="I30" s="23"/>
      <c r="J30" s="23"/>
      <c r="K30" s="23"/>
      <c r="L30" s="105"/>
      <c r="M30" s="106">
        <f t="shared" si="0"/>
        <v>120</v>
      </c>
      <c r="N30" s="106">
        <f t="shared" si="1"/>
        <v>0</v>
      </c>
      <c r="O30" s="106">
        <f>-SUM(I30:J30,K30/1.12)*L30</f>
        <v>0</v>
      </c>
      <c r="P30" s="106"/>
      <c r="Q30" s="107"/>
      <c r="R30" s="107"/>
      <c r="S30" s="108"/>
      <c r="T30" s="108"/>
      <c r="U30" s="108"/>
      <c r="V30" s="108"/>
      <c r="W30" s="108"/>
      <c r="X30" s="107"/>
      <c r="Y30" s="107"/>
      <c r="Z30" s="107"/>
      <c r="AA30" s="107"/>
      <c r="AB30" s="108"/>
      <c r="AC30" s="108"/>
      <c r="AD30" s="107"/>
      <c r="AE30" s="107">
        <v>120</v>
      </c>
      <c r="AF30" s="106">
        <f t="shared" si="3"/>
        <v>-120</v>
      </c>
      <c r="AG30" s="109">
        <f t="shared" si="4"/>
        <v>0</v>
      </c>
    </row>
    <row r="31" spans="1:33" s="110" customFormat="1" ht="23.25" customHeight="1" x14ac:dyDescent="0.2">
      <c r="A31" s="18">
        <v>43720</v>
      </c>
      <c r="B31" s="102"/>
      <c r="C31" s="20" t="s">
        <v>58</v>
      </c>
      <c r="D31" s="20"/>
      <c r="E31" s="20"/>
      <c r="F31" s="103"/>
      <c r="G31" s="112" t="s">
        <v>811</v>
      </c>
      <c r="H31" s="23">
        <v>250</v>
      </c>
      <c r="I31" s="23"/>
      <c r="J31" s="23"/>
      <c r="K31" s="23"/>
      <c r="L31" s="105"/>
      <c r="M31" s="106">
        <f t="shared" si="0"/>
        <v>250</v>
      </c>
      <c r="N31" s="106">
        <f t="shared" si="1"/>
        <v>0</v>
      </c>
      <c r="O31" s="106"/>
      <c r="P31" s="106"/>
      <c r="Q31" s="107"/>
      <c r="R31" s="107"/>
      <c r="S31" s="108"/>
      <c r="T31" s="108"/>
      <c r="U31" s="108"/>
      <c r="V31" s="108"/>
      <c r="W31" s="108"/>
      <c r="X31" s="107"/>
      <c r="Y31" s="107"/>
      <c r="Z31" s="107"/>
      <c r="AA31" s="107"/>
      <c r="AB31" s="108"/>
      <c r="AC31" s="108"/>
      <c r="AD31" s="107">
        <v>250</v>
      </c>
      <c r="AE31" s="107"/>
      <c r="AF31" s="106">
        <f t="shared" si="3"/>
        <v>-250</v>
      </c>
      <c r="AG31" s="109">
        <f t="shared" si="4"/>
        <v>0</v>
      </c>
    </row>
    <row r="32" spans="1:33" s="110" customFormat="1" ht="23.25" customHeight="1" x14ac:dyDescent="0.2">
      <c r="A32" s="18">
        <v>43724</v>
      </c>
      <c r="B32" s="102"/>
      <c r="C32" s="20" t="s">
        <v>154</v>
      </c>
      <c r="D32" s="20"/>
      <c r="E32" s="20"/>
      <c r="F32" s="103"/>
      <c r="G32" s="112" t="s">
        <v>807</v>
      </c>
      <c r="H32" s="23">
        <v>60</v>
      </c>
      <c r="I32" s="23"/>
      <c r="J32" s="23"/>
      <c r="K32" s="23"/>
      <c r="L32" s="105"/>
      <c r="M32" s="106">
        <f t="shared" si="0"/>
        <v>60</v>
      </c>
      <c r="N32" s="106">
        <f t="shared" si="1"/>
        <v>0</v>
      </c>
      <c r="O32" s="106"/>
      <c r="P32" s="106"/>
      <c r="Q32" s="107"/>
      <c r="R32" s="107"/>
      <c r="S32" s="108"/>
      <c r="T32" s="108"/>
      <c r="U32" s="108"/>
      <c r="V32" s="108"/>
      <c r="W32" s="108"/>
      <c r="X32" s="107"/>
      <c r="Y32" s="107"/>
      <c r="Z32" s="107"/>
      <c r="AA32" s="107"/>
      <c r="AB32" s="108"/>
      <c r="AC32" s="108"/>
      <c r="AD32" s="107"/>
      <c r="AE32" s="107">
        <v>60</v>
      </c>
      <c r="AF32" s="106">
        <f t="shared" si="3"/>
        <v>-60</v>
      </c>
      <c r="AG32" s="109">
        <f t="shared" si="4"/>
        <v>0</v>
      </c>
    </row>
    <row r="33" spans="1:33" s="110" customFormat="1" ht="19.5" customHeight="1" x14ac:dyDescent="0.2">
      <c r="A33" s="18"/>
      <c r="B33" s="102"/>
      <c r="C33" s="45"/>
      <c r="D33" s="45"/>
      <c r="E33" s="45"/>
      <c r="F33" s="103"/>
      <c r="G33" s="104"/>
      <c r="H33" s="23"/>
      <c r="I33" s="23"/>
      <c r="J33" s="23"/>
      <c r="K33" s="23"/>
      <c r="L33" s="105"/>
      <c r="M33" s="106">
        <f t="shared" si="0"/>
        <v>0</v>
      </c>
      <c r="N33" s="106">
        <f t="shared" si="1"/>
        <v>0</v>
      </c>
      <c r="O33" s="107">
        <f>-SUM(I33:J33,K33/1.12)*L33</f>
        <v>0</v>
      </c>
      <c r="P33" s="107"/>
      <c r="Q33" s="107"/>
      <c r="R33" s="107"/>
      <c r="S33" s="107"/>
      <c r="T33" s="108"/>
      <c r="U33" s="108"/>
      <c r="V33" s="108"/>
      <c r="W33" s="108"/>
      <c r="X33" s="108"/>
      <c r="Y33" s="113"/>
      <c r="Z33" s="107"/>
      <c r="AA33" s="107"/>
      <c r="AB33" s="107"/>
      <c r="AC33" s="108"/>
      <c r="AD33" s="108"/>
      <c r="AE33" s="114"/>
      <c r="AF33" s="106">
        <f t="shared" si="3"/>
        <v>0</v>
      </c>
      <c r="AG33" s="109">
        <f t="shared" si="4"/>
        <v>0</v>
      </c>
    </row>
    <row r="34" spans="1:33" s="120" customFormat="1" ht="12" customHeight="1" x14ac:dyDescent="0.2">
      <c r="A34" s="115"/>
      <c r="B34" s="116"/>
      <c r="C34" s="117"/>
      <c r="D34" s="118"/>
      <c r="E34" s="118"/>
      <c r="F34" s="119"/>
      <c r="G34" s="117"/>
      <c r="H34" s="54">
        <f t="shared" ref="H34:AG34" si="5">SUM(H5:H33)</f>
        <v>2040</v>
      </c>
      <c r="I34" s="54">
        <f t="shared" si="5"/>
        <v>0</v>
      </c>
      <c r="J34" s="54">
        <f t="shared" si="5"/>
        <v>0</v>
      </c>
      <c r="K34" s="54">
        <f t="shared" si="5"/>
        <v>0</v>
      </c>
      <c r="L34" s="54">
        <f t="shared" si="5"/>
        <v>0</v>
      </c>
      <c r="M34" s="54">
        <f t="shared" si="5"/>
        <v>2040</v>
      </c>
      <c r="N34" s="54">
        <f t="shared" si="5"/>
        <v>0</v>
      </c>
      <c r="O34" s="54">
        <f t="shared" si="5"/>
        <v>0</v>
      </c>
      <c r="P34" s="54">
        <f t="shared" si="5"/>
        <v>0</v>
      </c>
      <c r="Q34" s="54">
        <f t="shared" si="5"/>
        <v>0</v>
      </c>
      <c r="R34" s="54">
        <f t="shared" si="5"/>
        <v>0</v>
      </c>
      <c r="S34" s="54">
        <f t="shared" si="5"/>
        <v>0</v>
      </c>
      <c r="T34" s="54">
        <f t="shared" si="5"/>
        <v>0</v>
      </c>
      <c r="U34" s="54">
        <f t="shared" si="5"/>
        <v>0</v>
      </c>
      <c r="V34" s="54">
        <f t="shared" si="5"/>
        <v>0</v>
      </c>
      <c r="W34" s="54">
        <f t="shared" si="5"/>
        <v>0</v>
      </c>
      <c r="X34" s="54">
        <f t="shared" si="5"/>
        <v>0</v>
      </c>
      <c r="Y34" s="54">
        <f t="shared" si="5"/>
        <v>0</v>
      </c>
      <c r="Z34" s="54">
        <f t="shared" si="5"/>
        <v>0</v>
      </c>
      <c r="AA34" s="54">
        <f t="shared" si="5"/>
        <v>50</v>
      </c>
      <c r="AB34" s="54">
        <f t="shared" si="5"/>
        <v>0</v>
      </c>
      <c r="AC34" s="54">
        <f t="shared" si="5"/>
        <v>0</v>
      </c>
      <c r="AD34" s="54">
        <f t="shared" si="5"/>
        <v>250</v>
      </c>
      <c r="AE34" s="54">
        <f t="shared" si="5"/>
        <v>1740</v>
      </c>
      <c r="AF34" s="54">
        <f t="shared" si="5"/>
        <v>-2040</v>
      </c>
      <c r="AG34" s="54">
        <f t="shared" si="5"/>
        <v>0</v>
      </c>
    </row>
    <row r="36" spans="1:33" s="86" customFormat="1" ht="10.199999999999999" x14ac:dyDescent="0.2">
      <c r="K36" s="88"/>
      <c r="L36" s="89"/>
      <c r="M36" s="88"/>
      <c r="Y36" s="88"/>
    </row>
    <row r="43" spans="1:33" x14ac:dyDescent="0.25">
      <c r="Q43" s="88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16"/>
  <sheetViews>
    <sheetView topLeftCell="A10" zoomScale="90" zoomScaleNormal="90" workbookViewId="0"/>
  </sheetViews>
  <sheetFormatPr defaultRowHeight="13.2" x14ac:dyDescent="0.25"/>
  <cols>
    <col min="1" max="1" width="10.21875" style="84" customWidth="1"/>
    <col min="2" max="2" width="9.21875" style="85" hidden="1" customWidth="1"/>
    <col min="3" max="3" width="30.21875" style="86" customWidth="1"/>
    <col min="4" max="4" width="17.6640625" style="87" customWidth="1"/>
    <col min="5" max="5" width="35.33203125" style="87" customWidth="1"/>
    <col min="6" max="6" width="9.88671875" style="85" customWidth="1"/>
    <col min="7" max="7" width="38.6640625" style="86" customWidth="1"/>
    <col min="8" max="8" width="9.88671875" style="88" customWidth="1"/>
    <col min="9" max="9" width="10.6640625" style="88" customWidth="1"/>
    <col min="10" max="10" width="12.21875" style="88" customWidth="1"/>
    <col min="11" max="11" width="12.5546875" style="88" customWidth="1"/>
    <col min="12" max="12" width="6.44140625" style="89" customWidth="1"/>
    <col min="13" max="13" width="11.6640625" style="88" customWidth="1"/>
    <col min="14" max="14" width="10.21875" style="88" customWidth="1"/>
    <col min="15" max="15" width="8.21875" style="88" customWidth="1"/>
    <col min="16" max="16" width="10.21875" style="88" customWidth="1"/>
    <col min="17" max="17" width="12.5546875" style="88" customWidth="1"/>
    <col min="18" max="18" width="11.5546875" style="88"/>
    <col min="19" max="19" width="10.21875" style="88" customWidth="1"/>
    <col min="20" max="21" width="11.5546875" style="88"/>
    <col min="22" max="22" width="13.33203125" style="88" customWidth="1"/>
    <col min="23" max="23" width="10.21875" style="88" customWidth="1"/>
    <col min="24" max="24" width="12.44140625" style="88" customWidth="1"/>
    <col min="25" max="25" width="11.6640625" style="88" customWidth="1"/>
    <col min="26" max="26" width="10.44140625" style="88" customWidth="1"/>
    <col min="27" max="27" width="9" style="88" customWidth="1"/>
    <col min="28" max="28" width="11.33203125" style="88" customWidth="1"/>
    <col min="29" max="30" width="10.109375" style="88" customWidth="1"/>
    <col min="31" max="31" width="12.77734375" style="88" customWidth="1"/>
    <col min="32" max="32" width="13.33203125" style="88" customWidth="1"/>
    <col min="33" max="33" width="7" style="86" customWidth="1"/>
    <col min="34" max="1025" width="11.5546875" style="86"/>
  </cols>
  <sheetData>
    <row r="1" spans="1:33" ht="12" customHeight="1" x14ac:dyDescent="0.25">
      <c r="A1" s="90" t="s">
        <v>0</v>
      </c>
      <c r="C1" s="91"/>
    </row>
    <row r="2" spans="1:33" ht="12" customHeight="1" x14ac:dyDescent="0.25">
      <c r="A2" s="90" t="s">
        <v>1</v>
      </c>
    </row>
    <row r="3" spans="1:33" ht="12" customHeight="1" x14ac:dyDescent="0.25">
      <c r="A3" s="90" t="s">
        <v>812</v>
      </c>
      <c r="B3" s="91"/>
      <c r="C3" s="92"/>
      <c r="N3" s="93">
        <v>1301</v>
      </c>
      <c r="O3" s="93">
        <v>2402</v>
      </c>
      <c r="P3" s="93">
        <v>5001</v>
      </c>
      <c r="Q3" s="93">
        <v>5002</v>
      </c>
      <c r="R3" s="93">
        <v>6220</v>
      </c>
      <c r="S3" s="93">
        <v>6219</v>
      </c>
      <c r="T3" s="93">
        <v>6212</v>
      </c>
      <c r="U3" s="93"/>
      <c r="V3" s="93"/>
      <c r="W3" s="93"/>
      <c r="X3" s="93"/>
      <c r="Y3" s="93" t="s">
        <v>3</v>
      </c>
      <c r="Z3" s="93"/>
      <c r="AA3" s="93">
        <v>6230</v>
      </c>
      <c r="AB3" s="93" t="s">
        <v>4</v>
      </c>
      <c r="AC3" s="93">
        <v>6202</v>
      </c>
      <c r="AD3" s="93"/>
      <c r="AE3" s="93">
        <v>6109</v>
      </c>
      <c r="AF3" s="93">
        <v>1002</v>
      </c>
    </row>
    <row r="4" spans="1:33" s="101" customFormat="1" ht="44.25" customHeight="1" x14ac:dyDescent="0.25">
      <c r="A4" s="94" t="s">
        <v>5</v>
      </c>
      <c r="B4" s="95" t="s">
        <v>6</v>
      </c>
      <c r="C4" s="95" t="s">
        <v>7</v>
      </c>
      <c r="D4" s="95" t="s">
        <v>8</v>
      </c>
      <c r="E4" s="95" t="s">
        <v>9</v>
      </c>
      <c r="F4" s="95" t="s">
        <v>10</v>
      </c>
      <c r="G4" s="95" t="s">
        <v>11</v>
      </c>
      <c r="H4" s="95" t="s">
        <v>12</v>
      </c>
      <c r="I4" s="95" t="s">
        <v>13</v>
      </c>
      <c r="J4" s="95" t="s">
        <v>14</v>
      </c>
      <c r="K4" s="95" t="s">
        <v>15</v>
      </c>
      <c r="L4" s="96" t="s">
        <v>16</v>
      </c>
      <c r="M4" s="95" t="s">
        <v>17</v>
      </c>
      <c r="N4" s="97" t="s">
        <v>18</v>
      </c>
      <c r="O4" s="97" t="s">
        <v>19</v>
      </c>
      <c r="P4" s="97" t="s">
        <v>20</v>
      </c>
      <c r="Q4" s="97" t="s">
        <v>21</v>
      </c>
      <c r="R4" s="97" t="s">
        <v>22</v>
      </c>
      <c r="S4" s="97" t="s">
        <v>23</v>
      </c>
      <c r="T4" s="97" t="s">
        <v>24</v>
      </c>
      <c r="U4" s="97" t="s">
        <v>25</v>
      </c>
      <c r="V4" s="97" t="s">
        <v>26</v>
      </c>
      <c r="W4" s="97" t="s">
        <v>27</v>
      </c>
      <c r="X4" s="97" t="s">
        <v>28</v>
      </c>
      <c r="Y4" s="97" t="s">
        <v>29</v>
      </c>
      <c r="Z4" s="97" t="s">
        <v>30</v>
      </c>
      <c r="AA4" s="97" t="s">
        <v>31</v>
      </c>
      <c r="AB4" s="97" t="s">
        <v>32</v>
      </c>
      <c r="AC4" s="98" t="s">
        <v>33</v>
      </c>
      <c r="AD4" s="97" t="s">
        <v>34</v>
      </c>
      <c r="AE4" s="99" t="s">
        <v>35</v>
      </c>
      <c r="AF4" s="100" t="s">
        <v>36</v>
      </c>
    </row>
    <row r="5" spans="1:33" s="110" customFormat="1" ht="23.25" customHeight="1" x14ac:dyDescent="0.2">
      <c r="A5" s="18">
        <v>43712</v>
      </c>
      <c r="B5" s="102"/>
      <c r="C5" s="20" t="s">
        <v>157</v>
      </c>
      <c r="D5" s="20"/>
      <c r="E5" s="20"/>
      <c r="F5" s="103"/>
      <c r="G5" s="103" t="s">
        <v>158</v>
      </c>
      <c r="H5" s="23">
        <v>118</v>
      </c>
      <c r="I5" s="23"/>
      <c r="J5" s="23"/>
      <c r="K5" s="23"/>
      <c r="L5" s="105"/>
      <c r="M5" s="106">
        <f t="shared" ref="M5:M15" si="0">SUM(H5:J5,K5/1.12)</f>
        <v>118</v>
      </c>
      <c r="N5" s="106">
        <f t="shared" ref="N5:N15" si="1">K5/1.12*0.12</f>
        <v>0</v>
      </c>
      <c r="O5" s="106">
        <f t="shared" ref="O5:O12" si="2">-SUM(I5:J5,K5/1.12)*L5</f>
        <v>0</v>
      </c>
      <c r="P5" s="106"/>
      <c r="Q5" s="107"/>
      <c r="R5" s="107"/>
      <c r="S5" s="108"/>
      <c r="T5" s="108"/>
      <c r="U5" s="108"/>
      <c r="V5" s="108"/>
      <c r="W5" s="108"/>
      <c r="X5" s="107"/>
      <c r="Y5" s="107"/>
      <c r="Z5" s="107"/>
      <c r="AA5" s="107">
        <v>118</v>
      </c>
      <c r="AB5" s="108"/>
      <c r="AC5" s="108"/>
      <c r="AD5" s="107"/>
      <c r="AE5" s="107"/>
      <c r="AF5" s="106">
        <f t="shared" ref="AF5:AF15" si="3">-SUM(N5:AE5)</f>
        <v>-118</v>
      </c>
      <c r="AG5" s="109">
        <f t="shared" ref="AG5:AG15" si="4">SUM(H5:K5)+AF5+O5</f>
        <v>0</v>
      </c>
    </row>
    <row r="6" spans="1:33" s="110" customFormat="1" ht="23.25" customHeight="1" x14ac:dyDescent="0.2">
      <c r="A6" s="18">
        <v>43712</v>
      </c>
      <c r="B6" s="102"/>
      <c r="C6" s="20" t="s">
        <v>157</v>
      </c>
      <c r="D6" s="20"/>
      <c r="E6" s="20"/>
      <c r="F6" s="103"/>
      <c r="G6" s="104" t="s">
        <v>813</v>
      </c>
      <c r="H6" s="23"/>
      <c r="I6" s="23"/>
      <c r="J6" s="23">
        <v>150</v>
      </c>
      <c r="K6" s="23"/>
      <c r="L6" s="105"/>
      <c r="M6" s="106">
        <f t="shared" si="0"/>
        <v>150</v>
      </c>
      <c r="N6" s="106">
        <f t="shared" si="1"/>
        <v>0</v>
      </c>
      <c r="O6" s="106">
        <f t="shared" si="2"/>
        <v>0</v>
      </c>
      <c r="P6" s="106"/>
      <c r="Q6" s="107"/>
      <c r="R6" s="107"/>
      <c r="S6" s="108"/>
      <c r="T6" s="108"/>
      <c r="U6" s="108"/>
      <c r="V6" s="108"/>
      <c r="W6" s="108"/>
      <c r="X6" s="107"/>
      <c r="Y6" s="107"/>
      <c r="Z6" s="107"/>
      <c r="AA6" s="107"/>
      <c r="AB6" s="108"/>
      <c r="AC6" s="108"/>
      <c r="AD6" s="107">
        <v>150</v>
      </c>
      <c r="AE6" s="107"/>
      <c r="AF6" s="106">
        <f t="shared" si="3"/>
        <v>-150</v>
      </c>
      <c r="AG6" s="109">
        <f t="shared" si="4"/>
        <v>0</v>
      </c>
    </row>
    <row r="7" spans="1:33" s="110" customFormat="1" ht="23.25" customHeight="1" x14ac:dyDescent="0.2">
      <c r="A7" s="18">
        <v>43712</v>
      </c>
      <c r="B7" s="102"/>
      <c r="C7" s="20" t="s">
        <v>814</v>
      </c>
      <c r="D7" s="20" t="s">
        <v>815</v>
      </c>
      <c r="E7" s="20" t="s">
        <v>215</v>
      </c>
      <c r="F7" s="103">
        <v>45732</v>
      </c>
      <c r="G7" s="104" t="s">
        <v>816</v>
      </c>
      <c r="H7" s="23"/>
      <c r="I7" s="23"/>
      <c r="J7" s="23">
        <v>1360</v>
      </c>
      <c r="K7" s="23"/>
      <c r="L7" s="105"/>
      <c r="M7" s="106">
        <f t="shared" si="0"/>
        <v>1360</v>
      </c>
      <c r="N7" s="106">
        <f t="shared" si="1"/>
        <v>0</v>
      </c>
      <c r="O7" s="106">
        <f t="shared" si="2"/>
        <v>0</v>
      </c>
      <c r="P7" s="106"/>
      <c r="Q7" s="107"/>
      <c r="R7" s="107"/>
      <c r="S7" s="108"/>
      <c r="T7" s="108"/>
      <c r="U7" s="108"/>
      <c r="V7" s="108"/>
      <c r="W7" s="108"/>
      <c r="X7" s="107"/>
      <c r="Y7" s="107"/>
      <c r="Z7" s="107"/>
      <c r="AA7" s="107"/>
      <c r="AB7" s="108"/>
      <c r="AC7" s="108"/>
      <c r="AD7" s="107">
        <v>1360</v>
      </c>
      <c r="AE7" s="107"/>
      <c r="AF7" s="106">
        <f t="shared" si="3"/>
        <v>-1360</v>
      </c>
      <c r="AG7" s="109">
        <f t="shared" si="4"/>
        <v>0</v>
      </c>
    </row>
    <row r="8" spans="1:33" s="110" customFormat="1" ht="23.25" customHeight="1" x14ac:dyDescent="0.2">
      <c r="A8" s="18">
        <v>43714</v>
      </c>
      <c r="B8" s="102"/>
      <c r="C8" s="20" t="s">
        <v>817</v>
      </c>
      <c r="D8" s="20" t="s">
        <v>818</v>
      </c>
      <c r="E8" s="20" t="s">
        <v>819</v>
      </c>
      <c r="F8" s="103">
        <v>208756</v>
      </c>
      <c r="G8" s="104" t="s">
        <v>820</v>
      </c>
      <c r="H8" s="23"/>
      <c r="I8" s="23"/>
      <c r="J8" s="23"/>
      <c r="K8" s="23">
        <v>725</v>
      </c>
      <c r="L8" s="105"/>
      <c r="M8" s="106">
        <f t="shared" si="0"/>
        <v>647.32142857142856</v>
      </c>
      <c r="N8" s="106">
        <f t="shared" si="1"/>
        <v>77.678571428571431</v>
      </c>
      <c r="O8" s="106">
        <f t="shared" si="2"/>
        <v>0</v>
      </c>
      <c r="P8" s="106"/>
      <c r="Q8" s="107"/>
      <c r="R8" s="107"/>
      <c r="S8" s="108"/>
      <c r="T8" s="108"/>
      <c r="U8" s="108"/>
      <c r="V8" s="108"/>
      <c r="W8" s="108"/>
      <c r="X8" s="107"/>
      <c r="Y8" s="107"/>
      <c r="Z8" s="107"/>
      <c r="AA8" s="107"/>
      <c r="AB8" s="108"/>
      <c r="AC8" s="108"/>
      <c r="AD8" s="107">
        <v>647.32000000000005</v>
      </c>
      <c r="AE8" s="107"/>
      <c r="AF8" s="106">
        <f t="shared" si="3"/>
        <v>-724.99857142857149</v>
      </c>
      <c r="AG8" s="109">
        <f t="shared" si="4"/>
        <v>1.4285714285051654E-3</v>
      </c>
    </row>
    <row r="9" spans="1:33" s="110" customFormat="1" ht="23.25" customHeight="1" x14ac:dyDescent="0.2">
      <c r="A9" s="18">
        <v>43720</v>
      </c>
      <c r="B9" s="102"/>
      <c r="C9" s="20" t="s">
        <v>821</v>
      </c>
      <c r="D9" s="20" t="s">
        <v>822</v>
      </c>
      <c r="E9" s="20" t="s">
        <v>241</v>
      </c>
      <c r="F9" s="103">
        <v>22</v>
      </c>
      <c r="G9" s="104" t="s">
        <v>823</v>
      </c>
      <c r="H9" s="23"/>
      <c r="I9" s="23"/>
      <c r="J9" s="23"/>
      <c r="K9" s="23">
        <v>900</v>
      </c>
      <c r="L9" s="105"/>
      <c r="M9" s="106">
        <f t="shared" si="0"/>
        <v>803.57142857142844</v>
      </c>
      <c r="N9" s="106">
        <f t="shared" si="1"/>
        <v>96.428571428571416</v>
      </c>
      <c r="O9" s="106">
        <f t="shared" si="2"/>
        <v>0</v>
      </c>
      <c r="P9" s="106"/>
      <c r="Q9" s="107"/>
      <c r="R9" s="107"/>
      <c r="S9" s="108"/>
      <c r="T9" s="108"/>
      <c r="U9" s="108"/>
      <c r="V9" s="108"/>
      <c r="W9" s="108"/>
      <c r="X9" s="107"/>
      <c r="Y9" s="107"/>
      <c r="Z9" s="107"/>
      <c r="AA9" s="107"/>
      <c r="AB9" s="108"/>
      <c r="AC9" s="108"/>
      <c r="AD9" s="107">
        <v>803.57</v>
      </c>
      <c r="AE9" s="107"/>
      <c r="AF9" s="106">
        <f t="shared" si="3"/>
        <v>-899.99857142857149</v>
      </c>
      <c r="AG9" s="109">
        <f t="shared" si="4"/>
        <v>1.4285714285051654E-3</v>
      </c>
    </row>
    <row r="10" spans="1:33" s="110" customFormat="1" ht="23.25" customHeight="1" x14ac:dyDescent="0.2">
      <c r="A10" s="18">
        <v>43689</v>
      </c>
      <c r="B10" s="102"/>
      <c r="C10" s="20" t="s">
        <v>821</v>
      </c>
      <c r="D10" s="20" t="s">
        <v>822</v>
      </c>
      <c r="E10" s="20" t="s">
        <v>241</v>
      </c>
      <c r="F10" s="103">
        <v>5</v>
      </c>
      <c r="G10" s="104" t="s">
        <v>823</v>
      </c>
      <c r="H10" s="23"/>
      <c r="I10" s="23"/>
      <c r="J10" s="23"/>
      <c r="K10" s="23">
        <v>900</v>
      </c>
      <c r="L10" s="105"/>
      <c r="M10" s="106">
        <f t="shared" si="0"/>
        <v>803.57142857142844</v>
      </c>
      <c r="N10" s="106">
        <f t="shared" si="1"/>
        <v>96.428571428571416</v>
      </c>
      <c r="O10" s="106">
        <f t="shared" si="2"/>
        <v>0</v>
      </c>
      <c r="P10" s="106"/>
      <c r="Q10" s="107"/>
      <c r="R10" s="107"/>
      <c r="S10" s="108"/>
      <c r="T10" s="108"/>
      <c r="U10" s="108"/>
      <c r="V10" s="108"/>
      <c r="W10" s="108"/>
      <c r="X10" s="107"/>
      <c r="Y10" s="107"/>
      <c r="Z10" s="107"/>
      <c r="AA10" s="107"/>
      <c r="AB10" s="108"/>
      <c r="AC10" s="108"/>
      <c r="AD10" s="107">
        <v>803.57</v>
      </c>
      <c r="AE10" s="107"/>
      <c r="AF10" s="106">
        <f t="shared" si="3"/>
        <v>-899.99857142857149</v>
      </c>
      <c r="AG10" s="109">
        <f t="shared" si="4"/>
        <v>1.4285714285051654E-3</v>
      </c>
    </row>
    <row r="11" spans="1:33" s="110" customFormat="1" ht="23.25" customHeight="1" x14ac:dyDescent="0.2">
      <c r="A11" s="18">
        <v>43712</v>
      </c>
      <c r="B11" s="102"/>
      <c r="C11" s="20" t="s">
        <v>824</v>
      </c>
      <c r="D11" s="20" t="s">
        <v>825</v>
      </c>
      <c r="E11" s="20" t="s">
        <v>161</v>
      </c>
      <c r="F11" s="103">
        <v>50650</v>
      </c>
      <c r="G11" s="104" t="s">
        <v>826</v>
      </c>
      <c r="H11" s="23"/>
      <c r="I11" s="23"/>
      <c r="J11" s="23"/>
      <c r="K11" s="23">
        <v>120</v>
      </c>
      <c r="L11" s="105"/>
      <c r="M11" s="106">
        <f t="shared" si="0"/>
        <v>107.14285714285714</v>
      </c>
      <c r="N11" s="106">
        <f t="shared" si="1"/>
        <v>12.857142857142856</v>
      </c>
      <c r="O11" s="106">
        <f t="shared" si="2"/>
        <v>0</v>
      </c>
      <c r="P11" s="106"/>
      <c r="Q11" s="107"/>
      <c r="R11" s="107"/>
      <c r="S11" s="108"/>
      <c r="T11" s="108"/>
      <c r="U11" s="108"/>
      <c r="V11" s="108"/>
      <c r="W11" s="108"/>
      <c r="X11" s="107">
        <v>107.14</v>
      </c>
      <c r="Y11" s="107"/>
      <c r="Z11" s="107"/>
      <c r="AA11" s="107"/>
      <c r="AB11" s="108"/>
      <c r="AC11" s="108"/>
      <c r="AD11" s="107"/>
      <c r="AE11" s="107"/>
      <c r="AF11" s="106">
        <f t="shared" si="3"/>
        <v>-119.99714285714286</v>
      </c>
      <c r="AG11" s="109">
        <f t="shared" si="4"/>
        <v>2.8571428571382285E-3</v>
      </c>
    </row>
    <row r="12" spans="1:33" s="110" customFormat="1" ht="23.25" customHeight="1" x14ac:dyDescent="0.2">
      <c r="A12" s="18">
        <v>43722</v>
      </c>
      <c r="B12" s="102"/>
      <c r="C12" s="20" t="s">
        <v>827</v>
      </c>
      <c r="D12" s="20" t="s">
        <v>828</v>
      </c>
      <c r="E12" s="20" t="s">
        <v>215</v>
      </c>
      <c r="F12" s="103">
        <v>36485</v>
      </c>
      <c r="G12" s="104" t="s">
        <v>829</v>
      </c>
      <c r="H12" s="23"/>
      <c r="I12" s="23"/>
      <c r="J12" s="23"/>
      <c r="K12" s="23">
        <v>200</v>
      </c>
      <c r="L12" s="105"/>
      <c r="M12" s="106">
        <f t="shared" si="0"/>
        <v>178.57142857142856</v>
      </c>
      <c r="N12" s="106">
        <f t="shared" si="1"/>
        <v>21.428571428571427</v>
      </c>
      <c r="O12" s="106">
        <f t="shared" si="2"/>
        <v>0</v>
      </c>
      <c r="P12" s="106"/>
      <c r="Q12" s="107"/>
      <c r="R12" s="107">
        <v>178.57</v>
      </c>
      <c r="S12" s="108"/>
      <c r="T12" s="108"/>
      <c r="U12" s="108"/>
      <c r="V12" s="108"/>
      <c r="W12" s="108"/>
      <c r="X12" s="107"/>
      <c r="Y12" s="107"/>
      <c r="Z12" s="107"/>
      <c r="AA12" s="107"/>
      <c r="AB12" s="108"/>
      <c r="AC12" s="108"/>
      <c r="AD12" s="107"/>
      <c r="AE12" s="107"/>
      <c r="AF12" s="106">
        <f t="shared" si="3"/>
        <v>-199.99857142857141</v>
      </c>
      <c r="AG12" s="109">
        <f t="shared" si="4"/>
        <v>1.4285714285904305E-3</v>
      </c>
    </row>
    <row r="13" spans="1:33" s="110" customFormat="1" ht="23.25" customHeight="1" x14ac:dyDescent="0.2">
      <c r="A13" s="18">
        <v>43712</v>
      </c>
      <c r="B13" s="102"/>
      <c r="C13" s="20" t="s">
        <v>157</v>
      </c>
      <c r="D13" s="20"/>
      <c r="E13" s="20"/>
      <c r="F13" s="103"/>
      <c r="G13" s="104" t="s">
        <v>823</v>
      </c>
      <c r="H13" s="23">
        <v>1440</v>
      </c>
      <c r="I13" s="23"/>
      <c r="J13" s="23"/>
      <c r="K13" s="23"/>
      <c r="L13" s="105"/>
      <c r="M13" s="106">
        <f t="shared" si="0"/>
        <v>1440</v>
      </c>
      <c r="N13" s="106">
        <f t="shared" si="1"/>
        <v>0</v>
      </c>
      <c r="O13" s="106"/>
      <c r="P13" s="106"/>
      <c r="Q13" s="107"/>
      <c r="R13" s="107"/>
      <c r="S13" s="108"/>
      <c r="T13" s="108"/>
      <c r="U13" s="108"/>
      <c r="V13" s="108"/>
      <c r="W13" s="108"/>
      <c r="X13" s="107"/>
      <c r="Y13" s="107"/>
      <c r="Z13" s="107"/>
      <c r="AA13" s="107"/>
      <c r="AB13" s="108"/>
      <c r="AC13" s="108"/>
      <c r="AD13" s="107">
        <v>1440</v>
      </c>
      <c r="AE13" s="107"/>
      <c r="AF13" s="106">
        <f t="shared" si="3"/>
        <v>-1440</v>
      </c>
      <c r="AG13" s="109">
        <f t="shared" si="4"/>
        <v>0</v>
      </c>
    </row>
    <row r="14" spans="1:33" s="110" customFormat="1" ht="23.25" customHeight="1" x14ac:dyDescent="0.2">
      <c r="A14" s="18">
        <v>43712</v>
      </c>
      <c r="B14" s="102"/>
      <c r="C14" s="20" t="s">
        <v>830</v>
      </c>
      <c r="D14" s="20" t="s">
        <v>831</v>
      </c>
      <c r="E14" s="20" t="s">
        <v>241</v>
      </c>
      <c r="F14" s="103">
        <v>28401</v>
      </c>
      <c r="G14" s="104" t="s">
        <v>832</v>
      </c>
      <c r="H14" s="23"/>
      <c r="I14" s="23"/>
      <c r="J14" s="23"/>
      <c r="K14" s="23">
        <v>105</v>
      </c>
      <c r="L14" s="105"/>
      <c r="M14" s="106">
        <f t="shared" si="0"/>
        <v>93.749999999999986</v>
      </c>
      <c r="N14" s="106">
        <f t="shared" si="1"/>
        <v>11.249999999999998</v>
      </c>
      <c r="O14" s="106"/>
      <c r="P14" s="106"/>
      <c r="Q14" s="107"/>
      <c r="R14" s="107"/>
      <c r="S14" s="108"/>
      <c r="T14" s="108"/>
      <c r="U14" s="108"/>
      <c r="V14" s="108"/>
      <c r="W14" s="108"/>
      <c r="X14" s="107"/>
      <c r="Y14" s="107"/>
      <c r="Z14" s="107"/>
      <c r="AA14" s="107"/>
      <c r="AB14" s="108"/>
      <c r="AC14" s="108"/>
      <c r="AD14" s="107"/>
      <c r="AE14" s="107">
        <v>93.75</v>
      </c>
      <c r="AF14" s="106">
        <f t="shared" si="3"/>
        <v>-105</v>
      </c>
      <c r="AG14" s="109">
        <f t="shared" si="4"/>
        <v>0</v>
      </c>
    </row>
    <row r="15" spans="1:33" s="110" customFormat="1" ht="19.5" customHeight="1" x14ac:dyDescent="0.2">
      <c r="A15" s="18"/>
      <c r="B15" s="102"/>
      <c r="C15" s="45"/>
      <c r="D15" s="45"/>
      <c r="E15" s="45"/>
      <c r="F15" s="103"/>
      <c r="G15" s="104"/>
      <c r="H15" s="23"/>
      <c r="I15" s="23"/>
      <c r="J15" s="23"/>
      <c r="K15" s="23"/>
      <c r="L15" s="105"/>
      <c r="M15" s="106">
        <f t="shared" si="0"/>
        <v>0</v>
      </c>
      <c r="N15" s="106">
        <f t="shared" si="1"/>
        <v>0</v>
      </c>
      <c r="O15" s="107">
        <f>-SUM(I15:J15,K15/1.12)*L15</f>
        <v>0</v>
      </c>
      <c r="P15" s="107"/>
      <c r="Q15" s="107"/>
      <c r="R15" s="107"/>
      <c r="S15" s="107"/>
      <c r="T15" s="108"/>
      <c r="U15" s="108"/>
      <c r="V15" s="108"/>
      <c r="W15" s="108"/>
      <c r="X15" s="108"/>
      <c r="Y15" s="113"/>
      <c r="Z15" s="107"/>
      <c r="AA15" s="107"/>
      <c r="AB15" s="107"/>
      <c r="AC15" s="108"/>
      <c r="AD15" s="108"/>
      <c r="AE15" s="114"/>
      <c r="AF15" s="106">
        <f t="shared" si="3"/>
        <v>0</v>
      </c>
      <c r="AG15" s="109">
        <f t="shared" si="4"/>
        <v>0</v>
      </c>
    </row>
    <row r="16" spans="1:33" s="120" customFormat="1" ht="12" customHeight="1" x14ac:dyDescent="0.2">
      <c r="A16" s="115"/>
      <c r="B16" s="116"/>
      <c r="C16" s="117"/>
      <c r="D16" s="118"/>
      <c r="E16" s="118"/>
      <c r="F16" s="119"/>
      <c r="G16" s="117"/>
      <c r="H16" s="54">
        <f t="shared" ref="H16:AG16" si="5">SUM(H5:H15)</f>
        <v>1558</v>
      </c>
      <c r="I16" s="54">
        <f t="shared" si="5"/>
        <v>0</v>
      </c>
      <c r="J16" s="54">
        <f t="shared" si="5"/>
        <v>1510</v>
      </c>
      <c r="K16" s="54">
        <f t="shared" si="5"/>
        <v>2950</v>
      </c>
      <c r="L16" s="54">
        <f t="shared" si="5"/>
        <v>0</v>
      </c>
      <c r="M16" s="54">
        <f t="shared" si="5"/>
        <v>5701.9285714285716</v>
      </c>
      <c r="N16" s="54">
        <f t="shared" si="5"/>
        <v>316.0714285714285</v>
      </c>
      <c r="O16" s="54">
        <f t="shared" si="5"/>
        <v>0</v>
      </c>
      <c r="P16" s="54">
        <f t="shared" si="5"/>
        <v>0</v>
      </c>
      <c r="Q16" s="54">
        <f t="shared" si="5"/>
        <v>0</v>
      </c>
      <c r="R16" s="54">
        <f t="shared" si="5"/>
        <v>178.57</v>
      </c>
      <c r="S16" s="54">
        <f t="shared" si="5"/>
        <v>0</v>
      </c>
      <c r="T16" s="54">
        <f t="shared" si="5"/>
        <v>0</v>
      </c>
      <c r="U16" s="54">
        <f t="shared" si="5"/>
        <v>0</v>
      </c>
      <c r="V16" s="54">
        <f t="shared" si="5"/>
        <v>0</v>
      </c>
      <c r="W16" s="54">
        <f t="shared" si="5"/>
        <v>0</v>
      </c>
      <c r="X16" s="54">
        <f t="shared" si="5"/>
        <v>107.14</v>
      </c>
      <c r="Y16" s="54">
        <f t="shared" si="5"/>
        <v>0</v>
      </c>
      <c r="Z16" s="54">
        <f t="shared" si="5"/>
        <v>0</v>
      </c>
      <c r="AA16" s="54">
        <f t="shared" si="5"/>
        <v>118</v>
      </c>
      <c r="AB16" s="54">
        <f t="shared" si="5"/>
        <v>0</v>
      </c>
      <c r="AC16" s="54">
        <f t="shared" si="5"/>
        <v>0</v>
      </c>
      <c r="AD16" s="54">
        <f t="shared" si="5"/>
        <v>5204.4600000000009</v>
      </c>
      <c r="AE16" s="54">
        <f t="shared" si="5"/>
        <v>93.75</v>
      </c>
      <c r="AF16" s="54">
        <f t="shared" si="5"/>
        <v>-6017.9914285714276</v>
      </c>
      <c r="AG16" s="54">
        <f t="shared" si="5"/>
        <v>8.5714285712441551E-3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8"/>
  <sheetViews>
    <sheetView zoomScale="90" zoomScaleNormal="90" workbookViewId="0"/>
  </sheetViews>
  <sheetFormatPr defaultRowHeight="13.2" x14ac:dyDescent="0.25"/>
  <cols>
    <col min="1" max="1" width="10.21875" style="84" customWidth="1"/>
    <col min="2" max="2" width="9.21875" style="85" hidden="1" customWidth="1"/>
    <col min="3" max="3" width="30.21875" style="86" customWidth="1"/>
    <col min="4" max="4" width="17.6640625" style="87" customWidth="1"/>
    <col min="5" max="5" width="35.33203125" style="87" customWidth="1"/>
    <col min="6" max="6" width="9.88671875" style="85" customWidth="1"/>
    <col min="7" max="7" width="38.6640625" style="86" customWidth="1"/>
    <col min="8" max="8" width="9.88671875" style="88" customWidth="1"/>
    <col min="9" max="9" width="10.6640625" style="88" customWidth="1"/>
    <col min="10" max="10" width="12.21875" style="88" customWidth="1"/>
    <col min="11" max="11" width="12.5546875" style="88" customWidth="1"/>
    <col min="12" max="12" width="6.44140625" style="89" customWidth="1"/>
    <col min="13" max="13" width="11.6640625" style="88" customWidth="1"/>
    <col min="14" max="14" width="10.21875" style="88" customWidth="1"/>
    <col min="15" max="15" width="8.21875" style="88" customWidth="1"/>
    <col min="16" max="16" width="10.21875" style="88" customWidth="1"/>
    <col min="17" max="17" width="12.5546875" style="88" customWidth="1"/>
    <col min="18" max="18" width="11.5546875" style="88"/>
    <col min="19" max="19" width="10.21875" style="88" customWidth="1"/>
    <col min="20" max="21" width="11.5546875" style="88"/>
    <col min="22" max="22" width="13.33203125" style="88" customWidth="1"/>
    <col min="23" max="23" width="10.21875" style="88" customWidth="1"/>
    <col min="24" max="24" width="12.44140625" style="88" customWidth="1"/>
    <col min="25" max="25" width="11.6640625" style="88" customWidth="1"/>
    <col min="26" max="26" width="10.44140625" style="88" customWidth="1"/>
    <col min="27" max="27" width="9" style="88" customWidth="1"/>
    <col min="28" max="28" width="11.33203125" style="88" customWidth="1"/>
    <col min="29" max="30" width="10.109375" style="88" customWidth="1"/>
    <col min="31" max="31" width="12.77734375" style="88" customWidth="1"/>
    <col min="32" max="32" width="13.33203125" style="88" customWidth="1"/>
    <col min="33" max="33" width="7" style="86" customWidth="1"/>
    <col min="34" max="1025" width="11.5546875" style="86"/>
  </cols>
  <sheetData>
    <row r="1" spans="1:33" ht="12" customHeight="1" x14ac:dyDescent="0.25">
      <c r="A1" s="90" t="s">
        <v>0</v>
      </c>
      <c r="C1" s="91"/>
    </row>
    <row r="2" spans="1:33" ht="12" customHeight="1" x14ac:dyDescent="0.25">
      <c r="A2" s="90" t="s">
        <v>1</v>
      </c>
    </row>
    <row r="3" spans="1:33" ht="12" customHeight="1" x14ac:dyDescent="0.25">
      <c r="A3" s="90" t="s">
        <v>812</v>
      </c>
      <c r="B3" s="91"/>
      <c r="C3" s="92"/>
      <c r="N3" s="93">
        <v>1301</v>
      </c>
      <c r="O3" s="93">
        <v>2402</v>
      </c>
      <c r="P3" s="93">
        <v>5001</v>
      </c>
      <c r="Q3" s="93">
        <v>5002</v>
      </c>
      <c r="R3" s="93">
        <v>6220</v>
      </c>
      <c r="S3" s="93">
        <v>6219</v>
      </c>
      <c r="T3" s="93">
        <v>6212</v>
      </c>
      <c r="U3" s="93"/>
      <c r="V3" s="93"/>
      <c r="W3" s="93"/>
      <c r="X3" s="93"/>
      <c r="Y3" s="93" t="s">
        <v>3</v>
      </c>
      <c r="Z3" s="93"/>
      <c r="AA3" s="93">
        <v>6230</v>
      </c>
      <c r="AB3" s="93" t="s">
        <v>4</v>
      </c>
      <c r="AC3" s="93">
        <v>6202</v>
      </c>
      <c r="AD3" s="93"/>
      <c r="AE3" s="93">
        <v>6109</v>
      </c>
      <c r="AF3" s="93">
        <v>1002</v>
      </c>
    </row>
    <row r="4" spans="1:33" s="101" customFormat="1" ht="44.25" customHeight="1" x14ac:dyDescent="0.25">
      <c r="A4" s="94" t="s">
        <v>5</v>
      </c>
      <c r="B4" s="95" t="s">
        <v>6</v>
      </c>
      <c r="C4" s="95" t="s">
        <v>7</v>
      </c>
      <c r="D4" s="95" t="s">
        <v>8</v>
      </c>
      <c r="E4" s="95" t="s">
        <v>9</v>
      </c>
      <c r="F4" s="95" t="s">
        <v>10</v>
      </c>
      <c r="G4" s="95" t="s">
        <v>11</v>
      </c>
      <c r="H4" s="95" t="s">
        <v>12</v>
      </c>
      <c r="I4" s="95" t="s">
        <v>13</v>
      </c>
      <c r="J4" s="95" t="s">
        <v>14</v>
      </c>
      <c r="K4" s="95" t="s">
        <v>15</v>
      </c>
      <c r="L4" s="96" t="s">
        <v>16</v>
      </c>
      <c r="M4" s="95" t="s">
        <v>17</v>
      </c>
      <c r="N4" s="97" t="s">
        <v>18</v>
      </c>
      <c r="O4" s="97" t="s">
        <v>19</v>
      </c>
      <c r="P4" s="97" t="s">
        <v>20</v>
      </c>
      <c r="Q4" s="97" t="s">
        <v>21</v>
      </c>
      <c r="R4" s="97" t="s">
        <v>22</v>
      </c>
      <c r="S4" s="97" t="s">
        <v>23</v>
      </c>
      <c r="T4" s="97" t="s">
        <v>24</v>
      </c>
      <c r="U4" s="97" t="s">
        <v>25</v>
      </c>
      <c r="V4" s="97" t="s">
        <v>26</v>
      </c>
      <c r="W4" s="97" t="s">
        <v>27</v>
      </c>
      <c r="X4" s="97" t="s">
        <v>28</v>
      </c>
      <c r="Y4" s="97" t="s">
        <v>29</v>
      </c>
      <c r="Z4" s="97" t="s">
        <v>30</v>
      </c>
      <c r="AA4" s="97" t="s">
        <v>31</v>
      </c>
      <c r="AB4" s="97" t="s">
        <v>32</v>
      </c>
      <c r="AC4" s="98" t="s">
        <v>33</v>
      </c>
      <c r="AD4" s="97" t="s">
        <v>34</v>
      </c>
      <c r="AE4" s="99" t="s">
        <v>35</v>
      </c>
      <c r="AF4" s="100" t="s">
        <v>36</v>
      </c>
    </row>
    <row r="5" spans="1:33" s="110" customFormat="1" ht="23.25" customHeight="1" x14ac:dyDescent="0.2">
      <c r="A5" s="18">
        <v>43731</v>
      </c>
      <c r="B5" s="102"/>
      <c r="C5" s="20" t="s">
        <v>157</v>
      </c>
      <c r="D5" s="20"/>
      <c r="E5" s="20"/>
      <c r="F5" s="103"/>
      <c r="G5" s="103" t="s">
        <v>833</v>
      </c>
      <c r="H5" s="23">
        <v>250</v>
      </c>
      <c r="I5" s="23"/>
      <c r="J5" s="23"/>
      <c r="K5" s="23"/>
      <c r="L5" s="105"/>
      <c r="M5" s="106">
        <f>SUM(H5:J5,K5/1.12)</f>
        <v>250</v>
      </c>
      <c r="N5" s="106">
        <f>K5/1.12*0.12</f>
        <v>0</v>
      </c>
      <c r="O5" s="106">
        <f>-SUM(I5:J5,K5/1.12)*L5</f>
        <v>0</v>
      </c>
      <c r="P5" s="106"/>
      <c r="Q5" s="107"/>
      <c r="R5" s="107"/>
      <c r="S5" s="108"/>
      <c r="T5" s="108"/>
      <c r="U5" s="108"/>
      <c r="V5" s="108"/>
      <c r="W5" s="108"/>
      <c r="X5" s="107"/>
      <c r="Y5" s="107"/>
      <c r="Z5" s="107"/>
      <c r="AA5" s="107">
        <v>250</v>
      </c>
      <c r="AB5" s="108"/>
      <c r="AC5" s="108"/>
      <c r="AD5" s="107"/>
      <c r="AE5" s="107"/>
      <c r="AF5" s="106">
        <f>-SUM(N5:AE5)</f>
        <v>-250</v>
      </c>
      <c r="AG5" s="109">
        <f>SUM(H5:K5)+AF5+O5</f>
        <v>0</v>
      </c>
    </row>
    <row r="6" spans="1:33" s="110" customFormat="1" ht="23.25" customHeight="1" x14ac:dyDescent="0.2">
      <c r="A6" s="18">
        <v>43731</v>
      </c>
      <c r="B6" s="102"/>
      <c r="C6" s="20" t="s">
        <v>834</v>
      </c>
      <c r="D6" s="20" t="s">
        <v>835</v>
      </c>
      <c r="E6" s="20" t="s">
        <v>836</v>
      </c>
      <c r="F6" s="103">
        <v>529</v>
      </c>
      <c r="G6" s="103" t="s">
        <v>837</v>
      </c>
      <c r="H6" s="23"/>
      <c r="I6" s="23"/>
      <c r="J6" s="23"/>
      <c r="K6" s="23">
        <v>5500</v>
      </c>
      <c r="L6" s="105"/>
      <c r="M6" s="106">
        <f>SUM(H6:J6,K6/1.12)</f>
        <v>4910.7142857142853</v>
      </c>
      <c r="N6" s="106">
        <f>K6/1.12*0.12</f>
        <v>589.28571428571422</v>
      </c>
      <c r="O6" s="106">
        <f>-SUM(I6:J6,K6/1.12)*L6</f>
        <v>0</v>
      </c>
      <c r="P6" s="106"/>
      <c r="Q6" s="107"/>
      <c r="R6" s="107"/>
      <c r="S6" s="108"/>
      <c r="T6" s="108"/>
      <c r="U6" s="108"/>
      <c r="V6" s="108"/>
      <c r="W6" s="108"/>
      <c r="X6" s="107"/>
      <c r="Y6" s="107">
        <v>4910.71</v>
      </c>
      <c r="Z6" s="107"/>
      <c r="AA6" s="107"/>
      <c r="AB6" s="108"/>
      <c r="AC6" s="108"/>
      <c r="AD6" s="107"/>
      <c r="AE6" s="107"/>
      <c r="AF6" s="106">
        <f>-SUM(N6:AE6)</f>
        <v>-5499.9957142857147</v>
      </c>
      <c r="AG6" s="109">
        <f>SUM(H6:K6)+AF6+O6</f>
        <v>4.2857142852881225E-3</v>
      </c>
    </row>
    <row r="7" spans="1:33" s="110" customFormat="1" ht="19.5" customHeight="1" x14ac:dyDescent="0.2">
      <c r="A7" s="18"/>
      <c r="B7" s="102"/>
      <c r="C7" s="45"/>
      <c r="D7" s="45"/>
      <c r="E7" s="45"/>
      <c r="F7" s="103"/>
      <c r="G7" s="104"/>
      <c r="H7" s="23"/>
      <c r="I7" s="23"/>
      <c r="J7" s="23"/>
      <c r="K7" s="23"/>
      <c r="L7" s="105"/>
      <c r="M7" s="106">
        <f>SUM(H7:J7,K7/1.12)</f>
        <v>0</v>
      </c>
      <c r="N7" s="106">
        <f>K7/1.12*0.12</f>
        <v>0</v>
      </c>
      <c r="O7" s="107">
        <f>-SUM(I7:J7,K7/1.12)*L7</f>
        <v>0</v>
      </c>
      <c r="P7" s="107"/>
      <c r="Q7" s="107"/>
      <c r="R7" s="107"/>
      <c r="S7" s="107"/>
      <c r="T7" s="108"/>
      <c r="U7" s="108"/>
      <c r="V7" s="108"/>
      <c r="W7" s="108"/>
      <c r="X7" s="108"/>
      <c r="Y7" s="113"/>
      <c r="Z7" s="107"/>
      <c r="AA7" s="107"/>
      <c r="AB7" s="107"/>
      <c r="AC7" s="108"/>
      <c r="AD7" s="108"/>
      <c r="AE7" s="114"/>
      <c r="AF7" s="106">
        <f>-SUM(N7:AE7)</f>
        <v>0</v>
      </c>
      <c r="AG7" s="109">
        <f>SUM(H7:K7)+AF7+O7</f>
        <v>0</v>
      </c>
    </row>
    <row r="8" spans="1:33" s="120" customFormat="1" ht="12" customHeight="1" x14ac:dyDescent="0.2">
      <c r="A8" s="115"/>
      <c r="B8" s="116"/>
      <c r="C8" s="117"/>
      <c r="D8" s="118"/>
      <c r="E8" s="118"/>
      <c r="F8" s="119"/>
      <c r="G8" s="117"/>
      <c r="H8" s="54">
        <f t="shared" ref="H8:AG8" si="0">SUM(H5:H7)</f>
        <v>250</v>
      </c>
      <c r="I8" s="54">
        <f t="shared" si="0"/>
        <v>0</v>
      </c>
      <c r="J8" s="54">
        <f t="shared" si="0"/>
        <v>0</v>
      </c>
      <c r="K8" s="54">
        <f t="shared" si="0"/>
        <v>5500</v>
      </c>
      <c r="L8" s="54">
        <f t="shared" si="0"/>
        <v>0</v>
      </c>
      <c r="M8" s="54">
        <f t="shared" si="0"/>
        <v>5160.7142857142853</v>
      </c>
      <c r="N8" s="54">
        <f t="shared" si="0"/>
        <v>589.28571428571422</v>
      </c>
      <c r="O8" s="54">
        <f t="shared" si="0"/>
        <v>0</v>
      </c>
      <c r="P8" s="54">
        <f t="shared" si="0"/>
        <v>0</v>
      </c>
      <c r="Q8" s="54">
        <f t="shared" si="0"/>
        <v>0</v>
      </c>
      <c r="R8" s="54">
        <f t="shared" si="0"/>
        <v>0</v>
      </c>
      <c r="S8" s="54">
        <f t="shared" si="0"/>
        <v>0</v>
      </c>
      <c r="T8" s="54">
        <f t="shared" si="0"/>
        <v>0</v>
      </c>
      <c r="U8" s="54">
        <f t="shared" si="0"/>
        <v>0</v>
      </c>
      <c r="V8" s="54">
        <f t="shared" si="0"/>
        <v>0</v>
      </c>
      <c r="W8" s="54">
        <f t="shared" si="0"/>
        <v>0</v>
      </c>
      <c r="X8" s="54">
        <f t="shared" si="0"/>
        <v>0</v>
      </c>
      <c r="Y8" s="54">
        <f t="shared" si="0"/>
        <v>4910.71</v>
      </c>
      <c r="Z8" s="54">
        <f t="shared" si="0"/>
        <v>0</v>
      </c>
      <c r="AA8" s="54">
        <f t="shared" si="0"/>
        <v>250</v>
      </c>
      <c r="AB8" s="54">
        <f t="shared" si="0"/>
        <v>0</v>
      </c>
      <c r="AC8" s="54">
        <f t="shared" si="0"/>
        <v>0</v>
      </c>
      <c r="AD8" s="54">
        <f t="shared" si="0"/>
        <v>0</v>
      </c>
      <c r="AE8" s="54">
        <f t="shared" si="0"/>
        <v>0</v>
      </c>
      <c r="AF8" s="54">
        <f t="shared" si="0"/>
        <v>-5749.9957142857147</v>
      </c>
      <c r="AG8" s="54">
        <f t="shared" si="0"/>
        <v>4.2857142852881225E-3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15"/>
  <sheetViews>
    <sheetView topLeftCell="J1" zoomScale="90" zoomScaleNormal="90" workbookViewId="0"/>
  </sheetViews>
  <sheetFormatPr defaultRowHeight="13.2" x14ac:dyDescent="0.25"/>
  <cols>
    <col min="1" max="1" width="10.21875" style="84" customWidth="1"/>
    <col min="2" max="2" width="9.21875" style="85" hidden="1" customWidth="1"/>
    <col min="3" max="3" width="30.21875" style="86" customWidth="1"/>
    <col min="4" max="4" width="17.6640625" style="87" customWidth="1"/>
    <col min="5" max="5" width="35.33203125" style="87" customWidth="1"/>
    <col min="6" max="6" width="9.88671875" style="85" customWidth="1"/>
    <col min="7" max="7" width="38.6640625" style="86" customWidth="1"/>
    <col min="8" max="8" width="9.88671875" style="88" customWidth="1"/>
    <col min="9" max="9" width="10.6640625" style="88" customWidth="1"/>
    <col min="10" max="10" width="12.21875" style="88" customWidth="1"/>
    <col min="11" max="11" width="12.5546875" style="88" customWidth="1"/>
    <col min="12" max="12" width="6.44140625" style="89" customWidth="1"/>
    <col min="13" max="13" width="11.6640625" style="88" customWidth="1"/>
    <col min="14" max="14" width="10.21875" style="88" customWidth="1"/>
    <col min="15" max="15" width="8.21875" style="88" customWidth="1"/>
    <col min="16" max="16" width="10.21875" style="88" customWidth="1"/>
    <col min="17" max="17" width="12.5546875" style="88" customWidth="1"/>
    <col min="18" max="18" width="11.5546875" style="88"/>
    <col min="19" max="19" width="10.21875" style="88" customWidth="1"/>
    <col min="20" max="21" width="11.5546875" style="88"/>
    <col min="22" max="22" width="13.33203125" style="88" customWidth="1"/>
    <col min="23" max="23" width="10.21875" style="88" customWidth="1"/>
    <col min="24" max="24" width="12.44140625" style="88" customWidth="1"/>
    <col min="25" max="25" width="11.6640625" style="88" customWidth="1"/>
    <col min="26" max="26" width="10.44140625" style="88" customWidth="1"/>
    <col min="27" max="27" width="9" style="88" customWidth="1"/>
    <col min="28" max="28" width="11.33203125" style="88" customWidth="1"/>
    <col min="29" max="30" width="10.109375" style="88" customWidth="1"/>
    <col min="31" max="31" width="12.77734375" style="88" customWidth="1"/>
    <col min="32" max="32" width="13.33203125" style="88" customWidth="1"/>
    <col min="33" max="33" width="7" style="86" customWidth="1"/>
    <col min="34" max="1025" width="11.5546875" style="86"/>
  </cols>
  <sheetData>
    <row r="1" spans="1:33" ht="12" customHeight="1" x14ac:dyDescent="0.25">
      <c r="A1" s="90" t="s">
        <v>0</v>
      </c>
      <c r="C1" s="91"/>
    </row>
    <row r="2" spans="1:33" ht="12" customHeight="1" x14ac:dyDescent="0.25">
      <c r="A2" s="90" t="s">
        <v>1</v>
      </c>
    </row>
    <row r="3" spans="1:33" ht="12" customHeight="1" x14ac:dyDescent="0.25">
      <c r="A3" s="90" t="s">
        <v>812</v>
      </c>
      <c r="B3" s="91"/>
      <c r="C3" s="92"/>
      <c r="N3" s="93">
        <v>1301</v>
      </c>
      <c r="O3" s="93">
        <v>2402</v>
      </c>
      <c r="P3" s="93">
        <v>5001</v>
      </c>
      <c r="Q3" s="93">
        <v>5002</v>
      </c>
      <c r="R3" s="93">
        <v>6220</v>
      </c>
      <c r="S3" s="93">
        <v>6219</v>
      </c>
      <c r="T3" s="93">
        <v>6212</v>
      </c>
      <c r="U3" s="93"/>
      <c r="V3" s="93"/>
      <c r="W3" s="93"/>
      <c r="X3" s="93"/>
      <c r="Y3" s="93" t="s">
        <v>3</v>
      </c>
      <c r="Z3" s="93"/>
      <c r="AA3" s="93">
        <v>6230</v>
      </c>
      <c r="AB3" s="93" t="s">
        <v>4</v>
      </c>
      <c r="AC3" s="93">
        <v>6202</v>
      </c>
      <c r="AD3" s="93"/>
      <c r="AE3" s="93">
        <v>6109</v>
      </c>
      <c r="AF3" s="93">
        <v>1002</v>
      </c>
    </row>
    <row r="4" spans="1:33" s="101" customFormat="1" ht="44.25" customHeight="1" x14ac:dyDescent="0.25">
      <c r="A4" s="94" t="s">
        <v>5</v>
      </c>
      <c r="B4" s="95" t="s">
        <v>6</v>
      </c>
      <c r="C4" s="95" t="s">
        <v>7</v>
      </c>
      <c r="D4" s="95" t="s">
        <v>8</v>
      </c>
      <c r="E4" s="95" t="s">
        <v>9</v>
      </c>
      <c r="F4" s="95" t="s">
        <v>10</v>
      </c>
      <c r="G4" s="95" t="s">
        <v>11</v>
      </c>
      <c r="H4" s="95" t="s">
        <v>12</v>
      </c>
      <c r="I4" s="95" t="s">
        <v>13</v>
      </c>
      <c r="J4" s="95" t="s">
        <v>14</v>
      </c>
      <c r="K4" s="95" t="s">
        <v>15</v>
      </c>
      <c r="L4" s="96" t="s">
        <v>16</v>
      </c>
      <c r="M4" s="95" t="s">
        <v>17</v>
      </c>
      <c r="N4" s="97" t="s">
        <v>18</v>
      </c>
      <c r="O4" s="97" t="s">
        <v>19</v>
      </c>
      <c r="P4" s="97" t="s">
        <v>20</v>
      </c>
      <c r="Q4" s="97" t="s">
        <v>21</v>
      </c>
      <c r="R4" s="97" t="s">
        <v>22</v>
      </c>
      <c r="S4" s="97" t="s">
        <v>23</v>
      </c>
      <c r="T4" s="97" t="s">
        <v>24</v>
      </c>
      <c r="U4" s="97" t="s">
        <v>25</v>
      </c>
      <c r="V4" s="97" t="s">
        <v>26</v>
      </c>
      <c r="W4" s="97" t="s">
        <v>27</v>
      </c>
      <c r="X4" s="97" t="s">
        <v>28</v>
      </c>
      <c r="Y4" s="97" t="s">
        <v>29</v>
      </c>
      <c r="Z4" s="97" t="s">
        <v>30</v>
      </c>
      <c r="AA4" s="97" t="s">
        <v>31</v>
      </c>
      <c r="AB4" s="97" t="s">
        <v>32</v>
      </c>
      <c r="AC4" s="98" t="s">
        <v>33</v>
      </c>
      <c r="AD4" s="97" t="s">
        <v>34</v>
      </c>
      <c r="AE4" s="99" t="s">
        <v>35</v>
      </c>
      <c r="AF4" s="100" t="s">
        <v>36</v>
      </c>
    </row>
    <row r="5" spans="1:33" s="110" customFormat="1" ht="23.25" customHeight="1" x14ac:dyDescent="0.2">
      <c r="A5" s="18">
        <v>43730</v>
      </c>
      <c r="B5" s="102"/>
      <c r="C5" s="20" t="s">
        <v>838</v>
      </c>
      <c r="D5" s="20"/>
      <c r="E5" s="20"/>
      <c r="F5" s="103"/>
      <c r="G5" s="103" t="s">
        <v>839</v>
      </c>
      <c r="H5" s="23">
        <v>553</v>
      </c>
      <c r="I5" s="23"/>
      <c r="J5" s="23"/>
      <c r="K5" s="23"/>
      <c r="L5" s="105"/>
      <c r="M5" s="106">
        <f t="shared" ref="M5:M14" si="0">SUM(H5:J5,K5/1.12)</f>
        <v>553</v>
      </c>
      <c r="N5" s="106">
        <f t="shared" ref="N5:N14" si="1">K5/1.12*0.12</f>
        <v>0</v>
      </c>
      <c r="O5" s="106">
        <f t="shared" ref="O5:O14" si="2">-SUM(I5:J5,K5/1.12)*L5</f>
        <v>0</v>
      </c>
      <c r="P5" s="106"/>
      <c r="Q5" s="107"/>
      <c r="R5" s="107"/>
      <c r="S5" s="108"/>
      <c r="T5" s="108"/>
      <c r="U5" s="108"/>
      <c r="V5" s="108"/>
      <c r="W5" s="108"/>
      <c r="X5" s="107"/>
      <c r="Y5" s="107"/>
      <c r="Z5" s="107"/>
      <c r="AA5" s="107"/>
      <c r="AB5" s="108"/>
      <c r="AC5" s="108"/>
      <c r="AD5" s="107">
        <v>553</v>
      </c>
      <c r="AE5" s="107"/>
      <c r="AF5" s="106">
        <f t="shared" ref="AF5:AF14" si="3">-SUM(N5:AE5)</f>
        <v>-553</v>
      </c>
      <c r="AG5" s="109">
        <f t="shared" ref="AG5:AG14" si="4">SUM(H5:K5)+AF5+O5</f>
        <v>0</v>
      </c>
    </row>
    <row r="6" spans="1:33" s="110" customFormat="1" ht="23.25" customHeight="1" x14ac:dyDescent="0.2">
      <c r="A6" s="18">
        <v>43730</v>
      </c>
      <c r="B6" s="102"/>
      <c r="C6" s="20" t="s">
        <v>838</v>
      </c>
      <c r="D6" s="20"/>
      <c r="E6" s="20"/>
      <c r="F6" s="103"/>
      <c r="G6" s="103" t="s">
        <v>840</v>
      </c>
      <c r="H6" s="23">
        <v>750</v>
      </c>
      <c r="I6" s="23"/>
      <c r="J6" s="23"/>
      <c r="K6" s="23"/>
      <c r="L6" s="105"/>
      <c r="M6" s="106">
        <f t="shared" si="0"/>
        <v>750</v>
      </c>
      <c r="N6" s="106">
        <f t="shared" si="1"/>
        <v>0</v>
      </c>
      <c r="O6" s="106">
        <f t="shared" si="2"/>
        <v>0</v>
      </c>
      <c r="P6" s="106"/>
      <c r="Q6" s="107"/>
      <c r="R6" s="107"/>
      <c r="S6" s="108"/>
      <c r="T6" s="108"/>
      <c r="U6" s="108"/>
      <c r="V6" s="108"/>
      <c r="W6" s="108"/>
      <c r="X6" s="107"/>
      <c r="Y6" s="107"/>
      <c r="Z6" s="107"/>
      <c r="AA6" s="107">
        <v>750</v>
      </c>
      <c r="AB6" s="108"/>
      <c r="AC6" s="108"/>
      <c r="AD6" s="107"/>
      <c r="AE6" s="107"/>
      <c r="AF6" s="106">
        <f t="shared" si="3"/>
        <v>-750</v>
      </c>
      <c r="AG6" s="109">
        <f t="shared" si="4"/>
        <v>0</v>
      </c>
    </row>
    <row r="7" spans="1:33" s="110" customFormat="1" ht="23.25" customHeight="1" x14ac:dyDescent="0.2">
      <c r="A7" s="18">
        <v>43738</v>
      </c>
      <c r="B7" s="102"/>
      <c r="C7" s="20" t="s">
        <v>157</v>
      </c>
      <c r="D7" s="20"/>
      <c r="E7" s="20"/>
      <c r="F7" s="103"/>
      <c r="G7" s="103" t="s">
        <v>841</v>
      </c>
      <c r="H7" s="23">
        <v>50</v>
      </c>
      <c r="I7" s="23"/>
      <c r="J7" s="23"/>
      <c r="K7" s="23"/>
      <c r="L7" s="105"/>
      <c r="M7" s="106">
        <f t="shared" si="0"/>
        <v>50</v>
      </c>
      <c r="N7" s="106">
        <f t="shared" si="1"/>
        <v>0</v>
      </c>
      <c r="O7" s="106">
        <f t="shared" si="2"/>
        <v>0</v>
      </c>
      <c r="P7" s="106"/>
      <c r="Q7" s="107"/>
      <c r="R7" s="107"/>
      <c r="S7" s="108"/>
      <c r="T7" s="108"/>
      <c r="U7" s="108"/>
      <c r="V7" s="108"/>
      <c r="W7" s="108"/>
      <c r="X7" s="107"/>
      <c r="Y7" s="107"/>
      <c r="Z7" s="107"/>
      <c r="AA7" s="107">
        <v>50</v>
      </c>
      <c r="AB7" s="108"/>
      <c r="AC7" s="108"/>
      <c r="AD7" s="107"/>
      <c r="AE7" s="107"/>
      <c r="AF7" s="106">
        <f t="shared" si="3"/>
        <v>-50</v>
      </c>
      <c r="AG7" s="109">
        <f t="shared" si="4"/>
        <v>0</v>
      </c>
    </row>
    <row r="8" spans="1:33" s="110" customFormat="1" ht="23.25" customHeight="1" x14ac:dyDescent="0.2">
      <c r="A8" s="18">
        <v>43730</v>
      </c>
      <c r="B8" s="102"/>
      <c r="C8" s="20" t="s">
        <v>842</v>
      </c>
      <c r="D8" s="20"/>
      <c r="E8" s="20"/>
      <c r="F8" s="103"/>
      <c r="G8" s="103" t="s">
        <v>843</v>
      </c>
      <c r="H8" s="23">
        <v>500</v>
      </c>
      <c r="I8" s="23"/>
      <c r="J8" s="23"/>
      <c r="K8" s="23"/>
      <c r="L8" s="105"/>
      <c r="M8" s="106">
        <f t="shared" si="0"/>
        <v>500</v>
      </c>
      <c r="N8" s="106">
        <f t="shared" si="1"/>
        <v>0</v>
      </c>
      <c r="O8" s="106">
        <f t="shared" si="2"/>
        <v>0</v>
      </c>
      <c r="P8" s="106"/>
      <c r="Q8" s="107"/>
      <c r="R8" s="107"/>
      <c r="S8" s="108"/>
      <c r="T8" s="108"/>
      <c r="U8" s="108"/>
      <c r="V8" s="108"/>
      <c r="W8" s="108"/>
      <c r="X8" s="107"/>
      <c r="Y8" s="107"/>
      <c r="Z8" s="107"/>
      <c r="AA8" s="107"/>
      <c r="AB8" s="108">
        <v>500</v>
      </c>
      <c r="AC8" s="108"/>
      <c r="AD8" s="107"/>
      <c r="AE8" s="107"/>
      <c r="AF8" s="106">
        <f t="shared" si="3"/>
        <v>-500</v>
      </c>
      <c r="AG8" s="109">
        <f t="shared" si="4"/>
        <v>0</v>
      </c>
    </row>
    <row r="9" spans="1:33" s="110" customFormat="1" ht="23.25" customHeight="1" x14ac:dyDescent="0.2">
      <c r="A9" s="18">
        <v>43728</v>
      </c>
      <c r="B9" s="102"/>
      <c r="C9" s="20" t="s">
        <v>58</v>
      </c>
      <c r="D9" s="20" t="s">
        <v>844</v>
      </c>
      <c r="E9" s="20" t="s">
        <v>845</v>
      </c>
      <c r="F9" s="103">
        <v>1507</v>
      </c>
      <c r="G9" s="103" t="s">
        <v>846</v>
      </c>
      <c r="H9" s="23"/>
      <c r="I9" s="23"/>
      <c r="J9" s="23"/>
      <c r="K9" s="23">
        <v>231</v>
      </c>
      <c r="L9" s="105"/>
      <c r="M9" s="106">
        <f t="shared" si="0"/>
        <v>206.24999999999997</v>
      </c>
      <c r="N9" s="106">
        <f t="shared" si="1"/>
        <v>24.749999999999996</v>
      </c>
      <c r="O9" s="106">
        <f t="shared" si="2"/>
        <v>0</v>
      </c>
      <c r="P9" s="106">
        <v>206.25</v>
      </c>
      <c r="Q9" s="107"/>
      <c r="R9" s="107"/>
      <c r="S9" s="108"/>
      <c r="T9" s="108"/>
      <c r="U9" s="108"/>
      <c r="V9" s="108"/>
      <c r="W9" s="108"/>
      <c r="X9" s="107"/>
      <c r="Y9" s="107"/>
      <c r="Z9" s="107"/>
      <c r="AA9" s="107"/>
      <c r="AB9" s="108"/>
      <c r="AC9" s="108"/>
      <c r="AD9" s="107"/>
      <c r="AE9" s="107"/>
      <c r="AF9" s="106">
        <f t="shared" si="3"/>
        <v>-231</v>
      </c>
      <c r="AG9" s="109">
        <f t="shared" si="4"/>
        <v>0</v>
      </c>
    </row>
    <row r="10" spans="1:33" s="110" customFormat="1" ht="23.25" customHeight="1" x14ac:dyDescent="0.2">
      <c r="A10" s="18">
        <v>43729</v>
      </c>
      <c r="B10" s="102"/>
      <c r="C10" s="20" t="s">
        <v>45</v>
      </c>
      <c r="D10" s="20" t="s">
        <v>847</v>
      </c>
      <c r="E10" s="20" t="s">
        <v>47</v>
      </c>
      <c r="F10" s="103">
        <v>176964</v>
      </c>
      <c r="G10" s="103" t="s">
        <v>848</v>
      </c>
      <c r="H10" s="23"/>
      <c r="I10" s="23"/>
      <c r="J10" s="23"/>
      <c r="K10" s="23">
        <v>520</v>
      </c>
      <c r="L10" s="105"/>
      <c r="M10" s="106">
        <f t="shared" si="0"/>
        <v>464.28571428571422</v>
      </c>
      <c r="N10" s="106">
        <f t="shared" si="1"/>
        <v>55.714285714285701</v>
      </c>
      <c r="O10" s="106">
        <f t="shared" si="2"/>
        <v>0</v>
      </c>
      <c r="P10" s="106">
        <v>464.29</v>
      </c>
      <c r="Q10" s="107"/>
      <c r="R10" s="107"/>
      <c r="S10" s="108"/>
      <c r="T10" s="108"/>
      <c r="U10" s="108"/>
      <c r="V10" s="108"/>
      <c r="W10" s="108"/>
      <c r="X10" s="107"/>
      <c r="Y10" s="107"/>
      <c r="Z10" s="107"/>
      <c r="AA10" s="107"/>
      <c r="AB10" s="108"/>
      <c r="AC10" s="108"/>
      <c r="AD10" s="107"/>
      <c r="AE10" s="107"/>
      <c r="AF10" s="106">
        <f t="shared" si="3"/>
        <v>-520.00428571428574</v>
      </c>
      <c r="AG10" s="109">
        <f t="shared" si="4"/>
        <v>-4.2857142857428698E-3</v>
      </c>
    </row>
    <row r="11" spans="1:33" s="110" customFormat="1" ht="23.25" customHeight="1" x14ac:dyDescent="0.2">
      <c r="A11" s="18">
        <v>43729</v>
      </c>
      <c r="B11" s="102"/>
      <c r="C11" s="20" t="s">
        <v>37</v>
      </c>
      <c r="D11" s="20" t="s">
        <v>38</v>
      </c>
      <c r="E11" s="20" t="s">
        <v>39</v>
      </c>
      <c r="F11" s="103">
        <v>37074</v>
      </c>
      <c r="G11" s="103" t="s">
        <v>849</v>
      </c>
      <c r="H11" s="23"/>
      <c r="I11" s="23"/>
      <c r="J11" s="23"/>
      <c r="K11" s="23">
        <v>210</v>
      </c>
      <c r="L11" s="105"/>
      <c r="M11" s="106">
        <f t="shared" si="0"/>
        <v>187.49999999999997</v>
      </c>
      <c r="N11" s="106">
        <f t="shared" si="1"/>
        <v>22.499999999999996</v>
      </c>
      <c r="O11" s="106">
        <f t="shared" si="2"/>
        <v>0</v>
      </c>
      <c r="P11" s="106"/>
      <c r="Q11" s="107">
        <v>187.5</v>
      </c>
      <c r="R11" s="107"/>
      <c r="S11" s="108"/>
      <c r="T11" s="108"/>
      <c r="U11" s="108"/>
      <c r="V11" s="108"/>
      <c r="W11" s="108"/>
      <c r="X11" s="107"/>
      <c r="Y11" s="107"/>
      <c r="Z11" s="107"/>
      <c r="AA11" s="107"/>
      <c r="AB11" s="108"/>
      <c r="AC11" s="108"/>
      <c r="AD11" s="107"/>
      <c r="AE11" s="107"/>
      <c r="AF11" s="106">
        <f t="shared" si="3"/>
        <v>-210</v>
      </c>
      <c r="AG11" s="109">
        <f t="shared" si="4"/>
        <v>0</v>
      </c>
    </row>
    <row r="12" spans="1:33" s="110" customFormat="1" ht="23.25" customHeight="1" x14ac:dyDescent="0.2">
      <c r="A12" s="18">
        <v>43728</v>
      </c>
      <c r="B12" s="102"/>
      <c r="C12" s="20" t="s">
        <v>850</v>
      </c>
      <c r="D12" s="20" t="s">
        <v>851</v>
      </c>
      <c r="E12" s="20" t="s">
        <v>47</v>
      </c>
      <c r="F12" s="103">
        <v>624</v>
      </c>
      <c r="G12" s="121"/>
      <c r="H12" s="23"/>
      <c r="I12" s="23"/>
      <c r="J12" s="23"/>
      <c r="K12" s="23">
        <v>800</v>
      </c>
      <c r="L12" s="105"/>
      <c r="M12" s="106">
        <f t="shared" si="0"/>
        <v>714.28571428571422</v>
      </c>
      <c r="N12" s="106">
        <f t="shared" si="1"/>
        <v>85.714285714285708</v>
      </c>
      <c r="O12" s="106">
        <f t="shared" si="2"/>
        <v>0</v>
      </c>
      <c r="P12" s="106">
        <v>714.29</v>
      </c>
      <c r="Q12" s="107"/>
      <c r="R12" s="107"/>
      <c r="S12" s="108"/>
      <c r="T12" s="108"/>
      <c r="U12" s="108"/>
      <c r="V12" s="108"/>
      <c r="W12" s="108"/>
      <c r="X12" s="107"/>
      <c r="Y12" s="107"/>
      <c r="Z12" s="107"/>
      <c r="AA12" s="107"/>
      <c r="AB12" s="108"/>
      <c r="AC12" s="108"/>
      <c r="AD12" s="107"/>
      <c r="AE12" s="107"/>
      <c r="AF12" s="106">
        <f t="shared" si="3"/>
        <v>-800.00428571428563</v>
      </c>
      <c r="AG12" s="109">
        <f t="shared" si="4"/>
        <v>-4.285714285629183E-3</v>
      </c>
    </row>
    <row r="13" spans="1:33" s="110" customFormat="1" ht="23.25" customHeight="1" x14ac:dyDescent="0.2">
      <c r="A13" s="18">
        <v>43728</v>
      </c>
      <c r="B13" s="102"/>
      <c r="C13" s="20" t="s">
        <v>852</v>
      </c>
      <c r="D13" s="20"/>
      <c r="E13" s="20"/>
      <c r="F13" s="103"/>
      <c r="G13" s="103" t="s">
        <v>807</v>
      </c>
      <c r="H13" s="23">
        <v>396</v>
      </c>
      <c r="I13" s="23"/>
      <c r="J13" s="23"/>
      <c r="K13" s="23"/>
      <c r="L13" s="105"/>
      <c r="M13" s="106">
        <f t="shared" si="0"/>
        <v>396</v>
      </c>
      <c r="N13" s="106">
        <f t="shared" si="1"/>
        <v>0</v>
      </c>
      <c r="O13" s="106">
        <f t="shared" si="2"/>
        <v>0</v>
      </c>
      <c r="P13" s="106"/>
      <c r="Q13" s="107"/>
      <c r="R13" s="107"/>
      <c r="S13" s="108"/>
      <c r="T13" s="108"/>
      <c r="U13" s="108"/>
      <c r="V13" s="108"/>
      <c r="W13" s="108"/>
      <c r="X13" s="107"/>
      <c r="Y13" s="107"/>
      <c r="Z13" s="107"/>
      <c r="AA13" s="107"/>
      <c r="AB13" s="108"/>
      <c r="AC13" s="108"/>
      <c r="AD13" s="107">
        <v>396</v>
      </c>
      <c r="AE13" s="107"/>
      <c r="AF13" s="106">
        <f t="shared" si="3"/>
        <v>-396</v>
      </c>
      <c r="AG13" s="109">
        <f t="shared" si="4"/>
        <v>0</v>
      </c>
    </row>
    <row r="14" spans="1:33" s="110" customFormat="1" ht="19.5" customHeight="1" x14ac:dyDescent="0.2">
      <c r="A14" s="18"/>
      <c r="B14" s="102"/>
      <c r="C14" s="45"/>
      <c r="D14" s="45"/>
      <c r="E14" s="45"/>
      <c r="F14" s="103"/>
      <c r="G14" s="104"/>
      <c r="H14" s="23"/>
      <c r="I14" s="23"/>
      <c r="J14" s="23"/>
      <c r="K14" s="23"/>
      <c r="L14" s="105"/>
      <c r="M14" s="106">
        <f t="shared" si="0"/>
        <v>0</v>
      </c>
      <c r="N14" s="106">
        <f t="shared" si="1"/>
        <v>0</v>
      </c>
      <c r="O14" s="107">
        <f t="shared" si="2"/>
        <v>0</v>
      </c>
      <c r="P14" s="107"/>
      <c r="Q14" s="107"/>
      <c r="R14" s="107"/>
      <c r="S14" s="107"/>
      <c r="T14" s="108"/>
      <c r="U14" s="108"/>
      <c r="V14" s="108"/>
      <c r="W14" s="108"/>
      <c r="X14" s="108"/>
      <c r="Y14" s="113"/>
      <c r="Z14" s="107"/>
      <c r="AA14" s="107"/>
      <c r="AB14" s="107"/>
      <c r="AC14" s="108"/>
      <c r="AD14" s="108"/>
      <c r="AE14" s="114"/>
      <c r="AF14" s="106">
        <f t="shared" si="3"/>
        <v>0</v>
      </c>
      <c r="AG14" s="109">
        <f t="shared" si="4"/>
        <v>0</v>
      </c>
    </row>
    <row r="15" spans="1:33" s="120" customFormat="1" ht="12" customHeight="1" x14ac:dyDescent="0.2">
      <c r="A15" s="115"/>
      <c r="B15" s="116"/>
      <c r="C15" s="117"/>
      <c r="D15" s="118"/>
      <c r="E15" s="118"/>
      <c r="F15" s="119"/>
      <c r="G15" s="117"/>
      <c r="H15" s="54">
        <f t="shared" ref="H15:AG15" si="5">SUM(H5:H14)</f>
        <v>2249</v>
      </c>
      <c r="I15" s="54">
        <f t="shared" si="5"/>
        <v>0</v>
      </c>
      <c r="J15" s="54">
        <f t="shared" si="5"/>
        <v>0</v>
      </c>
      <c r="K15" s="54">
        <f t="shared" si="5"/>
        <v>1761</v>
      </c>
      <c r="L15" s="54">
        <f t="shared" si="5"/>
        <v>0</v>
      </c>
      <c r="M15" s="54">
        <f t="shared" si="5"/>
        <v>3821.3214285714284</v>
      </c>
      <c r="N15" s="54">
        <f t="shared" si="5"/>
        <v>188.67857142857139</v>
      </c>
      <c r="O15" s="54">
        <f t="shared" si="5"/>
        <v>0</v>
      </c>
      <c r="P15" s="54">
        <f t="shared" si="5"/>
        <v>1384.83</v>
      </c>
      <c r="Q15" s="54">
        <f t="shared" si="5"/>
        <v>187.5</v>
      </c>
      <c r="R15" s="54">
        <f t="shared" si="5"/>
        <v>0</v>
      </c>
      <c r="S15" s="54">
        <f t="shared" si="5"/>
        <v>0</v>
      </c>
      <c r="T15" s="54">
        <f t="shared" si="5"/>
        <v>0</v>
      </c>
      <c r="U15" s="54">
        <f t="shared" si="5"/>
        <v>0</v>
      </c>
      <c r="V15" s="54">
        <f t="shared" si="5"/>
        <v>0</v>
      </c>
      <c r="W15" s="54">
        <f t="shared" si="5"/>
        <v>0</v>
      </c>
      <c r="X15" s="54">
        <f t="shared" si="5"/>
        <v>0</v>
      </c>
      <c r="Y15" s="54">
        <f t="shared" si="5"/>
        <v>0</v>
      </c>
      <c r="Z15" s="54">
        <f t="shared" si="5"/>
        <v>0</v>
      </c>
      <c r="AA15" s="54">
        <f t="shared" si="5"/>
        <v>800</v>
      </c>
      <c r="AB15" s="54">
        <f t="shared" si="5"/>
        <v>500</v>
      </c>
      <c r="AC15" s="54">
        <f t="shared" si="5"/>
        <v>0</v>
      </c>
      <c r="AD15" s="54">
        <f t="shared" si="5"/>
        <v>949</v>
      </c>
      <c r="AE15" s="54">
        <f t="shared" si="5"/>
        <v>0</v>
      </c>
      <c r="AF15" s="54">
        <f t="shared" si="5"/>
        <v>-4010.0085714285715</v>
      </c>
      <c r="AG15" s="54">
        <f t="shared" si="5"/>
        <v>-8.5714285713720528E-3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13"/>
  <sheetViews>
    <sheetView zoomScale="90" zoomScaleNormal="90" workbookViewId="0"/>
  </sheetViews>
  <sheetFormatPr defaultRowHeight="13.2" x14ac:dyDescent="0.25"/>
  <cols>
    <col min="1" max="1" width="10.21875" style="84" customWidth="1"/>
    <col min="2" max="2" width="9.21875" style="85" hidden="1" customWidth="1"/>
    <col min="3" max="3" width="30.21875" style="86" customWidth="1"/>
    <col min="4" max="4" width="17.6640625" style="87" customWidth="1"/>
    <col min="5" max="5" width="35.33203125" style="87" customWidth="1"/>
    <col min="6" max="6" width="9.88671875" style="85" customWidth="1"/>
    <col min="7" max="7" width="38.6640625" style="86" customWidth="1"/>
    <col min="8" max="8" width="9.88671875" style="88" customWidth="1"/>
    <col min="9" max="9" width="10.6640625" style="88" customWidth="1"/>
    <col min="10" max="10" width="12.21875" style="88" customWidth="1"/>
    <col min="11" max="11" width="12.5546875" style="88" customWidth="1"/>
    <col min="12" max="12" width="6.44140625" style="89" customWidth="1"/>
    <col min="13" max="13" width="11.6640625" style="88" customWidth="1"/>
    <col min="14" max="14" width="10.21875" style="88" customWidth="1"/>
    <col min="15" max="15" width="8.21875" style="88" customWidth="1"/>
    <col min="16" max="16" width="10.21875" style="88" customWidth="1"/>
    <col min="17" max="17" width="12.5546875" style="88" customWidth="1"/>
    <col min="18" max="18" width="11.5546875" style="88"/>
    <col min="19" max="19" width="10.21875" style="88" customWidth="1"/>
    <col min="20" max="21" width="11.5546875" style="88"/>
    <col min="22" max="22" width="13.33203125" style="88" customWidth="1"/>
    <col min="23" max="23" width="10.21875" style="88" customWidth="1"/>
    <col min="24" max="24" width="12.44140625" style="88" customWidth="1"/>
    <col min="25" max="25" width="11.6640625" style="88" customWidth="1"/>
    <col min="26" max="26" width="10.44140625" style="88" customWidth="1"/>
    <col min="27" max="27" width="10.77734375" style="88" customWidth="1"/>
    <col min="28" max="28" width="11.33203125" style="88" customWidth="1"/>
    <col min="29" max="30" width="10.109375" style="88" customWidth="1"/>
    <col min="31" max="31" width="12.77734375" style="88" customWidth="1"/>
    <col min="32" max="32" width="13.33203125" style="88" customWidth="1"/>
    <col min="33" max="33" width="7" style="86" customWidth="1"/>
    <col min="34" max="1025" width="11.5546875" style="86"/>
  </cols>
  <sheetData>
    <row r="1" spans="1:33" ht="12" customHeight="1" x14ac:dyDescent="0.25">
      <c r="A1" s="90" t="s">
        <v>0</v>
      </c>
      <c r="C1" s="91"/>
    </row>
    <row r="2" spans="1:33" ht="12" customHeight="1" x14ac:dyDescent="0.25">
      <c r="A2" s="90" t="s">
        <v>1</v>
      </c>
    </row>
    <row r="3" spans="1:33" ht="12" customHeight="1" x14ac:dyDescent="0.25">
      <c r="A3" s="90" t="s">
        <v>812</v>
      </c>
      <c r="B3" s="91"/>
      <c r="C3" s="92"/>
      <c r="N3" s="93">
        <v>1301</v>
      </c>
      <c r="O3" s="93">
        <v>2402</v>
      </c>
      <c r="P3" s="93">
        <v>5001</v>
      </c>
      <c r="Q3" s="93">
        <v>5002</v>
      </c>
      <c r="R3" s="93">
        <v>6220</v>
      </c>
      <c r="S3" s="93">
        <v>6219</v>
      </c>
      <c r="T3" s="93">
        <v>6212</v>
      </c>
      <c r="U3" s="93"/>
      <c r="V3" s="93"/>
      <c r="W3" s="93"/>
      <c r="X3" s="93"/>
      <c r="Y3" s="93" t="s">
        <v>3</v>
      </c>
      <c r="Z3" s="93"/>
      <c r="AA3" s="93">
        <v>6230</v>
      </c>
      <c r="AB3" s="93" t="s">
        <v>4</v>
      </c>
      <c r="AC3" s="93">
        <v>6202</v>
      </c>
      <c r="AD3" s="93"/>
      <c r="AE3" s="93">
        <v>6109</v>
      </c>
      <c r="AF3" s="93">
        <v>1002</v>
      </c>
    </row>
    <row r="4" spans="1:33" s="101" customFormat="1" ht="44.25" customHeight="1" x14ac:dyDescent="0.25">
      <c r="A4" s="94" t="s">
        <v>5</v>
      </c>
      <c r="B4" s="95" t="s">
        <v>6</v>
      </c>
      <c r="C4" s="95" t="s">
        <v>7</v>
      </c>
      <c r="D4" s="95" t="s">
        <v>8</v>
      </c>
      <c r="E4" s="95" t="s">
        <v>9</v>
      </c>
      <c r="F4" s="95" t="s">
        <v>10</v>
      </c>
      <c r="G4" s="95" t="s">
        <v>11</v>
      </c>
      <c r="H4" s="95" t="s">
        <v>12</v>
      </c>
      <c r="I4" s="95" t="s">
        <v>13</v>
      </c>
      <c r="J4" s="95" t="s">
        <v>14</v>
      </c>
      <c r="K4" s="95" t="s">
        <v>15</v>
      </c>
      <c r="L4" s="96" t="s">
        <v>16</v>
      </c>
      <c r="M4" s="95" t="s">
        <v>17</v>
      </c>
      <c r="N4" s="97" t="s">
        <v>18</v>
      </c>
      <c r="O4" s="97" t="s">
        <v>19</v>
      </c>
      <c r="P4" s="97" t="s">
        <v>20</v>
      </c>
      <c r="Q4" s="97" t="s">
        <v>21</v>
      </c>
      <c r="R4" s="97" t="s">
        <v>22</v>
      </c>
      <c r="S4" s="97" t="s">
        <v>23</v>
      </c>
      <c r="T4" s="97" t="s">
        <v>24</v>
      </c>
      <c r="U4" s="97" t="s">
        <v>25</v>
      </c>
      <c r="V4" s="97" t="s">
        <v>26</v>
      </c>
      <c r="W4" s="97" t="s">
        <v>27</v>
      </c>
      <c r="X4" s="97" t="s">
        <v>28</v>
      </c>
      <c r="Y4" s="97" t="s">
        <v>29</v>
      </c>
      <c r="Z4" s="97" t="s">
        <v>30</v>
      </c>
      <c r="AA4" s="97" t="s">
        <v>31</v>
      </c>
      <c r="AB4" s="97" t="s">
        <v>32</v>
      </c>
      <c r="AC4" s="98" t="s">
        <v>33</v>
      </c>
      <c r="AD4" s="97" t="s">
        <v>34</v>
      </c>
      <c r="AE4" s="99" t="s">
        <v>35</v>
      </c>
      <c r="AF4" s="100" t="s">
        <v>36</v>
      </c>
    </row>
    <row r="5" spans="1:33" s="110" customFormat="1" ht="23.25" customHeight="1" x14ac:dyDescent="0.2">
      <c r="A5" s="18">
        <v>43729</v>
      </c>
      <c r="B5" s="102"/>
      <c r="C5" s="20" t="s">
        <v>853</v>
      </c>
      <c r="D5" s="20" t="s">
        <v>854</v>
      </c>
      <c r="E5" s="20" t="s">
        <v>56</v>
      </c>
      <c r="F5" s="103">
        <v>7490</v>
      </c>
      <c r="G5" s="103" t="s">
        <v>855</v>
      </c>
      <c r="H5" s="23">
        <v>1500</v>
      </c>
      <c r="I5" s="23"/>
      <c r="J5" s="23"/>
      <c r="K5" s="23"/>
      <c r="L5" s="105"/>
      <c r="M5" s="106">
        <f t="shared" ref="M5:M12" si="0">SUM(H5:J5,K5/1.12)</f>
        <v>1500</v>
      </c>
      <c r="N5" s="106">
        <f t="shared" ref="N5:N12" si="1">K5/1.12*0.12</f>
        <v>0</v>
      </c>
      <c r="O5" s="106">
        <f t="shared" ref="O5:O12" si="2">-SUM(I5:J5,K5/1.12)*L5</f>
        <v>0</v>
      </c>
      <c r="P5" s="106"/>
      <c r="Q5" s="107"/>
      <c r="R5" s="107"/>
      <c r="S5" s="108"/>
      <c r="T5" s="108"/>
      <c r="U5" s="108"/>
      <c r="V5" s="108"/>
      <c r="W5" s="108"/>
      <c r="X5" s="107"/>
      <c r="Y5" s="107"/>
      <c r="Z5" s="107"/>
      <c r="AA5" s="107">
        <v>1500</v>
      </c>
      <c r="AB5" s="108"/>
      <c r="AC5" s="108"/>
      <c r="AD5" s="107"/>
      <c r="AE5" s="107"/>
      <c r="AF5" s="106">
        <f t="shared" ref="AF5:AF12" si="3">-SUM(N5:AE5)</f>
        <v>-1500</v>
      </c>
      <c r="AG5" s="109">
        <f t="shared" ref="AG5:AG12" si="4">SUM(H5:K5)+AF5+O5</f>
        <v>0</v>
      </c>
    </row>
    <row r="6" spans="1:33" s="110" customFormat="1" ht="23.25" customHeight="1" x14ac:dyDescent="0.2">
      <c r="A6" s="18">
        <v>43729</v>
      </c>
      <c r="B6" s="102"/>
      <c r="C6" s="20" t="s">
        <v>62</v>
      </c>
      <c r="D6" s="20"/>
      <c r="E6" s="20"/>
      <c r="F6" s="103"/>
      <c r="G6" s="103" t="s">
        <v>856</v>
      </c>
      <c r="H6" s="23">
        <v>50</v>
      </c>
      <c r="I6" s="23"/>
      <c r="J6" s="23"/>
      <c r="K6" s="23"/>
      <c r="L6" s="105"/>
      <c r="M6" s="106">
        <f t="shared" si="0"/>
        <v>50</v>
      </c>
      <c r="N6" s="106">
        <f t="shared" si="1"/>
        <v>0</v>
      </c>
      <c r="O6" s="106">
        <f t="shared" si="2"/>
        <v>0</v>
      </c>
      <c r="P6" s="106"/>
      <c r="Q6" s="107"/>
      <c r="R6" s="107"/>
      <c r="S6" s="108"/>
      <c r="T6" s="108"/>
      <c r="U6" s="108"/>
      <c r="V6" s="108"/>
      <c r="W6" s="108"/>
      <c r="X6" s="107"/>
      <c r="Y6" s="107"/>
      <c r="Z6" s="107"/>
      <c r="AA6" s="107">
        <v>50</v>
      </c>
      <c r="AB6" s="108"/>
      <c r="AC6" s="108"/>
      <c r="AD6" s="107"/>
      <c r="AE6" s="107"/>
      <c r="AF6" s="106">
        <f t="shared" si="3"/>
        <v>-50</v>
      </c>
      <c r="AG6" s="109">
        <f t="shared" si="4"/>
        <v>0</v>
      </c>
    </row>
    <row r="7" spans="1:33" s="110" customFormat="1" ht="23.25" customHeight="1" x14ac:dyDescent="0.2">
      <c r="A7" s="18">
        <v>43729</v>
      </c>
      <c r="B7" s="102"/>
      <c r="C7" s="20" t="s">
        <v>45</v>
      </c>
      <c r="D7" s="20" t="s">
        <v>847</v>
      </c>
      <c r="E7" s="20" t="s">
        <v>47</v>
      </c>
      <c r="F7" s="103">
        <v>89942</v>
      </c>
      <c r="G7" s="103" t="s">
        <v>857</v>
      </c>
      <c r="H7" s="23"/>
      <c r="I7" s="23"/>
      <c r="J7" s="23"/>
      <c r="K7" s="23">
        <v>1429.75</v>
      </c>
      <c r="L7" s="105"/>
      <c r="M7" s="106">
        <f t="shared" si="0"/>
        <v>1276.5624999999998</v>
      </c>
      <c r="N7" s="106">
        <f t="shared" si="1"/>
        <v>153.18749999999997</v>
      </c>
      <c r="O7" s="106">
        <f t="shared" si="2"/>
        <v>0</v>
      </c>
      <c r="P7" s="106"/>
      <c r="Q7" s="107"/>
      <c r="R7" s="107"/>
      <c r="S7" s="108"/>
      <c r="T7" s="108"/>
      <c r="U7" s="108"/>
      <c r="V7" s="108"/>
      <c r="W7" s="108"/>
      <c r="X7" s="107">
        <v>1276.56</v>
      </c>
      <c r="Y7" s="107"/>
      <c r="Z7" s="107"/>
      <c r="AA7" s="107"/>
      <c r="AB7" s="108"/>
      <c r="AC7" s="108"/>
      <c r="AD7" s="107"/>
      <c r="AE7" s="107"/>
      <c r="AF7" s="106">
        <f t="shared" si="3"/>
        <v>-1429.7474999999999</v>
      </c>
      <c r="AG7" s="109">
        <f t="shared" si="4"/>
        <v>2.5000000000545697E-3</v>
      </c>
    </row>
    <row r="8" spans="1:33" s="110" customFormat="1" ht="23.25" customHeight="1" x14ac:dyDescent="0.2">
      <c r="A8" s="18">
        <v>43727</v>
      </c>
      <c r="B8" s="102"/>
      <c r="C8" s="20" t="s">
        <v>45</v>
      </c>
      <c r="D8" s="20" t="s">
        <v>847</v>
      </c>
      <c r="E8" s="20" t="s">
        <v>47</v>
      </c>
      <c r="F8" s="103">
        <v>24850</v>
      </c>
      <c r="G8" s="103" t="s">
        <v>858</v>
      </c>
      <c r="H8" s="23"/>
      <c r="I8" s="23"/>
      <c r="J8" s="23"/>
      <c r="K8" s="23">
        <v>748.75</v>
      </c>
      <c r="L8" s="105"/>
      <c r="M8" s="106">
        <f t="shared" si="0"/>
        <v>668.52678571428567</v>
      </c>
      <c r="N8" s="106">
        <f t="shared" si="1"/>
        <v>80.223214285714278</v>
      </c>
      <c r="O8" s="106">
        <f t="shared" si="2"/>
        <v>0</v>
      </c>
      <c r="P8" s="106"/>
      <c r="Q8" s="107"/>
      <c r="R8" s="107"/>
      <c r="S8" s="108"/>
      <c r="T8" s="108"/>
      <c r="U8" s="108"/>
      <c r="V8" s="108"/>
      <c r="W8" s="108"/>
      <c r="X8" s="107">
        <v>668.53</v>
      </c>
      <c r="Y8" s="107"/>
      <c r="Z8" s="107"/>
      <c r="AA8" s="107"/>
      <c r="AB8" s="108"/>
      <c r="AC8" s="108"/>
      <c r="AD8" s="107"/>
      <c r="AE8" s="107"/>
      <c r="AF8" s="106">
        <f t="shared" si="3"/>
        <v>-748.75321428571419</v>
      </c>
      <c r="AG8" s="109">
        <f t="shared" si="4"/>
        <v>-3.2142857141934655E-3</v>
      </c>
    </row>
    <row r="9" spans="1:33" s="110" customFormat="1" ht="23.25" customHeight="1" x14ac:dyDescent="0.2">
      <c r="A9" s="18">
        <v>43724</v>
      </c>
      <c r="B9" s="102"/>
      <c r="C9" s="20" t="s">
        <v>45</v>
      </c>
      <c r="D9" s="20" t="s">
        <v>847</v>
      </c>
      <c r="E9" s="20" t="s">
        <v>47</v>
      </c>
      <c r="F9" s="103">
        <v>24851</v>
      </c>
      <c r="G9" s="103" t="s">
        <v>319</v>
      </c>
      <c r="H9" s="23"/>
      <c r="I9" s="23"/>
      <c r="J9" s="23"/>
      <c r="K9" s="23">
        <v>40</v>
      </c>
      <c r="L9" s="105"/>
      <c r="M9" s="106">
        <f t="shared" si="0"/>
        <v>35.714285714285708</v>
      </c>
      <c r="N9" s="106">
        <f t="shared" si="1"/>
        <v>4.2857142857142847</v>
      </c>
      <c r="O9" s="106">
        <f t="shared" si="2"/>
        <v>0</v>
      </c>
      <c r="P9" s="106"/>
      <c r="Q9" s="107"/>
      <c r="R9" s="107"/>
      <c r="S9" s="108"/>
      <c r="T9" s="108"/>
      <c r="U9" s="108"/>
      <c r="V9" s="108"/>
      <c r="W9" s="108"/>
      <c r="X9" s="107">
        <v>35.71</v>
      </c>
      <c r="Y9" s="107"/>
      <c r="Z9" s="107"/>
      <c r="AA9" s="107"/>
      <c r="AB9" s="108"/>
      <c r="AC9" s="108"/>
      <c r="AD9" s="107"/>
      <c r="AE9" s="107"/>
      <c r="AF9" s="106">
        <f t="shared" si="3"/>
        <v>-39.995714285714286</v>
      </c>
      <c r="AG9" s="109">
        <f t="shared" si="4"/>
        <v>4.2857142857144481E-3</v>
      </c>
    </row>
    <row r="10" spans="1:33" s="110" customFormat="1" ht="23.25" customHeight="1" x14ac:dyDescent="0.2">
      <c r="A10" s="18">
        <v>43729</v>
      </c>
      <c r="B10" s="102"/>
      <c r="C10" s="20" t="s">
        <v>859</v>
      </c>
      <c r="D10" s="20"/>
      <c r="E10" s="20"/>
      <c r="F10" s="103"/>
      <c r="G10" s="103" t="s">
        <v>807</v>
      </c>
      <c r="H10" s="23">
        <v>240</v>
      </c>
      <c r="I10" s="23"/>
      <c r="J10" s="23"/>
      <c r="K10" s="23"/>
      <c r="L10" s="105"/>
      <c r="M10" s="106">
        <f t="shared" si="0"/>
        <v>240</v>
      </c>
      <c r="N10" s="106">
        <f t="shared" si="1"/>
        <v>0</v>
      </c>
      <c r="O10" s="106">
        <f t="shared" si="2"/>
        <v>0</v>
      </c>
      <c r="P10" s="106"/>
      <c r="Q10" s="107"/>
      <c r="R10" s="107"/>
      <c r="S10" s="108"/>
      <c r="T10" s="108"/>
      <c r="U10" s="108"/>
      <c r="V10" s="108"/>
      <c r="W10" s="108"/>
      <c r="X10" s="107"/>
      <c r="Y10" s="107"/>
      <c r="Z10" s="107"/>
      <c r="AA10" s="107"/>
      <c r="AB10" s="108"/>
      <c r="AC10" s="108"/>
      <c r="AD10" s="107"/>
      <c r="AE10" s="107">
        <v>240</v>
      </c>
      <c r="AF10" s="106">
        <f t="shared" si="3"/>
        <v>-240</v>
      </c>
      <c r="AG10" s="109">
        <f t="shared" si="4"/>
        <v>0</v>
      </c>
    </row>
    <row r="11" spans="1:33" s="110" customFormat="1" ht="23.25" customHeight="1" x14ac:dyDescent="0.2">
      <c r="A11" s="18"/>
      <c r="B11" s="102"/>
      <c r="C11" s="20"/>
      <c r="D11" s="20"/>
      <c r="E11" s="20"/>
      <c r="F11" s="103"/>
      <c r="G11" s="103"/>
      <c r="H11" s="23"/>
      <c r="I11" s="23"/>
      <c r="J11" s="23"/>
      <c r="K11" s="23"/>
      <c r="L11" s="105"/>
      <c r="M11" s="106">
        <f t="shared" si="0"/>
        <v>0</v>
      </c>
      <c r="N11" s="106">
        <f t="shared" si="1"/>
        <v>0</v>
      </c>
      <c r="O11" s="106">
        <f t="shared" si="2"/>
        <v>0</v>
      </c>
      <c r="P11" s="106"/>
      <c r="Q11" s="107"/>
      <c r="R11" s="107"/>
      <c r="S11" s="108"/>
      <c r="T11" s="108"/>
      <c r="U11" s="108"/>
      <c r="V11" s="108"/>
      <c r="W11" s="108"/>
      <c r="X11" s="107"/>
      <c r="Y11" s="107"/>
      <c r="Z11" s="107"/>
      <c r="AA11" s="107"/>
      <c r="AB11" s="108"/>
      <c r="AC11" s="108"/>
      <c r="AD11" s="107"/>
      <c r="AE11" s="107"/>
      <c r="AF11" s="106">
        <f t="shared" si="3"/>
        <v>0</v>
      </c>
      <c r="AG11" s="109">
        <f t="shared" si="4"/>
        <v>0</v>
      </c>
    </row>
    <row r="12" spans="1:33" s="110" customFormat="1" ht="19.5" customHeight="1" x14ac:dyDescent="0.2">
      <c r="A12" s="18"/>
      <c r="B12" s="102"/>
      <c r="C12" s="45"/>
      <c r="D12" s="45"/>
      <c r="E12" s="45"/>
      <c r="F12" s="103"/>
      <c r="G12" s="104"/>
      <c r="H12" s="23"/>
      <c r="I12" s="23"/>
      <c r="J12" s="23"/>
      <c r="K12" s="23"/>
      <c r="L12" s="105"/>
      <c r="M12" s="106">
        <f t="shared" si="0"/>
        <v>0</v>
      </c>
      <c r="N12" s="106">
        <f t="shared" si="1"/>
        <v>0</v>
      </c>
      <c r="O12" s="107">
        <f t="shared" si="2"/>
        <v>0</v>
      </c>
      <c r="P12" s="107"/>
      <c r="Q12" s="107"/>
      <c r="R12" s="107"/>
      <c r="S12" s="107"/>
      <c r="T12" s="108"/>
      <c r="U12" s="108"/>
      <c r="V12" s="108"/>
      <c r="W12" s="108"/>
      <c r="X12" s="108"/>
      <c r="Y12" s="113"/>
      <c r="Z12" s="107"/>
      <c r="AA12" s="107"/>
      <c r="AB12" s="107"/>
      <c r="AC12" s="108"/>
      <c r="AD12" s="108"/>
      <c r="AE12" s="114"/>
      <c r="AF12" s="106">
        <f t="shared" si="3"/>
        <v>0</v>
      </c>
      <c r="AG12" s="109">
        <f t="shared" si="4"/>
        <v>0</v>
      </c>
    </row>
    <row r="13" spans="1:33" s="120" customFormat="1" ht="12" customHeight="1" x14ac:dyDescent="0.2">
      <c r="A13" s="115"/>
      <c r="B13" s="116"/>
      <c r="C13" s="117"/>
      <c r="D13" s="118"/>
      <c r="E13" s="118"/>
      <c r="F13" s="119"/>
      <c r="G13" s="117"/>
      <c r="H13" s="54">
        <f t="shared" ref="H13:AG13" si="5">SUM(H5:H12)</f>
        <v>1790</v>
      </c>
      <c r="I13" s="54">
        <f t="shared" si="5"/>
        <v>0</v>
      </c>
      <c r="J13" s="54">
        <f t="shared" si="5"/>
        <v>0</v>
      </c>
      <c r="K13" s="54">
        <f t="shared" si="5"/>
        <v>2218.5</v>
      </c>
      <c r="L13" s="54">
        <f t="shared" si="5"/>
        <v>0</v>
      </c>
      <c r="M13" s="54">
        <f t="shared" si="5"/>
        <v>3770.8035714285716</v>
      </c>
      <c r="N13" s="54">
        <f t="shared" si="5"/>
        <v>237.69642857142853</v>
      </c>
      <c r="O13" s="54">
        <f t="shared" si="5"/>
        <v>0</v>
      </c>
      <c r="P13" s="54">
        <f t="shared" si="5"/>
        <v>0</v>
      </c>
      <c r="Q13" s="54">
        <f t="shared" si="5"/>
        <v>0</v>
      </c>
      <c r="R13" s="54">
        <f t="shared" si="5"/>
        <v>0</v>
      </c>
      <c r="S13" s="54">
        <f t="shared" si="5"/>
        <v>0</v>
      </c>
      <c r="T13" s="54">
        <f t="shared" si="5"/>
        <v>0</v>
      </c>
      <c r="U13" s="54">
        <f t="shared" si="5"/>
        <v>0</v>
      </c>
      <c r="V13" s="54">
        <f t="shared" si="5"/>
        <v>0</v>
      </c>
      <c r="W13" s="54">
        <f t="shared" si="5"/>
        <v>0</v>
      </c>
      <c r="X13" s="54">
        <f t="shared" si="5"/>
        <v>1980.8</v>
      </c>
      <c r="Y13" s="54">
        <f t="shared" si="5"/>
        <v>0</v>
      </c>
      <c r="Z13" s="54">
        <f t="shared" si="5"/>
        <v>0</v>
      </c>
      <c r="AA13" s="54">
        <f t="shared" si="5"/>
        <v>1550</v>
      </c>
      <c r="AB13" s="54">
        <f t="shared" si="5"/>
        <v>0</v>
      </c>
      <c r="AC13" s="54">
        <f t="shared" si="5"/>
        <v>0</v>
      </c>
      <c r="AD13" s="54">
        <f t="shared" si="5"/>
        <v>0</v>
      </c>
      <c r="AE13" s="54">
        <f t="shared" si="5"/>
        <v>240</v>
      </c>
      <c r="AF13" s="54">
        <f t="shared" si="5"/>
        <v>-4008.4964285714282</v>
      </c>
      <c r="AG13" s="54">
        <f t="shared" si="5"/>
        <v>3.5714285715755523E-3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K17"/>
  <sheetViews>
    <sheetView topLeftCell="A13" zoomScale="90" zoomScaleNormal="90" workbookViewId="0"/>
  </sheetViews>
  <sheetFormatPr defaultRowHeight="13.2" x14ac:dyDescent="0.25"/>
  <cols>
    <col min="1" max="1" width="10.21875" style="84" customWidth="1"/>
    <col min="2" max="2" width="9.21875" style="85" hidden="1" customWidth="1"/>
    <col min="3" max="3" width="30.21875" style="86" customWidth="1"/>
    <col min="4" max="4" width="17.6640625" style="87" customWidth="1"/>
    <col min="5" max="5" width="35.33203125" style="87" customWidth="1"/>
    <col min="6" max="6" width="9.88671875" style="85" customWidth="1"/>
    <col min="7" max="7" width="38.6640625" style="86" customWidth="1"/>
    <col min="8" max="8" width="9.88671875" style="88" customWidth="1"/>
    <col min="9" max="9" width="10.6640625" style="88" customWidth="1"/>
    <col min="10" max="10" width="12.21875" style="88" customWidth="1"/>
    <col min="11" max="11" width="12.5546875" style="88" customWidth="1"/>
    <col min="12" max="12" width="6.44140625" style="89" customWidth="1"/>
    <col min="13" max="13" width="11.6640625" style="88" customWidth="1"/>
    <col min="14" max="14" width="10.21875" style="88" customWidth="1"/>
    <col min="15" max="15" width="8.21875" style="88" customWidth="1"/>
    <col min="16" max="16" width="10.21875" style="88" customWidth="1"/>
    <col min="17" max="17" width="12.5546875" style="88" customWidth="1"/>
    <col min="18" max="18" width="11.5546875" style="88"/>
    <col min="19" max="19" width="10.21875" style="88" customWidth="1"/>
    <col min="20" max="21" width="11.5546875" style="88"/>
    <col min="22" max="22" width="13.33203125" style="88" customWidth="1"/>
    <col min="23" max="23" width="10.21875" style="88" customWidth="1"/>
    <col min="24" max="24" width="12.44140625" style="88" customWidth="1"/>
    <col min="25" max="25" width="11.6640625" style="88" customWidth="1"/>
    <col min="26" max="26" width="10.44140625" style="88" customWidth="1"/>
    <col min="27" max="27" width="10.77734375" style="88" customWidth="1"/>
    <col min="28" max="28" width="11.33203125" style="88" customWidth="1"/>
    <col min="29" max="30" width="10.109375" style="88" customWidth="1"/>
    <col min="31" max="31" width="12.77734375" style="88" customWidth="1"/>
    <col min="32" max="32" width="13.33203125" style="88" customWidth="1"/>
    <col min="33" max="33" width="7" style="86" customWidth="1"/>
    <col min="34" max="1025" width="11.5546875" style="86"/>
  </cols>
  <sheetData>
    <row r="1" spans="1:33" ht="12" customHeight="1" x14ac:dyDescent="0.25">
      <c r="A1" s="90" t="s">
        <v>0</v>
      </c>
      <c r="C1" s="91"/>
    </row>
    <row r="2" spans="1:33" ht="12" customHeight="1" x14ac:dyDescent="0.25">
      <c r="A2" s="90" t="s">
        <v>1</v>
      </c>
    </row>
    <row r="3" spans="1:33" ht="12" customHeight="1" x14ac:dyDescent="0.25">
      <c r="A3" s="90" t="s">
        <v>812</v>
      </c>
      <c r="B3" s="91"/>
      <c r="C3" s="92"/>
      <c r="N3" s="93">
        <v>1301</v>
      </c>
      <c r="O3" s="93">
        <v>2402</v>
      </c>
      <c r="P3" s="93">
        <v>5001</v>
      </c>
      <c r="Q3" s="93">
        <v>5002</v>
      </c>
      <c r="R3" s="93">
        <v>6220</v>
      </c>
      <c r="S3" s="93">
        <v>6219</v>
      </c>
      <c r="T3" s="93">
        <v>6212</v>
      </c>
      <c r="U3" s="93"/>
      <c r="V3" s="93"/>
      <c r="W3" s="93"/>
      <c r="X3" s="93"/>
      <c r="Y3" s="93" t="s">
        <v>3</v>
      </c>
      <c r="Z3" s="93"/>
      <c r="AA3" s="93">
        <v>6230</v>
      </c>
      <c r="AB3" s="93" t="s">
        <v>4</v>
      </c>
      <c r="AC3" s="93">
        <v>6202</v>
      </c>
      <c r="AD3" s="93"/>
      <c r="AE3" s="93">
        <v>6109</v>
      </c>
      <c r="AF3" s="93">
        <v>1002</v>
      </c>
    </row>
    <row r="4" spans="1:33" s="101" customFormat="1" ht="44.25" customHeight="1" x14ac:dyDescent="0.25">
      <c r="A4" s="94" t="s">
        <v>5</v>
      </c>
      <c r="B4" s="95" t="s">
        <v>6</v>
      </c>
      <c r="C4" s="95" t="s">
        <v>7</v>
      </c>
      <c r="D4" s="95" t="s">
        <v>8</v>
      </c>
      <c r="E4" s="95" t="s">
        <v>9</v>
      </c>
      <c r="F4" s="95" t="s">
        <v>10</v>
      </c>
      <c r="G4" s="95" t="s">
        <v>11</v>
      </c>
      <c r="H4" s="95" t="s">
        <v>12</v>
      </c>
      <c r="I4" s="95" t="s">
        <v>13</v>
      </c>
      <c r="J4" s="95" t="s">
        <v>14</v>
      </c>
      <c r="K4" s="95" t="s">
        <v>15</v>
      </c>
      <c r="L4" s="96" t="s">
        <v>16</v>
      </c>
      <c r="M4" s="95" t="s">
        <v>17</v>
      </c>
      <c r="N4" s="97" t="s">
        <v>18</v>
      </c>
      <c r="O4" s="97" t="s">
        <v>19</v>
      </c>
      <c r="P4" s="97" t="s">
        <v>20</v>
      </c>
      <c r="Q4" s="97" t="s">
        <v>21</v>
      </c>
      <c r="R4" s="97" t="s">
        <v>22</v>
      </c>
      <c r="S4" s="97" t="s">
        <v>23</v>
      </c>
      <c r="T4" s="97" t="s">
        <v>24</v>
      </c>
      <c r="U4" s="97" t="s">
        <v>25</v>
      </c>
      <c r="V4" s="97" t="s">
        <v>26</v>
      </c>
      <c r="W4" s="97" t="s">
        <v>27</v>
      </c>
      <c r="X4" s="97" t="s">
        <v>28</v>
      </c>
      <c r="Y4" s="97" t="s">
        <v>29</v>
      </c>
      <c r="Z4" s="97" t="s">
        <v>30</v>
      </c>
      <c r="AA4" s="97" t="s">
        <v>31</v>
      </c>
      <c r="AB4" s="97" t="s">
        <v>32</v>
      </c>
      <c r="AC4" s="98" t="s">
        <v>33</v>
      </c>
      <c r="AD4" s="97" t="s">
        <v>34</v>
      </c>
      <c r="AE4" s="99" t="s">
        <v>35</v>
      </c>
      <c r="AF4" s="100" t="s">
        <v>36</v>
      </c>
    </row>
    <row r="5" spans="1:33" s="110" customFormat="1" ht="23.25" customHeight="1" x14ac:dyDescent="0.2">
      <c r="A5" s="18">
        <v>43729</v>
      </c>
      <c r="B5" s="102"/>
      <c r="C5" s="20" t="s">
        <v>157</v>
      </c>
      <c r="D5" s="20"/>
      <c r="E5" s="20"/>
      <c r="F5" s="103"/>
      <c r="G5" s="103" t="s">
        <v>807</v>
      </c>
      <c r="H5" s="23">
        <v>60</v>
      </c>
      <c r="I5" s="23"/>
      <c r="J5" s="23"/>
      <c r="K5" s="23"/>
      <c r="L5" s="105"/>
      <c r="M5" s="106">
        <f t="shared" ref="M5:M16" si="0">SUM(H5:J5,K5/1.12)</f>
        <v>60</v>
      </c>
      <c r="N5" s="106">
        <f t="shared" ref="N5:N16" si="1">K5/1.12*0.12</f>
        <v>0</v>
      </c>
      <c r="O5" s="106">
        <f t="shared" ref="O5:O16" si="2">-SUM(I5:J5,K5/1.12)*L5</f>
        <v>0</v>
      </c>
      <c r="P5" s="106"/>
      <c r="Q5" s="107"/>
      <c r="R5" s="107"/>
      <c r="S5" s="108"/>
      <c r="T5" s="108"/>
      <c r="U5" s="108"/>
      <c r="V5" s="108"/>
      <c r="W5" s="108"/>
      <c r="X5" s="107"/>
      <c r="Y5" s="107"/>
      <c r="Z5" s="107"/>
      <c r="AA5" s="107"/>
      <c r="AB5" s="108"/>
      <c r="AC5" s="108"/>
      <c r="AD5" s="107"/>
      <c r="AE5" s="107">
        <v>60</v>
      </c>
      <c r="AF5" s="106">
        <f t="shared" ref="AF5:AF16" si="3">-SUM(N5:AE5)</f>
        <v>-60</v>
      </c>
      <c r="AG5" s="109">
        <f t="shared" ref="AG5:AG16" si="4">SUM(H5:K5)+AF5+O5</f>
        <v>0</v>
      </c>
    </row>
    <row r="6" spans="1:33" s="110" customFormat="1" ht="23.25" customHeight="1" x14ac:dyDescent="0.2">
      <c r="A6" s="18">
        <v>43727</v>
      </c>
      <c r="B6" s="102"/>
      <c r="C6" s="20" t="s">
        <v>157</v>
      </c>
      <c r="D6" s="20"/>
      <c r="E6" s="20"/>
      <c r="F6" s="103"/>
      <c r="G6" s="103" t="s">
        <v>860</v>
      </c>
      <c r="H6" s="23">
        <v>100</v>
      </c>
      <c r="I6" s="23"/>
      <c r="J6" s="23"/>
      <c r="K6" s="23"/>
      <c r="L6" s="105"/>
      <c r="M6" s="106">
        <f t="shared" si="0"/>
        <v>100</v>
      </c>
      <c r="N6" s="106">
        <f t="shared" si="1"/>
        <v>0</v>
      </c>
      <c r="O6" s="106">
        <f t="shared" si="2"/>
        <v>0</v>
      </c>
      <c r="P6" s="106"/>
      <c r="Q6" s="107"/>
      <c r="R6" s="107"/>
      <c r="S6" s="108"/>
      <c r="T6" s="108"/>
      <c r="U6" s="108"/>
      <c r="V6" s="108"/>
      <c r="W6" s="108"/>
      <c r="X6" s="107"/>
      <c r="Y6" s="107"/>
      <c r="Z6" s="107"/>
      <c r="AA6" s="107">
        <v>100</v>
      </c>
      <c r="AB6" s="108"/>
      <c r="AC6" s="108"/>
      <c r="AD6" s="107"/>
      <c r="AE6" s="107"/>
      <c r="AF6" s="106">
        <f t="shared" si="3"/>
        <v>-100</v>
      </c>
      <c r="AG6" s="109">
        <f t="shared" si="4"/>
        <v>0</v>
      </c>
    </row>
    <row r="7" spans="1:33" s="110" customFormat="1" ht="23.25" customHeight="1" x14ac:dyDescent="0.2">
      <c r="A7" s="18">
        <v>43726</v>
      </c>
      <c r="B7" s="102"/>
      <c r="C7" s="20" t="s">
        <v>157</v>
      </c>
      <c r="D7" s="20"/>
      <c r="E7" s="20"/>
      <c r="F7" s="103"/>
      <c r="G7" s="103" t="s">
        <v>861</v>
      </c>
      <c r="H7" s="23">
        <v>111</v>
      </c>
      <c r="I7" s="23"/>
      <c r="J7" s="23"/>
      <c r="K7" s="23"/>
      <c r="L7" s="105"/>
      <c r="M7" s="106">
        <f t="shared" si="0"/>
        <v>111</v>
      </c>
      <c r="N7" s="106">
        <f t="shared" si="1"/>
        <v>0</v>
      </c>
      <c r="O7" s="106">
        <f t="shared" si="2"/>
        <v>0</v>
      </c>
      <c r="P7" s="106"/>
      <c r="Q7" s="107"/>
      <c r="R7" s="107"/>
      <c r="S7" s="108"/>
      <c r="T7" s="108"/>
      <c r="U7" s="108"/>
      <c r="V7" s="108"/>
      <c r="W7" s="108"/>
      <c r="X7" s="107"/>
      <c r="Y7" s="107"/>
      <c r="Z7" s="107"/>
      <c r="AA7" s="107">
        <v>111</v>
      </c>
      <c r="AB7" s="108"/>
      <c r="AC7" s="108"/>
      <c r="AD7" s="107"/>
      <c r="AE7" s="107"/>
      <c r="AF7" s="106">
        <f t="shared" si="3"/>
        <v>-111</v>
      </c>
      <c r="AG7" s="109">
        <f t="shared" si="4"/>
        <v>0</v>
      </c>
    </row>
    <row r="8" spans="1:33" s="110" customFormat="1" ht="23.25" customHeight="1" x14ac:dyDescent="0.2">
      <c r="A8" s="18">
        <v>43726</v>
      </c>
      <c r="B8" s="102"/>
      <c r="C8" s="20" t="s">
        <v>157</v>
      </c>
      <c r="D8" s="20"/>
      <c r="E8" s="20"/>
      <c r="F8" s="103"/>
      <c r="G8" s="103" t="s">
        <v>807</v>
      </c>
      <c r="H8" s="23">
        <v>100</v>
      </c>
      <c r="I8" s="23"/>
      <c r="J8" s="23"/>
      <c r="K8" s="23"/>
      <c r="L8" s="105"/>
      <c r="M8" s="106">
        <f t="shared" si="0"/>
        <v>100</v>
      </c>
      <c r="N8" s="106">
        <f t="shared" si="1"/>
        <v>0</v>
      </c>
      <c r="O8" s="106">
        <f t="shared" si="2"/>
        <v>0</v>
      </c>
      <c r="P8" s="106"/>
      <c r="Q8" s="107"/>
      <c r="R8" s="107"/>
      <c r="S8" s="108"/>
      <c r="T8" s="108"/>
      <c r="U8" s="108"/>
      <c r="V8" s="108"/>
      <c r="W8" s="108"/>
      <c r="X8" s="107"/>
      <c r="Y8" s="107"/>
      <c r="Z8" s="107"/>
      <c r="AA8" s="107"/>
      <c r="AB8" s="108"/>
      <c r="AC8" s="108"/>
      <c r="AD8" s="107"/>
      <c r="AE8" s="107">
        <v>100</v>
      </c>
      <c r="AF8" s="106">
        <f t="shared" si="3"/>
        <v>-100</v>
      </c>
      <c r="AG8" s="109">
        <f t="shared" si="4"/>
        <v>0</v>
      </c>
    </row>
    <row r="9" spans="1:33" s="110" customFormat="1" ht="23.25" customHeight="1" x14ac:dyDescent="0.2">
      <c r="A9" s="18">
        <v>43725</v>
      </c>
      <c r="B9" s="102"/>
      <c r="C9" s="20" t="s">
        <v>157</v>
      </c>
      <c r="D9" s="20"/>
      <c r="E9" s="20"/>
      <c r="F9" s="103"/>
      <c r="G9" s="103" t="s">
        <v>807</v>
      </c>
      <c r="H9" s="23">
        <v>60</v>
      </c>
      <c r="I9" s="23"/>
      <c r="J9" s="23"/>
      <c r="K9" s="23"/>
      <c r="L9" s="105"/>
      <c r="M9" s="106">
        <f t="shared" si="0"/>
        <v>60</v>
      </c>
      <c r="N9" s="106">
        <f t="shared" si="1"/>
        <v>0</v>
      </c>
      <c r="O9" s="106">
        <f t="shared" si="2"/>
        <v>0</v>
      </c>
      <c r="P9" s="106"/>
      <c r="Q9" s="107"/>
      <c r="R9" s="107"/>
      <c r="S9" s="108"/>
      <c r="T9" s="108"/>
      <c r="U9" s="108"/>
      <c r="V9" s="108"/>
      <c r="W9" s="108"/>
      <c r="X9" s="107"/>
      <c r="Y9" s="107"/>
      <c r="Z9" s="107"/>
      <c r="AA9" s="107"/>
      <c r="AB9" s="108"/>
      <c r="AC9" s="108"/>
      <c r="AD9" s="107"/>
      <c r="AE9" s="107">
        <v>60</v>
      </c>
      <c r="AF9" s="106">
        <f t="shared" si="3"/>
        <v>-60</v>
      </c>
      <c r="AG9" s="109">
        <f t="shared" si="4"/>
        <v>0</v>
      </c>
    </row>
    <row r="10" spans="1:33" s="110" customFormat="1" ht="23.25" customHeight="1" x14ac:dyDescent="0.2">
      <c r="A10" s="18">
        <v>43722</v>
      </c>
      <c r="B10" s="102"/>
      <c r="C10" s="20" t="s">
        <v>157</v>
      </c>
      <c r="D10" s="20"/>
      <c r="E10" s="20"/>
      <c r="F10" s="103"/>
      <c r="G10" s="103" t="s">
        <v>807</v>
      </c>
      <c r="H10" s="23">
        <v>60</v>
      </c>
      <c r="I10" s="23"/>
      <c r="J10" s="23"/>
      <c r="K10" s="23"/>
      <c r="L10" s="105"/>
      <c r="M10" s="106">
        <f t="shared" si="0"/>
        <v>60</v>
      </c>
      <c r="N10" s="106">
        <f t="shared" si="1"/>
        <v>0</v>
      </c>
      <c r="O10" s="106">
        <f t="shared" si="2"/>
        <v>0</v>
      </c>
      <c r="P10" s="106"/>
      <c r="Q10" s="107"/>
      <c r="R10" s="107"/>
      <c r="S10" s="108"/>
      <c r="T10" s="108"/>
      <c r="U10" s="108"/>
      <c r="V10" s="108"/>
      <c r="W10" s="108"/>
      <c r="X10" s="107"/>
      <c r="Y10" s="107"/>
      <c r="Z10" s="107"/>
      <c r="AA10" s="107"/>
      <c r="AB10" s="108"/>
      <c r="AC10" s="108"/>
      <c r="AD10" s="107"/>
      <c r="AE10" s="107">
        <v>60</v>
      </c>
      <c r="AF10" s="106">
        <f t="shared" si="3"/>
        <v>-60</v>
      </c>
      <c r="AG10" s="109">
        <f t="shared" si="4"/>
        <v>0</v>
      </c>
    </row>
    <row r="11" spans="1:33" s="110" customFormat="1" ht="23.25" customHeight="1" x14ac:dyDescent="0.2">
      <c r="A11" s="18">
        <v>43721</v>
      </c>
      <c r="B11" s="102"/>
      <c r="C11" s="20" t="s">
        <v>157</v>
      </c>
      <c r="D11" s="20"/>
      <c r="E11" s="20"/>
      <c r="F11" s="103"/>
      <c r="G11" s="103" t="s">
        <v>807</v>
      </c>
      <c r="H11" s="23">
        <v>60</v>
      </c>
      <c r="I11" s="23"/>
      <c r="J11" s="23"/>
      <c r="K11" s="23"/>
      <c r="L11" s="105"/>
      <c r="M11" s="106">
        <f t="shared" si="0"/>
        <v>60</v>
      </c>
      <c r="N11" s="106">
        <f t="shared" si="1"/>
        <v>0</v>
      </c>
      <c r="O11" s="106">
        <f t="shared" si="2"/>
        <v>0</v>
      </c>
      <c r="P11" s="106"/>
      <c r="Q11" s="107"/>
      <c r="R11" s="107"/>
      <c r="S11" s="108"/>
      <c r="T11" s="108"/>
      <c r="U11" s="108"/>
      <c r="V11" s="108"/>
      <c r="W11" s="108"/>
      <c r="X11" s="107"/>
      <c r="Y11" s="107"/>
      <c r="Z11" s="107"/>
      <c r="AA11" s="107"/>
      <c r="AB11" s="108"/>
      <c r="AC11" s="108"/>
      <c r="AD11" s="107"/>
      <c r="AE11" s="107">
        <v>60</v>
      </c>
      <c r="AF11" s="106">
        <f t="shared" si="3"/>
        <v>-60</v>
      </c>
      <c r="AG11" s="109">
        <f t="shared" si="4"/>
        <v>0</v>
      </c>
    </row>
    <row r="12" spans="1:33" s="110" customFormat="1" ht="23.25" customHeight="1" x14ac:dyDescent="0.2">
      <c r="A12" s="18">
        <v>43720</v>
      </c>
      <c r="B12" s="102"/>
      <c r="C12" s="20" t="s">
        <v>157</v>
      </c>
      <c r="D12" s="20"/>
      <c r="E12" s="20"/>
      <c r="F12" s="103"/>
      <c r="G12" s="103" t="s">
        <v>862</v>
      </c>
      <c r="H12" s="23">
        <v>120</v>
      </c>
      <c r="I12" s="23"/>
      <c r="J12" s="23"/>
      <c r="K12" s="23"/>
      <c r="L12" s="105"/>
      <c r="M12" s="106">
        <f t="shared" si="0"/>
        <v>120</v>
      </c>
      <c r="N12" s="106">
        <f t="shared" si="1"/>
        <v>0</v>
      </c>
      <c r="O12" s="106">
        <f t="shared" si="2"/>
        <v>0</v>
      </c>
      <c r="P12" s="106"/>
      <c r="Q12" s="107"/>
      <c r="R12" s="107"/>
      <c r="S12" s="108"/>
      <c r="T12" s="108"/>
      <c r="U12" s="108"/>
      <c r="V12" s="108"/>
      <c r="W12" s="108"/>
      <c r="X12" s="107"/>
      <c r="Y12" s="107"/>
      <c r="Z12" s="107"/>
      <c r="AA12" s="107"/>
      <c r="AB12" s="108"/>
      <c r="AC12" s="108"/>
      <c r="AD12" s="107"/>
      <c r="AE12" s="107">
        <v>120</v>
      </c>
      <c r="AF12" s="106">
        <f t="shared" si="3"/>
        <v>-120</v>
      </c>
      <c r="AG12" s="109">
        <f t="shared" si="4"/>
        <v>0</v>
      </c>
    </row>
    <row r="13" spans="1:33" s="110" customFormat="1" ht="23.25" customHeight="1" x14ac:dyDescent="0.2">
      <c r="A13" s="18">
        <v>43720</v>
      </c>
      <c r="B13" s="102"/>
      <c r="C13" s="20" t="s">
        <v>157</v>
      </c>
      <c r="D13" s="20"/>
      <c r="E13" s="20"/>
      <c r="F13" s="103"/>
      <c r="G13" s="103" t="s">
        <v>223</v>
      </c>
      <c r="H13" s="23">
        <v>107</v>
      </c>
      <c r="I13" s="23"/>
      <c r="J13" s="23"/>
      <c r="K13" s="23"/>
      <c r="L13" s="105"/>
      <c r="M13" s="106">
        <f t="shared" si="0"/>
        <v>107</v>
      </c>
      <c r="N13" s="106">
        <f t="shared" si="1"/>
        <v>0</v>
      </c>
      <c r="O13" s="106">
        <f t="shared" si="2"/>
        <v>0</v>
      </c>
      <c r="P13" s="106"/>
      <c r="Q13" s="107"/>
      <c r="R13" s="107"/>
      <c r="S13" s="108"/>
      <c r="T13" s="108"/>
      <c r="U13" s="108"/>
      <c r="V13" s="108"/>
      <c r="W13" s="108"/>
      <c r="X13" s="107"/>
      <c r="Y13" s="107"/>
      <c r="Z13" s="107"/>
      <c r="AA13" s="107">
        <v>107</v>
      </c>
      <c r="AB13" s="108"/>
      <c r="AC13" s="108"/>
      <c r="AD13" s="107"/>
      <c r="AE13" s="107"/>
      <c r="AF13" s="106">
        <f t="shared" si="3"/>
        <v>-107</v>
      </c>
      <c r="AG13" s="109">
        <f t="shared" si="4"/>
        <v>0</v>
      </c>
    </row>
    <row r="14" spans="1:33" s="110" customFormat="1" ht="23.25" customHeight="1" x14ac:dyDescent="0.2">
      <c r="A14" s="18">
        <v>43707</v>
      </c>
      <c r="B14" s="102"/>
      <c r="C14" s="20" t="s">
        <v>157</v>
      </c>
      <c r="D14" s="20"/>
      <c r="E14" s="20"/>
      <c r="F14" s="103"/>
      <c r="G14" s="103" t="s">
        <v>807</v>
      </c>
      <c r="H14" s="23">
        <v>60</v>
      </c>
      <c r="I14" s="23"/>
      <c r="J14" s="23"/>
      <c r="K14" s="23"/>
      <c r="L14" s="105"/>
      <c r="M14" s="106">
        <f t="shared" si="0"/>
        <v>60</v>
      </c>
      <c r="N14" s="106">
        <f t="shared" si="1"/>
        <v>0</v>
      </c>
      <c r="O14" s="106">
        <f t="shared" si="2"/>
        <v>0</v>
      </c>
      <c r="P14" s="106"/>
      <c r="Q14" s="107"/>
      <c r="R14" s="107"/>
      <c r="S14" s="108"/>
      <c r="T14" s="108"/>
      <c r="U14" s="108"/>
      <c r="V14" s="108"/>
      <c r="W14" s="108"/>
      <c r="X14" s="107"/>
      <c r="Y14" s="107"/>
      <c r="Z14" s="107"/>
      <c r="AA14" s="107"/>
      <c r="AB14" s="108"/>
      <c r="AC14" s="108"/>
      <c r="AD14" s="107"/>
      <c r="AE14" s="107">
        <v>60</v>
      </c>
      <c r="AF14" s="106">
        <f t="shared" si="3"/>
        <v>-60</v>
      </c>
      <c r="AG14" s="109">
        <f t="shared" si="4"/>
        <v>0</v>
      </c>
    </row>
    <row r="15" spans="1:33" s="110" customFormat="1" ht="23.25" customHeight="1" x14ac:dyDescent="0.2">
      <c r="A15" s="18"/>
      <c r="B15" s="102"/>
      <c r="C15" s="20"/>
      <c r="D15" s="20"/>
      <c r="E15" s="20"/>
      <c r="F15" s="103"/>
      <c r="G15" s="103"/>
      <c r="H15" s="23"/>
      <c r="I15" s="23"/>
      <c r="J15" s="23"/>
      <c r="K15" s="23"/>
      <c r="L15" s="105"/>
      <c r="M15" s="106">
        <f t="shared" si="0"/>
        <v>0</v>
      </c>
      <c r="N15" s="106">
        <f t="shared" si="1"/>
        <v>0</v>
      </c>
      <c r="O15" s="106">
        <f t="shared" si="2"/>
        <v>0</v>
      </c>
      <c r="P15" s="106"/>
      <c r="Q15" s="107"/>
      <c r="R15" s="107"/>
      <c r="S15" s="108"/>
      <c r="T15" s="108"/>
      <c r="U15" s="108"/>
      <c r="V15" s="108"/>
      <c r="W15" s="108"/>
      <c r="X15" s="107"/>
      <c r="Y15" s="107"/>
      <c r="Z15" s="107"/>
      <c r="AA15" s="107"/>
      <c r="AB15" s="108"/>
      <c r="AC15" s="108"/>
      <c r="AD15" s="107"/>
      <c r="AE15" s="107"/>
      <c r="AF15" s="106">
        <f t="shared" si="3"/>
        <v>0</v>
      </c>
      <c r="AG15" s="109">
        <f t="shared" si="4"/>
        <v>0</v>
      </c>
    </row>
    <row r="16" spans="1:33" s="110" customFormat="1" ht="19.5" customHeight="1" x14ac:dyDescent="0.2">
      <c r="A16" s="18"/>
      <c r="B16" s="102"/>
      <c r="C16" s="45"/>
      <c r="D16" s="45"/>
      <c r="E16" s="45"/>
      <c r="F16" s="103"/>
      <c r="G16" s="104"/>
      <c r="H16" s="23"/>
      <c r="I16" s="23"/>
      <c r="J16" s="23"/>
      <c r="K16" s="23"/>
      <c r="L16" s="105"/>
      <c r="M16" s="106">
        <f t="shared" si="0"/>
        <v>0</v>
      </c>
      <c r="N16" s="106">
        <f t="shared" si="1"/>
        <v>0</v>
      </c>
      <c r="O16" s="107">
        <f t="shared" si="2"/>
        <v>0</v>
      </c>
      <c r="P16" s="107"/>
      <c r="Q16" s="107"/>
      <c r="R16" s="107"/>
      <c r="S16" s="107"/>
      <c r="T16" s="108"/>
      <c r="U16" s="108"/>
      <c r="V16" s="108"/>
      <c r="W16" s="108"/>
      <c r="X16" s="108"/>
      <c r="Y16" s="113"/>
      <c r="Z16" s="107"/>
      <c r="AA16" s="107"/>
      <c r="AB16" s="107"/>
      <c r="AC16" s="108"/>
      <c r="AD16" s="108"/>
      <c r="AE16" s="114"/>
      <c r="AF16" s="106">
        <f t="shared" si="3"/>
        <v>0</v>
      </c>
      <c r="AG16" s="109">
        <f t="shared" si="4"/>
        <v>0</v>
      </c>
    </row>
    <row r="17" spans="1:33" s="120" customFormat="1" ht="12" customHeight="1" x14ac:dyDescent="0.2">
      <c r="A17" s="115"/>
      <c r="B17" s="116"/>
      <c r="C17" s="117"/>
      <c r="D17" s="118"/>
      <c r="E17" s="118"/>
      <c r="F17" s="119"/>
      <c r="G17" s="117"/>
      <c r="H17" s="54">
        <f t="shared" ref="H17:AG17" si="5">SUM(H5:H16)</f>
        <v>838</v>
      </c>
      <c r="I17" s="54">
        <f t="shared" si="5"/>
        <v>0</v>
      </c>
      <c r="J17" s="54">
        <f t="shared" si="5"/>
        <v>0</v>
      </c>
      <c r="K17" s="54">
        <f t="shared" si="5"/>
        <v>0</v>
      </c>
      <c r="L17" s="54">
        <f t="shared" si="5"/>
        <v>0</v>
      </c>
      <c r="M17" s="54">
        <f t="shared" si="5"/>
        <v>838</v>
      </c>
      <c r="N17" s="54">
        <f t="shared" si="5"/>
        <v>0</v>
      </c>
      <c r="O17" s="54">
        <f t="shared" si="5"/>
        <v>0</v>
      </c>
      <c r="P17" s="54">
        <f t="shared" si="5"/>
        <v>0</v>
      </c>
      <c r="Q17" s="54">
        <f t="shared" si="5"/>
        <v>0</v>
      </c>
      <c r="R17" s="54">
        <f t="shared" si="5"/>
        <v>0</v>
      </c>
      <c r="S17" s="54">
        <f t="shared" si="5"/>
        <v>0</v>
      </c>
      <c r="T17" s="54">
        <f t="shared" si="5"/>
        <v>0</v>
      </c>
      <c r="U17" s="54">
        <f t="shared" si="5"/>
        <v>0</v>
      </c>
      <c r="V17" s="54">
        <f t="shared" si="5"/>
        <v>0</v>
      </c>
      <c r="W17" s="54">
        <f t="shared" si="5"/>
        <v>0</v>
      </c>
      <c r="X17" s="54">
        <f t="shared" si="5"/>
        <v>0</v>
      </c>
      <c r="Y17" s="54">
        <f t="shared" si="5"/>
        <v>0</v>
      </c>
      <c r="Z17" s="54">
        <f t="shared" si="5"/>
        <v>0</v>
      </c>
      <c r="AA17" s="54">
        <f t="shared" si="5"/>
        <v>318</v>
      </c>
      <c r="AB17" s="54">
        <f t="shared" si="5"/>
        <v>0</v>
      </c>
      <c r="AC17" s="54">
        <f t="shared" si="5"/>
        <v>0</v>
      </c>
      <c r="AD17" s="54">
        <f t="shared" si="5"/>
        <v>0</v>
      </c>
      <c r="AE17" s="54">
        <f t="shared" si="5"/>
        <v>520</v>
      </c>
      <c r="AF17" s="54">
        <f t="shared" si="5"/>
        <v>-838</v>
      </c>
      <c r="AG17" s="54">
        <f t="shared" si="5"/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K31"/>
  <sheetViews>
    <sheetView topLeftCell="A37" zoomScale="90" zoomScaleNormal="90" workbookViewId="0"/>
  </sheetViews>
  <sheetFormatPr defaultRowHeight="13.2" x14ac:dyDescent="0.25"/>
  <cols>
    <col min="1" max="1" width="10.21875" style="84" customWidth="1"/>
    <col min="2" max="2" width="9.21875" style="85" hidden="1" customWidth="1"/>
    <col min="3" max="3" width="30.21875" style="86" customWidth="1"/>
    <col min="4" max="4" width="17.6640625" style="87" customWidth="1"/>
    <col min="5" max="5" width="35.33203125" style="87" customWidth="1"/>
    <col min="6" max="6" width="9.88671875" style="85" customWidth="1"/>
    <col min="7" max="7" width="38.6640625" style="86" customWidth="1"/>
    <col min="8" max="8" width="9.88671875" style="88" customWidth="1"/>
    <col min="9" max="9" width="10.6640625" style="88" customWidth="1"/>
    <col min="10" max="10" width="12.21875" style="88" customWidth="1"/>
    <col min="11" max="11" width="12.5546875" style="88" customWidth="1"/>
    <col min="12" max="12" width="6.44140625" style="89" customWidth="1"/>
    <col min="13" max="13" width="11.6640625" style="88" customWidth="1"/>
    <col min="14" max="14" width="10.21875" style="88" customWidth="1"/>
    <col min="15" max="15" width="8.21875" style="88" customWidth="1"/>
    <col min="16" max="16" width="10.21875" style="88" customWidth="1"/>
    <col min="17" max="17" width="12.5546875" style="88" customWidth="1"/>
    <col min="18" max="18" width="11.5546875" style="88"/>
    <col min="19" max="19" width="10.21875" style="88" customWidth="1"/>
    <col min="20" max="21" width="11.5546875" style="88"/>
    <col min="22" max="22" width="13.33203125" style="88" customWidth="1"/>
    <col min="23" max="23" width="10.21875" style="88" customWidth="1"/>
    <col min="24" max="24" width="12.44140625" style="88" customWidth="1"/>
    <col min="25" max="25" width="11.6640625" style="88" customWidth="1"/>
    <col min="26" max="26" width="10.44140625" style="88" customWidth="1"/>
    <col min="27" max="27" width="10.77734375" style="88" customWidth="1"/>
    <col min="28" max="28" width="11.33203125" style="88" customWidth="1"/>
    <col min="29" max="29" width="10.109375" style="88" customWidth="1"/>
    <col min="30" max="32" width="13" style="88" customWidth="1"/>
    <col min="33" max="33" width="13" style="86" customWidth="1"/>
    <col min="34" max="1025" width="11.5546875" style="86"/>
  </cols>
  <sheetData>
    <row r="1" spans="1:33" ht="12" customHeight="1" x14ac:dyDescent="0.25">
      <c r="A1" s="90" t="s">
        <v>0</v>
      </c>
      <c r="C1" s="91"/>
    </row>
    <row r="2" spans="1:33" ht="12" customHeight="1" x14ac:dyDescent="0.25">
      <c r="A2" s="90" t="s">
        <v>1</v>
      </c>
    </row>
    <row r="3" spans="1:33" ht="12" customHeight="1" x14ac:dyDescent="0.25">
      <c r="A3" s="90" t="s">
        <v>812</v>
      </c>
      <c r="B3" s="91"/>
      <c r="C3" s="92"/>
      <c r="N3" s="93">
        <v>1301</v>
      </c>
      <c r="O3" s="93">
        <v>2402</v>
      </c>
      <c r="P3" s="93">
        <v>5001</v>
      </c>
      <c r="Q3" s="93">
        <v>5002</v>
      </c>
      <c r="R3" s="93">
        <v>6220</v>
      </c>
      <c r="S3" s="93">
        <v>6219</v>
      </c>
      <c r="T3" s="93">
        <v>6212</v>
      </c>
      <c r="U3" s="93"/>
      <c r="V3" s="93"/>
      <c r="W3" s="93"/>
      <c r="X3" s="93"/>
      <c r="Y3" s="93" t="s">
        <v>3</v>
      </c>
      <c r="Z3" s="93"/>
      <c r="AA3" s="93">
        <v>6230</v>
      </c>
      <c r="AB3" s="93" t="s">
        <v>4</v>
      </c>
      <c r="AC3" s="93">
        <v>6202</v>
      </c>
      <c r="AD3" s="93"/>
      <c r="AE3" s="93">
        <v>6109</v>
      </c>
      <c r="AF3" s="93">
        <v>1002</v>
      </c>
    </row>
    <row r="4" spans="1:33" s="101" customFormat="1" ht="44.25" customHeight="1" x14ac:dyDescent="0.25">
      <c r="A4" s="94" t="s">
        <v>5</v>
      </c>
      <c r="B4" s="95" t="s">
        <v>6</v>
      </c>
      <c r="C4" s="95" t="s">
        <v>7</v>
      </c>
      <c r="D4" s="95" t="s">
        <v>8</v>
      </c>
      <c r="E4" s="95" t="s">
        <v>9</v>
      </c>
      <c r="F4" s="95" t="s">
        <v>10</v>
      </c>
      <c r="G4" s="95" t="s">
        <v>11</v>
      </c>
      <c r="H4" s="95" t="s">
        <v>12</v>
      </c>
      <c r="I4" s="95" t="s">
        <v>13</v>
      </c>
      <c r="J4" s="95" t="s">
        <v>14</v>
      </c>
      <c r="K4" s="95" t="s">
        <v>15</v>
      </c>
      <c r="L4" s="96" t="s">
        <v>16</v>
      </c>
      <c r="M4" s="95" t="s">
        <v>17</v>
      </c>
      <c r="N4" s="97" t="s">
        <v>18</v>
      </c>
      <c r="O4" s="97" t="s">
        <v>19</v>
      </c>
      <c r="P4" s="97" t="s">
        <v>20</v>
      </c>
      <c r="Q4" s="97" t="s">
        <v>21</v>
      </c>
      <c r="R4" s="97" t="s">
        <v>22</v>
      </c>
      <c r="S4" s="97" t="s">
        <v>23</v>
      </c>
      <c r="T4" s="97" t="s">
        <v>24</v>
      </c>
      <c r="U4" s="97" t="s">
        <v>25</v>
      </c>
      <c r="V4" s="97" t="s">
        <v>26</v>
      </c>
      <c r="W4" s="97" t="s">
        <v>27</v>
      </c>
      <c r="X4" s="97" t="s">
        <v>28</v>
      </c>
      <c r="Y4" s="97" t="s">
        <v>29</v>
      </c>
      <c r="Z4" s="97" t="s">
        <v>30</v>
      </c>
      <c r="AA4" s="97" t="s">
        <v>31</v>
      </c>
      <c r="AB4" s="97" t="s">
        <v>32</v>
      </c>
      <c r="AC4" s="98" t="s">
        <v>33</v>
      </c>
      <c r="AD4" s="97" t="s">
        <v>34</v>
      </c>
      <c r="AE4" s="99" t="s">
        <v>35</v>
      </c>
      <c r="AF4" s="100" t="s">
        <v>36</v>
      </c>
    </row>
    <row r="5" spans="1:33" s="110" customFormat="1" ht="23.25" customHeight="1" x14ac:dyDescent="0.2">
      <c r="A5" s="18">
        <v>43734</v>
      </c>
      <c r="B5" s="102"/>
      <c r="C5" s="20" t="s">
        <v>863</v>
      </c>
      <c r="D5" s="20"/>
      <c r="E5" s="20"/>
      <c r="F5" s="103"/>
      <c r="G5" s="103" t="s">
        <v>807</v>
      </c>
      <c r="H5" s="23">
        <v>198</v>
      </c>
      <c r="I5" s="23"/>
      <c r="J5" s="23"/>
      <c r="K5" s="23"/>
      <c r="L5" s="105"/>
      <c r="M5" s="106">
        <f t="shared" ref="M5:M30" si="0">SUM(H5:J5,K5/1.12)</f>
        <v>198</v>
      </c>
      <c r="N5" s="106">
        <f t="shared" ref="N5:N30" si="1">K5/1.12*0.12</f>
        <v>0</v>
      </c>
      <c r="O5" s="106">
        <f t="shared" ref="O5:O30" si="2">-SUM(I5:J5,K5/1.12)*L5</f>
        <v>0</v>
      </c>
      <c r="P5" s="106"/>
      <c r="Q5" s="107"/>
      <c r="R5" s="107"/>
      <c r="S5" s="108"/>
      <c r="T5" s="108"/>
      <c r="U5" s="108"/>
      <c r="V5" s="108"/>
      <c r="W5" s="108"/>
      <c r="X5" s="107"/>
      <c r="Y5" s="107"/>
      <c r="Z5" s="107"/>
      <c r="AA5" s="107"/>
      <c r="AB5" s="108"/>
      <c r="AC5" s="108"/>
      <c r="AD5" s="107"/>
      <c r="AE5" s="107">
        <v>198</v>
      </c>
      <c r="AF5" s="106">
        <f t="shared" ref="AF5:AF30" si="3">-SUM(N5:AE5)</f>
        <v>-198</v>
      </c>
      <c r="AG5" s="109">
        <f t="shared" ref="AG5:AG30" si="4">SUM(H5:K5)+AF5+O5</f>
        <v>0</v>
      </c>
    </row>
    <row r="6" spans="1:33" s="110" customFormat="1" ht="23.25" customHeight="1" x14ac:dyDescent="0.2">
      <c r="A6" s="18">
        <v>43736</v>
      </c>
      <c r="B6" s="102"/>
      <c r="C6" s="20" t="s">
        <v>863</v>
      </c>
      <c r="D6" s="20"/>
      <c r="E6" s="20"/>
      <c r="F6" s="103"/>
      <c r="G6" s="103" t="s">
        <v>807</v>
      </c>
      <c r="H6" s="23">
        <v>120</v>
      </c>
      <c r="I6" s="23"/>
      <c r="J6" s="23"/>
      <c r="K6" s="23"/>
      <c r="L6" s="105"/>
      <c r="M6" s="106">
        <f t="shared" si="0"/>
        <v>120</v>
      </c>
      <c r="N6" s="106">
        <f t="shared" si="1"/>
        <v>0</v>
      </c>
      <c r="O6" s="106">
        <f t="shared" si="2"/>
        <v>0</v>
      </c>
      <c r="P6" s="106"/>
      <c r="Q6" s="107"/>
      <c r="R6" s="107"/>
      <c r="S6" s="108"/>
      <c r="T6" s="108"/>
      <c r="U6" s="108"/>
      <c r="V6" s="108"/>
      <c r="W6" s="108"/>
      <c r="X6" s="107"/>
      <c r="Y6" s="107"/>
      <c r="Z6" s="107"/>
      <c r="AA6" s="107"/>
      <c r="AB6" s="108"/>
      <c r="AC6" s="108"/>
      <c r="AD6" s="107"/>
      <c r="AE6" s="107">
        <v>120</v>
      </c>
      <c r="AF6" s="106">
        <f t="shared" si="3"/>
        <v>-120</v>
      </c>
      <c r="AG6" s="109">
        <f t="shared" si="4"/>
        <v>0</v>
      </c>
    </row>
    <row r="7" spans="1:33" s="110" customFormat="1" ht="23.25" customHeight="1" x14ac:dyDescent="0.2">
      <c r="A7" s="18">
        <v>43737</v>
      </c>
      <c r="B7" s="102"/>
      <c r="C7" s="20" t="s">
        <v>863</v>
      </c>
      <c r="D7" s="20"/>
      <c r="E7" s="20"/>
      <c r="F7" s="103"/>
      <c r="G7" s="103" t="s">
        <v>807</v>
      </c>
      <c r="H7" s="23">
        <v>120</v>
      </c>
      <c r="I7" s="23"/>
      <c r="J7" s="23"/>
      <c r="K7" s="23"/>
      <c r="L7" s="105"/>
      <c r="M7" s="106">
        <f t="shared" si="0"/>
        <v>120</v>
      </c>
      <c r="N7" s="106">
        <f t="shared" si="1"/>
        <v>0</v>
      </c>
      <c r="O7" s="106">
        <f t="shared" si="2"/>
        <v>0</v>
      </c>
      <c r="P7" s="106"/>
      <c r="Q7" s="107"/>
      <c r="R7" s="107"/>
      <c r="S7" s="108"/>
      <c r="T7" s="108"/>
      <c r="U7" s="108"/>
      <c r="V7" s="108"/>
      <c r="W7" s="108"/>
      <c r="X7" s="107"/>
      <c r="Y7" s="107"/>
      <c r="Z7" s="107"/>
      <c r="AA7" s="107"/>
      <c r="AB7" s="108"/>
      <c r="AC7" s="108"/>
      <c r="AD7" s="107"/>
      <c r="AE7" s="107">
        <v>120</v>
      </c>
      <c r="AF7" s="106">
        <f t="shared" si="3"/>
        <v>-120</v>
      </c>
      <c r="AG7" s="109">
        <f t="shared" si="4"/>
        <v>0</v>
      </c>
    </row>
    <row r="8" spans="1:33" s="110" customFormat="1" ht="23.25" customHeight="1" x14ac:dyDescent="0.2">
      <c r="A8" s="18">
        <v>43740</v>
      </c>
      <c r="B8" s="102"/>
      <c r="C8" s="20" t="s">
        <v>864</v>
      </c>
      <c r="D8" s="20"/>
      <c r="E8" s="20"/>
      <c r="F8" s="103"/>
      <c r="G8" s="103" t="s">
        <v>807</v>
      </c>
      <c r="H8" s="23">
        <v>237</v>
      </c>
      <c r="I8" s="23"/>
      <c r="J8" s="23"/>
      <c r="K8" s="23"/>
      <c r="L8" s="105"/>
      <c r="M8" s="106">
        <f t="shared" si="0"/>
        <v>237</v>
      </c>
      <c r="N8" s="106">
        <f t="shared" si="1"/>
        <v>0</v>
      </c>
      <c r="O8" s="106">
        <f t="shared" si="2"/>
        <v>0</v>
      </c>
      <c r="P8" s="106"/>
      <c r="Q8" s="107"/>
      <c r="R8" s="107"/>
      <c r="S8" s="108"/>
      <c r="T8" s="108"/>
      <c r="U8" s="108"/>
      <c r="V8" s="108"/>
      <c r="W8" s="108"/>
      <c r="X8" s="107"/>
      <c r="Y8" s="107"/>
      <c r="Z8" s="107"/>
      <c r="AA8" s="107"/>
      <c r="AB8" s="108"/>
      <c r="AC8" s="108"/>
      <c r="AD8" s="107"/>
      <c r="AE8" s="107">
        <v>237</v>
      </c>
      <c r="AF8" s="106">
        <f t="shared" si="3"/>
        <v>-237</v>
      </c>
      <c r="AG8" s="109">
        <f t="shared" si="4"/>
        <v>0</v>
      </c>
    </row>
    <row r="9" spans="1:33" s="110" customFormat="1" ht="23.25" customHeight="1" x14ac:dyDescent="0.2">
      <c r="A9" s="18">
        <v>43738</v>
      </c>
      <c r="B9" s="102"/>
      <c r="C9" s="20" t="s">
        <v>37</v>
      </c>
      <c r="D9" s="20" t="s">
        <v>38</v>
      </c>
      <c r="E9" s="20" t="s">
        <v>39</v>
      </c>
      <c r="F9" s="103">
        <v>37260</v>
      </c>
      <c r="G9" s="103" t="s">
        <v>61</v>
      </c>
      <c r="H9" s="23"/>
      <c r="I9" s="23"/>
      <c r="J9" s="23"/>
      <c r="K9" s="23">
        <v>342</v>
      </c>
      <c r="L9" s="105"/>
      <c r="M9" s="106">
        <f t="shared" si="0"/>
        <v>305.35714285714283</v>
      </c>
      <c r="N9" s="106">
        <f t="shared" si="1"/>
        <v>36.642857142857139</v>
      </c>
      <c r="O9" s="106">
        <f t="shared" si="2"/>
        <v>0</v>
      </c>
      <c r="P9" s="106">
        <v>305.36</v>
      </c>
      <c r="Q9" s="107"/>
      <c r="R9" s="107"/>
      <c r="S9" s="108"/>
      <c r="T9" s="108"/>
      <c r="U9" s="108"/>
      <c r="V9" s="108"/>
      <c r="W9" s="108"/>
      <c r="X9" s="107"/>
      <c r="Y9" s="107"/>
      <c r="Z9" s="107"/>
      <c r="AA9" s="107"/>
      <c r="AB9" s="108"/>
      <c r="AC9" s="108"/>
      <c r="AD9" s="107"/>
      <c r="AE9" s="107"/>
      <c r="AF9" s="106">
        <f t="shared" si="3"/>
        <v>-342.00285714285712</v>
      </c>
      <c r="AG9" s="109">
        <f t="shared" si="4"/>
        <v>-2.8571428571240176E-3</v>
      </c>
    </row>
    <row r="10" spans="1:33" s="110" customFormat="1" ht="23.25" customHeight="1" x14ac:dyDescent="0.2">
      <c r="A10" s="18">
        <v>43738</v>
      </c>
      <c r="B10" s="102"/>
      <c r="C10" s="20" t="s">
        <v>557</v>
      </c>
      <c r="D10" s="20" t="s">
        <v>558</v>
      </c>
      <c r="E10" s="20" t="s">
        <v>47</v>
      </c>
      <c r="F10" s="103">
        <v>35317</v>
      </c>
      <c r="G10" s="103" t="s">
        <v>865</v>
      </c>
      <c r="H10" s="23"/>
      <c r="I10" s="23"/>
      <c r="J10" s="23"/>
      <c r="K10" s="23">
        <v>75</v>
      </c>
      <c r="L10" s="105"/>
      <c r="M10" s="106">
        <f t="shared" si="0"/>
        <v>66.964285714285708</v>
      </c>
      <c r="N10" s="106">
        <f t="shared" si="1"/>
        <v>8.0357142857142847</v>
      </c>
      <c r="O10" s="106">
        <f t="shared" si="2"/>
        <v>0</v>
      </c>
      <c r="P10" s="106"/>
      <c r="Q10" s="107"/>
      <c r="R10" s="107">
        <v>66.959999999999994</v>
      </c>
      <c r="S10" s="108"/>
      <c r="T10" s="108"/>
      <c r="U10" s="108"/>
      <c r="V10" s="108"/>
      <c r="W10" s="108"/>
      <c r="X10" s="107"/>
      <c r="Y10" s="107"/>
      <c r="Z10" s="107"/>
      <c r="AA10" s="107"/>
      <c r="AB10" s="108"/>
      <c r="AC10" s="108"/>
      <c r="AD10" s="107"/>
      <c r="AE10" s="107"/>
      <c r="AF10" s="106">
        <f t="shared" si="3"/>
        <v>-74.995714285714286</v>
      </c>
      <c r="AG10" s="109">
        <f t="shared" si="4"/>
        <v>4.2857142857144481E-3</v>
      </c>
    </row>
    <row r="11" spans="1:33" s="110" customFormat="1" ht="23.25" customHeight="1" x14ac:dyDescent="0.2">
      <c r="A11" s="18">
        <v>43738</v>
      </c>
      <c r="B11" s="102"/>
      <c r="C11" s="20" t="s">
        <v>154</v>
      </c>
      <c r="D11" s="20"/>
      <c r="E11" s="20"/>
      <c r="F11" s="103"/>
      <c r="G11" s="103" t="s">
        <v>866</v>
      </c>
      <c r="H11" s="23">
        <v>80</v>
      </c>
      <c r="I11" s="23"/>
      <c r="J11" s="23"/>
      <c r="K11" s="23"/>
      <c r="L11" s="105"/>
      <c r="M11" s="106">
        <f t="shared" si="0"/>
        <v>80</v>
      </c>
      <c r="N11" s="106">
        <f t="shared" si="1"/>
        <v>0</v>
      </c>
      <c r="O11" s="106">
        <f t="shared" si="2"/>
        <v>0</v>
      </c>
      <c r="P11" s="106"/>
      <c r="Q11" s="107"/>
      <c r="R11" s="107"/>
      <c r="S11" s="108"/>
      <c r="T11" s="108"/>
      <c r="U11" s="108"/>
      <c r="V11" s="108"/>
      <c r="W11" s="108"/>
      <c r="X11" s="107"/>
      <c r="Y11" s="107"/>
      <c r="Z11" s="107"/>
      <c r="AA11" s="107">
        <v>80</v>
      </c>
      <c r="AB11" s="108"/>
      <c r="AC11" s="108"/>
      <c r="AD11" s="107"/>
      <c r="AE11" s="107"/>
      <c r="AF11" s="106">
        <f t="shared" si="3"/>
        <v>-80</v>
      </c>
      <c r="AG11" s="109">
        <f t="shared" si="4"/>
        <v>0</v>
      </c>
    </row>
    <row r="12" spans="1:33" s="110" customFormat="1" ht="23.25" customHeight="1" x14ac:dyDescent="0.2">
      <c r="A12" s="18">
        <v>43734</v>
      </c>
      <c r="B12" s="102"/>
      <c r="C12" s="20" t="s">
        <v>867</v>
      </c>
      <c r="D12" s="20" t="s">
        <v>868</v>
      </c>
      <c r="E12" s="20" t="s">
        <v>644</v>
      </c>
      <c r="F12" s="103">
        <v>3500</v>
      </c>
      <c r="G12" s="103" t="s">
        <v>869</v>
      </c>
      <c r="H12" s="23"/>
      <c r="I12" s="23"/>
      <c r="J12" s="23"/>
      <c r="K12" s="23">
        <v>5360</v>
      </c>
      <c r="L12" s="105"/>
      <c r="M12" s="106">
        <f t="shared" si="0"/>
        <v>4785.7142857142853</v>
      </c>
      <c r="N12" s="106">
        <f t="shared" si="1"/>
        <v>574.28571428571422</v>
      </c>
      <c r="O12" s="106">
        <f t="shared" si="2"/>
        <v>0</v>
      </c>
      <c r="P12" s="106"/>
      <c r="Q12" s="107"/>
      <c r="R12" s="107"/>
      <c r="S12" s="108"/>
      <c r="T12" s="108"/>
      <c r="U12" s="108"/>
      <c r="V12" s="108"/>
      <c r="W12" s="108"/>
      <c r="X12" s="107">
        <v>4785.71</v>
      </c>
      <c r="Y12" s="107"/>
      <c r="Z12" s="107"/>
      <c r="AA12" s="107"/>
      <c r="AB12" s="108"/>
      <c r="AC12" s="108"/>
      <c r="AD12" s="107"/>
      <c r="AE12" s="107"/>
      <c r="AF12" s="106">
        <f t="shared" si="3"/>
        <v>-5359.9957142857147</v>
      </c>
      <c r="AG12" s="109">
        <f t="shared" si="4"/>
        <v>4.2857142852881225E-3</v>
      </c>
    </row>
    <row r="13" spans="1:33" s="110" customFormat="1" ht="23.25" customHeight="1" x14ac:dyDescent="0.2">
      <c r="A13" s="18">
        <v>43735</v>
      </c>
      <c r="B13" s="102"/>
      <c r="C13" s="20" t="s">
        <v>870</v>
      </c>
      <c r="D13" s="20"/>
      <c r="E13" s="20"/>
      <c r="F13" s="103"/>
      <c r="G13" s="103" t="s">
        <v>807</v>
      </c>
      <c r="H13" s="23">
        <v>120</v>
      </c>
      <c r="I13" s="23"/>
      <c r="J13" s="23"/>
      <c r="K13" s="23"/>
      <c r="L13" s="105"/>
      <c r="M13" s="106">
        <f t="shared" si="0"/>
        <v>120</v>
      </c>
      <c r="N13" s="106">
        <f t="shared" si="1"/>
        <v>0</v>
      </c>
      <c r="O13" s="106">
        <f t="shared" si="2"/>
        <v>0</v>
      </c>
      <c r="P13" s="106"/>
      <c r="Q13" s="107"/>
      <c r="R13" s="107"/>
      <c r="S13" s="108"/>
      <c r="T13" s="108"/>
      <c r="U13" s="108"/>
      <c r="V13" s="108"/>
      <c r="W13" s="108"/>
      <c r="X13" s="107"/>
      <c r="Y13" s="107"/>
      <c r="Z13" s="107"/>
      <c r="AA13" s="107"/>
      <c r="AB13" s="108"/>
      <c r="AC13" s="108"/>
      <c r="AD13" s="107"/>
      <c r="AE13" s="107">
        <v>120</v>
      </c>
      <c r="AF13" s="106">
        <f t="shared" si="3"/>
        <v>-120</v>
      </c>
      <c r="AG13" s="109">
        <f t="shared" si="4"/>
        <v>0</v>
      </c>
    </row>
    <row r="14" spans="1:33" s="110" customFormat="1" ht="23.25" customHeight="1" x14ac:dyDescent="0.2">
      <c r="A14" s="18">
        <v>43732</v>
      </c>
      <c r="B14" s="102"/>
      <c r="C14" s="20" t="s">
        <v>871</v>
      </c>
      <c r="D14" s="20" t="s">
        <v>872</v>
      </c>
      <c r="E14" s="20" t="s">
        <v>385</v>
      </c>
      <c r="F14" s="103">
        <v>3639</v>
      </c>
      <c r="G14" s="103" t="s">
        <v>873</v>
      </c>
      <c r="H14" s="23"/>
      <c r="I14" s="23"/>
      <c r="J14" s="23"/>
      <c r="K14" s="23">
        <v>7650</v>
      </c>
      <c r="L14" s="105"/>
      <c r="M14" s="106">
        <f t="shared" si="0"/>
        <v>6830.3571428571422</v>
      </c>
      <c r="N14" s="106">
        <f t="shared" si="1"/>
        <v>819.642857142857</v>
      </c>
      <c r="O14" s="106">
        <f t="shared" si="2"/>
        <v>0</v>
      </c>
      <c r="P14" s="106"/>
      <c r="Q14" s="107"/>
      <c r="R14" s="107"/>
      <c r="S14" s="108"/>
      <c r="T14" s="108"/>
      <c r="U14" s="108"/>
      <c r="V14" s="108"/>
      <c r="W14" s="108"/>
      <c r="X14" s="107">
        <v>6830.36</v>
      </c>
      <c r="Y14" s="107"/>
      <c r="Z14" s="107"/>
      <c r="AA14" s="107"/>
      <c r="AB14" s="108"/>
      <c r="AC14" s="108"/>
      <c r="AD14" s="107"/>
      <c r="AE14" s="107"/>
      <c r="AF14" s="106">
        <f t="shared" si="3"/>
        <v>-7650.0028571428566</v>
      </c>
      <c r="AG14" s="109">
        <f t="shared" si="4"/>
        <v>-2.8571428565555834E-3</v>
      </c>
    </row>
    <row r="15" spans="1:33" s="110" customFormat="1" ht="23.25" customHeight="1" x14ac:dyDescent="0.2">
      <c r="A15" s="18">
        <v>43735</v>
      </c>
      <c r="B15" s="102"/>
      <c r="C15" s="20" t="s">
        <v>867</v>
      </c>
      <c r="D15" s="20" t="s">
        <v>868</v>
      </c>
      <c r="E15" s="20" t="s">
        <v>644</v>
      </c>
      <c r="F15" s="103">
        <v>3300</v>
      </c>
      <c r="G15" s="103" t="s">
        <v>874</v>
      </c>
      <c r="H15" s="23"/>
      <c r="I15" s="23"/>
      <c r="J15" s="23"/>
      <c r="K15" s="23">
        <v>485</v>
      </c>
      <c r="L15" s="105"/>
      <c r="M15" s="106">
        <f t="shared" si="0"/>
        <v>433.03571428571422</v>
      </c>
      <c r="N15" s="106">
        <f t="shared" si="1"/>
        <v>51.964285714285701</v>
      </c>
      <c r="O15" s="106">
        <f t="shared" si="2"/>
        <v>0</v>
      </c>
      <c r="P15" s="106"/>
      <c r="Q15" s="107"/>
      <c r="R15" s="107"/>
      <c r="S15" s="108"/>
      <c r="T15" s="108"/>
      <c r="U15" s="108"/>
      <c r="V15" s="108"/>
      <c r="W15" s="108"/>
      <c r="X15" s="107"/>
      <c r="Y15" s="107">
        <v>433.04</v>
      </c>
      <c r="Z15" s="107"/>
      <c r="AA15" s="107"/>
      <c r="AB15" s="108"/>
      <c r="AC15" s="108"/>
      <c r="AD15" s="107"/>
      <c r="AE15" s="107"/>
      <c r="AF15" s="106">
        <f t="shared" si="3"/>
        <v>-485.00428571428574</v>
      </c>
      <c r="AG15" s="109">
        <f t="shared" si="4"/>
        <v>-4.2857142857428698E-3</v>
      </c>
    </row>
    <row r="16" spans="1:33" s="110" customFormat="1" ht="23.25" customHeight="1" x14ac:dyDescent="0.2">
      <c r="A16" s="18">
        <v>43735</v>
      </c>
      <c r="B16" s="102"/>
      <c r="C16" s="20" t="s">
        <v>557</v>
      </c>
      <c r="D16" s="20" t="s">
        <v>558</v>
      </c>
      <c r="E16" s="20" t="s">
        <v>47</v>
      </c>
      <c r="F16" s="103">
        <v>349</v>
      </c>
      <c r="G16" s="103" t="s">
        <v>875</v>
      </c>
      <c r="H16" s="23"/>
      <c r="I16" s="23"/>
      <c r="J16" s="23"/>
      <c r="K16" s="23">
        <v>23.25</v>
      </c>
      <c r="L16" s="105"/>
      <c r="M16" s="106">
        <f t="shared" si="0"/>
        <v>20.758928571428569</v>
      </c>
      <c r="N16" s="106">
        <f t="shared" si="1"/>
        <v>2.4910714285714284</v>
      </c>
      <c r="O16" s="106">
        <f t="shared" si="2"/>
        <v>0</v>
      </c>
      <c r="P16" s="106"/>
      <c r="Q16" s="107">
        <v>20.76</v>
      </c>
      <c r="R16" s="107"/>
      <c r="S16" s="108"/>
      <c r="T16" s="108"/>
      <c r="U16" s="108"/>
      <c r="V16" s="108"/>
      <c r="W16" s="108"/>
      <c r="X16" s="107"/>
      <c r="Y16" s="107"/>
      <c r="Z16" s="107"/>
      <c r="AA16" s="107"/>
      <c r="AB16" s="108"/>
      <c r="AC16" s="108"/>
      <c r="AD16" s="107"/>
      <c r="AE16" s="107"/>
      <c r="AF16" s="106">
        <f t="shared" si="3"/>
        <v>-23.251071428571429</v>
      </c>
      <c r="AG16" s="109">
        <f t="shared" si="4"/>
        <v>-1.071428571428612E-3</v>
      </c>
    </row>
    <row r="17" spans="1:33" s="110" customFormat="1" ht="23.25" customHeight="1" x14ac:dyDescent="0.2">
      <c r="A17" s="18">
        <v>43735</v>
      </c>
      <c r="B17" s="102"/>
      <c r="C17" s="20" t="s">
        <v>557</v>
      </c>
      <c r="D17" s="20" t="s">
        <v>558</v>
      </c>
      <c r="E17" s="20" t="s">
        <v>47</v>
      </c>
      <c r="F17" s="103">
        <v>35239</v>
      </c>
      <c r="G17" s="103" t="s">
        <v>865</v>
      </c>
      <c r="H17" s="23"/>
      <c r="I17" s="23"/>
      <c r="J17" s="23"/>
      <c r="K17" s="23">
        <v>30</v>
      </c>
      <c r="L17" s="105"/>
      <c r="M17" s="106">
        <f t="shared" si="0"/>
        <v>26.785714285714285</v>
      </c>
      <c r="N17" s="106">
        <f t="shared" si="1"/>
        <v>3.214285714285714</v>
      </c>
      <c r="O17" s="106">
        <f t="shared" si="2"/>
        <v>0</v>
      </c>
      <c r="P17" s="106"/>
      <c r="Q17" s="107"/>
      <c r="R17" s="107">
        <v>26.79</v>
      </c>
      <c r="S17" s="108"/>
      <c r="T17" s="108"/>
      <c r="U17" s="108"/>
      <c r="V17" s="108"/>
      <c r="W17" s="108"/>
      <c r="X17" s="107"/>
      <c r="Y17" s="107"/>
      <c r="Z17" s="107"/>
      <c r="AA17" s="107"/>
      <c r="AB17" s="108"/>
      <c r="AC17" s="108"/>
      <c r="AD17" s="107"/>
      <c r="AE17" s="107"/>
      <c r="AF17" s="106">
        <f t="shared" si="3"/>
        <v>-30.004285714285714</v>
      </c>
      <c r="AG17" s="109">
        <f t="shared" si="4"/>
        <v>-4.2857142857144481E-3</v>
      </c>
    </row>
    <row r="18" spans="1:33" s="110" customFormat="1" ht="23.25" customHeight="1" x14ac:dyDescent="0.2">
      <c r="A18" s="18">
        <v>43736</v>
      </c>
      <c r="B18" s="102"/>
      <c r="C18" s="20" t="s">
        <v>557</v>
      </c>
      <c r="D18" s="20" t="s">
        <v>558</v>
      </c>
      <c r="E18" s="20" t="s">
        <v>47</v>
      </c>
      <c r="F18" s="103">
        <v>35243</v>
      </c>
      <c r="G18" s="103" t="s">
        <v>876</v>
      </c>
      <c r="H18" s="23"/>
      <c r="I18" s="23"/>
      <c r="J18" s="23"/>
      <c r="K18" s="23">
        <v>86.75</v>
      </c>
      <c r="L18" s="105"/>
      <c r="M18" s="106">
        <f t="shared" si="0"/>
        <v>77.455357142857139</v>
      </c>
      <c r="N18" s="106">
        <f t="shared" si="1"/>
        <v>9.2946428571428559</v>
      </c>
      <c r="O18" s="106">
        <f t="shared" si="2"/>
        <v>0</v>
      </c>
      <c r="P18" s="106"/>
      <c r="Q18" s="107"/>
      <c r="R18" s="107"/>
      <c r="S18" s="108"/>
      <c r="T18" s="108"/>
      <c r="U18" s="108"/>
      <c r="V18" s="108"/>
      <c r="W18" s="108"/>
      <c r="X18" s="107"/>
      <c r="Y18" s="107"/>
      <c r="Z18" s="107"/>
      <c r="AA18" s="107"/>
      <c r="AB18" s="108"/>
      <c r="AC18" s="108"/>
      <c r="AD18" s="107"/>
      <c r="AE18" s="107">
        <v>77.459999999999994</v>
      </c>
      <c r="AF18" s="106">
        <f t="shared" si="3"/>
        <v>-86.754642857142855</v>
      </c>
      <c r="AG18" s="109">
        <f t="shared" si="4"/>
        <v>-4.6428571428549503E-3</v>
      </c>
    </row>
    <row r="19" spans="1:33" s="110" customFormat="1" ht="23.25" customHeight="1" x14ac:dyDescent="0.2">
      <c r="A19" s="18">
        <v>43739</v>
      </c>
      <c r="B19" s="102"/>
      <c r="C19" s="20" t="s">
        <v>867</v>
      </c>
      <c r="D19" s="20" t="s">
        <v>868</v>
      </c>
      <c r="E19" s="20" t="s">
        <v>644</v>
      </c>
      <c r="F19" s="103">
        <v>3500</v>
      </c>
      <c r="G19" s="103" t="s">
        <v>877</v>
      </c>
      <c r="H19" s="23"/>
      <c r="I19" s="23"/>
      <c r="J19" s="23"/>
      <c r="K19" s="23">
        <v>115</v>
      </c>
      <c r="L19" s="105"/>
      <c r="M19" s="106">
        <f t="shared" si="0"/>
        <v>102.67857142857142</v>
      </c>
      <c r="N19" s="106">
        <f t="shared" si="1"/>
        <v>12.321428571428569</v>
      </c>
      <c r="O19" s="106">
        <f t="shared" si="2"/>
        <v>0</v>
      </c>
      <c r="P19" s="106"/>
      <c r="Q19" s="107"/>
      <c r="R19" s="107"/>
      <c r="S19" s="108"/>
      <c r="T19" s="108"/>
      <c r="U19" s="108"/>
      <c r="V19" s="108"/>
      <c r="W19" s="108"/>
      <c r="X19" s="107">
        <v>102.68</v>
      </c>
      <c r="Y19" s="107"/>
      <c r="Z19" s="107"/>
      <c r="AA19" s="107"/>
      <c r="AB19" s="108"/>
      <c r="AC19" s="108"/>
      <c r="AD19" s="107"/>
      <c r="AE19" s="107"/>
      <c r="AF19" s="106">
        <f t="shared" si="3"/>
        <v>-115.00142857142858</v>
      </c>
      <c r="AG19" s="109">
        <f t="shared" si="4"/>
        <v>-1.4285714285762197E-3</v>
      </c>
    </row>
    <row r="20" spans="1:33" s="110" customFormat="1" ht="23.25" customHeight="1" x14ac:dyDescent="0.2">
      <c r="A20" s="18">
        <v>43739</v>
      </c>
      <c r="B20" s="102"/>
      <c r="C20" s="20" t="s">
        <v>557</v>
      </c>
      <c r="D20" s="20" t="s">
        <v>558</v>
      </c>
      <c r="E20" s="20" t="s">
        <v>47</v>
      </c>
      <c r="F20" s="103">
        <v>349</v>
      </c>
      <c r="G20" s="103" t="s">
        <v>878</v>
      </c>
      <c r="H20" s="23"/>
      <c r="I20" s="23"/>
      <c r="J20" s="23"/>
      <c r="K20" s="23">
        <v>120</v>
      </c>
      <c r="L20" s="105"/>
      <c r="M20" s="106">
        <f t="shared" si="0"/>
        <v>107.14285714285714</v>
      </c>
      <c r="N20" s="106">
        <f t="shared" si="1"/>
        <v>12.857142857142856</v>
      </c>
      <c r="O20" s="106">
        <f t="shared" si="2"/>
        <v>0</v>
      </c>
      <c r="P20" s="106"/>
      <c r="Q20" s="107"/>
      <c r="R20" s="107"/>
      <c r="S20" s="108"/>
      <c r="T20" s="108"/>
      <c r="U20" s="108"/>
      <c r="V20" s="108"/>
      <c r="W20" s="108"/>
      <c r="X20" s="107"/>
      <c r="Y20" s="107"/>
      <c r="Z20" s="107"/>
      <c r="AA20" s="107"/>
      <c r="AB20" s="108"/>
      <c r="AC20" s="108"/>
      <c r="AD20" s="107"/>
      <c r="AE20" s="107">
        <v>107.14</v>
      </c>
      <c r="AF20" s="106">
        <f t="shared" si="3"/>
        <v>-119.99714285714286</v>
      </c>
      <c r="AG20" s="109">
        <f t="shared" si="4"/>
        <v>2.8571428571382285E-3</v>
      </c>
    </row>
    <row r="21" spans="1:33" s="110" customFormat="1" ht="23.25" customHeight="1" x14ac:dyDescent="0.2">
      <c r="A21" s="18">
        <v>43739</v>
      </c>
      <c r="B21" s="102"/>
      <c r="C21" s="20" t="s">
        <v>867</v>
      </c>
      <c r="D21" s="20" t="s">
        <v>868</v>
      </c>
      <c r="E21" s="20" t="s">
        <v>644</v>
      </c>
      <c r="F21" s="103">
        <v>3509</v>
      </c>
      <c r="G21" s="103" t="s">
        <v>879</v>
      </c>
      <c r="H21" s="23"/>
      <c r="I21" s="23"/>
      <c r="J21" s="23"/>
      <c r="K21" s="23">
        <v>2615</v>
      </c>
      <c r="L21" s="105"/>
      <c r="M21" s="106">
        <f t="shared" si="0"/>
        <v>2334.8214285714284</v>
      </c>
      <c r="N21" s="106">
        <f t="shared" si="1"/>
        <v>280.17857142857139</v>
      </c>
      <c r="O21" s="106">
        <f t="shared" si="2"/>
        <v>0</v>
      </c>
      <c r="P21" s="106"/>
      <c r="Q21" s="107"/>
      <c r="R21" s="107"/>
      <c r="S21" s="108"/>
      <c r="T21" s="108"/>
      <c r="U21" s="108"/>
      <c r="V21" s="108"/>
      <c r="W21" s="108"/>
      <c r="X21" s="107">
        <v>2334.8200000000002</v>
      </c>
      <c r="Y21" s="107"/>
      <c r="Z21" s="107"/>
      <c r="AA21" s="107"/>
      <c r="AB21" s="108"/>
      <c r="AC21" s="108"/>
      <c r="AD21" s="107"/>
      <c r="AE21" s="107"/>
      <c r="AF21" s="106">
        <f t="shared" si="3"/>
        <v>-2614.9985714285717</v>
      </c>
      <c r="AG21" s="109">
        <f t="shared" si="4"/>
        <v>1.4285714282777917E-3</v>
      </c>
    </row>
    <row r="22" spans="1:33" s="110" customFormat="1" ht="23.25" customHeight="1" x14ac:dyDescent="0.2">
      <c r="A22" s="18">
        <v>43739</v>
      </c>
      <c r="B22" s="102"/>
      <c r="C22" s="20" t="s">
        <v>842</v>
      </c>
      <c r="D22" s="20"/>
      <c r="E22" s="20"/>
      <c r="F22" s="103"/>
      <c r="G22" s="103" t="s">
        <v>880</v>
      </c>
      <c r="H22" s="23">
        <v>37</v>
      </c>
      <c r="I22" s="23"/>
      <c r="J22" s="23"/>
      <c r="K22" s="23"/>
      <c r="L22" s="105"/>
      <c r="M22" s="106">
        <f t="shared" si="0"/>
        <v>37</v>
      </c>
      <c r="N22" s="106">
        <f t="shared" si="1"/>
        <v>0</v>
      </c>
      <c r="O22" s="106">
        <f t="shared" si="2"/>
        <v>0</v>
      </c>
      <c r="P22" s="106"/>
      <c r="Q22" s="107"/>
      <c r="R22" s="107"/>
      <c r="S22" s="108"/>
      <c r="T22" s="108"/>
      <c r="U22" s="108"/>
      <c r="V22" s="108"/>
      <c r="W22" s="108"/>
      <c r="X22" s="107"/>
      <c r="Y22" s="107"/>
      <c r="Z22" s="107"/>
      <c r="AA22" s="107"/>
      <c r="AB22" s="108"/>
      <c r="AC22" s="108"/>
      <c r="AD22" s="107">
        <v>37</v>
      </c>
      <c r="AE22" s="107"/>
      <c r="AF22" s="106">
        <f t="shared" si="3"/>
        <v>-37</v>
      </c>
      <c r="AG22" s="109">
        <f t="shared" si="4"/>
        <v>0</v>
      </c>
    </row>
    <row r="23" spans="1:33" s="110" customFormat="1" ht="23.25" customHeight="1" x14ac:dyDescent="0.2">
      <c r="A23" s="18">
        <v>43742</v>
      </c>
      <c r="B23" s="102"/>
      <c r="C23" s="20" t="s">
        <v>154</v>
      </c>
      <c r="D23" s="20"/>
      <c r="E23" s="20"/>
      <c r="F23" s="103"/>
      <c r="G23" s="103" t="s">
        <v>807</v>
      </c>
      <c r="H23" s="23">
        <v>60</v>
      </c>
      <c r="I23" s="23"/>
      <c r="J23" s="23"/>
      <c r="K23" s="23"/>
      <c r="L23" s="105"/>
      <c r="M23" s="106">
        <f t="shared" si="0"/>
        <v>60</v>
      </c>
      <c r="N23" s="106">
        <f t="shared" si="1"/>
        <v>0</v>
      </c>
      <c r="O23" s="106">
        <f t="shared" si="2"/>
        <v>0</v>
      </c>
      <c r="P23" s="106"/>
      <c r="Q23" s="107"/>
      <c r="R23" s="107"/>
      <c r="S23" s="108"/>
      <c r="T23" s="108"/>
      <c r="U23" s="108"/>
      <c r="V23" s="108"/>
      <c r="W23" s="108"/>
      <c r="X23" s="107"/>
      <c r="Y23" s="107"/>
      <c r="Z23" s="107"/>
      <c r="AA23" s="107"/>
      <c r="AB23" s="108"/>
      <c r="AC23" s="108"/>
      <c r="AD23" s="107"/>
      <c r="AE23" s="107">
        <v>60</v>
      </c>
      <c r="AF23" s="106">
        <f t="shared" si="3"/>
        <v>-60</v>
      </c>
      <c r="AG23" s="109">
        <f t="shared" si="4"/>
        <v>0</v>
      </c>
    </row>
    <row r="24" spans="1:33" s="110" customFormat="1" ht="23.25" customHeight="1" x14ac:dyDescent="0.2">
      <c r="A24" s="18">
        <v>43740</v>
      </c>
      <c r="B24" s="102"/>
      <c r="C24" s="20" t="s">
        <v>881</v>
      </c>
      <c r="D24" s="20"/>
      <c r="E24" s="20"/>
      <c r="F24" s="103"/>
      <c r="G24" s="103" t="s">
        <v>882</v>
      </c>
      <c r="H24" s="23"/>
      <c r="I24" s="23"/>
      <c r="J24" s="23"/>
      <c r="K24" s="23">
        <v>1256.5</v>
      </c>
      <c r="L24" s="105"/>
      <c r="M24" s="106">
        <f t="shared" si="0"/>
        <v>1121.875</v>
      </c>
      <c r="N24" s="106">
        <f t="shared" si="1"/>
        <v>134.625</v>
      </c>
      <c r="O24" s="106">
        <f t="shared" si="2"/>
        <v>0</v>
      </c>
      <c r="P24" s="106">
        <v>1121.8599999999999</v>
      </c>
      <c r="Q24" s="107"/>
      <c r="R24" s="107"/>
      <c r="S24" s="108"/>
      <c r="T24" s="108"/>
      <c r="U24" s="108"/>
      <c r="V24" s="108"/>
      <c r="W24" s="108"/>
      <c r="X24" s="107"/>
      <c r="Y24" s="107"/>
      <c r="Z24" s="107"/>
      <c r="AA24" s="107"/>
      <c r="AB24" s="108"/>
      <c r="AC24" s="108"/>
      <c r="AD24" s="107"/>
      <c r="AE24" s="107"/>
      <c r="AF24" s="106">
        <f t="shared" si="3"/>
        <v>-1256.4849999999999</v>
      </c>
      <c r="AG24" s="109">
        <f t="shared" si="4"/>
        <v>1.5000000000100044E-2</v>
      </c>
    </row>
    <row r="25" spans="1:33" s="110" customFormat="1" ht="23.25" customHeight="1" x14ac:dyDescent="0.2">
      <c r="A25" s="18">
        <v>43742</v>
      </c>
      <c r="B25" s="102"/>
      <c r="C25" s="20" t="s">
        <v>50</v>
      </c>
      <c r="D25" s="20" t="s">
        <v>51</v>
      </c>
      <c r="E25" s="20" t="s">
        <v>47</v>
      </c>
      <c r="F25" s="103">
        <v>22774</v>
      </c>
      <c r="G25" s="103" t="s">
        <v>883</v>
      </c>
      <c r="H25" s="23"/>
      <c r="I25" s="23"/>
      <c r="J25" s="23"/>
      <c r="K25" s="23">
        <v>679.85</v>
      </c>
      <c r="L25" s="105"/>
      <c r="M25" s="106">
        <f t="shared" si="0"/>
        <v>607.00892857142856</v>
      </c>
      <c r="N25" s="106">
        <f t="shared" si="1"/>
        <v>72.841071428571425</v>
      </c>
      <c r="O25" s="106">
        <f t="shared" si="2"/>
        <v>0</v>
      </c>
      <c r="P25" s="106">
        <v>607.01</v>
      </c>
      <c r="Q25" s="107"/>
      <c r="R25" s="107"/>
      <c r="S25" s="108"/>
      <c r="T25" s="108"/>
      <c r="U25" s="108"/>
      <c r="V25" s="108"/>
      <c r="W25" s="108"/>
      <c r="X25" s="107"/>
      <c r="Y25" s="107"/>
      <c r="Z25" s="107"/>
      <c r="AA25" s="107"/>
      <c r="AB25" s="108"/>
      <c r="AC25" s="108"/>
      <c r="AD25" s="107"/>
      <c r="AE25" s="107"/>
      <c r="AF25" s="106">
        <f t="shared" si="3"/>
        <v>-679.85107142857146</v>
      </c>
      <c r="AG25" s="109">
        <f t="shared" si="4"/>
        <v>-1.0714285714357175E-3</v>
      </c>
    </row>
    <row r="26" spans="1:33" s="110" customFormat="1" ht="23.25" customHeight="1" x14ac:dyDescent="0.2">
      <c r="A26" s="18">
        <v>43754</v>
      </c>
      <c r="B26" s="102"/>
      <c r="C26" s="20" t="s">
        <v>884</v>
      </c>
      <c r="D26" s="20" t="s">
        <v>844</v>
      </c>
      <c r="E26" s="20" t="s">
        <v>845</v>
      </c>
      <c r="F26" s="103">
        <v>1507</v>
      </c>
      <c r="G26" s="103" t="s">
        <v>885</v>
      </c>
      <c r="H26" s="23"/>
      <c r="I26" s="23"/>
      <c r="J26" s="23"/>
      <c r="K26" s="23">
        <v>171</v>
      </c>
      <c r="L26" s="105"/>
      <c r="M26" s="106">
        <f t="shared" si="0"/>
        <v>152.67857142857142</v>
      </c>
      <c r="N26" s="106">
        <f t="shared" si="1"/>
        <v>18.321428571428569</v>
      </c>
      <c r="O26" s="106">
        <f t="shared" si="2"/>
        <v>0</v>
      </c>
      <c r="P26" s="106">
        <v>152.68</v>
      </c>
      <c r="Q26" s="107"/>
      <c r="R26" s="107"/>
      <c r="S26" s="108"/>
      <c r="T26" s="108"/>
      <c r="U26" s="108"/>
      <c r="V26" s="108"/>
      <c r="W26" s="108"/>
      <c r="X26" s="107"/>
      <c r="Y26" s="107"/>
      <c r="Z26" s="107"/>
      <c r="AA26" s="107"/>
      <c r="AB26" s="108"/>
      <c r="AC26" s="108"/>
      <c r="AD26" s="107"/>
      <c r="AE26" s="107"/>
      <c r="AF26" s="106">
        <f t="shared" si="3"/>
        <v>-171.00142857142856</v>
      </c>
      <c r="AG26" s="109">
        <f t="shared" si="4"/>
        <v>-1.4285714285620088E-3</v>
      </c>
    </row>
    <row r="27" spans="1:33" s="110" customFormat="1" ht="23.25" customHeight="1" x14ac:dyDescent="0.2">
      <c r="A27" s="18"/>
      <c r="B27" s="102"/>
      <c r="C27" s="20"/>
      <c r="D27" s="20"/>
      <c r="E27" s="20"/>
      <c r="F27" s="103"/>
      <c r="G27" s="103"/>
      <c r="H27" s="23"/>
      <c r="I27" s="23"/>
      <c r="J27" s="23"/>
      <c r="K27" s="23"/>
      <c r="L27" s="105"/>
      <c r="M27" s="106">
        <f t="shared" si="0"/>
        <v>0</v>
      </c>
      <c r="N27" s="106">
        <f t="shared" si="1"/>
        <v>0</v>
      </c>
      <c r="O27" s="106">
        <f t="shared" si="2"/>
        <v>0</v>
      </c>
      <c r="P27" s="106"/>
      <c r="Q27" s="107"/>
      <c r="R27" s="107"/>
      <c r="S27" s="108"/>
      <c r="T27" s="108"/>
      <c r="U27" s="108"/>
      <c r="V27" s="108"/>
      <c r="W27" s="108"/>
      <c r="X27" s="107"/>
      <c r="Y27" s="107"/>
      <c r="Z27" s="107"/>
      <c r="AA27" s="107"/>
      <c r="AB27" s="108"/>
      <c r="AC27" s="108"/>
      <c r="AD27" s="107"/>
      <c r="AE27" s="107"/>
      <c r="AF27" s="106">
        <f t="shared" si="3"/>
        <v>0</v>
      </c>
      <c r="AG27" s="109">
        <f t="shared" si="4"/>
        <v>0</v>
      </c>
    </row>
    <row r="28" spans="1:33" s="110" customFormat="1" ht="23.25" customHeight="1" x14ac:dyDescent="0.2">
      <c r="A28" s="18"/>
      <c r="B28" s="102"/>
      <c r="C28" s="20"/>
      <c r="D28" s="20"/>
      <c r="E28" s="20"/>
      <c r="F28" s="103"/>
      <c r="G28" s="103"/>
      <c r="H28" s="23"/>
      <c r="I28" s="23"/>
      <c r="J28" s="23"/>
      <c r="K28" s="23"/>
      <c r="L28" s="105"/>
      <c r="M28" s="106">
        <f t="shared" si="0"/>
        <v>0</v>
      </c>
      <c r="N28" s="106">
        <f t="shared" si="1"/>
        <v>0</v>
      </c>
      <c r="O28" s="106">
        <f t="shared" si="2"/>
        <v>0</v>
      </c>
      <c r="P28" s="106"/>
      <c r="Q28" s="107"/>
      <c r="R28" s="107"/>
      <c r="S28" s="108"/>
      <c r="T28" s="108"/>
      <c r="U28" s="108"/>
      <c r="V28" s="108"/>
      <c r="W28" s="108"/>
      <c r="X28" s="107"/>
      <c r="Y28" s="107"/>
      <c r="Z28" s="107"/>
      <c r="AA28" s="107"/>
      <c r="AB28" s="108"/>
      <c r="AC28" s="108"/>
      <c r="AD28" s="107"/>
      <c r="AE28" s="107"/>
      <c r="AF28" s="106">
        <f t="shared" si="3"/>
        <v>0</v>
      </c>
      <c r="AG28" s="109">
        <f t="shared" si="4"/>
        <v>0</v>
      </c>
    </row>
    <row r="29" spans="1:33" s="110" customFormat="1" ht="23.25" customHeight="1" x14ac:dyDescent="0.2">
      <c r="A29" s="18"/>
      <c r="B29" s="102"/>
      <c r="C29" s="20"/>
      <c r="D29" s="20"/>
      <c r="E29" s="20"/>
      <c r="F29" s="103"/>
      <c r="G29" s="103"/>
      <c r="H29" s="23"/>
      <c r="I29" s="23"/>
      <c r="J29" s="23"/>
      <c r="K29" s="23"/>
      <c r="L29" s="105"/>
      <c r="M29" s="106">
        <f t="shared" si="0"/>
        <v>0</v>
      </c>
      <c r="N29" s="106">
        <f t="shared" si="1"/>
        <v>0</v>
      </c>
      <c r="O29" s="106">
        <f t="shared" si="2"/>
        <v>0</v>
      </c>
      <c r="P29" s="106"/>
      <c r="Q29" s="107"/>
      <c r="R29" s="107"/>
      <c r="S29" s="108"/>
      <c r="T29" s="108"/>
      <c r="U29" s="108"/>
      <c r="V29" s="108"/>
      <c r="W29" s="108"/>
      <c r="X29" s="107"/>
      <c r="Y29" s="107"/>
      <c r="Z29" s="107"/>
      <c r="AA29" s="107"/>
      <c r="AB29" s="108"/>
      <c r="AC29" s="108"/>
      <c r="AD29" s="107"/>
      <c r="AE29" s="107"/>
      <c r="AF29" s="106">
        <f t="shared" si="3"/>
        <v>0</v>
      </c>
      <c r="AG29" s="109">
        <f t="shared" si="4"/>
        <v>0</v>
      </c>
    </row>
    <row r="30" spans="1:33" s="110" customFormat="1" ht="19.5" customHeight="1" x14ac:dyDescent="0.2">
      <c r="A30" s="18"/>
      <c r="B30" s="102"/>
      <c r="C30" s="45"/>
      <c r="D30" s="45"/>
      <c r="E30" s="45"/>
      <c r="F30" s="103"/>
      <c r="G30" s="104"/>
      <c r="H30" s="23"/>
      <c r="I30" s="23"/>
      <c r="J30" s="23"/>
      <c r="K30" s="23"/>
      <c r="L30" s="105"/>
      <c r="M30" s="106">
        <f t="shared" si="0"/>
        <v>0</v>
      </c>
      <c r="N30" s="106">
        <f t="shared" si="1"/>
        <v>0</v>
      </c>
      <c r="O30" s="107">
        <f t="shared" si="2"/>
        <v>0</v>
      </c>
      <c r="P30" s="107"/>
      <c r="Q30" s="107"/>
      <c r="R30" s="107"/>
      <c r="S30" s="107"/>
      <c r="T30" s="108"/>
      <c r="U30" s="108"/>
      <c r="V30" s="108"/>
      <c r="W30" s="108"/>
      <c r="X30" s="108"/>
      <c r="Y30" s="113"/>
      <c r="Z30" s="107"/>
      <c r="AA30" s="107"/>
      <c r="AB30" s="107"/>
      <c r="AC30" s="108"/>
      <c r="AD30" s="108"/>
      <c r="AE30" s="114"/>
      <c r="AF30" s="106">
        <f t="shared" si="3"/>
        <v>0</v>
      </c>
      <c r="AG30" s="109">
        <f t="shared" si="4"/>
        <v>0</v>
      </c>
    </row>
    <row r="31" spans="1:33" s="120" customFormat="1" ht="12" customHeight="1" x14ac:dyDescent="0.2">
      <c r="A31" s="115"/>
      <c r="B31" s="116"/>
      <c r="C31" s="117"/>
      <c r="D31" s="118"/>
      <c r="E31" s="118"/>
      <c r="F31" s="119"/>
      <c r="G31" s="117"/>
      <c r="H31" s="54">
        <f t="shared" ref="H31:AG31" si="5">SUM(H5:H30)</f>
        <v>972</v>
      </c>
      <c r="I31" s="54">
        <f t="shared" si="5"/>
        <v>0</v>
      </c>
      <c r="J31" s="54">
        <f t="shared" si="5"/>
        <v>0</v>
      </c>
      <c r="K31" s="54">
        <f t="shared" si="5"/>
        <v>19009.349999999999</v>
      </c>
      <c r="L31" s="54">
        <f t="shared" si="5"/>
        <v>0</v>
      </c>
      <c r="M31" s="54">
        <f t="shared" si="5"/>
        <v>17944.633928571424</v>
      </c>
      <c r="N31" s="54">
        <f t="shared" si="5"/>
        <v>2036.7160714285715</v>
      </c>
      <c r="O31" s="54">
        <f t="shared" si="5"/>
        <v>0</v>
      </c>
      <c r="P31" s="54">
        <f t="shared" si="5"/>
        <v>2186.91</v>
      </c>
      <c r="Q31" s="54">
        <f t="shared" si="5"/>
        <v>20.76</v>
      </c>
      <c r="R31" s="54">
        <f t="shared" si="5"/>
        <v>93.75</v>
      </c>
      <c r="S31" s="54">
        <f t="shared" si="5"/>
        <v>0</v>
      </c>
      <c r="T31" s="54">
        <f t="shared" si="5"/>
        <v>0</v>
      </c>
      <c r="U31" s="54">
        <f t="shared" si="5"/>
        <v>0</v>
      </c>
      <c r="V31" s="54">
        <f t="shared" si="5"/>
        <v>0</v>
      </c>
      <c r="W31" s="54">
        <f t="shared" si="5"/>
        <v>0</v>
      </c>
      <c r="X31" s="54">
        <f t="shared" si="5"/>
        <v>14053.57</v>
      </c>
      <c r="Y31" s="54">
        <f t="shared" si="5"/>
        <v>433.04</v>
      </c>
      <c r="Z31" s="54">
        <f t="shared" si="5"/>
        <v>0</v>
      </c>
      <c r="AA31" s="54">
        <f t="shared" si="5"/>
        <v>80</v>
      </c>
      <c r="AB31" s="54">
        <f t="shared" si="5"/>
        <v>0</v>
      </c>
      <c r="AC31" s="54">
        <f t="shared" si="5"/>
        <v>0</v>
      </c>
      <c r="AD31" s="54">
        <f t="shared" si="5"/>
        <v>37</v>
      </c>
      <c r="AE31" s="54">
        <f t="shared" si="5"/>
        <v>1039.5999999999999</v>
      </c>
      <c r="AF31" s="54">
        <f t="shared" si="5"/>
        <v>-19981.346071428568</v>
      </c>
      <c r="AG31" s="54">
        <f t="shared" si="5"/>
        <v>3.9285714285242079E-3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K35"/>
  <sheetViews>
    <sheetView topLeftCell="A22" zoomScale="90" zoomScaleNormal="90" workbookViewId="0"/>
  </sheetViews>
  <sheetFormatPr defaultRowHeight="13.2" x14ac:dyDescent="0.25"/>
  <cols>
    <col min="1" max="1" width="10.21875" style="84" customWidth="1"/>
    <col min="2" max="2" width="9.21875" style="85" hidden="1" customWidth="1"/>
    <col min="3" max="3" width="30.21875" style="86" customWidth="1"/>
    <col min="4" max="4" width="17.6640625" style="87" customWidth="1"/>
    <col min="5" max="5" width="35.33203125" style="87" customWidth="1"/>
    <col min="6" max="6" width="9.88671875" style="85" customWidth="1"/>
    <col min="7" max="7" width="38.6640625" style="86" customWidth="1"/>
    <col min="8" max="8" width="9.88671875" style="88" customWidth="1"/>
    <col min="9" max="9" width="10.6640625" style="88" customWidth="1"/>
    <col min="10" max="10" width="12.21875" style="88" customWidth="1"/>
    <col min="11" max="11" width="12.5546875" style="88" customWidth="1"/>
    <col min="12" max="12" width="6.44140625" style="89" customWidth="1"/>
    <col min="13" max="13" width="11.6640625" style="88" customWidth="1"/>
    <col min="14" max="14" width="10.21875" style="88" customWidth="1"/>
    <col min="15" max="15" width="8.21875" style="88" customWidth="1"/>
    <col min="16" max="16" width="10.21875" style="88" customWidth="1"/>
    <col min="17" max="17" width="12.5546875" style="88" customWidth="1"/>
    <col min="18" max="18" width="11.5546875" style="88"/>
    <col min="19" max="19" width="10.21875" style="88" customWidth="1"/>
    <col min="20" max="21" width="11.5546875" style="88"/>
    <col min="22" max="22" width="13.33203125" style="88" customWidth="1"/>
    <col min="23" max="23" width="10.21875" style="88" customWidth="1"/>
    <col min="24" max="24" width="12.44140625" style="88" customWidth="1"/>
    <col min="25" max="25" width="11.6640625" style="88" customWidth="1"/>
    <col min="26" max="26" width="10.44140625" style="88" customWidth="1"/>
    <col min="27" max="27" width="10.77734375" style="88" customWidth="1"/>
    <col min="28" max="28" width="11.33203125" style="88" customWidth="1"/>
    <col min="29" max="30" width="10.109375" style="88" customWidth="1"/>
    <col min="31" max="31" width="12.77734375" style="88" customWidth="1"/>
    <col min="32" max="32" width="13.33203125" style="88" customWidth="1"/>
    <col min="33" max="33" width="8.6640625" style="86" customWidth="1"/>
    <col min="34" max="1025" width="11.5546875" style="86"/>
  </cols>
  <sheetData>
    <row r="1" spans="1:33" ht="12" customHeight="1" x14ac:dyDescent="0.25">
      <c r="A1" s="90" t="s">
        <v>0</v>
      </c>
      <c r="C1" s="91"/>
    </row>
    <row r="2" spans="1:33" ht="12" customHeight="1" x14ac:dyDescent="0.25">
      <c r="A2" s="90" t="s">
        <v>1</v>
      </c>
    </row>
    <row r="3" spans="1:33" ht="12" customHeight="1" x14ac:dyDescent="0.25">
      <c r="A3" s="90" t="s">
        <v>886</v>
      </c>
      <c r="B3" s="91"/>
      <c r="C3" s="92"/>
      <c r="N3" s="93">
        <v>1301</v>
      </c>
      <c r="O3" s="93">
        <v>2402</v>
      </c>
      <c r="P3" s="93">
        <v>5001</v>
      </c>
      <c r="Q3" s="93">
        <v>5002</v>
      </c>
      <c r="R3" s="93">
        <v>6220</v>
      </c>
      <c r="S3" s="93">
        <v>6219</v>
      </c>
      <c r="T3" s="93">
        <v>6212</v>
      </c>
      <c r="U3" s="93"/>
      <c r="V3" s="93"/>
      <c r="W3" s="93"/>
      <c r="X3" s="93"/>
      <c r="Y3" s="93" t="s">
        <v>3</v>
      </c>
      <c r="Z3" s="93"/>
      <c r="AA3" s="93">
        <v>6230</v>
      </c>
      <c r="AB3" s="93" t="s">
        <v>4</v>
      </c>
      <c r="AC3" s="93">
        <v>6202</v>
      </c>
      <c r="AD3" s="93"/>
      <c r="AE3" s="93">
        <v>6109</v>
      </c>
      <c r="AF3" s="93">
        <v>1002</v>
      </c>
    </row>
    <row r="4" spans="1:33" s="101" customFormat="1" ht="44.25" customHeight="1" x14ac:dyDescent="0.25">
      <c r="A4" s="94" t="s">
        <v>5</v>
      </c>
      <c r="B4" s="95" t="s">
        <v>6</v>
      </c>
      <c r="C4" s="95" t="s">
        <v>7</v>
      </c>
      <c r="D4" s="95" t="s">
        <v>8</v>
      </c>
      <c r="E4" s="95" t="s">
        <v>9</v>
      </c>
      <c r="F4" s="95" t="s">
        <v>10</v>
      </c>
      <c r="G4" s="95" t="s">
        <v>11</v>
      </c>
      <c r="H4" s="95" t="s">
        <v>12</v>
      </c>
      <c r="I4" s="95" t="s">
        <v>13</v>
      </c>
      <c r="J4" s="95" t="s">
        <v>14</v>
      </c>
      <c r="K4" s="95" t="s">
        <v>15</v>
      </c>
      <c r="L4" s="96" t="s">
        <v>16</v>
      </c>
      <c r="M4" s="95" t="s">
        <v>17</v>
      </c>
      <c r="N4" s="97" t="s">
        <v>18</v>
      </c>
      <c r="O4" s="97" t="s">
        <v>19</v>
      </c>
      <c r="P4" s="97" t="s">
        <v>20</v>
      </c>
      <c r="Q4" s="97" t="s">
        <v>21</v>
      </c>
      <c r="R4" s="97" t="s">
        <v>22</v>
      </c>
      <c r="S4" s="97" t="s">
        <v>23</v>
      </c>
      <c r="T4" s="97" t="s">
        <v>24</v>
      </c>
      <c r="U4" s="97" t="s">
        <v>25</v>
      </c>
      <c r="V4" s="97" t="s">
        <v>26</v>
      </c>
      <c r="W4" s="97" t="s">
        <v>27</v>
      </c>
      <c r="X4" s="97" t="s">
        <v>28</v>
      </c>
      <c r="Y4" s="97" t="s">
        <v>29</v>
      </c>
      <c r="Z4" s="97" t="s">
        <v>30</v>
      </c>
      <c r="AA4" s="97" t="s">
        <v>31</v>
      </c>
      <c r="AB4" s="97" t="s">
        <v>32</v>
      </c>
      <c r="AC4" s="98" t="s">
        <v>33</v>
      </c>
      <c r="AD4" s="97" t="s">
        <v>34</v>
      </c>
      <c r="AE4" s="99" t="s">
        <v>35</v>
      </c>
      <c r="AF4" s="100" t="s">
        <v>36</v>
      </c>
    </row>
    <row r="5" spans="1:33" s="110" customFormat="1" ht="23.25" customHeight="1" x14ac:dyDescent="0.2">
      <c r="A5" s="18">
        <v>43745</v>
      </c>
      <c r="B5" s="102"/>
      <c r="C5" s="20" t="s">
        <v>45</v>
      </c>
      <c r="D5" s="20" t="s">
        <v>847</v>
      </c>
      <c r="E5" s="20" t="s">
        <v>47</v>
      </c>
      <c r="F5" s="103">
        <v>183889</v>
      </c>
      <c r="G5" s="103" t="s">
        <v>887</v>
      </c>
      <c r="H5" s="23"/>
      <c r="I5" s="23"/>
      <c r="J5" s="23">
        <v>754.5</v>
      </c>
      <c r="K5" s="23"/>
      <c r="L5" s="105"/>
      <c r="M5" s="106">
        <f t="shared" ref="M5:M26" si="0">SUM(H5:J5,K5/1.12)</f>
        <v>754.5</v>
      </c>
      <c r="N5" s="106">
        <f t="shared" ref="N5:N26" si="1">K5/1.12*0.12</f>
        <v>0</v>
      </c>
      <c r="O5" s="106">
        <f t="shared" ref="O5:O26" si="2">-SUM(I5:J5,K5/1.12)*L5</f>
        <v>0</v>
      </c>
      <c r="P5" s="106">
        <v>754.5</v>
      </c>
      <c r="Q5" s="107"/>
      <c r="R5" s="107"/>
      <c r="S5" s="108"/>
      <c r="T5" s="108"/>
      <c r="U5" s="108"/>
      <c r="V5" s="108"/>
      <c r="W5" s="108"/>
      <c r="X5" s="107"/>
      <c r="Y5" s="107"/>
      <c r="Z5" s="107"/>
      <c r="AA5" s="107"/>
      <c r="AB5" s="108"/>
      <c r="AC5" s="108"/>
      <c r="AD5" s="107"/>
      <c r="AE5" s="107"/>
      <c r="AF5" s="106">
        <f t="shared" ref="AF5:AF26" si="3">-SUM(N5:AE5)</f>
        <v>-754.5</v>
      </c>
      <c r="AG5" s="109">
        <f t="shared" ref="AG5:AG26" si="4">SUM(H5:K5)+AF5+O5</f>
        <v>0</v>
      </c>
    </row>
    <row r="6" spans="1:33" s="110" customFormat="1" ht="23.25" customHeight="1" x14ac:dyDescent="0.2">
      <c r="A6" s="18">
        <v>43745</v>
      </c>
      <c r="B6" s="102"/>
      <c r="C6" s="20" t="s">
        <v>45</v>
      </c>
      <c r="D6" s="20" t="s">
        <v>847</v>
      </c>
      <c r="E6" s="20" t="s">
        <v>47</v>
      </c>
      <c r="F6" s="103">
        <v>183889</v>
      </c>
      <c r="G6" s="103" t="s">
        <v>888</v>
      </c>
      <c r="H6" s="23"/>
      <c r="I6" s="23"/>
      <c r="J6" s="23"/>
      <c r="K6" s="23">
        <f>3535.89+424.31</f>
        <v>3960.2</v>
      </c>
      <c r="L6" s="105"/>
      <c r="M6" s="106">
        <f t="shared" si="0"/>
        <v>3535.8928571428564</v>
      </c>
      <c r="N6" s="106">
        <f t="shared" si="1"/>
        <v>424.30714285714276</v>
      </c>
      <c r="O6" s="106">
        <f t="shared" si="2"/>
        <v>0</v>
      </c>
      <c r="P6" s="106">
        <v>3535.89</v>
      </c>
      <c r="Q6" s="107"/>
      <c r="R6" s="107"/>
      <c r="S6" s="108"/>
      <c r="T6" s="108"/>
      <c r="U6" s="108"/>
      <c r="V6" s="108"/>
      <c r="W6" s="108"/>
      <c r="X6" s="107"/>
      <c r="Y6" s="107"/>
      <c r="Z6" s="107"/>
      <c r="AA6" s="107"/>
      <c r="AB6" s="108"/>
      <c r="AC6" s="108"/>
      <c r="AD6" s="107"/>
      <c r="AE6" s="107"/>
      <c r="AF6" s="106">
        <f t="shared" si="3"/>
        <v>-3960.1971428571428</v>
      </c>
      <c r="AG6" s="109">
        <f t="shared" si="4"/>
        <v>2.8571428570103308E-3</v>
      </c>
    </row>
    <row r="7" spans="1:33" s="110" customFormat="1" ht="23.25" customHeight="1" x14ac:dyDescent="0.2">
      <c r="A7" s="18">
        <v>43745</v>
      </c>
      <c r="B7" s="102"/>
      <c r="C7" s="20" t="s">
        <v>45</v>
      </c>
      <c r="D7" s="20" t="s">
        <v>847</v>
      </c>
      <c r="E7" s="20" t="s">
        <v>47</v>
      </c>
      <c r="F7" s="103">
        <v>203401</v>
      </c>
      <c r="G7" s="103" t="s">
        <v>889</v>
      </c>
      <c r="H7" s="23"/>
      <c r="I7" s="23"/>
      <c r="J7" s="23"/>
      <c r="K7" s="23">
        <v>92.45</v>
      </c>
      <c r="L7" s="105"/>
      <c r="M7" s="106">
        <f t="shared" si="0"/>
        <v>82.544642857142847</v>
      </c>
      <c r="N7" s="106">
        <f t="shared" si="1"/>
        <v>9.9053571428571416</v>
      </c>
      <c r="O7" s="106">
        <f t="shared" si="2"/>
        <v>0</v>
      </c>
      <c r="P7" s="106">
        <v>82.54</v>
      </c>
      <c r="Q7" s="107"/>
      <c r="R7" s="107"/>
      <c r="S7" s="108"/>
      <c r="T7" s="108"/>
      <c r="U7" s="108"/>
      <c r="V7" s="108"/>
      <c r="W7" s="108"/>
      <c r="X7" s="107"/>
      <c r="Y7" s="107"/>
      <c r="Z7" s="107"/>
      <c r="AA7" s="107"/>
      <c r="AB7" s="108"/>
      <c r="AC7" s="108"/>
      <c r="AD7" s="107"/>
      <c r="AE7" s="107"/>
      <c r="AF7" s="106">
        <f t="shared" si="3"/>
        <v>-92.445357142857148</v>
      </c>
      <c r="AG7" s="109">
        <f t="shared" si="4"/>
        <v>4.6428571428549503E-3</v>
      </c>
    </row>
    <row r="8" spans="1:33" s="110" customFormat="1" ht="23.25" customHeight="1" x14ac:dyDescent="0.2">
      <c r="A8" s="18">
        <v>43745</v>
      </c>
      <c r="B8" s="102"/>
      <c r="C8" s="20" t="s">
        <v>37</v>
      </c>
      <c r="D8" s="20" t="s">
        <v>38</v>
      </c>
      <c r="E8" s="20" t="s">
        <v>39</v>
      </c>
      <c r="F8" s="103">
        <v>383</v>
      </c>
      <c r="G8" s="103" t="s">
        <v>890</v>
      </c>
      <c r="H8" s="23"/>
      <c r="I8" s="23"/>
      <c r="J8" s="23"/>
      <c r="K8" s="23">
        <v>138.5</v>
      </c>
      <c r="L8" s="105"/>
      <c r="M8" s="106">
        <f t="shared" si="0"/>
        <v>123.66071428571428</v>
      </c>
      <c r="N8" s="106">
        <f t="shared" si="1"/>
        <v>14.839285714285714</v>
      </c>
      <c r="O8" s="106">
        <f t="shared" si="2"/>
        <v>0</v>
      </c>
      <c r="P8" s="106">
        <v>123.66</v>
      </c>
      <c r="Q8" s="107"/>
      <c r="R8" s="107"/>
      <c r="S8" s="108"/>
      <c r="T8" s="108"/>
      <c r="U8" s="108"/>
      <c r="V8" s="108"/>
      <c r="W8" s="108"/>
      <c r="X8" s="107"/>
      <c r="Y8" s="107"/>
      <c r="Z8" s="107"/>
      <c r="AA8" s="107"/>
      <c r="AB8" s="108"/>
      <c r="AC8" s="108"/>
      <c r="AD8" s="107"/>
      <c r="AE8" s="107"/>
      <c r="AF8" s="106">
        <f t="shared" si="3"/>
        <v>-138.49928571428572</v>
      </c>
      <c r="AG8" s="109">
        <f t="shared" si="4"/>
        <v>7.142857142810044E-4</v>
      </c>
    </row>
    <row r="9" spans="1:33" s="110" customFormat="1" ht="23.25" customHeight="1" x14ac:dyDescent="0.2">
      <c r="A9" s="18">
        <v>43745</v>
      </c>
      <c r="B9" s="102"/>
      <c r="C9" s="20" t="s">
        <v>154</v>
      </c>
      <c r="D9" s="20"/>
      <c r="E9" s="20"/>
      <c r="F9" s="103"/>
      <c r="G9" s="103" t="s">
        <v>891</v>
      </c>
      <c r="H9" s="23">
        <v>80</v>
      </c>
      <c r="I9" s="23"/>
      <c r="J9" s="23"/>
      <c r="K9" s="23"/>
      <c r="L9" s="105"/>
      <c r="M9" s="106">
        <f t="shared" si="0"/>
        <v>80</v>
      </c>
      <c r="N9" s="106">
        <f t="shared" si="1"/>
        <v>0</v>
      </c>
      <c r="O9" s="106">
        <f t="shared" si="2"/>
        <v>0</v>
      </c>
      <c r="P9" s="106"/>
      <c r="Q9" s="107"/>
      <c r="R9" s="107"/>
      <c r="S9" s="108"/>
      <c r="T9" s="108"/>
      <c r="U9" s="108"/>
      <c r="V9" s="108"/>
      <c r="W9" s="108"/>
      <c r="X9" s="107"/>
      <c r="Y9" s="107"/>
      <c r="Z9" s="107"/>
      <c r="AA9" s="107">
        <v>80</v>
      </c>
      <c r="AB9" s="108"/>
      <c r="AC9" s="108"/>
      <c r="AD9" s="107"/>
      <c r="AE9" s="107"/>
      <c r="AF9" s="106">
        <f t="shared" si="3"/>
        <v>-80</v>
      </c>
      <c r="AG9" s="109">
        <f t="shared" si="4"/>
        <v>0</v>
      </c>
    </row>
    <row r="10" spans="1:33" s="110" customFormat="1" ht="23.25" customHeight="1" x14ac:dyDescent="0.2">
      <c r="A10" s="18">
        <v>43749</v>
      </c>
      <c r="B10" s="102"/>
      <c r="C10" s="20" t="s">
        <v>58</v>
      </c>
      <c r="D10" s="20"/>
      <c r="E10" s="20"/>
      <c r="F10" s="103"/>
      <c r="G10" s="103" t="s">
        <v>892</v>
      </c>
      <c r="H10" s="23"/>
      <c r="I10" s="23"/>
      <c r="J10" s="23">
        <f>100+110</f>
        <v>210</v>
      </c>
      <c r="K10" s="23"/>
      <c r="L10" s="105"/>
      <c r="M10" s="106">
        <f t="shared" si="0"/>
        <v>210</v>
      </c>
      <c r="N10" s="106">
        <f t="shared" si="1"/>
        <v>0</v>
      </c>
      <c r="O10" s="106">
        <f t="shared" si="2"/>
        <v>0</v>
      </c>
      <c r="P10" s="106">
        <v>210</v>
      </c>
      <c r="Q10" s="107"/>
      <c r="R10" s="107"/>
      <c r="S10" s="108"/>
      <c r="T10" s="108"/>
      <c r="U10" s="108"/>
      <c r="V10" s="108"/>
      <c r="W10" s="108"/>
      <c r="X10" s="107"/>
      <c r="Y10" s="107"/>
      <c r="Z10" s="107"/>
      <c r="AA10" s="107"/>
      <c r="AB10" s="108"/>
      <c r="AC10" s="108"/>
      <c r="AD10" s="107"/>
      <c r="AE10" s="107"/>
      <c r="AF10" s="106">
        <f t="shared" si="3"/>
        <v>-210</v>
      </c>
      <c r="AG10" s="109">
        <f t="shared" si="4"/>
        <v>0</v>
      </c>
    </row>
    <row r="11" spans="1:33" s="110" customFormat="1" ht="23.25" customHeight="1" x14ac:dyDescent="0.2">
      <c r="A11" s="18">
        <v>43748</v>
      </c>
      <c r="B11" s="102"/>
      <c r="C11" s="20" t="s">
        <v>58</v>
      </c>
      <c r="D11" s="20"/>
      <c r="E11" s="20"/>
      <c r="F11" s="103"/>
      <c r="G11" s="103" t="s">
        <v>893</v>
      </c>
      <c r="H11" s="23">
        <v>100</v>
      </c>
      <c r="I11" s="23"/>
      <c r="J11" s="23"/>
      <c r="K11" s="23"/>
      <c r="L11" s="105"/>
      <c r="M11" s="106">
        <f t="shared" si="0"/>
        <v>100</v>
      </c>
      <c r="N11" s="106">
        <f t="shared" si="1"/>
        <v>0</v>
      </c>
      <c r="O11" s="106">
        <f t="shared" si="2"/>
        <v>0</v>
      </c>
      <c r="P11" s="106"/>
      <c r="Q11" s="107"/>
      <c r="R11" s="107"/>
      <c r="S11" s="108"/>
      <c r="T11" s="108"/>
      <c r="U11" s="108"/>
      <c r="V11" s="108"/>
      <c r="W11" s="108"/>
      <c r="X11" s="107"/>
      <c r="Y11" s="107"/>
      <c r="Z11" s="107"/>
      <c r="AA11" s="107">
        <v>100</v>
      </c>
      <c r="AB11" s="108"/>
      <c r="AC11" s="108"/>
      <c r="AD11" s="107"/>
      <c r="AE11" s="107"/>
      <c r="AF11" s="106">
        <f t="shared" si="3"/>
        <v>-100</v>
      </c>
      <c r="AG11" s="109">
        <f t="shared" si="4"/>
        <v>0</v>
      </c>
    </row>
    <row r="12" spans="1:33" s="110" customFormat="1" ht="23.25" customHeight="1" x14ac:dyDescent="0.2">
      <c r="A12" s="18">
        <v>43749</v>
      </c>
      <c r="B12" s="102"/>
      <c r="C12" s="20" t="s">
        <v>58</v>
      </c>
      <c r="D12" s="20"/>
      <c r="E12" s="20"/>
      <c r="F12" s="103"/>
      <c r="G12" s="103" t="s">
        <v>894</v>
      </c>
      <c r="H12" s="23"/>
      <c r="I12" s="23"/>
      <c r="J12" s="23">
        <v>120</v>
      </c>
      <c r="K12" s="23"/>
      <c r="L12" s="105"/>
      <c r="M12" s="106">
        <f t="shared" si="0"/>
        <v>120</v>
      </c>
      <c r="N12" s="106">
        <f t="shared" si="1"/>
        <v>0</v>
      </c>
      <c r="O12" s="106">
        <f t="shared" si="2"/>
        <v>0</v>
      </c>
      <c r="P12" s="106">
        <v>120</v>
      </c>
      <c r="Q12" s="107"/>
      <c r="R12" s="107"/>
      <c r="S12" s="108"/>
      <c r="T12" s="108"/>
      <c r="U12" s="108"/>
      <c r="V12" s="108"/>
      <c r="W12" s="108"/>
      <c r="X12" s="107"/>
      <c r="Y12" s="107"/>
      <c r="Z12" s="107"/>
      <c r="AA12" s="107"/>
      <c r="AB12" s="108"/>
      <c r="AC12" s="108"/>
      <c r="AD12" s="107"/>
      <c r="AE12" s="107"/>
      <c r="AF12" s="106">
        <f t="shared" si="3"/>
        <v>-120</v>
      </c>
      <c r="AG12" s="109">
        <f t="shared" si="4"/>
        <v>0</v>
      </c>
    </row>
    <row r="13" spans="1:33" s="110" customFormat="1" ht="23.25" customHeight="1" x14ac:dyDescent="0.2">
      <c r="A13" s="18">
        <v>43748</v>
      </c>
      <c r="B13" s="102"/>
      <c r="C13" s="20" t="s">
        <v>895</v>
      </c>
      <c r="D13" s="20" t="s">
        <v>896</v>
      </c>
      <c r="E13" s="20" t="s">
        <v>67</v>
      </c>
      <c r="F13" s="103">
        <v>118158</v>
      </c>
      <c r="G13" s="103" t="s">
        <v>897</v>
      </c>
      <c r="H13" s="23"/>
      <c r="I13" s="23"/>
      <c r="J13" s="23"/>
      <c r="K13" s="23">
        <v>39.5</v>
      </c>
      <c r="L13" s="105"/>
      <c r="M13" s="106">
        <f t="shared" si="0"/>
        <v>35.267857142857139</v>
      </c>
      <c r="N13" s="106">
        <f t="shared" si="1"/>
        <v>4.2321428571428568</v>
      </c>
      <c r="O13" s="106">
        <f t="shared" si="2"/>
        <v>0</v>
      </c>
      <c r="P13" s="106">
        <v>35.270000000000003</v>
      </c>
      <c r="Q13" s="107"/>
      <c r="R13" s="107"/>
      <c r="S13" s="108"/>
      <c r="T13" s="108"/>
      <c r="U13" s="108"/>
      <c r="V13" s="108"/>
      <c r="W13" s="108"/>
      <c r="X13" s="107"/>
      <c r="Y13" s="107"/>
      <c r="Z13" s="107"/>
      <c r="AA13" s="107"/>
      <c r="AB13" s="108"/>
      <c r="AC13" s="108"/>
      <c r="AD13" s="107"/>
      <c r="AE13" s="107"/>
      <c r="AF13" s="106">
        <f t="shared" si="3"/>
        <v>-39.502142857142857</v>
      </c>
      <c r="AG13" s="109">
        <f t="shared" si="4"/>
        <v>-2.1428571428572241E-3</v>
      </c>
    </row>
    <row r="14" spans="1:33" s="110" customFormat="1" ht="23.25" customHeight="1" x14ac:dyDescent="0.2">
      <c r="A14" s="18">
        <v>43750</v>
      </c>
      <c r="B14" s="102"/>
      <c r="C14" s="20" t="s">
        <v>45</v>
      </c>
      <c r="D14" s="20" t="s">
        <v>847</v>
      </c>
      <c r="E14" s="20" t="s">
        <v>47</v>
      </c>
      <c r="F14" s="103">
        <v>192138</v>
      </c>
      <c r="G14" s="103" t="s">
        <v>898</v>
      </c>
      <c r="H14" s="23"/>
      <c r="I14" s="23"/>
      <c r="J14" s="23"/>
      <c r="K14" s="23">
        <v>1587</v>
      </c>
      <c r="L14" s="105"/>
      <c r="M14" s="106">
        <f t="shared" si="0"/>
        <v>1416.9642857142856</v>
      </c>
      <c r="N14" s="106">
        <f t="shared" si="1"/>
        <v>170.03571428571425</v>
      </c>
      <c r="O14" s="106">
        <f t="shared" si="2"/>
        <v>0</v>
      </c>
      <c r="P14" s="106">
        <v>1416.96</v>
      </c>
      <c r="Q14" s="107"/>
      <c r="R14" s="107"/>
      <c r="S14" s="108"/>
      <c r="T14" s="108"/>
      <c r="U14" s="108"/>
      <c r="V14" s="108"/>
      <c r="W14" s="108"/>
      <c r="X14" s="107"/>
      <c r="Y14" s="107"/>
      <c r="Z14" s="107"/>
      <c r="AA14" s="107"/>
      <c r="AB14" s="108"/>
      <c r="AC14" s="108"/>
      <c r="AD14" s="107"/>
      <c r="AE14" s="107"/>
      <c r="AF14" s="106">
        <f t="shared" si="3"/>
        <v>-1586.9957142857143</v>
      </c>
      <c r="AG14" s="109">
        <f t="shared" si="4"/>
        <v>4.2857142857428698E-3</v>
      </c>
    </row>
    <row r="15" spans="1:33" s="110" customFormat="1" ht="23.25" customHeight="1" x14ac:dyDescent="0.2">
      <c r="A15" s="18">
        <v>43749</v>
      </c>
      <c r="B15" s="102"/>
      <c r="C15" s="20" t="s">
        <v>185</v>
      </c>
      <c r="D15" s="20" t="s">
        <v>400</v>
      </c>
      <c r="E15" s="20" t="s">
        <v>47</v>
      </c>
      <c r="F15" s="103">
        <v>731934</v>
      </c>
      <c r="G15" s="103" t="s">
        <v>899</v>
      </c>
      <c r="H15" s="23"/>
      <c r="I15" s="23"/>
      <c r="J15" s="23"/>
      <c r="K15" s="23">
        <v>282.5</v>
      </c>
      <c r="L15" s="105"/>
      <c r="M15" s="106">
        <f t="shared" si="0"/>
        <v>252.23214285714283</v>
      </c>
      <c r="N15" s="106">
        <f t="shared" si="1"/>
        <v>30.267857142857139</v>
      </c>
      <c r="O15" s="106">
        <f t="shared" si="2"/>
        <v>0</v>
      </c>
      <c r="P15" s="106"/>
      <c r="Q15" s="107"/>
      <c r="R15" s="107"/>
      <c r="S15" s="108"/>
      <c r="T15" s="108">
        <v>252.23</v>
      </c>
      <c r="U15" s="108"/>
      <c r="V15" s="108"/>
      <c r="W15" s="108"/>
      <c r="X15" s="107"/>
      <c r="Y15" s="107"/>
      <c r="Z15" s="107"/>
      <c r="AA15" s="107"/>
      <c r="AB15" s="108"/>
      <c r="AC15" s="108"/>
      <c r="AD15" s="107"/>
      <c r="AE15" s="107"/>
      <c r="AF15" s="106">
        <f t="shared" si="3"/>
        <v>-282.49785714285713</v>
      </c>
      <c r="AG15" s="109">
        <f t="shared" si="4"/>
        <v>2.1428571428714349E-3</v>
      </c>
    </row>
    <row r="16" spans="1:33" s="110" customFormat="1" ht="23.25" customHeight="1" x14ac:dyDescent="0.2">
      <c r="A16" s="18">
        <v>43749</v>
      </c>
      <c r="B16" s="102"/>
      <c r="C16" s="20" t="s">
        <v>54</v>
      </c>
      <c r="D16" s="20" t="s">
        <v>55</v>
      </c>
      <c r="E16" s="20" t="s">
        <v>47</v>
      </c>
      <c r="F16" s="103">
        <v>3315</v>
      </c>
      <c r="G16" s="103" t="s">
        <v>626</v>
      </c>
      <c r="H16" s="23"/>
      <c r="I16" s="23"/>
      <c r="J16" s="23">
        <v>660</v>
      </c>
      <c r="K16" s="23"/>
      <c r="L16" s="105"/>
      <c r="M16" s="106">
        <f t="shared" si="0"/>
        <v>660</v>
      </c>
      <c r="N16" s="106">
        <f t="shared" si="1"/>
        <v>0</v>
      </c>
      <c r="O16" s="106">
        <f t="shared" si="2"/>
        <v>0</v>
      </c>
      <c r="P16" s="106">
        <v>660</v>
      </c>
      <c r="Q16" s="107"/>
      <c r="R16" s="107"/>
      <c r="S16" s="108"/>
      <c r="T16" s="108"/>
      <c r="U16" s="108"/>
      <c r="V16" s="108"/>
      <c r="W16" s="108"/>
      <c r="X16" s="107"/>
      <c r="Y16" s="107"/>
      <c r="Z16" s="107"/>
      <c r="AA16" s="107"/>
      <c r="AB16" s="108"/>
      <c r="AC16" s="108"/>
      <c r="AD16" s="107"/>
      <c r="AE16" s="107"/>
      <c r="AF16" s="106">
        <f t="shared" si="3"/>
        <v>-660</v>
      </c>
      <c r="AG16" s="109">
        <f t="shared" si="4"/>
        <v>0</v>
      </c>
    </row>
    <row r="17" spans="1:33" s="110" customFormat="1" ht="23.25" customHeight="1" x14ac:dyDescent="0.2">
      <c r="A17" s="18">
        <v>43750</v>
      </c>
      <c r="B17" s="102"/>
      <c r="C17" s="20" t="s">
        <v>37</v>
      </c>
      <c r="D17" s="20" t="s">
        <v>38</v>
      </c>
      <c r="E17" s="20" t="s">
        <v>39</v>
      </c>
      <c r="F17" s="103">
        <v>37407</v>
      </c>
      <c r="G17" s="103" t="s">
        <v>250</v>
      </c>
      <c r="H17" s="23"/>
      <c r="I17" s="23"/>
      <c r="J17" s="23"/>
      <c r="K17" s="23">
        <v>319</v>
      </c>
      <c r="L17" s="105"/>
      <c r="M17" s="106">
        <f t="shared" si="0"/>
        <v>284.82142857142856</v>
      </c>
      <c r="N17" s="106">
        <f t="shared" si="1"/>
        <v>34.178571428571423</v>
      </c>
      <c r="O17" s="106">
        <f t="shared" si="2"/>
        <v>0</v>
      </c>
      <c r="P17" s="106"/>
      <c r="Q17" s="107">
        <v>284.82</v>
      </c>
      <c r="R17" s="107"/>
      <c r="S17" s="108"/>
      <c r="T17" s="108"/>
      <c r="U17" s="108"/>
      <c r="V17" s="108"/>
      <c r="W17" s="108"/>
      <c r="X17" s="107"/>
      <c r="Y17" s="107"/>
      <c r="Z17" s="107"/>
      <c r="AA17" s="107"/>
      <c r="AB17" s="108"/>
      <c r="AC17" s="108"/>
      <c r="AD17" s="107"/>
      <c r="AE17" s="107"/>
      <c r="AF17" s="106">
        <f t="shared" si="3"/>
        <v>-318.99857142857144</v>
      </c>
      <c r="AG17" s="109">
        <f t="shared" si="4"/>
        <v>1.4285714285620088E-3</v>
      </c>
    </row>
    <row r="18" spans="1:33" s="110" customFormat="1" ht="23.25" customHeight="1" x14ac:dyDescent="0.2">
      <c r="A18" s="18">
        <v>43750</v>
      </c>
      <c r="B18" s="102"/>
      <c r="C18" s="20" t="s">
        <v>37</v>
      </c>
      <c r="D18" s="20" t="s">
        <v>38</v>
      </c>
      <c r="E18" s="20" t="s">
        <v>39</v>
      </c>
      <c r="F18" s="103">
        <v>37408</v>
      </c>
      <c r="G18" s="103" t="s">
        <v>900</v>
      </c>
      <c r="H18" s="23"/>
      <c r="I18" s="23"/>
      <c r="J18" s="23"/>
      <c r="K18" s="23">
        <v>39</v>
      </c>
      <c r="L18" s="105"/>
      <c r="M18" s="106">
        <f t="shared" si="0"/>
        <v>34.821428571428569</v>
      </c>
      <c r="N18" s="106">
        <f t="shared" si="1"/>
        <v>4.1785714285714279</v>
      </c>
      <c r="O18" s="106">
        <f t="shared" si="2"/>
        <v>0</v>
      </c>
      <c r="P18" s="106">
        <v>34.82</v>
      </c>
      <c r="Q18" s="107"/>
      <c r="R18" s="107"/>
      <c r="S18" s="108"/>
      <c r="T18" s="108"/>
      <c r="U18" s="108"/>
      <c r="V18" s="108"/>
      <c r="W18" s="108"/>
      <c r="X18" s="107"/>
      <c r="Y18" s="107"/>
      <c r="Z18" s="107"/>
      <c r="AA18" s="107"/>
      <c r="AB18" s="108"/>
      <c r="AC18" s="108"/>
      <c r="AD18" s="107"/>
      <c r="AE18" s="107"/>
      <c r="AF18" s="106">
        <f t="shared" si="3"/>
        <v>-38.998571428571431</v>
      </c>
      <c r="AG18" s="109">
        <f t="shared" si="4"/>
        <v>1.4285714285691142E-3</v>
      </c>
    </row>
    <row r="19" spans="1:33" s="110" customFormat="1" ht="23.25" customHeight="1" x14ac:dyDescent="0.2">
      <c r="A19" s="18">
        <v>43749</v>
      </c>
      <c r="B19" s="102"/>
      <c r="C19" s="20" t="s">
        <v>901</v>
      </c>
      <c r="D19" s="20" t="s">
        <v>309</v>
      </c>
      <c r="E19" s="20" t="s">
        <v>56</v>
      </c>
      <c r="F19" s="103">
        <v>16451</v>
      </c>
      <c r="G19" s="103" t="s">
        <v>902</v>
      </c>
      <c r="H19" s="23"/>
      <c r="I19" s="23"/>
      <c r="J19" s="23">
        <v>600</v>
      </c>
      <c r="K19" s="23"/>
      <c r="L19" s="105"/>
      <c r="M19" s="106">
        <f t="shared" si="0"/>
        <v>600</v>
      </c>
      <c r="N19" s="106">
        <f t="shared" si="1"/>
        <v>0</v>
      </c>
      <c r="O19" s="106">
        <f t="shared" si="2"/>
        <v>0</v>
      </c>
      <c r="P19" s="106">
        <v>600</v>
      </c>
      <c r="Q19" s="107"/>
      <c r="R19" s="107"/>
      <c r="S19" s="108"/>
      <c r="T19" s="108"/>
      <c r="U19" s="108"/>
      <c r="V19" s="108"/>
      <c r="W19" s="108"/>
      <c r="X19" s="107"/>
      <c r="Y19" s="107"/>
      <c r="Z19" s="107"/>
      <c r="AA19" s="107"/>
      <c r="AB19" s="108"/>
      <c r="AC19" s="108"/>
      <c r="AD19" s="107"/>
      <c r="AE19" s="107"/>
      <c r="AF19" s="106">
        <f t="shared" si="3"/>
        <v>-600</v>
      </c>
      <c r="AG19" s="109">
        <f t="shared" si="4"/>
        <v>0</v>
      </c>
    </row>
    <row r="20" spans="1:33" s="110" customFormat="1" ht="23.25" customHeight="1" x14ac:dyDescent="0.2">
      <c r="A20" s="18">
        <v>43752</v>
      </c>
      <c r="B20" s="102"/>
      <c r="C20" s="20" t="s">
        <v>903</v>
      </c>
      <c r="D20" s="20" t="s">
        <v>904</v>
      </c>
      <c r="E20" s="20" t="s">
        <v>47</v>
      </c>
      <c r="F20" s="103">
        <v>134120</v>
      </c>
      <c r="G20" s="103" t="s">
        <v>905</v>
      </c>
      <c r="H20" s="23"/>
      <c r="I20" s="23"/>
      <c r="J20" s="23"/>
      <c r="K20" s="23">
        <v>127.6</v>
      </c>
      <c r="L20" s="105"/>
      <c r="M20" s="106">
        <f t="shared" si="0"/>
        <v>113.92857142857142</v>
      </c>
      <c r="N20" s="106">
        <f t="shared" si="1"/>
        <v>13.671428571428569</v>
      </c>
      <c r="O20" s="106">
        <f t="shared" si="2"/>
        <v>0</v>
      </c>
      <c r="P20" s="106">
        <v>113.93</v>
      </c>
      <c r="Q20" s="107"/>
      <c r="R20" s="107"/>
      <c r="S20" s="108"/>
      <c r="T20" s="108"/>
      <c r="U20" s="108"/>
      <c r="V20" s="108"/>
      <c r="W20" s="108"/>
      <c r="X20" s="107"/>
      <c r="Y20" s="107"/>
      <c r="Z20" s="107"/>
      <c r="AA20" s="107"/>
      <c r="AB20" s="108"/>
      <c r="AC20" s="108"/>
      <c r="AD20" s="107"/>
      <c r="AE20" s="107"/>
      <c r="AF20" s="106">
        <f t="shared" si="3"/>
        <v>-127.60142857142857</v>
      </c>
      <c r="AG20" s="109">
        <f t="shared" si="4"/>
        <v>-1.4285714285762197E-3</v>
      </c>
    </row>
    <row r="21" spans="1:33" s="110" customFormat="1" ht="23.25" customHeight="1" x14ac:dyDescent="0.2">
      <c r="A21" s="18">
        <v>43752</v>
      </c>
      <c r="B21" s="102"/>
      <c r="C21" s="20" t="s">
        <v>58</v>
      </c>
      <c r="D21" s="20"/>
      <c r="E21" s="20"/>
      <c r="F21" s="103"/>
      <c r="G21" s="103" t="s">
        <v>906</v>
      </c>
      <c r="H21" s="23">
        <v>60</v>
      </c>
      <c r="I21" s="23"/>
      <c r="J21" s="23"/>
      <c r="K21" s="23"/>
      <c r="L21" s="105"/>
      <c r="M21" s="106">
        <f t="shared" si="0"/>
        <v>60</v>
      </c>
      <c r="N21" s="106">
        <f t="shared" si="1"/>
        <v>0</v>
      </c>
      <c r="O21" s="106">
        <f t="shared" si="2"/>
        <v>0</v>
      </c>
      <c r="P21" s="106"/>
      <c r="Q21" s="107"/>
      <c r="R21" s="107"/>
      <c r="S21" s="108"/>
      <c r="T21" s="108"/>
      <c r="U21" s="108"/>
      <c r="V21" s="108"/>
      <c r="W21" s="108"/>
      <c r="X21" s="107"/>
      <c r="Y21" s="107"/>
      <c r="Z21" s="107"/>
      <c r="AA21" s="107">
        <v>60</v>
      </c>
      <c r="AB21" s="108"/>
      <c r="AC21" s="108"/>
      <c r="AD21" s="107"/>
      <c r="AE21" s="107"/>
      <c r="AF21" s="106">
        <f t="shared" si="3"/>
        <v>-60</v>
      </c>
      <c r="AG21" s="109">
        <f t="shared" si="4"/>
        <v>0</v>
      </c>
    </row>
    <row r="22" spans="1:33" s="110" customFormat="1" ht="23.25" customHeight="1" x14ac:dyDescent="0.2">
      <c r="A22" s="18">
        <v>43752</v>
      </c>
      <c r="B22" s="102"/>
      <c r="C22" s="20" t="s">
        <v>37</v>
      </c>
      <c r="D22" s="20" t="s">
        <v>38</v>
      </c>
      <c r="E22" s="20" t="s">
        <v>39</v>
      </c>
      <c r="F22" s="103">
        <v>37418</v>
      </c>
      <c r="G22" s="103" t="s">
        <v>907</v>
      </c>
      <c r="H22" s="23"/>
      <c r="I22" s="23"/>
      <c r="J22" s="23"/>
      <c r="K22" s="23">
        <v>93.17</v>
      </c>
      <c r="L22" s="105"/>
      <c r="M22" s="106">
        <f t="shared" si="0"/>
        <v>83.1875</v>
      </c>
      <c r="N22" s="106">
        <f t="shared" si="1"/>
        <v>9.9824999999999999</v>
      </c>
      <c r="O22" s="106">
        <f t="shared" si="2"/>
        <v>0</v>
      </c>
      <c r="P22" s="106">
        <v>83.19</v>
      </c>
      <c r="Q22" s="107"/>
      <c r="R22" s="107"/>
      <c r="S22" s="108"/>
      <c r="T22" s="108"/>
      <c r="U22" s="108"/>
      <c r="V22" s="108"/>
      <c r="W22" s="108"/>
      <c r="X22" s="107"/>
      <c r="Y22" s="107"/>
      <c r="Z22" s="107"/>
      <c r="AA22" s="107"/>
      <c r="AB22" s="108"/>
      <c r="AC22" s="108"/>
      <c r="AD22" s="107"/>
      <c r="AE22" s="107"/>
      <c r="AF22" s="106">
        <f t="shared" si="3"/>
        <v>-93.172499999999999</v>
      </c>
      <c r="AG22" s="109">
        <f t="shared" si="4"/>
        <v>-2.4999999999977263E-3</v>
      </c>
    </row>
    <row r="23" spans="1:33" s="110" customFormat="1" ht="23.25" customHeight="1" x14ac:dyDescent="0.2">
      <c r="A23" s="18">
        <v>43751</v>
      </c>
      <c r="B23" s="102"/>
      <c r="C23" s="20" t="s">
        <v>908</v>
      </c>
      <c r="D23" s="20" t="s">
        <v>909</v>
      </c>
      <c r="E23" s="20" t="s">
        <v>67</v>
      </c>
      <c r="F23" s="103">
        <v>14440</v>
      </c>
      <c r="G23" s="103" t="s">
        <v>910</v>
      </c>
      <c r="H23" s="23"/>
      <c r="I23" s="23"/>
      <c r="J23" s="23"/>
      <c r="K23" s="23">
        <v>608</v>
      </c>
      <c r="L23" s="105"/>
      <c r="M23" s="106">
        <f t="shared" si="0"/>
        <v>542.85714285714278</v>
      </c>
      <c r="N23" s="106">
        <f t="shared" si="1"/>
        <v>65.142857142857125</v>
      </c>
      <c r="O23" s="106">
        <f t="shared" si="2"/>
        <v>0</v>
      </c>
      <c r="P23" s="106"/>
      <c r="Q23" s="107"/>
      <c r="R23" s="107"/>
      <c r="S23" s="108">
        <v>542.86</v>
      </c>
      <c r="T23" s="108"/>
      <c r="U23" s="108"/>
      <c r="V23" s="108"/>
      <c r="W23" s="108"/>
      <c r="X23" s="107"/>
      <c r="Y23" s="107"/>
      <c r="Z23" s="107"/>
      <c r="AA23" s="107"/>
      <c r="AB23" s="108"/>
      <c r="AC23" s="108"/>
      <c r="AD23" s="107"/>
      <c r="AE23" s="107"/>
      <c r="AF23" s="106">
        <f t="shared" si="3"/>
        <v>-608.00285714285712</v>
      </c>
      <c r="AG23" s="109">
        <f t="shared" si="4"/>
        <v>-2.8571428571240176E-3</v>
      </c>
    </row>
    <row r="24" spans="1:33" s="110" customFormat="1" ht="23.25" customHeight="1" x14ac:dyDescent="0.2">
      <c r="A24" s="18"/>
      <c r="B24" s="102"/>
      <c r="C24" s="20"/>
      <c r="D24" s="20"/>
      <c r="E24" s="20"/>
      <c r="F24" s="103"/>
      <c r="G24" s="103"/>
      <c r="H24" s="23"/>
      <c r="I24" s="23"/>
      <c r="J24" s="23"/>
      <c r="K24" s="23"/>
      <c r="L24" s="105"/>
      <c r="M24" s="106">
        <f t="shared" si="0"/>
        <v>0</v>
      </c>
      <c r="N24" s="106">
        <f t="shared" si="1"/>
        <v>0</v>
      </c>
      <c r="O24" s="106">
        <f t="shared" si="2"/>
        <v>0</v>
      </c>
      <c r="P24" s="106"/>
      <c r="Q24" s="107"/>
      <c r="R24" s="107"/>
      <c r="S24" s="108"/>
      <c r="T24" s="108"/>
      <c r="U24" s="108"/>
      <c r="V24" s="108"/>
      <c r="W24" s="108"/>
      <c r="X24" s="107"/>
      <c r="Y24" s="107"/>
      <c r="Z24" s="107"/>
      <c r="AA24" s="107"/>
      <c r="AB24" s="108"/>
      <c r="AC24" s="108"/>
      <c r="AD24" s="107"/>
      <c r="AE24" s="107"/>
      <c r="AF24" s="106">
        <f t="shared" si="3"/>
        <v>0</v>
      </c>
      <c r="AG24" s="109">
        <f t="shared" si="4"/>
        <v>0</v>
      </c>
    </row>
    <row r="25" spans="1:33" s="110" customFormat="1" ht="23.25" customHeight="1" x14ac:dyDescent="0.2">
      <c r="A25" s="18"/>
      <c r="B25" s="102"/>
      <c r="C25" s="20"/>
      <c r="D25" s="20"/>
      <c r="E25" s="20"/>
      <c r="F25" s="103"/>
      <c r="G25" s="103"/>
      <c r="H25" s="23"/>
      <c r="I25" s="23"/>
      <c r="J25" s="23"/>
      <c r="K25" s="23"/>
      <c r="L25" s="105"/>
      <c r="M25" s="106">
        <f t="shared" si="0"/>
        <v>0</v>
      </c>
      <c r="N25" s="106">
        <f t="shared" si="1"/>
        <v>0</v>
      </c>
      <c r="O25" s="106">
        <f t="shared" si="2"/>
        <v>0</v>
      </c>
      <c r="P25" s="106"/>
      <c r="Q25" s="107"/>
      <c r="R25" s="107"/>
      <c r="S25" s="108"/>
      <c r="T25" s="108"/>
      <c r="U25" s="108"/>
      <c r="V25" s="108"/>
      <c r="W25" s="108"/>
      <c r="X25" s="107"/>
      <c r="Y25" s="107"/>
      <c r="Z25" s="107"/>
      <c r="AA25" s="107"/>
      <c r="AB25" s="108"/>
      <c r="AC25" s="108"/>
      <c r="AD25" s="107"/>
      <c r="AE25" s="107"/>
      <c r="AF25" s="106">
        <f t="shared" si="3"/>
        <v>0</v>
      </c>
      <c r="AG25" s="109">
        <f t="shared" si="4"/>
        <v>0</v>
      </c>
    </row>
    <row r="26" spans="1:33" s="110" customFormat="1" ht="19.5" customHeight="1" x14ac:dyDescent="0.2">
      <c r="A26" s="18"/>
      <c r="B26" s="102"/>
      <c r="C26" s="45"/>
      <c r="D26" s="45"/>
      <c r="E26" s="45"/>
      <c r="F26" s="103"/>
      <c r="G26" s="104"/>
      <c r="H26" s="23"/>
      <c r="I26" s="23"/>
      <c r="J26" s="23"/>
      <c r="K26" s="23"/>
      <c r="L26" s="105"/>
      <c r="M26" s="106">
        <f t="shared" si="0"/>
        <v>0</v>
      </c>
      <c r="N26" s="106">
        <f t="shared" si="1"/>
        <v>0</v>
      </c>
      <c r="O26" s="107">
        <f t="shared" si="2"/>
        <v>0</v>
      </c>
      <c r="P26" s="107"/>
      <c r="Q26" s="107"/>
      <c r="R26" s="107"/>
      <c r="S26" s="107"/>
      <c r="T26" s="108"/>
      <c r="U26" s="108"/>
      <c r="V26" s="108"/>
      <c r="W26" s="108"/>
      <c r="X26" s="108"/>
      <c r="Y26" s="113"/>
      <c r="Z26" s="107"/>
      <c r="AA26" s="107"/>
      <c r="AB26" s="107"/>
      <c r="AC26" s="108"/>
      <c r="AD26" s="108"/>
      <c r="AE26" s="114"/>
      <c r="AF26" s="106">
        <f t="shared" si="3"/>
        <v>0</v>
      </c>
      <c r="AG26" s="109">
        <f t="shared" si="4"/>
        <v>0</v>
      </c>
    </row>
    <row r="27" spans="1:33" s="120" customFormat="1" ht="12" customHeight="1" x14ac:dyDescent="0.2">
      <c r="A27" s="115"/>
      <c r="B27" s="116"/>
      <c r="C27" s="117"/>
      <c r="D27" s="118"/>
      <c r="E27" s="118"/>
      <c r="F27" s="119"/>
      <c r="G27" s="117"/>
      <c r="H27" s="54">
        <f t="shared" ref="H27:AG27" si="5">SUM(H5:H26)</f>
        <v>240</v>
      </c>
      <c r="I27" s="54">
        <f t="shared" si="5"/>
        <v>0</v>
      </c>
      <c r="J27" s="54">
        <f t="shared" si="5"/>
        <v>2344.5</v>
      </c>
      <c r="K27" s="54">
        <f t="shared" si="5"/>
        <v>7286.92</v>
      </c>
      <c r="L27" s="54">
        <f t="shared" si="5"/>
        <v>0</v>
      </c>
      <c r="M27" s="54">
        <f t="shared" si="5"/>
        <v>9090.6785714285706</v>
      </c>
      <c r="N27" s="54">
        <f t="shared" si="5"/>
        <v>780.7414285714284</v>
      </c>
      <c r="O27" s="54">
        <f t="shared" si="5"/>
        <v>0</v>
      </c>
      <c r="P27" s="54">
        <f t="shared" si="5"/>
        <v>7770.7599999999993</v>
      </c>
      <c r="Q27" s="54">
        <f t="shared" si="5"/>
        <v>284.82</v>
      </c>
      <c r="R27" s="54">
        <f t="shared" si="5"/>
        <v>0</v>
      </c>
      <c r="S27" s="54">
        <f t="shared" si="5"/>
        <v>542.86</v>
      </c>
      <c r="T27" s="54">
        <f t="shared" si="5"/>
        <v>252.23</v>
      </c>
      <c r="U27" s="54">
        <f t="shared" si="5"/>
        <v>0</v>
      </c>
      <c r="V27" s="54">
        <f t="shared" si="5"/>
        <v>0</v>
      </c>
      <c r="W27" s="54">
        <f t="shared" si="5"/>
        <v>0</v>
      </c>
      <c r="X27" s="54">
        <f t="shared" si="5"/>
        <v>0</v>
      </c>
      <c r="Y27" s="54">
        <f t="shared" si="5"/>
        <v>0</v>
      </c>
      <c r="Z27" s="54">
        <f t="shared" si="5"/>
        <v>0</v>
      </c>
      <c r="AA27" s="54">
        <f t="shared" si="5"/>
        <v>240</v>
      </c>
      <c r="AB27" s="54">
        <f t="shared" si="5"/>
        <v>0</v>
      </c>
      <c r="AC27" s="54">
        <f t="shared" si="5"/>
        <v>0</v>
      </c>
      <c r="AD27" s="54">
        <f t="shared" si="5"/>
        <v>0</v>
      </c>
      <c r="AE27" s="54">
        <f t="shared" si="5"/>
        <v>0</v>
      </c>
      <c r="AF27" s="54">
        <f t="shared" si="5"/>
        <v>-9871.4114285714313</v>
      </c>
      <c r="AG27" s="54">
        <f t="shared" si="5"/>
        <v>8.5714285713365257E-3</v>
      </c>
    </row>
    <row r="28" spans="1:33" s="86" customFormat="1" ht="10.199999999999999" x14ac:dyDescent="0.2">
      <c r="K28" s="88"/>
      <c r="L28" s="89"/>
      <c r="M28" s="88"/>
      <c r="Y28" s="88"/>
    </row>
    <row r="35" spans="17:17" x14ac:dyDescent="0.25">
      <c r="Q35" s="88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K28"/>
  <sheetViews>
    <sheetView topLeftCell="A25" zoomScale="90" zoomScaleNormal="90" workbookViewId="0"/>
  </sheetViews>
  <sheetFormatPr defaultRowHeight="13.2" x14ac:dyDescent="0.25"/>
  <cols>
    <col min="1" max="1" width="10.21875" style="84" customWidth="1"/>
    <col min="2" max="2" width="9.21875" style="85" hidden="1" customWidth="1"/>
    <col min="3" max="3" width="30.21875" style="86" customWidth="1"/>
    <col min="4" max="4" width="17.6640625" style="87" customWidth="1"/>
    <col min="5" max="5" width="35.33203125" style="87" customWidth="1"/>
    <col min="6" max="6" width="9.88671875" style="85" customWidth="1"/>
    <col min="7" max="7" width="38.6640625" style="86" customWidth="1"/>
    <col min="8" max="8" width="9.88671875" style="88" customWidth="1"/>
    <col min="9" max="9" width="10.6640625" style="88" customWidth="1"/>
    <col min="10" max="10" width="12.21875" style="88" customWidth="1"/>
    <col min="11" max="11" width="12.5546875" style="88" customWidth="1"/>
    <col min="12" max="12" width="6.44140625" style="89" customWidth="1"/>
    <col min="13" max="13" width="11.6640625" style="88" customWidth="1"/>
    <col min="14" max="14" width="10.21875" style="88" customWidth="1"/>
    <col min="15" max="15" width="8.21875" style="88" customWidth="1"/>
    <col min="16" max="16" width="11.109375" style="88" customWidth="1"/>
    <col min="17" max="17" width="12.5546875" style="88" customWidth="1"/>
    <col min="18" max="18" width="11.5546875" style="88"/>
    <col min="19" max="19" width="10.21875" style="88" customWidth="1"/>
    <col min="20" max="21" width="11.5546875" style="88"/>
    <col min="22" max="22" width="13.33203125" style="88" customWidth="1"/>
    <col min="23" max="23" width="10.21875" style="88" customWidth="1"/>
    <col min="24" max="24" width="12.44140625" style="88" customWidth="1"/>
    <col min="25" max="25" width="11.6640625" style="88" customWidth="1"/>
    <col min="26" max="26" width="10.44140625" style="88" customWidth="1"/>
    <col min="27" max="27" width="10.77734375" style="88" customWidth="1"/>
    <col min="28" max="28" width="11.33203125" style="88" customWidth="1"/>
    <col min="29" max="30" width="10.109375" style="88" customWidth="1"/>
    <col min="31" max="31" width="12.77734375" style="88" customWidth="1"/>
    <col min="32" max="32" width="13.33203125" style="88" customWidth="1"/>
    <col min="33" max="33" width="12.109375" style="86" customWidth="1"/>
    <col min="34" max="1025" width="11.5546875" style="86"/>
  </cols>
  <sheetData>
    <row r="1" spans="1:33" ht="12" customHeight="1" x14ac:dyDescent="0.25">
      <c r="A1" s="90" t="s">
        <v>0</v>
      </c>
      <c r="C1" s="91"/>
    </row>
    <row r="2" spans="1:33" ht="12" customHeight="1" x14ac:dyDescent="0.25">
      <c r="A2" s="90" t="s">
        <v>1</v>
      </c>
    </row>
    <row r="3" spans="1:33" ht="12" customHeight="1" x14ac:dyDescent="0.25">
      <c r="A3" s="90" t="s">
        <v>911</v>
      </c>
      <c r="B3" s="91"/>
      <c r="C3" s="92"/>
      <c r="N3" s="93">
        <v>1301</v>
      </c>
      <c r="O3" s="93">
        <v>2402</v>
      </c>
      <c r="P3" s="93">
        <v>5001</v>
      </c>
      <c r="Q3" s="93">
        <v>5002</v>
      </c>
      <c r="R3" s="93">
        <v>6220</v>
      </c>
      <c r="S3" s="93">
        <v>6219</v>
      </c>
      <c r="T3" s="93">
        <v>6212</v>
      </c>
      <c r="U3" s="93"/>
      <c r="V3" s="93"/>
      <c r="W3" s="93"/>
      <c r="X3" s="93"/>
      <c r="Y3" s="93" t="s">
        <v>3</v>
      </c>
      <c r="Z3" s="93"/>
      <c r="AA3" s="93">
        <v>6230</v>
      </c>
      <c r="AB3" s="93" t="s">
        <v>4</v>
      </c>
      <c r="AC3" s="93">
        <v>6202</v>
      </c>
      <c r="AD3" s="93"/>
      <c r="AE3" s="93">
        <v>6109</v>
      </c>
      <c r="AF3" s="93">
        <v>1002</v>
      </c>
    </row>
    <row r="4" spans="1:33" s="101" customFormat="1" ht="44.25" customHeight="1" x14ac:dyDescent="0.25">
      <c r="A4" s="94" t="s">
        <v>5</v>
      </c>
      <c r="B4" s="95" t="s">
        <v>6</v>
      </c>
      <c r="C4" s="95" t="s">
        <v>7</v>
      </c>
      <c r="D4" s="95" t="s">
        <v>8</v>
      </c>
      <c r="E4" s="95" t="s">
        <v>9</v>
      </c>
      <c r="F4" s="95" t="s">
        <v>10</v>
      </c>
      <c r="G4" s="95" t="s">
        <v>11</v>
      </c>
      <c r="H4" s="95" t="s">
        <v>12</v>
      </c>
      <c r="I4" s="95" t="s">
        <v>13</v>
      </c>
      <c r="J4" s="95" t="s">
        <v>14</v>
      </c>
      <c r="K4" s="95" t="s">
        <v>15</v>
      </c>
      <c r="L4" s="96" t="s">
        <v>16</v>
      </c>
      <c r="M4" s="95" t="s">
        <v>17</v>
      </c>
      <c r="N4" s="97" t="s">
        <v>18</v>
      </c>
      <c r="O4" s="97" t="s">
        <v>19</v>
      </c>
      <c r="P4" s="97" t="s">
        <v>20</v>
      </c>
      <c r="Q4" s="97" t="s">
        <v>21</v>
      </c>
      <c r="R4" s="97" t="s">
        <v>22</v>
      </c>
      <c r="S4" s="97" t="s">
        <v>23</v>
      </c>
      <c r="T4" s="97" t="s">
        <v>24</v>
      </c>
      <c r="U4" s="97" t="s">
        <v>25</v>
      </c>
      <c r="V4" s="97" t="s">
        <v>26</v>
      </c>
      <c r="W4" s="97" t="s">
        <v>27</v>
      </c>
      <c r="X4" s="97" t="s">
        <v>28</v>
      </c>
      <c r="Y4" s="97" t="s">
        <v>29</v>
      </c>
      <c r="Z4" s="97" t="s">
        <v>30</v>
      </c>
      <c r="AA4" s="97" t="s">
        <v>31</v>
      </c>
      <c r="AB4" s="97" t="s">
        <v>32</v>
      </c>
      <c r="AC4" s="98" t="s">
        <v>33</v>
      </c>
      <c r="AD4" s="97" t="s">
        <v>34</v>
      </c>
      <c r="AE4" s="99" t="s">
        <v>35</v>
      </c>
      <c r="AF4" s="100" t="s">
        <v>36</v>
      </c>
    </row>
    <row r="5" spans="1:33" s="110" customFormat="1" ht="23.25" customHeight="1" x14ac:dyDescent="0.2">
      <c r="A5" s="18">
        <v>43740</v>
      </c>
      <c r="B5" s="102"/>
      <c r="C5" s="20" t="s">
        <v>912</v>
      </c>
      <c r="D5" s="20" t="s">
        <v>913</v>
      </c>
      <c r="E5" s="20" t="s">
        <v>914</v>
      </c>
      <c r="F5" s="103">
        <v>4147</v>
      </c>
      <c r="G5" s="103" t="s">
        <v>915</v>
      </c>
      <c r="H5" s="23"/>
      <c r="I5" s="23"/>
      <c r="J5" s="23"/>
      <c r="K5" s="23">
        <v>207.95</v>
      </c>
      <c r="L5" s="105"/>
      <c r="M5" s="106">
        <f>SUM(H5:J5,K5/1.12)</f>
        <v>185.66964285714283</v>
      </c>
      <c r="N5" s="106">
        <f t="shared" ref="N5:N27" si="0">K5/1.12*0.12</f>
        <v>22.280357142857138</v>
      </c>
      <c r="O5" s="106">
        <f t="shared" ref="O5:O27" si="1">-SUM(I5:J5,K5/1.12)*L5</f>
        <v>0</v>
      </c>
      <c r="P5" s="106"/>
      <c r="Q5" s="107"/>
      <c r="R5" s="107"/>
      <c r="S5" s="108"/>
      <c r="T5" s="108"/>
      <c r="U5" s="108"/>
      <c r="V5" s="108"/>
      <c r="W5" s="108"/>
      <c r="X5" s="107"/>
      <c r="Y5" s="107"/>
      <c r="Z5" s="107"/>
      <c r="AA5" s="107"/>
      <c r="AB5" s="108"/>
      <c r="AC5" s="108"/>
      <c r="AD5" s="107">
        <v>185.67</v>
      </c>
      <c r="AE5" s="107"/>
      <c r="AF5" s="106">
        <f t="shared" ref="AF5:AF27" si="2">-SUM(N5:AE5)</f>
        <v>-207.95035714285711</v>
      </c>
      <c r="AG5" s="109">
        <f t="shared" ref="AG5:AG22" si="3">SUM(H5:K5)+AF5+O5</f>
        <v>-3.5714285712629135E-4</v>
      </c>
    </row>
    <row r="6" spans="1:33" s="110" customFormat="1" ht="23.25" customHeight="1" x14ac:dyDescent="0.2">
      <c r="A6" s="18">
        <v>43758</v>
      </c>
      <c r="B6" s="102"/>
      <c r="C6" s="20" t="s">
        <v>903</v>
      </c>
      <c r="D6" s="20" t="s">
        <v>904</v>
      </c>
      <c r="E6" s="20" t="s">
        <v>47</v>
      </c>
      <c r="F6" s="103">
        <v>14164</v>
      </c>
      <c r="G6" s="103" t="s">
        <v>916</v>
      </c>
      <c r="H6" s="23"/>
      <c r="I6" s="23"/>
      <c r="J6" s="23"/>
      <c r="K6" s="23">
        <v>476.79</v>
      </c>
      <c r="L6" s="105"/>
      <c r="M6" s="106">
        <f>SUM(H6:J6,K6/1.12)</f>
        <v>425.70535714285711</v>
      </c>
      <c r="N6" s="106">
        <f t="shared" si="0"/>
        <v>51.084642857142853</v>
      </c>
      <c r="O6" s="106">
        <f t="shared" si="1"/>
        <v>0</v>
      </c>
      <c r="P6" s="106">
        <v>425.71</v>
      </c>
      <c r="Q6" s="107"/>
      <c r="R6" s="107"/>
      <c r="S6" s="108"/>
      <c r="T6" s="108"/>
      <c r="U6" s="108"/>
      <c r="V6" s="108"/>
      <c r="W6" s="108"/>
      <c r="X6" s="107"/>
      <c r="Y6" s="107"/>
      <c r="Z6" s="107"/>
      <c r="AA6" s="107"/>
      <c r="AB6" s="108"/>
      <c r="AC6" s="108"/>
      <c r="AD6" s="107"/>
      <c r="AE6" s="107"/>
      <c r="AF6" s="106">
        <f t="shared" si="2"/>
        <v>-476.79464285714283</v>
      </c>
      <c r="AG6" s="109">
        <f t="shared" si="3"/>
        <v>-4.6428571428123178E-3</v>
      </c>
    </row>
    <row r="7" spans="1:33" s="110" customFormat="1" ht="23.25" customHeight="1" x14ac:dyDescent="0.2">
      <c r="A7" s="18">
        <v>43737</v>
      </c>
      <c r="B7" s="102"/>
      <c r="C7" s="20" t="s">
        <v>917</v>
      </c>
      <c r="D7" s="20"/>
      <c r="E7" s="20"/>
      <c r="F7" s="103"/>
      <c r="G7" s="103" t="s">
        <v>807</v>
      </c>
      <c r="H7" s="23"/>
      <c r="I7" s="23"/>
      <c r="J7" s="23"/>
      <c r="K7" s="23">
        <v>285</v>
      </c>
      <c r="L7" s="105"/>
      <c r="M7" s="106">
        <f>SUM(H7:J7,K7/1.12)</f>
        <v>254.46428571428569</v>
      </c>
      <c r="N7" s="106">
        <f t="shared" si="0"/>
        <v>30.535714285714281</v>
      </c>
      <c r="O7" s="106">
        <f t="shared" si="1"/>
        <v>0</v>
      </c>
      <c r="P7" s="106"/>
      <c r="Q7" s="107"/>
      <c r="R7" s="107"/>
      <c r="S7" s="108"/>
      <c r="T7" s="108"/>
      <c r="U7" s="108"/>
      <c r="V7" s="108"/>
      <c r="W7" s="108"/>
      <c r="X7" s="107"/>
      <c r="Y7" s="107"/>
      <c r="Z7" s="107"/>
      <c r="AA7" s="107"/>
      <c r="AB7" s="108"/>
      <c r="AC7" s="108"/>
      <c r="AD7" s="107"/>
      <c r="AE7" s="107">
        <v>254.46</v>
      </c>
      <c r="AF7" s="106">
        <f t="shared" si="2"/>
        <v>-284.99571428571431</v>
      </c>
      <c r="AG7" s="109">
        <f t="shared" si="3"/>
        <v>4.2857142856860264E-3</v>
      </c>
    </row>
    <row r="8" spans="1:33" s="110" customFormat="1" ht="23.25" customHeight="1" x14ac:dyDescent="0.2">
      <c r="A8" s="18">
        <v>43733</v>
      </c>
      <c r="B8" s="102"/>
      <c r="C8" s="20" t="s">
        <v>60</v>
      </c>
      <c r="D8" s="20"/>
      <c r="E8" s="20"/>
      <c r="F8" s="103"/>
      <c r="G8" s="103" t="s">
        <v>918</v>
      </c>
      <c r="H8" s="23"/>
      <c r="I8" s="23"/>
      <c r="J8" s="23">
        <v>1312.5</v>
      </c>
      <c r="K8" s="23"/>
      <c r="L8" s="105"/>
      <c r="M8" s="106">
        <f>SUM(H8:J8,K8/1.12)</f>
        <v>1312.5</v>
      </c>
      <c r="N8" s="106">
        <f t="shared" si="0"/>
        <v>0</v>
      </c>
      <c r="O8" s="106">
        <f t="shared" si="1"/>
        <v>0</v>
      </c>
      <c r="P8" s="106"/>
      <c r="Q8" s="107"/>
      <c r="R8" s="107"/>
      <c r="S8" s="108">
        <v>1312.5</v>
      </c>
      <c r="T8" s="108"/>
      <c r="U8" s="108"/>
      <c r="V8" s="108"/>
      <c r="W8" s="108"/>
      <c r="X8" s="107"/>
      <c r="Y8" s="107"/>
      <c r="Z8" s="107"/>
      <c r="AA8" s="107"/>
      <c r="AB8" s="108"/>
      <c r="AC8" s="108"/>
      <c r="AD8" s="107"/>
      <c r="AE8" s="107"/>
      <c r="AF8" s="106">
        <f t="shared" si="2"/>
        <v>-1312.5</v>
      </c>
      <c r="AG8" s="109">
        <f t="shared" si="3"/>
        <v>0</v>
      </c>
    </row>
    <row r="9" spans="1:33" s="110" customFormat="1" ht="23.25" customHeight="1" x14ac:dyDescent="0.2">
      <c r="A9" s="18">
        <v>43732</v>
      </c>
      <c r="B9" s="102"/>
      <c r="C9" s="20" t="s">
        <v>919</v>
      </c>
      <c r="D9" s="20"/>
      <c r="E9" s="20"/>
      <c r="F9" s="103"/>
      <c r="G9" s="103" t="s">
        <v>920</v>
      </c>
      <c r="H9" s="23">
        <v>180</v>
      </c>
      <c r="I9" s="23"/>
      <c r="J9" s="23"/>
      <c r="K9" s="23"/>
      <c r="L9" s="105"/>
      <c r="M9" s="106">
        <f>SUM(H9:J9,K9/1.12)</f>
        <v>180</v>
      </c>
      <c r="N9" s="106">
        <f t="shared" si="0"/>
        <v>0</v>
      </c>
      <c r="O9" s="106">
        <f t="shared" si="1"/>
        <v>0</v>
      </c>
      <c r="P9" s="106"/>
      <c r="Q9" s="107"/>
      <c r="R9" s="107"/>
      <c r="S9" s="108"/>
      <c r="T9" s="108"/>
      <c r="U9" s="108"/>
      <c r="V9" s="108"/>
      <c r="W9" s="108"/>
      <c r="X9" s="107"/>
      <c r="Y9" s="107"/>
      <c r="Z9" s="107"/>
      <c r="AA9" s="107">
        <v>180</v>
      </c>
      <c r="AB9" s="108"/>
      <c r="AC9" s="108"/>
      <c r="AD9" s="107"/>
      <c r="AE9" s="107"/>
      <c r="AF9" s="106">
        <f t="shared" si="2"/>
        <v>-180</v>
      </c>
      <c r="AG9" s="109">
        <f t="shared" si="3"/>
        <v>0</v>
      </c>
    </row>
    <row r="10" spans="1:33" s="110" customFormat="1" ht="23.25" customHeight="1" x14ac:dyDescent="0.2">
      <c r="A10" s="18">
        <v>43732</v>
      </c>
      <c r="B10" s="102"/>
      <c r="C10" s="20" t="s">
        <v>919</v>
      </c>
      <c r="D10" s="20"/>
      <c r="E10" s="20"/>
      <c r="F10" s="103"/>
      <c r="G10" s="103" t="s">
        <v>807</v>
      </c>
      <c r="H10" s="23">
        <v>120</v>
      </c>
      <c r="I10" s="23"/>
      <c r="J10" s="23"/>
      <c r="K10" s="23"/>
      <c r="L10" s="105"/>
      <c r="M10" s="106"/>
      <c r="N10" s="106">
        <f t="shared" si="0"/>
        <v>0</v>
      </c>
      <c r="O10" s="106">
        <f t="shared" si="1"/>
        <v>0</v>
      </c>
      <c r="P10" s="106"/>
      <c r="Q10" s="107"/>
      <c r="R10" s="107"/>
      <c r="S10" s="108"/>
      <c r="T10" s="108"/>
      <c r="U10" s="108"/>
      <c r="V10" s="108"/>
      <c r="W10" s="108"/>
      <c r="X10" s="107"/>
      <c r="Y10" s="107"/>
      <c r="Z10" s="107"/>
      <c r="AA10" s="107"/>
      <c r="AB10" s="108"/>
      <c r="AC10" s="108"/>
      <c r="AD10" s="107"/>
      <c r="AE10" s="107">
        <v>120</v>
      </c>
      <c r="AF10" s="106">
        <f t="shared" si="2"/>
        <v>-120</v>
      </c>
      <c r="AG10" s="109">
        <f t="shared" si="3"/>
        <v>0</v>
      </c>
    </row>
    <row r="11" spans="1:33" s="110" customFormat="1" ht="23.25" customHeight="1" x14ac:dyDescent="0.2">
      <c r="A11" s="18">
        <v>43739</v>
      </c>
      <c r="B11" s="102"/>
      <c r="C11" s="20" t="s">
        <v>58</v>
      </c>
      <c r="D11" s="20"/>
      <c r="E11" s="20"/>
      <c r="F11" s="103"/>
      <c r="G11" s="103" t="s">
        <v>447</v>
      </c>
      <c r="H11" s="23">
        <v>100</v>
      </c>
      <c r="I11" s="23"/>
      <c r="J11" s="23"/>
      <c r="K11" s="23"/>
      <c r="L11" s="105"/>
      <c r="M11" s="106">
        <f t="shared" ref="M11:M27" si="4">SUM(H11:J11,K11/1.12)</f>
        <v>100</v>
      </c>
      <c r="N11" s="106">
        <f t="shared" si="0"/>
        <v>0</v>
      </c>
      <c r="O11" s="106">
        <f t="shared" si="1"/>
        <v>0</v>
      </c>
      <c r="P11" s="106"/>
      <c r="Q11" s="107"/>
      <c r="R11" s="107"/>
      <c r="S11" s="108"/>
      <c r="T11" s="108"/>
      <c r="U11" s="108"/>
      <c r="V11" s="108"/>
      <c r="W11" s="108"/>
      <c r="X11" s="107"/>
      <c r="Y11" s="107"/>
      <c r="Z11" s="107"/>
      <c r="AA11" s="107">
        <v>100</v>
      </c>
      <c r="AB11" s="108"/>
      <c r="AC11" s="108"/>
      <c r="AD11" s="107"/>
      <c r="AE11" s="107"/>
      <c r="AF11" s="106">
        <f t="shared" si="2"/>
        <v>-100</v>
      </c>
      <c r="AG11" s="109">
        <f t="shared" si="3"/>
        <v>0</v>
      </c>
    </row>
    <row r="12" spans="1:33" s="110" customFormat="1" ht="23.25" customHeight="1" x14ac:dyDescent="0.2">
      <c r="A12" s="18">
        <v>43739</v>
      </c>
      <c r="B12" s="102"/>
      <c r="C12" s="20" t="s">
        <v>37</v>
      </c>
      <c r="D12" s="20" t="s">
        <v>38</v>
      </c>
      <c r="E12" s="20" t="s">
        <v>39</v>
      </c>
      <c r="F12" s="103">
        <v>37286</v>
      </c>
      <c r="G12" s="103" t="s">
        <v>921</v>
      </c>
      <c r="H12" s="23"/>
      <c r="I12" s="23"/>
      <c r="J12" s="23"/>
      <c r="K12" s="23">
        <v>109</v>
      </c>
      <c r="L12" s="105"/>
      <c r="M12" s="106">
        <f t="shared" si="4"/>
        <v>97.321428571428555</v>
      </c>
      <c r="N12" s="106">
        <f t="shared" si="0"/>
        <v>11.678571428571427</v>
      </c>
      <c r="O12" s="106">
        <f t="shared" si="1"/>
        <v>0</v>
      </c>
      <c r="P12" s="106">
        <v>97.32</v>
      </c>
      <c r="Q12" s="107"/>
      <c r="R12" s="107"/>
      <c r="S12" s="108"/>
      <c r="T12" s="108"/>
      <c r="U12" s="108"/>
      <c r="V12" s="108"/>
      <c r="W12" s="108"/>
      <c r="X12" s="107"/>
      <c r="Y12" s="107"/>
      <c r="Z12" s="107"/>
      <c r="AA12" s="107"/>
      <c r="AB12" s="108"/>
      <c r="AC12" s="108"/>
      <c r="AD12" s="107"/>
      <c r="AE12" s="107"/>
      <c r="AF12" s="106">
        <f t="shared" si="2"/>
        <v>-108.99857142857142</v>
      </c>
      <c r="AG12" s="109">
        <f t="shared" si="3"/>
        <v>1.4285714285762197E-3</v>
      </c>
    </row>
    <row r="13" spans="1:33" s="110" customFormat="1" ht="23.25" customHeight="1" x14ac:dyDescent="0.2">
      <c r="A13" s="18">
        <v>43739</v>
      </c>
      <c r="B13" s="102"/>
      <c r="C13" s="20" t="s">
        <v>45</v>
      </c>
      <c r="D13" s="20" t="s">
        <v>847</v>
      </c>
      <c r="E13" s="20" t="s">
        <v>47</v>
      </c>
      <c r="F13" s="103">
        <v>201955</v>
      </c>
      <c r="G13" s="103" t="s">
        <v>922</v>
      </c>
      <c r="H13" s="23"/>
      <c r="I13" s="23"/>
      <c r="J13" s="23">
        <v>2667.15</v>
      </c>
      <c r="K13" s="23"/>
      <c r="L13" s="105"/>
      <c r="M13" s="106">
        <f t="shared" si="4"/>
        <v>2667.15</v>
      </c>
      <c r="N13" s="106">
        <f t="shared" si="0"/>
        <v>0</v>
      </c>
      <c r="O13" s="106">
        <f t="shared" si="1"/>
        <v>0</v>
      </c>
      <c r="P13" s="106">
        <v>2667.15</v>
      </c>
      <c r="Q13" s="107"/>
      <c r="R13" s="107"/>
      <c r="S13" s="108"/>
      <c r="T13" s="108"/>
      <c r="U13" s="108"/>
      <c r="V13" s="108"/>
      <c r="W13" s="108"/>
      <c r="X13" s="107"/>
      <c r="Y13" s="107"/>
      <c r="Z13" s="107"/>
      <c r="AA13" s="107"/>
      <c r="AB13" s="108"/>
      <c r="AC13" s="108"/>
      <c r="AD13" s="107"/>
      <c r="AE13" s="107"/>
      <c r="AF13" s="106">
        <f t="shared" si="2"/>
        <v>-2667.15</v>
      </c>
      <c r="AG13" s="109">
        <f t="shared" si="3"/>
        <v>0</v>
      </c>
    </row>
    <row r="14" spans="1:33" s="110" customFormat="1" ht="23.25" customHeight="1" x14ac:dyDescent="0.2">
      <c r="A14" s="18">
        <v>43739</v>
      </c>
      <c r="B14" s="102"/>
      <c r="C14" s="20" t="s">
        <v>45</v>
      </c>
      <c r="D14" s="20" t="s">
        <v>847</v>
      </c>
      <c r="E14" s="20" t="s">
        <v>47</v>
      </c>
      <c r="F14" s="103">
        <v>201955</v>
      </c>
      <c r="G14" s="103" t="s">
        <v>923</v>
      </c>
      <c r="H14" s="23"/>
      <c r="I14" s="23"/>
      <c r="J14" s="23"/>
      <c r="K14" s="23">
        <f>4510.18+541.22</f>
        <v>5051.4000000000005</v>
      </c>
      <c r="L14" s="105"/>
      <c r="M14" s="106">
        <f t="shared" si="4"/>
        <v>4510.1785714285716</v>
      </c>
      <c r="N14" s="106">
        <f t="shared" si="0"/>
        <v>541.22142857142853</v>
      </c>
      <c r="O14" s="106">
        <f t="shared" si="1"/>
        <v>0</v>
      </c>
      <c r="P14" s="106">
        <v>4510.18</v>
      </c>
      <c r="Q14" s="107"/>
      <c r="R14" s="107"/>
      <c r="S14" s="108"/>
      <c r="T14" s="108"/>
      <c r="U14" s="108"/>
      <c r="V14" s="108"/>
      <c r="W14" s="108"/>
      <c r="X14" s="107"/>
      <c r="Y14" s="107"/>
      <c r="Z14" s="107"/>
      <c r="AA14" s="107"/>
      <c r="AB14" s="108"/>
      <c r="AC14" s="108"/>
      <c r="AD14" s="107"/>
      <c r="AE14" s="107"/>
      <c r="AF14" s="106">
        <f t="shared" si="2"/>
        <v>-5051.4014285714293</v>
      </c>
      <c r="AG14" s="109">
        <f t="shared" si="3"/>
        <v>-1.4285714287325391E-3</v>
      </c>
    </row>
    <row r="15" spans="1:33" s="110" customFormat="1" ht="23.25" customHeight="1" x14ac:dyDescent="0.2">
      <c r="A15" s="18">
        <v>43739</v>
      </c>
      <c r="B15" s="102"/>
      <c r="C15" s="20" t="s">
        <v>924</v>
      </c>
      <c r="D15" s="20" t="s">
        <v>925</v>
      </c>
      <c r="E15" s="20" t="s">
        <v>47</v>
      </c>
      <c r="F15" s="103">
        <v>3419</v>
      </c>
      <c r="G15" s="103" t="s">
        <v>926</v>
      </c>
      <c r="H15" s="23"/>
      <c r="I15" s="23"/>
      <c r="J15" s="23">
        <v>145</v>
      </c>
      <c r="K15" s="23"/>
      <c r="L15" s="105"/>
      <c r="M15" s="106">
        <f t="shared" si="4"/>
        <v>145</v>
      </c>
      <c r="N15" s="106">
        <f t="shared" si="0"/>
        <v>0</v>
      </c>
      <c r="O15" s="106">
        <f t="shared" si="1"/>
        <v>0</v>
      </c>
      <c r="P15" s="106">
        <v>145</v>
      </c>
      <c r="Q15" s="107"/>
      <c r="R15" s="107"/>
      <c r="S15" s="108"/>
      <c r="T15" s="108"/>
      <c r="U15" s="108"/>
      <c r="V15" s="108"/>
      <c r="W15" s="108"/>
      <c r="X15" s="107"/>
      <c r="Y15" s="107"/>
      <c r="Z15" s="107"/>
      <c r="AA15" s="107"/>
      <c r="AB15" s="108"/>
      <c r="AC15" s="108"/>
      <c r="AD15" s="107"/>
      <c r="AE15" s="107"/>
      <c r="AF15" s="106">
        <f t="shared" si="2"/>
        <v>-145</v>
      </c>
      <c r="AG15" s="109">
        <f t="shared" si="3"/>
        <v>0</v>
      </c>
    </row>
    <row r="16" spans="1:33" s="110" customFormat="1" ht="23.25" customHeight="1" x14ac:dyDescent="0.2">
      <c r="A16" s="18">
        <v>43739</v>
      </c>
      <c r="B16" s="102"/>
      <c r="C16" s="20" t="s">
        <v>37</v>
      </c>
      <c r="D16" s="20" t="s">
        <v>38</v>
      </c>
      <c r="E16" s="20" t="s">
        <v>39</v>
      </c>
      <c r="F16" s="103">
        <v>37252</v>
      </c>
      <c r="G16" s="103" t="s">
        <v>927</v>
      </c>
      <c r="H16" s="23"/>
      <c r="I16" s="23"/>
      <c r="J16" s="23"/>
      <c r="K16" s="23">
        <v>500</v>
      </c>
      <c r="L16" s="105"/>
      <c r="M16" s="106">
        <f t="shared" si="4"/>
        <v>446.42857142857139</v>
      </c>
      <c r="N16" s="106">
        <f t="shared" si="0"/>
        <v>53.571428571428562</v>
      </c>
      <c r="O16" s="106">
        <f t="shared" si="1"/>
        <v>0</v>
      </c>
      <c r="P16" s="106">
        <v>446.43</v>
      </c>
      <c r="Q16" s="107"/>
      <c r="R16" s="107"/>
      <c r="S16" s="108"/>
      <c r="T16" s="108"/>
      <c r="U16" s="108"/>
      <c r="V16" s="108"/>
      <c r="W16" s="108"/>
      <c r="X16" s="107"/>
      <c r="Y16" s="107"/>
      <c r="Z16" s="107"/>
      <c r="AA16" s="107"/>
      <c r="AB16" s="108"/>
      <c r="AC16" s="108"/>
      <c r="AD16" s="107"/>
      <c r="AE16" s="107"/>
      <c r="AF16" s="106">
        <f t="shared" si="2"/>
        <v>-500.00142857142856</v>
      </c>
      <c r="AG16" s="109">
        <f t="shared" si="3"/>
        <v>-1.4285714285620088E-3</v>
      </c>
    </row>
    <row r="17" spans="1:33" s="110" customFormat="1" ht="23.25" customHeight="1" x14ac:dyDescent="0.2">
      <c r="A17" s="18">
        <v>43739</v>
      </c>
      <c r="B17" s="102"/>
      <c r="C17" s="20" t="s">
        <v>54</v>
      </c>
      <c r="D17" s="20" t="s">
        <v>55</v>
      </c>
      <c r="E17" s="20" t="s">
        <v>47</v>
      </c>
      <c r="F17" s="103">
        <v>3309</v>
      </c>
      <c r="G17" s="103" t="s">
        <v>928</v>
      </c>
      <c r="H17" s="23"/>
      <c r="I17" s="23"/>
      <c r="J17" s="23">
        <v>1345</v>
      </c>
      <c r="K17" s="23"/>
      <c r="L17" s="105"/>
      <c r="M17" s="106">
        <f t="shared" si="4"/>
        <v>1345</v>
      </c>
      <c r="N17" s="106">
        <f t="shared" si="0"/>
        <v>0</v>
      </c>
      <c r="O17" s="106">
        <f t="shared" si="1"/>
        <v>0</v>
      </c>
      <c r="P17" s="106">
        <v>1345</v>
      </c>
      <c r="Q17" s="107"/>
      <c r="R17" s="107"/>
      <c r="S17" s="108"/>
      <c r="T17" s="108"/>
      <c r="U17" s="108"/>
      <c r="V17" s="108"/>
      <c r="W17" s="108"/>
      <c r="X17" s="107"/>
      <c r="Y17" s="107"/>
      <c r="Z17" s="107"/>
      <c r="AA17" s="107"/>
      <c r="AB17" s="108"/>
      <c r="AC17" s="108"/>
      <c r="AD17" s="107"/>
      <c r="AE17" s="107"/>
      <c r="AF17" s="106">
        <f t="shared" si="2"/>
        <v>-1345</v>
      </c>
      <c r="AG17" s="109">
        <f t="shared" si="3"/>
        <v>0</v>
      </c>
    </row>
    <row r="18" spans="1:33" s="110" customFormat="1" ht="23.25" customHeight="1" x14ac:dyDescent="0.2">
      <c r="A18" s="18">
        <v>43739</v>
      </c>
      <c r="B18" s="102"/>
      <c r="C18" s="20" t="s">
        <v>901</v>
      </c>
      <c r="D18" s="20" t="s">
        <v>309</v>
      </c>
      <c r="E18" s="20" t="s">
        <v>56</v>
      </c>
      <c r="F18" s="103">
        <v>15387</v>
      </c>
      <c r="G18" s="103" t="s">
        <v>929</v>
      </c>
      <c r="H18" s="23"/>
      <c r="I18" s="23"/>
      <c r="J18" s="23">
        <v>815</v>
      </c>
      <c r="K18" s="23"/>
      <c r="L18" s="105"/>
      <c r="M18" s="106">
        <f t="shared" si="4"/>
        <v>815</v>
      </c>
      <c r="N18" s="106">
        <f t="shared" si="0"/>
        <v>0</v>
      </c>
      <c r="O18" s="106">
        <f t="shared" si="1"/>
        <v>0</v>
      </c>
      <c r="P18" s="106">
        <v>815</v>
      </c>
      <c r="Q18" s="107"/>
      <c r="R18" s="107"/>
      <c r="S18" s="108"/>
      <c r="T18" s="108"/>
      <c r="U18" s="108"/>
      <c r="V18" s="108"/>
      <c r="W18" s="108"/>
      <c r="X18" s="107"/>
      <c r="Y18" s="107"/>
      <c r="Z18" s="107"/>
      <c r="AA18" s="107"/>
      <c r="AB18" s="108"/>
      <c r="AC18" s="108"/>
      <c r="AD18" s="107"/>
      <c r="AE18" s="107"/>
      <c r="AF18" s="106">
        <f t="shared" si="2"/>
        <v>-815</v>
      </c>
      <c r="AG18" s="109">
        <f t="shared" si="3"/>
        <v>0</v>
      </c>
    </row>
    <row r="19" spans="1:33" s="110" customFormat="1" ht="23.25" customHeight="1" x14ac:dyDescent="0.2">
      <c r="A19" s="18">
        <v>43739</v>
      </c>
      <c r="B19" s="102"/>
      <c r="C19" s="20" t="s">
        <v>58</v>
      </c>
      <c r="D19" s="20"/>
      <c r="E19" s="20"/>
      <c r="F19" s="103"/>
      <c r="G19" s="103" t="s">
        <v>807</v>
      </c>
      <c r="H19" s="23">
        <v>60</v>
      </c>
      <c r="I19" s="23"/>
      <c r="J19" s="23"/>
      <c r="K19" s="23"/>
      <c r="L19" s="105"/>
      <c r="M19" s="106">
        <f t="shared" si="4"/>
        <v>60</v>
      </c>
      <c r="N19" s="106">
        <f t="shared" si="0"/>
        <v>0</v>
      </c>
      <c r="O19" s="106">
        <f t="shared" si="1"/>
        <v>0</v>
      </c>
      <c r="P19" s="106"/>
      <c r="Q19" s="107"/>
      <c r="R19" s="107"/>
      <c r="S19" s="108"/>
      <c r="T19" s="108"/>
      <c r="U19" s="108"/>
      <c r="V19" s="108"/>
      <c r="W19" s="108"/>
      <c r="X19" s="107"/>
      <c r="Y19" s="107"/>
      <c r="Z19" s="107"/>
      <c r="AA19" s="107"/>
      <c r="AB19" s="108"/>
      <c r="AC19" s="108"/>
      <c r="AD19" s="107"/>
      <c r="AE19" s="107">
        <v>60</v>
      </c>
      <c r="AF19" s="106">
        <f t="shared" si="2"/>
        <v>-60</v>
      </c>
      <c r="AG19" s="109">
        <f t="shared" si="3"/>
        <v>0</v>
      </c>
    </row>
    <row r="20" spans="1:33" s="110" customFormat="1" ht="23.25" customHeight="1" x14ac:dyDescent="0.2">
      <c r="A20" s="18">
        <v>43739</v>
      </c>
      <c r="B20" s="102"/>
      <c r="C20" s="20" t="s">
        <v>58</v>
      </c>
      <c r="D20" s="20"/>
      <c r="E20" s="20"/>
      <c r="F20" s="103"/>
      <c r="G20" s="103" t="s">
        <v>294</v>
      </c>
      <c r="H20" s="23">
        <v>100</v>
      </c>
      <c r="I20" s="23"/>
      <c r="J20" s="23"/>
      <c r="K20" s="23"/>
      <c r="L20" s="105"/>
      <c r="M20" s="106">
        <f t="shared" si="4"/>
        <v>100</v>
      </c>
      <c r="N20" s="106">
        <f t="shared" si="0"/>
        <v>0</v>
      </c>
      <c r="O20" s="106">
        <f t="shared" si="1"/>
        <v>0</v>
      </c>
      <c r="P20" s="106"/>
      <c r="Q20" s="107"/>
      <c r="R20" s="107"/>
      <c r="S20" s="108"/>
      <c r="T20" s="108"/>
      <c r="U20" s="108"/>
      <c r="V20" s="108"/>
      <c r="W20" s="108"/>
      <c r="X20" s="107"/>
      <c r="Y20" s="107"/>
      <c r="Z20" s="107"/>
      <c r="AA20" s="107">
        <v>100</v>
      </c>
      <c r="AB20" s="108"/>
      <c r="AC20" s="108"/>
      <c r="AD20" s="107"/>
      <c r="AE20" s="107"/>
      <c r="AF20" s="106">
        <f t="shared" si="2"/>
        <v>-100</v>
      </c>
      <c r="AG20" s="109">
        <f t="shared" si="3"/>
        <v>0</v>
      </c>
    </row>
    <row r="21" spans="1:33" s="110" customFormat="1" ht="23.25" customHeight="1" x14ac:dyDescent="0.2">
      <c r="A21" s="18">
        <v>43739</v>
      </c>
      <c r="B21" s="102"/>
      <c r="C21" s="20" t="s">
        <v>908</v>
      </c>
      <c r="D21" s="20" t="s">
        <v>909</v>
      </c>
      <c r="E21" s="20" t="s">
        <v>67</v>
      </c>
      <c r="F21" s="103">
        <v>1910</v>
      </c>
      <c r="G21" s="103" t="s">
        <v>930</v>
      </c>
      <c r="H21" s="23"/>
      <c r="I21" s="23"/>
      <c r="J21" s="23"/>
      <c r="K21" s="23">
        <v>1360</v>
      </c>
      <c r="L21" s="105"/>
      <c r="M21" s="106">
        <f t="shared" si="4"/>
        <v>1214.2857142857142</v>
      </c>
      <c r="N21" s="106">
        <f t="shared" si="0"/>
        <v>145.71428571428569</v>
      </c>
      <c r="O21" s="106">
        <f t="shared" si="1"/>
        <v>0</v>
      </c>
      <c r="P21" s="106">
        <v>1214.29</v>
      </c>
      <c r="Q21" s="107"/>
      <c r="R21" s="107"/>
      <c r="S21" s="108"/>
      <c r="T21" s="108"/>
      <c r="U21" s="108"/>
      <c r="V21" s="108"/>
      <c r="W21" s="108"/>
      <c r="X21" s="107"/>
      <c r="Y21" s="107"/>
      <c r="Z21" s="107"/>
      <c r="AA21" s="107"/>
      <c r="AB21" s="108"/>
      <c r="AC21" s="108"/>
      <c r="AD21" s="107"/>
      <c r="AE21" s="107"/>
      <c r="AF21" s="106">
        <f t="shared" si="2"/>
        <v>-1360.0042857142857</v>
      </c>
      <c r="AG21" s="109">
        <f t="shared" si="3"/>
        <v>-4.2857142857428698E-3</v>
      </c>
    </row>
    <row r="22" spans="1:33" s="110" customFormat="1" ht="23.25" customHeight="1" x14ac:dyDescent="0.2">
      <c r="A22" s="18">
        <v>43767</v>
      </c>
      <c r="B22" s="102"/>
      <c r="C22" s="59" t="s">
        <v>58</v>
      </c>
      <c r="D22" s="20"/>
      <c r="E22" s="20"/>
      <c r="F22" s="103"/>
      <c r="G22" s="103" t="s">
        <v>808</v>
      </c>
      <c r="H22" s="23">
        <v>60</v>
      </c>
      <c r="I22" s="23"/>
      <c r="J22" s="23"/>
      <c r="K22" s="23"/>
      <c r="L22" s="105"/>
      <c r="M22" s="106">
        <f t="shared" si="4"/>
        <v>60</v>
      </c>
      <c r="N22" s="106">
        <f t="shared" si="0"/>
        <v>0</v>
      </c>
      <c r="O22" s="106">
        <f t="shared" si="1"/>
        <v>0</v>
      </c>
      <c r="P22" s="106"/>
      <c r="Q22" s="107"/>
      <c r="R22" s="107"/>
      <c r="S22" s="108"/>
      <c r="T22" s="108"/>
      <c r="U22" s="108"/>
      <c r="V22" s="108"/>
      <c r="W22" s="108"/>
      <c r="X22" s="107"/>
      <c r="Y22" s="107"/>
      <c r="Z22" s="107"/>
      <c r="AA22" s="107"/>
      <c r="AB22" s="108"/>
      <c r="AC22" s="108"/>
      <c r="AD22" s="107"/>
      <c r="AE22" s="107">
        <v>60</v>
      </c>
      <c r="AF22" s="106">
        <f t="shared" si="2"/>
        <v>-60</v>
      </c>
      <c r="AG22" s="109">
        <f t="shared" si="3"/>
        <v>0</v>
      </c>
    </row>
    <row r="23" spans="1:33" s="110" customFormat="1" ht="23.25" customHeight="1" x14ac:dyDescent="0.2">
      <c r="A23" s="18">
        <v>43737</v>
      </c>
      <c r="B23" s="102"/>
      <c r="C23" s="20" t="s">
        <v>58</v>
      </c>
      <c r="D23" s="20"/>
      <c r="E23" s="20"/>
      <c r="F23" s="103"/>
      <c r="G23" s="103" t="s">
        <v>893</v>
      </c>
      <c r="H23" s="23">
        <v>100</v>
      </c>
      <c r="I23" s="23"/>
      <c r="J23" s="23"/>
      <c r="K23" s="23"/>
      <c r="L23" s="105"/>
      <c r="M23" s="106">
        <f t="shared" si="4"/>
        <v>100</v>
      </c>
      <c r="N23" s="106">
        <f t="shared" si="0"/>
        <v>0</v>
      </c>
      <c r="O23" s="106">
        <f t="shared" si="1"/>
        <v>0</v>
      </c>
      <c r="P23" s="106"/>
      <c r="Q23" s="107"/>
      <c r="R23" s="107"/>
      <c r="S23" s="108"/>
      <c r="T23" s="108"/>
      <c r="U23" s="108"/>
      <c r="V23" s="108"/>
      <c r="W23" s="108"/>
      <c r="X23" s="107"/>
      <c r="Y23" s="107"/>
      <c r="Z23" s="107"/>
      <c r="AA23" s="107">
        <v>100</v>
      </c>
      <c r="AB23" s="108"/>
      <c r="AC23" s="108"/>
      <c r="AD23" s="107"/>
      <c r="AE23" s="107"/>
      <c r="AF23" s="106">
        <f t="shared" si="2"/>
        <v>-100</v>
      </c>
      <c r="AG23" s="109">
        <v>0</v>
      </c>
    </row>
    <row r="24" spans="1:33" s="110" customFormat="1" ht="23.25" customHeight="1" x14ac:dyDescent="0.2">
      <c r="A24" s="18"/>
      <c r="B24" s="102"/>
      <c r="C24" s="20"/>
      <c r="D24" s="20"/>
      <c r="E24" s="20"/>
      <c r="F24" s="103"/>
      <c r="G24" s="103"/>
      <c r="H24" s="23"/>
      <c r="I24" s="23"/>
      <c r="J24" s="23"/>
      <c r="K24" s="23"/>
      <c r="L24" s="105"/>
      <c r="M24" s="106">
        <f t="shared" si="4"/>
        <v>0</v>
      </c>
      <c r="N24" s="106">
        <f t="shared" si="0"/>
        <v>0</v>
      </c>
      <c r="O24" s="106">
        <f t="shared" si="1"/>
        <v>0</v>
      </c>
      <c r="P24" s="106"/>
      <c r="Q24" s="107"/>
      <c r="R24" s="107"/>
      <c r="S24" s="108"/>
      <c r="T24" s="108"/>
      <c r="U24" s="108"/>
      <c r="V24" s="108"/>
      <c r="W24" s="108"/>
      <c r="X24" s="107"/>
      <c r="Y24" s="107"/>
      <c r="Z24" s="107"/>
      <c r="AA24" s="107"/>
      <c r="AB24" s="108"/>
      <c r="AC24" s="108"/>
      <c r="AD24" s="107"/>
      <c r="AE24" s="107"/>
      <c r="AF24" s="106">
        <f t="shared" si="2"/>
        <v>0</v>
      </c>
      <c r="AG24" s="109">
        <v>0</v>
      </c>
    </row>
    <row r="25" spans="1:33" s="110" customFormat="1" ht="23.25" customHeight="1" x14ac:dyDescent="0.2">
      <c r="A25" s="18"/>
      <c r="B25" s="102"/>
      <c r="C25" s="20"/>
      <c r="D25" s="20"/>
      <c r="E25" s="20"/>
      <c r="F25" s="103"/>
      <c r="G25" s="103"/>
      <c r="H25" s="23"/>
      <c r="I25" s="23"/>
      <c r="J25" s="23"/>
      <c r="K25" s="23"/>
      <c r="L25" s="105"/>
      <c r="M25" s="106">
        <f t="shared" si="4"/>
        <v>0</v>
      </c>
      <c r="N25" s="106">
        <f t="shared" si="0"/>
        <v>0</v>
      </c>
      <c r="O25" s="106">
        <f t="shared" si="1"/>
        <v>0</v>
      </c>
      <c r="P25" s="106"/>
      <c r="Q25" s="107"/>
      <c r="R25" s="107"/>
      <c r="S25" s="108"/>
      <c r="T25" s="108"/>
      <c r="U25" s="108"/>
      <c r="V25" s="108"/>
      <c r="W25" s="108"/>
      <c r="X25" s="107"/>
      <c r="Y25" s="107"/>
      <c r="Z25" s="107"/>
      <c r="AA25" s="107"/>
      <c r="AB25" s="108"/>
      <c r="AC25" s="108"/>
      <c r="AD25" s="107"/>
      <c r="AE25" s="107"/>
      <c r="AF25" s="106">
        <f t="shared" si="2"/>
        <v>0</v>
      </c>
      <c r="AG25" s="109">
        <f>SUM(H25:K25)+AF25+O25</f>
        <v>0</v>
      </c>
    </row>
    <row r="26" spans="1:33" s="110" customFormat="1" ht="23.25" customHeight="1" x14ac:dyDescent="0.2">
      <c r="A26" s="18"/>
      <c r="B26" s="102"/>
      <c r="C26" s="20"/>
      <c r="D26" s="20"/>
      <c r="E26" s="20"/>
      <c r="F26" s="103"/>
      <c r="G26" s="103"/>
      <c r="H26" s="23"/>
      <c r="I26" s="23"/>
      <c r="J26" s="23"/>
      <c r="K26" s="23"/>
      <c r="L26" s="105"/>
      <c r="M26" s="106">
        <f t="shared" si="4"/>
        <v>0</v>
      </c>
      <c r="N26" s="106">
        <f t="shared" si="0"/>
        <v>0</v>
      </c>
      <c r="O26" s="106">
        <f t="shared" si="1"/>
        <v>0</v>
      </c>
      <c r="P26" s="106"/>
      <c r="Q26" s="107"/>
      <c r="R26" s="107"/>
      <c r="S26" s="108"/>
      <c r="T26" s="108"/>
      <c r="U26" s="108"/>
      <c r="V26" s="108"/>
      <c r="W26" s="108"/>
      <c r="X26" s="107"/>
      <c r="Y26" s="107"/>
      <c r="Z26" s="107"/>
      <c r="AA26" s="107"/>
      <c r="AB26" s="108"/>
      <c r="AC26" s="108"/>
      <c r="AD26" s="107"/>
      <c r="AE26" s="107"/>
      <c r="AF26" s="106">
        <f t="shared" si="2"/>
        <v>0</v>
      </c>
      <c r="AG26" s="109">
        <f>SUM(H26:K26)+AF26+O26</f>
        <v>0</v>
      </c>
    </row>
    <row r="27" spans="1:33" s="110" customFormat="1" ht="19.5" customHeight="1" x14ac:dyDescent="0.2">
      <c r="A27" s="18"/>
      <c r="B27" s="102"/>
      <c r="C27" s="45"/>
      <c r="D27" s="45"/>
      <c r="E27" s="45"/>
      <c r="F27" s="103"/>
      <c r="G27" s="104"/>
      <c r="H27" s="23"/>
      <c r="I27" s="23"/>
      <c r="J27" s="23"/>
      <c r="K27" s="23"/>
      <c r="L27" s="105"/>
      <c r="M27" s="106">
        <f t="shared" si="4"/>
        <v>0</v>
      </c>
      <c r="N27" s="106">
        <f t="shared" si="0"/>
        <v>0</v>
      </c>
      <c r="O27" s="107">
        <f t="shared" si="1"/>
        <v>0</v>
      </c>
      <c r="P27" s="107"/>
      <c r="Q27" s="107"/>
      <c r="R27" s="107"/>
      <c r="S27" s="107"/>
      <c r="T27" s="108"/>
      <c r="U27" s="108"/>
      <c r="V27" s="108"/>
      <c r="W27" s="108"/>
      <c r="X27" s="108"/>
      <c r="Y27" s="113"/>
      <c r="Z27" s="107"/>
      <c r="AA27" s="107"/>
      <c r="AB27" s="107"/>
      <c r="AC27" s="108"/>
      <c r="AD27" s="108"/>
      <c r="AE27" s="114"/>
      <c r="AF27" s="106">
        <f t="shared" si="2"/>
        <v>0</v>
      </c>
      <c r="AG27" s="109">
        <f>SUM(H27:K27)+AF27+O27</f>
        <v>0</v>
      </c>
    </row>
    <row r="28" spans="1:33" s="120" customFormat="1" ht="12" customHeight="1" x14ac:dyDescent="0.2">
      <c r="A28" s="115"/>
      <c r="B28" s="116"/>
      <c r="C28" s="117"/>
      <c r="D28" s="118"/>
      <c r="E28" s="118"/>
      <c r="F28" s="119"/>
      <c r="G28" s="117"/>
      <c r="H28" s="54">
        <f t="shared" ref="H28:AG28" si="5">SUM(H5:H27)</f>
        <v>720</v>
      </c>
      <c r="I28" s="54">
        <f t="shared" si="5"/>
        <v>0</v>
      </c>
      <c r="J28" s="54">
        <f t="shared" si="5"/>
        <v>6284.65</v>
      </c>
      <c r="K28" s="54">
        <f t="shared" si="5"/>
        <v>7990.14</v>
      </c>
      <c r="L28" s="54">
        <f t="shared" si="5"/>
        <v>0</v>
      </c>
      <c r="M28" s="54">
        <f t="shared" si="5"/>
        <v>14018.70357142857</v>
      </c>
      <c r="N28" s="54">
        <f t="shared" si="5"/>
        <v>856.08642857142843</v>
      </c>
      <c r="O28" s="54">
        <f t="shared" si="5"/>
        <v>0</v>
      </c>
      <c r="P28" s="54">
        <f t="shared" si="5"/>
        <v>11666.080000000002</v>
      </c>
      <c r="Q28" s="54">
        <f t="shared" si="5"/>
        <v>0</v>
      </c>
      <c r="R28" s="54">
        <f t="shared" si="5"/>
        <v>0</v>
      </c>
      <c r="S28" s="54">
        <f t="shared" si="5"/>
        <v>1312.5</v>
      </c>
      <c r="T28" s="54">
        <f t="shared" si="5"/>
        <v>0</v>
      </c>
      <c r="U28" s="54">
        <f t="shared" si="5"/>
        <v>0</v>
      </c>
      <c r="V28" s="54">
        <f t="shared" si="5"/>
        <v>0</v>
      </c>
      <c r="W28" s="54">
        <f t="shared" si="5"/>
        <v>0</v>
      </c>
      <c r="X28" s="54">
        <f t="shared" si="5"/>
        <v>0</v>
      </c>
      <c r="Y28" s="54">
        <f t="shared" si="5"/>
        <v>0</v>
      </c>
      <c r="Z28" s="54">
        <f t="shared" si="5"/>
        <v>0</v>
      </c>
      <c r="AA28" s="54">
        <f t="shared" si="5"/>
        <v>480</v>
      </c>
      <c r="AB28" s="54">
        <f t="shared" si="5"/>
        <v>0</v>
      </c>
      <c r="AC28" s="54">
        <f t="shared" si="5"/>
        <v>0</v>
      </c>
      <c r="AD28" s="54">
        <f t="shared" si="5"/>
        <v>185.67</v>
      </c>
      <c r="AE28" s="54">
        <f t="shared" si="5"/>
        <v>494.46000000000004</v>
      </c>
      <c r="AF28" s="54">
        <f t="shared" si="5"/>
        <v>-14994.796428571428</v>
      </c>
      <c r="AG28" s="54">
        <f t="shared" si="5"/>
        <v>-6.4285714287137807E-3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K152"/>
  <sheetViews>
    <sheetView topLeftCell="A133" zoomScale="90" zoomScaleNormal="90" workbookViewId="0">
      <selection activeCell="G145" sqref="A145:XFD150"/>
    </sheetView>
  </sheetViews>
  <sheetFormatPr defaultRowHeight="13.2" x14ac:dyDescent="0.25"/>
  <cols>
    <col min="1" max="1" width="10.21875" style="1" customWidth="1"/>
    <col min="2" max="2" width="9.21875" style="2" hidden="1" customWidth="1"/>
    <col min="3" max="3" width="30.21875" style="3" customWidth="1"/>
    <col min="4" max="4" width="17.6640625" style="4" customWidth="1"/>
    <col min="5" max="5" width="35.33203125" style="4" customWidth="1"/>
    <col min="6" max="6" width="9.88671875" style="2" customWidth="1"/>
    <col min="7" max="7" width="39.77734375" style="3" customWidth="1"/>
    <col min="8" max="8" width="13.88671875" style="5" customWidth="1"/>
    <col min="9" max="9" width="10.6640625" style="5" customWidth="1"/>
    <col min="10" max="10" width="12.21875" style="5" customWidth="1"/>
    <col min="11" max="11" width="13.109375" style="5" customWidth="1"/>
    <col min="12" max="12" width="9.88671875" style="6" customWidth="1"/>
    <col min="13" max="13" width="12.21875" style="5" customWidth="1"/>
    <col min="14" max="14" width="10.77734375" style="5" customWidth="1"/>
    <col min="15" max="15" width="11.33203125" style="5" customWidth="1"/>
    <col min="16" max="16" width="12.44140625" style="5" customWidth="1"/>
    <col min="17" max="17" width="12.109375" style="5" customWidth="1"/>
    <col min="18" max="18" width="13.44140625" style="5" customWidth="1"/>
    <col min="19" max="19" width="10.21875" style="5" customWidth="1"/>
    <col min="20" max="21" width="11.5546875" style="5"/>
    <col min="22" max="22" width="13.33203125" style="5" customWidth="1"/>
    <col min="23" max="23" width="10.21875" style="5" customWidth="1"/>
    <col min="24" max="24" width="12.44140625" style="5" customWidth="1"/>
    <col min="25" max="25" width="11.6640625" style="5" customWidth="1"/>
    <col min="26" max="26" width="10.44140625" style="5" customWidth="1"/>
    <col min="27" max="27" width="11" style="5" customWidth="1"/>
    <col min="28" max="28" width="12.109375" style="5" customWidth="1"/>
    <col min="29" max="30" width="10.109375" style="5" customWidth="1"/>
    <col min="31" max="31" width="12.77734375" style="5" customWidth="1"/>
    <col min="32" max="32" width="13.44140625" style="5" customWidth="1"/>
    <col min="33" max="33" width="9.6640625" style="3" customWidth="1"/>
    <col min="34" max="1025" width="11.5546875" style="3"/>
  </cols>
  <sheetData>
    <row r="1" spans="1:33" ht="12" customHeight="1" x14ac:dyDescent="0.25">
      <c r="A1" s="7" t="s">
        <v>0</v>
      </c>
      <c r="C1" s="8"/>
    </row>
    <row r="2" spans="1:33" ht="12" customHeight="1" x14ac:dyDescent="0.25">
      <c r="A2" s="7" t="s">
        <v>1</v>
      </c>
    </row>
    <row r="3" spans="1:33" ht="12" customHeight="1" x14ac:dyDescent="0.25">
      <c r="A3" s="7" t="s">
        <v>931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/>
      <c r="W3" s="10"/>
      <c r="X3" s="10"/>
      <c r="Y3" s="10" t="s">
        <v>3</v>
      </c>
      <c r="Z3" s="10"/>
      <c r="AA3" s="10">
        <v>6230</v>
      </c>
      <c r="AB3" s="10" t="s">
        <v>4</v>
      </c>
      <c r="AC3" s="10">
        <v>6202</v>
      </c>
      <c r="AD3" s="10"/>
      <c r="AE3" s="10">
        <v>6109</v>
      </c>
      <c r="AF3" s="10">
        <v>1002</v>
      </c>
    </row>
    <row r="4" spans="1:33" s="17" customFormat="1" ht="43.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pans="1:33" s="29" customFormat="1" ht="23.25" customHeight="1" x14ac:dyDescent="0.2">
      <c r="A5" s="18">
        <v>43773</v>
      </c>
      <c r="B5" s="19"/>
      <c r="C5" s="20" t="s">
        <v>58</v>
      </c>
      <c r="D5" s="20"/>
      <c r="E5" s="20"/>
      <c r="F5" s="21"/>
      <c r="G5" s="122" t="s">
        <v>521</v>
      </c>
      <c r="H5" s="23">
        <v>100</v>
      </c>
      <c r="I5" s="23"/>
      <c r="J5" s="23"/>
      <c r="K5" s="23"/>
      <c r="L5" s="24"/>
      <c r="M5" s="25">
        <f t="shared" ref="M5:M36" si="0">SUM(H5:J5,K5/1.12)</f>
        <v>100</v>
      </c>
      <c r="N5" s="25">
        <f t="shared" ref="N5:N36" si="1">K5/1.12*0.12</f>
        <v>0</v>
      </c>
      <c r="O5" s="25">
        <f t="shared" ref="O5:O36" si="2">-SUM(I5:J5,K5/1.12)*L5</f>
        <v>0</v>
      </c>
      <c r="P5" s="25"/>
      <c r="Q5" s="26"/>
      <c r="R5" s="26"/>
      <c r="S5" s="27"/>
      <c r="T5" s="27"/>
      <c r="U5" s="27"/>
      <c r="V5" s="27"/>
      <c r="W5" s="27"/>
      <c r="X5" s="26"/>
      <c r="Y5" s="26"/>
      <c r="Z5" s="26"/>
      <c r="AA5" s="26">
        <v>100</v>
      </c>
      <c r="AB5" s="27"/>
      <c r="AC5" s="27"/>
      <c r="AD5" s="26"/>
      <c r="AE5" s="26"/>
      <c r="AF5" s="25">
        <f t="shared" ref="AF5:AF36" si="3">-SUM(N5:AE5)</f>
        <v>-100</v>
      </c>
      <c r="AG5" s="28">
        <f t="shared" ref="AG5:AG36" si="4">SUM(H5:K5)+AF5+O5</f>
        <v>0</v>
      </c>
    </row>
    <row r="6" spans="1:33" s="29" customFormat="1" ht="23.25" customHeight="1" x14ac:dyDescent="0.2">
      <c r="A6" s="18">
        <v>43774</v>
      </c>
      <c r="B6" s="19"/>
      <c r="C6" s="20" t="s">
        <v>41</v>
      </c>
      <c r="D6" s="20" t="s">
        <v>42</v>
      </c>
      <c r="E6" s="20" t="s">
        <v>43</v>
      </c>
      <c r="F6" s="21">
        <v>91691</v>
      </c>
      <c r="G6" s="21" t="s">
        <v>44</v>
      </c>
      <c r="H6" s="23"/>
      <c r="I6" s="23"/>
      <c r="J6" s="23"/>
      <c r="K6" s="23">
        <v>180</v>
      </c>
      <c r="L6" s="24"/>
      <c r="M6" s="25">
        <f t="shared" si="0"/>
        <v>160.71428571428569</v>
      </c>
      <c r="N6" s="25">
        <f t="shared" si="1"/>
        <v>19.285714285714281</v>
      </c>
      <c r="O6" s="25">
        <f t="shared" si="2"/>
        <v>0</v>
      </c>
      <c r="P6" s="25"/>
      <c r="Q6" s="26">
        <v>160.71</v>
      </c>
      <c r="R6" s="26"/>
      <c r="S6" s="27"/>
      <c r="T6" s="27"/>
      <c r="U6" s="27"/>
      <c r="V6" s="27"/>
      <c r="W6" s="27"/>
      <c r="X6" s="26"/>
      <c r="Y6" s="26"/>
      <c r="Z6" s="26"/>
      <c r="AA6" s="26"/>
      <c r="AB6" s="27"/>
      <c r="AC6" s="27"/>
      <c r="AD6" s="26"/>
      <c r="AE6" s="26"/>
      <c r="AF6" s="25">
        <f t="shared" si="3"/>
        <v>-179.99571428571429</v>
      </c>
      <c r="AG6" s="28">
        <f t="shared" si="4"/>
        <v>4.2857142857144481E-3</v>
      </c>
    </row>
    <row r="7" spans="1:33" s="29" customFormat="1" ht="23.25" customHeight="1" x14ac:dyDescent="0.2">
      <c r="A7" s="18">
        <v>43774</v>
      </c>
      <c r="B7" s="19"/>
      <c r="C7" s="20" t="s">
        <v>37</v>
      </c>
      <c r="D7" s="20" t="s">
        <v>38</v>
      </c>
      <c r="E7" s="20" t="s">
        <v>39</v>
      </c>
      <c r="F7" s="21">
        <v>99283</v>
      </c>
      <c r="G7" s="22" t="s">
        <v>932</v>
      </c>
      <c r="H7" s="23"/>
      <c r="I7" s="23"/>
      <c r="J7" s="23"/>
      <c r="K7" s="23">
        <v>360.5</v>
      </c>
      <c r="L7" s="24"/>
      <c r="M7" s="25">
        <f t="shared" si="0"/>
        <v>321.87499999999994</v>
      </c>
      <c r="N7" s="25">
        <f t="shared" si="1"/>
        <v>38.624999999999993</v>
      </c>
      <c r="O7" s="25">
        <f t="shared" si="2"/>
        <v>0</v>
      </c>
      <c r="P7" s="25">
        <v>321.88</v>
      </c>
      <c r="Q7" s="26"/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>
        <f t="shared" si="3"/>
        <v>-360.505</v>
      </c>
      <c r="AG7" s="28">
        <f t="shared" si="4"/>
        <v>-4.9999999999954525E-3</v>
      </c>
    </row>
    <row r="8" spans="1:33" s="29" customFormat="1" ht="23.25" customHeight="1" x14ac:dyDescent="0.2">
      <c r="A8" s="18">
        <v>43774</v>
      </c>
      <c r="B8" s="19"/>
      <c r="C8" s="20" t="s">
        <v>901</v>
      </c>
      <c r="D8" s="20" t="s">
        <v>309</v>
      </c>
      <c r="E8" s="20" t="s">
        <v>56</v>
      </c>
      <c r="F8" s="21">
        <v>15172</v>
      </c>
      <c r="G8" s="22" t="s">
        <v>626</v>
      </c>
      <c r="H8" s="23"/>
      <c r="I8" s="23"/>
      <c r="J8" s="23">
        <v>440</v>
      </c>
      <c r="K8" s="23"/>
      <c r="L8" s="24"/>
      <c r="M8" s="25">
        <f t="shared" si="0"/>
        <v>440</v>
      </c>
      <c r="N8" s="25">
        <f t="shared" si="1"/>
        <v>0</v>
      </c>
      <c r="O8" s="25">
        <f t="shared" si="2"/>
        <v>0</v>
      </c>
      <c r="P8" s="25">
        <v>440</v>
      </c>
      <c r="Q8" s="26"/>
      <c r="R8" s="26"/>
      <c r="S8" s="27"/>
      <c r="T8" s="27"/>
      <c r="U8" s="27"/>
      <c r="V8" s="27"/>
      <c r="W8" s="27"/>
      <c r="X8" s="26"/>
      <c r="Y8" s="26"/>
      <c r="Z8" s="26"/>
      <c r="AA8" s="26"/>
      <c r="AB8" s="27"/>
      <c r="AC8" s="27"/>
      <c r="AD8" s="26"/>
      <c r="AE8" s="26"/>
      <c r="AF8" s="25">
        <f t="shared" si="3"/>
        <v>-440</v>
      </c>
      <c r="AG8" s="28">
        <f t="shared" si="4"/>
        <v>0</v>
      </c>
    </row>
    <row r="9" spans="1:33" s="29" customFormat="1" ht="23.25" customHeight="1" x14ac:dyDescent="0.2">
      <c r="A9" s="18">
        <v>43774</v>
      </c>
      <c r="B9" s="19"/>
      <c r="C9" s="20" t="s">
        <v>933</v>
      </c>
      <c r="D9" s="20" t="s">
        <v>934</v>
      </c>
      <c r="E9" s="20" t="s">
        <v>935</v>
      </c>
      <c r="F9" s="21">
        <v>4898</v>
      </c>
      <c r="G9" s="21" t="s">
        <v>902</v>
      </c>
      <c r="H9" s="23"/>
      <c r="I9" s="23"/>
      <c r="J9" s="23">
        <v>838</v>
      </c>
      <c r="K9" s="23"/>
      <c r="L9" s="24"/>
      <c r="M9" s="25">
        <f t="shared" si="0"/>
        <v>838</v>
      </c>
      <c r="N9" s="25">
        <f t="shared" si="1"/>
        <v>0</v>
      </c>
      <c r="O9" s="25">
        <f t="shared" si="2"/>
        <v>0</v>
      </c>
      <c r="P9" s="25">
        <v>838</v>
      </c>
      <c r="Q9" s="26"/>
      <c r="R9" s="26"/>
      <c r="S9" s="27"/>
      <c r="T9" s="27"/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>
        <f t="shared" si="3"/>
        <v>-838</v>
      </c>
      <c r="AG9" s="28">
        <f t="shared" si="4"/>
        <v>0</v>
      </c>
    </row>
    <row r="10" spans="1:33" s="29" customFormat="1" ht="23.25" customHeight="1" x14ac:dyDescent="0.2">
      <c r="A10" s="18">
        <v>43774</v>
      </c>
      <c r="B10" s="19"/>
      <c r="C10" s="20" t="s">
        <v>936</v>
      </c>
      <c r="D10" s="20"/>
      <c r="E10" s="20"/>
      <c r="F10" s="21"/>
      <c r="G10" s="22" t="s">
        <v>937</v>
      </c>
      <c r="H10" s="23">
        <v>1000</v>
      </c>
      <c r="I10" s="23"/>
      <c r="J10" s="23"/>
      <c r="K10" s="23"/>
      <c r="L10" s="24"/>
      <c r="M10" s="25">
        <f t="shared" si="0"/>
        <v>1000</v>
      </c>
      <c r="N10" s="25">
        <f t="shared" si="1"/>
        <v>0</v>
      </c>
      <c r="O10" s="25">
        <f t="shared" si="2"/>
        <v>0</v>
      </c>
      <c r="P10" s="25"/>
      <c r="Q10" s="26"/>
      <c r="R10" s="26"/>
      <c r="S10" s="27"/>
      <c r="T10" s="27"/>
      <c r="U10" s="27"/>
      <c r="V10" s="27"/>
      <c r="W10" s="27"/>
      <c r="X10" s="26"/>
      <c r="Y10" s="26">
        <v>1000</v>
      </c>
      <c r="Z10" s="26"/>
      <c r="AA10" s="26"/>
      <c r="AB10" s="27"/>
      <c r="AC10" s="27"/>
      <c r="AD10" s="26"/>
      <c r="AE10" s="26"/>
      <c r="AF10" s="25">
        <f t="shared" si="3"/>
        <v>-1000</v>
      </c>
      <c r="AG10" s="28">
        <f t="shared" si="4"/>
        <v>0</v>
      </c>
    </row>
    <row r="11" spans="1:33" s="29" customFormat="1" ht="23.25" customHeight="1" x14ac:dyDescent="0.2">
      <c r="A11" s="18">
        <v>43775</v>
      </c>
      <c r="B11" s="19"/>
      <c r="C11" s="20" t="s">
        <v>37</v>
      </c>
      <c r="D11" s="20" t="s">
        <v>38</v>
      </c>
      <c r="E11" s="20" t="s">
        <v>39</v>
      </c>
      <c r="F11" s="21">
        <v>37732</v>
      </c>
      <c r="G11" s="22" t="s">
        <v>938</v>
      </c>
      <c r="H11" s="23"/>
      <c r="I11" s="23"/>
      <c r="J11" s="23"/>
      <c r="K11" s="23">
        <v>670.3</v>
      </c>
      <c r="L11" s="24"/>
      <c r="M11" s="25">
        <f t="shared" si="0"/>
        <v>598.48214285714278</v>
      </c>
      <c r="N11" s="25">
        <f t="shared" si="1"/>
        <v>71.817857142857136</v>
      </c>
      <c r="O11" s="25">
        <f t="shared" si="2"/>
        <v>0</v>
      </c>
      <c r="P11" s="25">
        <v>598.48</v>
      </c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>
        <f t="shared" si="3"/>
        <v>-670.2978571428572</v>
      </c>
      <c r="AG11" s="28">
        <f t="shared" si="4"/>
        <v>2.1428571427577481E-3</v>
      </c>
    </row>
    <row r="12" spans="1:33" s="29" customFormat="1" ht="23.25" customHeight="1" x14ac:dyDescent="0.2">
      <c r="A12" s="18">
        <v>43775</v>
      </c>
      <c r="B12" s="19"/>
      <c r="C12" s="20" t="s">
        <v>37</v>
      </c>
      <c r="D12" s="20" t="s">
        <v>38</v>
      </c>
      <c r="E12" s="20" t="s">
        <v>39</v>
      </c>
      <c r="F12" s="21">
        <v>37749</v>
      </c>
      <c r="G12" s="22" t="s">
        <v>900</v>
      </c>
      <c r="H12" s="23"/>
      <c r="I12" s="23"/>
      <c r="J12" s="23"/>
      <c r="K12" s="23">
        <v>195</v>
      </c>
      <c r="L12" s="24"/>
      <c r="M12" s="25">
        <f t="shared" si="0"/>
        <v>174.10714285714283</v>
      </c>
      <c r="N12" s="25">
        <f t="shared" si="1"/>
        <v>20.892857142857139</v>
      </c>
      <c r="O12" s="25">
        <f t="shared" si="2"/>
        <v>0</v>
      </c>
      <c r="P12" s="25">
        <v>174.11</v>
      </c>
      <c r="Q12" s="26"/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>
        <f t="shared" si="3"/>
        <v>-195.00285714285715</v>
      </c>
      <c r="AG12" s="28">
        <f t="shared" si="4"/>
        <v>-2.8571428571524393E-3</v>
      </c>
    </row>
    <row r="13" spans="1:33" s="29" customFormat="1" ht="23.25" customHeight="1" x14ac:dyDescent="0.2">
      <c r="A13" s="18">
        <v>43775</v>
      </c>
      <c r="B13" s="19"/>
      <c r="C13" s="20" t="s">
        <v>41</v>
      </c>
      <c r="D13" s="20" t="s">
        <v>42</v>
      </c>
      <c r="E13" s="20" t="s">
        <v>43</v>
      </c>
      <c r="F13" s="21">
        <v>97239</v>
      </c>
      <c r="G13" s="21" t="s">
        <v>44</v>
      </c>
      <c r="H13" s="23"/>
      <c r="I13" s="23"/>
      <c r="J13" s="23"/>
      <c r="K13" s="23">
        <v>180</v>
      </c>
      <c r="L13" s="24"/>
      <c r="M13" s="25">
        <f t="shared" si="0"/>
        <v>160.71428571428569</v>
      </c>
      <c r="N13" s="25">
        <f t="shared" si="1"/>
        <v>19.285714285714281</v>
      </c>
      <c r="O13" s="25">
        <f t="shared" si="2"/>
        <v>0</v>
      </c>
      <c r="P13" s="25"/>
      <c r="Q13" s="26">
        <v>160.71</v>
      </c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>
        <f t="shared" si="3"/>
        <v>-179.99571428571429</v>
      </c>
      <c r="AG13" s="28">
        <f t="shared" si="4"/>
        <v>4.2857142857144481E-3</v>
      </c>
    </row>
    <row r="14" spans="1:33" s="29" customFormat="1" ht="23.25" customHeight="1" x14ac:dyDescent="0.2">
      <c r="A14" s="18">
        <v>43775</v>
      </c>
      <c r="B14" s="19"/>
      <c r="C14" s="20" t="s">
        <v>37</v>
      </c>
      <c r="D14" s="20" t="s">
        <v>38</v>
      </c>
      <c r="E14" s="20" t="s">
        <v>39</v>
      </c>
      <c r="F14" s="21">
        <v>37742</v>
      </c>
      <c r="G14" s="22" t="s">
        <v>939</v>
      </c>
      <c r="H14" s="23"/>
      <c r="I14" s="23"/>
      <c r="J14" s="23"/>
      <c r="K14" s="23">
        <v>457.5</v>
      </c>
      <c r="L14" s="24"/>
      <c r="M14" s="25">
        <f t="shared" si="0"/>
        <v>408.48214285714283</v>
      </c>
      <c r="N14" s="25">
        <f t="shared" si="1"/>
        <v>49.017857142857139</v>
      </c>
      <c r="O14" s="25">
        <f t="shared" si="2"/>
        <v>0</v>
      </c>
      <c r="P14" s="25">
        <v>408.48</v>
      </c>
      <c r="Q14" s="26"/>
      <c r="R14" s="26"/>
      <c r="S14" s="27"/>
      <c r="T14" s="27"/>
      <c r="U14" s="27"/>
      <c r="V14" s="27"/>
      <c r="W14" s="27"/>
      <c r="X14" s="26"/>
      <c r="Y14" s="26"/>
      <c r="Z14" s="26"/>
      <c r="AA14" s="26"/>
      <c r="AB14" s="27"/>
      <c r="AC14" s="27"/>
      <c r="AD14" s="26"/>
      <c r="AE14" s="26"/>
      <c r="AF14" s="25">
        <f t="shared" si="3"/>
        <v>-457.49785714285713</v>
      </c>
      <c r="AG14" s="28">
        <f t="shared" si="4"/>
        <v>2.1428571428714349E-3</v>
      </c>
    </row>
    <row r="15" spans="1:33" s="29" customFormat="1" ht="23.25" customHeight="1" x14ac:dyDescent="0.2">
      <c r="A15" s="18">
        <v>43775</v>
      </c>
      <c r="B15" s="19"/>
      <c r="C15" s="20" t="s">
        <v>37</v>
      </c>
      <c r="D15" s="20" t="s">
        <v>38</v>
      </c>
      <c r="E15" s="20" t="s">
        <v>39</v>
      </c>
      <c r="F15" s="21">
        <v>37754</v>
      </c>
      <c r="G15" s="22" t="s">
        <v>250</v>
      </c>
      <c r="H15" s="23"/>
      <c r="I15" s="23"/>
      <c r="J15" s="23"/>
      <c r="K15" s="23">
        <v>222</v>
      </c>
      <c r="L15" s="24"/>
      <c r="M15" s="25">
        <f t="shared" si="0"/>
        <v>198.21428571428569</v>
      </c>
      <c r="N15" s="25">
        <f t="shared" si="1"/>
        <v>23.785714285714281</v>
      </c>
      <c r="O15" s="25">
        <f t="shared" si="2"/>
        <v>0</v>
      </c>
      <c r="P15" s="25">
        <v>198.21</v>
      </c>
      <c r="Q15" s="26"/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>
        <f t="shared" si="3"/>
        <v>-221.99571428571429</v>
      </c>
      <c r="AG15" s="28">
        <f t="shared" si="4"/>
        <v>4.2857142857144481E-3</v>
      </c>
    </row>
    <row r="16" spans="1:33" s="29" customFormat="1" ht="23.25" customHeight="1" x14ac:dyDescent="0.2">
      <c r="A16" s="18">
        <v>43776</v>
      </c>
      <c r="B16" s="19"/>
      <c r="C16" s="20" t="s">
        <v>41</v>
      </c>
      <c r="D16" s="20" t="s">
        <v>42</v>
      </c>
      <c r="E16" s="20" t="s">
        <v>43</v>
      </c>
      <c r="F16" s="21">
        <v>97285</v>
      </c>
      <c r="G16" s="21" t="s">
        <v>44</v>
      </c>
      <c r="H16" s="23"/>
      <c r="I16" s="23"/>
      <c r="J16" s="23"/>
      <c r="K16" s="23">
        <v>180</v>
      </c>
      <c r="L16" s="24"/>
      <c r="M16" s="25">
        <f t="shared" si="0"/>
        <v>160.71428571428569</v>
      </c>
      <c r="N16" s="25">
        <f t="shared" si="1"/>
        <v>19.285714285714281</v>
      </c>
      <c r="O16" s="25">
        <f t="shared" si="2"/>
        <v>0</v>
      </c>
      <c r="P16" s="25"/>
      <c r="Q16" s="26">
        <v>160.71</v>
      </c>
      <c r="R16" s="26"/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/>
      <c r="AE16" s="26"/>
      <c r="AF16" s="25">
        <f t="shared" si="3"/>
        <v>-179.99571428571429</v>
      </c>
      <c r="AG16" s="28">
        <f t="shared" si="4"/>
        <v>4.2857142857144481E-3</v>
      </c>
    </row>
    <row r="17" spans="1:33" s="29" customFormat="1" ht="23.25" customHeight="1" x14ac:dyDescent="0.2">
      <c r="A17" s="18">
        <v>43776</v>
      </c>
      <c r="B17" s="19"/>
      <c r="C17" s="20" t="s">
        <v>268</v>
      </c>
      <c r="D17" s="20"/>
      <c r="E17" s="20"/>
      <c r="F17" s="21"/>
      <c r="G17" s="21" t="s">
        <v>940</v>
      </c>
      <c r="H17" s="23">
        <v>50</v>
      </c>
      <c r="I17" s="23"/>
      <c r="J17" s="23"/>
      <c r="K17" s="23"/>
      <c r="L17" s="24"/>
      <c r="M17" s="25">
        <f t="shared" si="0"/>
        <v>50</v>
      </c>
      <c r="N17" s="25">
        <f t="shared" si="1"/>
        <v>0</v>
      </c>
      <c r="O17" s="25">
        <f t="shared" si="2"/>
        <v>0</v>
      </c>
      <c r="P17" s="25"/>
      <c r="Q17" s="26"/>
      <c r="R17" s="26"/>
      <c r="S17" s="27"/>
      <c r="T17" s="27"/>
      <c r="U17" s="27"/>
      <c r="V17" s="27"/>
      <c r="W17" s="27"/>
      <c r="X17" s="26"/>
      <c r="Y17" s="26"/>
      <c r="Z17" s="26"/>
      <c r="AA17" s="26">
        <v>50</v>
      </c>
      <c r="AB17" s="27"/>
      <c r="AC17" s="27"/>
      <c r="AD17" s="26"/>
      <c r="AE17" s="26"/>
      <c r="AF17" s="25">
        <f t="shared" si="3"/>
        <v>-50</v>
      </c>
      <c r="AG17" s="28">
        <f t="shared" si="4"/>
        <v>0</v>
      </c>
    </row>
    <row r="18" spans="1:33" s="29" customFormat="1" ht="23.25" customHeight="1" x14ac:dyDescent="0.2">
      <c r="A18" s="18">
        <v>43776</v>
      </c>
      <c r="B18" s="19"/>
      <c r="C18" s="20" t="s">
        <v>45</v>
      </c>
      <c r="D18" s="20" t="s">
        <v>847</v>
      </c>
      <c r="E18" s="20" t="s">
        <v>47</v>
      </c>
      <c r="F18" s="21">
        <v>209195</v>
      </c>
      <c r="G18" s="22" t="s">
        <v>941</v>
      </c>
      <c r="H18" s="23"/>
      <c r="I18" s="23"/>
      <c r="J18" s="23"/>
      <c r="K18" s="23">
        <v>300</v>
      </c>
      <c r="L18" s="24"/>
      <c r="M18" s="25">
        <f t="shared" si="0"/>
        <v>267.85714285714283</v>
      </c>
      <c r="N18" s="25">
        <f t="shared" si="1"/>
        <v>32.142857142857139</v>
      </c>
      <c r="O18" s="25">
        <f t="shared" si="2"/>
        <v>0</v>
      </c>
      <c r="P18" s="25">
        <v>267.86</v>
      </c>
      <c r="Q18" s="26"/>
      <c r="R18" s="26"/>
      <c r="S18" s="27"/>
      <c r="T18" s="27"/>
      <c r="U18" s="27"/>
      <c r="V18" s="27"/>
      <c r="W18" s="27"/>
      <c r="X18" s="26"/>
      <c r="Y18" s="26"/>
      <c r="Z18" s="26"/>
      <c r="AA18" s="26"/>
      <c r="AB18" s="27"/>
      <c r="AC18" s="27"/>
      <c r="AD18" s="26"/>
      <c r="AE18" s="26"/>
      <c r="AF18" s="25">
        <f t="shared" si="3"/>
        <v>-300.00285714285712</v>
      </c>
      <c r="AG18" s="28">
        <f t="shared" si="4"/>
        <v>-2.8571428571240176E-3</v>
      </c>
    </row>
    <row r="19" spans="1:33" s="29" customFormat="1" ht="23.25" customHeight="1" x14ac:dyDescent="0.2">
      <c r="A19" s="18">
        <v>43776</v>
      </c>
      <c r="B19" s="19"/>
      <c r="C19" s="20" t="s">
        <v>936</v>
      </c>
      <c r="D19" s="20"/>
      <c r="E19" s="20"/>
      <c r="F19" s="21"/>
      <c r="G19" s="22" t="s">
        <v>942</v>
      </c>
      <c r="H19" s="23">
        <v>2000</v>
      </c>
      <c r="I19" s="23"/>
      <c r="J19" s="23"/>
      <c r="K19" s="23"/>
      <c r="L19" s="24"/>
      <c r="M19" s="25">
        <f t="shared" si="0"/>
        <v>2000</v>
      </c>
      <c r="N19" s="25">
        <f t="shared" si="1"/>
        <v>0</v>
      </c>
      <c r="O19" s="25">
        <f t="shared" si="2"/>
        <v>0</v>
      </c>
      <c r="P19" s="25"/>
      <c r="Q19" s="26"/>
      <c r="R19" s="26"/>
      <c r="S19" s="27"/>
      <c r="T19" s="27"/>
      <c r="U19" s="27"/>
      <c r="V19" s="27"/>
      <c r="W19" s="27"/>
      <c r="X19" s="26"/>
      <c r="Y19" s="26">
        <v>2000</v>
      </c>
      <c r="Z19" s="26"/>
      <c r="AA19" s="26"/>
      <c r="AB19" s="27"/>
      <c r="AC19" s="27"/>
      <c r="AD19" s="26"/>
      <c r="AE19" s="26"/>
      <c r="AF19" s="25">
        <f t="shared" si="3"/>
        <v>-2000</v>
      </c>
      <c r="AG19" s="28">
        <f t="shared" si="4"/>
        <v>0</v>
      </c>
    </row>
    <row r="20" spans="1:33" s="29" customFormat="1" ht="23.25" customHeight="1" x14ac:dyDescent="0.2">
      <c r="A20" s="18">
        <v>43776</v>
      </c>
      <c r="B20" s="19"/>
      <c r="C20" s="20" t="s">
        <v>37</v>
      </c>
      <c r="D20" s="20" t="s">
        <v>38</v>
      </c>
      <c r="E20" s="20" t="s">
        <v>39</v>
      </c>
      <c r="F20" s="21">
        <v>37768</v>
      </c>
      <c r="G20" s="21" t="s">
        <v>943</v>
      </c>
      <c r="H20" s="23"/>
      <c r="I20" s="23"/>
      <c r="J20" s="23"/>
      <c r="K20" s="23">
        <v>755.19</v>
      </c>
      <c r="L20" s="24"/>
      <c r="M20" s="25">
        <f t="shared" si="0"/>
        <v>674.27678571428567</v>
      </c>
      <c r="N20" s="25">
        <f t="shared" si="1"/>
        <v>80.913214285714275</v>
      </c>
      <c r="O20" s="25">
        <f t="shared" si="2"/>
        <v>0</v>
      </c>
      <c r="P20" s="25">
        <v>674.28</v>
      </c>
      <c r="Q20" s="26"/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>
        <f t="shared" si="3"/>
        <v>-755.19321428571425</v>
      </c>
      <c r="AG20" s="28">
        <f t="shared" si="4"/>
        <v>-3.2142857141934655E-3</v>
      </c>
    </row>
    <row r="21" spans="1:33" s="29" customFormat="1" ht="23.25" customHeight="1" x14ac:dyDescent="0.2">
      <c r="A21" s="18">
        <v>43776</v>
      </c>
      <c r="B21" s="19"/>
      <c r="C21" s="20" t="s">
        <v>58</v>
      </c>
      <c r="D21" s="20"/>
      <c r="E21" s="20"/>
      <c r="F21" s="21"/>
      <c r="G21" s="22" t="s">
        <v>944</v>
      </c>
      <c r="H21" s="23">
        <v>100</v>
      </c>
      <c r="I21" s="23"/>
      <c r="J21" s="23"/>
      <c r="K21" s="23"/>
      <c r="L21" s="24"/>
      <c r="M21" s="25">
        <f t="shared" si="0"/>
        <v>100</v>
      </c>
      <c r="N21" s="25">
        <f t="shared" si="1"/>
        <v>0</v>
      </c>
      <c r="O21" s="25">
        <f t="shared" si="2"/>
        <v>0</v>
      </c>
      <c r="P21" s="25"/>
      <c r="Q21" s="26"/>
      <c r="R21" s="26"/>
      <c r="S21" s="27"/>
      <c r="T21" s="27"/>
      <c r="U21" s="27"/>
      <c r="V21" s="27"/>
      <c r="W21" s="27"/>
      <c r="X21" s="26"/>
      <c r="Y21" s="26"/>
      <c r="Z21" s="26"/>
      <c r="AA21" s="26">
        <v>100</v>
      </c>
      <c r="AB21" s="27"/>
      <c r="AC21" s="27"/>
      <c r="AD21" s="26"/>
      <c r="AE21" s="26"/>
      <c r="AF21" s="25">
        <f t="shared" si="3"/>
        <v>-100</v>
      </c>
      <c r="AG21" s="28">
        <f t="shared" si="4"/>
        <v>0</v>
      </c>
    </row>
    <row r="22" spans="1:33" s="29" customFormat="1" ht="23.25" customHeight="1" x14ac:dyDescent="0.2">
      <c r="A22" s="18">
        <v>43776</v>
      </c>
      <c r="B22" s="19"/>
      <c r="C22" s="20" t="s">
        <v>945</v>
      </c>
      <c r="D22" s="20" t="s">
        <v>115</v>
      </c>
      <c r="E22" s="20" t="s">
        <v>47</v>
      </c>
      <c r="F22" s="21">
        <v>99045</v>
      </c>
      <c r="G22" s="22" t="s">
        <v>946</v>
      </c>
      <c r="H22" s="23"/>
      <c r="I22" s="23"/>
      <c r="J22" s="23"/>
      <c r="K22" s="23">
        <v>1130</v>
      </c>
      <c r="L22" s="24"/>
      <c r="M22" s="25">
        <f t="shared" si="0"/>
        <v>1008.9285714285713</v>
      </c>
      <c r="N22" s="25">
        <f t="shared" si="1"/>
        <v>121.07142857142856</v>
      </c>
      <c r="O22" s="25">
        <f t="shared" si="2"/>
        <v>0</v>
      </c>
      <c r="P22" s="25">
        <v>1008.93</v>
      </c>
      <c r="Q22" s="26"/>
      <c r="R22" s="26"/>
      <c r="S22" s="27"/>
      <c r="T22" s="27"/>
      <c r="U22" s="27"/>
      <c r="V22" s="27"/>
      <c r="W22" s="27"/>
      <c r="X22" s="26"/>
      <c r="Y22" s="26"/>
      <c r="Z22" s="26"/>
      <c r="AA22" s="26"/>
      <c r="AB22" s="27"/>
      <c r="AC22" s="27"/>
      <c r="AD22" s="26"/>
      <c r="AE22" s="26"/>
      <c r="AF22" s="25">
        <f t="shared" si="3"/>
        <v>-1130.0014285714285</v>
      </c>
      <c r="AG22" s="28">
        <f t="shared" si="4"/>
        <v>-1.4285714285051654E-3</v>
      </c>
    </row>
    <row r="23" spans="1:33" s="29" customFormat="1" ht="23.25" customHeight="1" x14ac:dyDescent="0.2">
      <c r="A23" s="18">
        <v>43776</v>
      </c>
      <c r="B23" s="19"/>
      <c r="C23" s="20" t="s">
        <v>947</v>
      </c>
      <c r="D23" s="20"/>
      <c r="E23" s="20"/>
      <c r="F23" s="21"/>
      <c r="G23" s="21" t="s">
        <v>948</v>
      </c>
      <c r="H23" s="23">
        <v>1050</v>
      </c>
      <c r="I23" s="23"/>
      <c r="J23" s="23"/>
      <c r="K23" s="23"/>
      <c r="L23" s="24"/>
      <c r="M23" s="25">
        <f t="shared" si="0"/>
        <v>1050</v>
      </c>
      <c r="N23" s="25">
        <f t="shared" si="1"/>
        <v>0</v>
      </c>
      <c r="O23" s="25">
        <f t="shared" si="2"/>
        <v>0</v>
      </c>
      <c r="P23" s="25"/>
      <c r="Q23" s="26"/>
      <c r="R23" s="26"/>
      <c r="S23" s="27"/>
      <c r="T23" s="27"/>
      <c r="U23" s="27"/>
      <c r="V23" s="27"/>
      <c r="W23" s="27"/>
      <c r="X23" s="26"/>
      <c r="Y23" s="26"/>
      <c r="Z23" s="26"/>
      <c r="AA23" s="26"/>
      <c r="AB23" s="27"/>
      <c r="AC23" s="27"/>
      <c r="AD23" s="26">
        <v>1050</v>
      </c>
      <c r="AE23" s="26"/>
      <c r="AF23" s="25">
        <f t="shared" si="3"/>
        <v>-1050</v>
      </c>
      <c r="AG23" s="28">
        <f t="shared" si="4"/>
        <v>0</v>
      </c>
    </row>
    <row r="24" spans="1:33" s="29" customFormat="1" ht="23.25" customHeight="1" x14ac:dyDescent="0.2">
      <c r="A24" s="18">
        <v>43777</v>
      </c>
      <c r="B24" s="19"/>
      <c r="C24" s="20" t="s">
        <v>185</v>
      </c>
      <c r="D24" s="20" t="s">
        <v>106</v>
      </c>
      <c r="E24" s="20" t="s">
        <v>60</v>
      </c>
      <c r="F24" s="21">
        <v>736417</v>
      </c>
      <c r="G24" s="44" t="s">
        <v>949</v>
      </c>
      <c r="H24" s="23"/>
      <c r="I24" s="23"/>
      <c r="J24" s="23"/>
      <c r="K24" s="23">
        <v>103</v>
      </c>
      <c r="L24" s="24"/>
      <c r="M24" s="25">
        <f t="shared" si="0"/>
        <v>91.964285714285708</v>
      </c>
      <c r="N24" s="25">
        <f t="shared" si="1"/>
        <v>11.035714285714285</v>
      </c>
      <c r="O24" s="25">
        <f t="shared" si="2"/>
        <v>0</v>
      </c>
      <c r="P24" s="25"/>
      <c r="Q24" s="26"/>
      <c r="R24" s="26"/>
      <c r="S24" s="27"/>
      <c r="T24" s="27">
        <v>91.96</v>
      </c>
      <c r="U24" s="27"/>
      <c r="V24" s="27"/>
      <c r="W24" s="27"/>
      <c r="X24" s="26"/>
      <c r="Y24" s="26"/>
      <c r="Z24" s="26"/>
      <c r="AA24" s="26"/>
      <c r="AB24" s="27"/>
      <c r="AC24" s="27"/>
      <c r="AD24" s="26"/>
      <c r="AE24" s="26"/>
      <c r="AF24" s="25">
        <f t="shared" si="3"/>
        <v>-102.99571428571429</v>
      </c>
      <c r="AG24" s="28">
        <f t="shared" si="4"/>
        <v>4.2857142857144481E-3</v>
      </c>
    </row>
    <row r="25" spans="1:33" s="29" customFormat="1" ht="23.25" customHeight="1" x14ac:dyDescent="0.2">
      <c r="A25" s="18">
        <v>43777</v>
      </c>
      <c r="B25" s="19"/>
      <c r="C25" s="20" t="s">
        <v>45</v>
      </c>
      <c r="D25" s="20" t="s">
        <v>847</v>
      </c>
      <c r="E25" s="20" t="s">
        <v>47</v>
      </c>
      <c r="F25" s="21">
        <v>93225</v>
      </c>
      <c r="G25" s="22" t="s">
        <v>950</v>
      </c>
      <c r="H25" s="23"/>
      <c r="I25" s="23"/>
      <c r="J25" s="23"/>
      <c r="K25" s="23">
        <v>969.75</v>
      </c>
      <c r="L25" s="24"/>
      <c r="M25" s="25">
        <f t="shared" si="0"/>
        <v>865.84821428571422</v>
      </c>
      <c r="N25" s="25">
        <f t="shared" si="1"/>
        <v>103.90178571428571</v>
      </c>
      <c r="O25" s="25">
        <f t="shared" si="2"/>
        <v>0</v>
      </c>
      <c r="P25" s="25"/>
      <c r="Q25" s="26"/>
      <c r="R25" s="26"/>
      <c r="S25" s="27"/>
      <c r="T25" s="27"/>
      <c r="U25" s="27"/>
      <c r="V25" s="27"/>
      <c r="W25" s="27"/>
      <c r="X25" s="26">
        <v>865.85</v>
      </c>
      <c r="Y25" s="26"/>
      <c r="Z25" s="26"/>
      <c r="AA25" s="26"/>
      <c r="AB25" s="27"/>
      <c r="AC25" s="27"/>
      <c r="AD25" s="26"/>
      <c r="AE25" s="26"/>
      <c r="AF25" s="25">
        <f t="shared" si="3"/>
        <v>-969.75178571428569</v>
      </c>
      <c r="AG25" s="28">
        <f t="shared" si="4"/>
        <v>-1.7857142856883002E-3</v>
      </c>
    </row>
    <row r="26" spans="1:33" s="29" customFormat="1" ht="23.25" customHeight="1" x14ac:dyDescent="0.2">
      <c r="A26" s="18">
        <v>43777</v>
      </c>
      <c r="B26" s="19"/>
      <c r="C26" s="20" t="s">
        <v>945</v>
      </c>
      <c r="D26" s="20" t="s">
        <v>115</v>
      </c>
      <c r="E26" s="20" t="s">
        <v>47</v>
      </c>
      <c r="F26" s="21">
        <v>202042</v>
      </c>
      <c r="G26" s="44" t="s">
        <v>951</v>
      </c>
      <c r="H26" s="23"/>
      <c r="I26" s="23"/>
      <c r="J26" s="23"/>
      <c r="K26" s="23">
        <v>2514.91</v>
      </c>
      <c r="L26" s="24"/>
      <c r="M26" s="25">
        <f t="shared" si="0"/>
        <v>2245.4553571428569</v>
      </c>
      <c r="N26" s="25">
        <f t="shared" si="1"/>
        <v>269.4546428571428</v>
      </c>
      <c r="O26" s="25">
        <f t="shared" si="2"/>
        <v>0</v>
      </c>
      <c r="P26" s="25">
        <v>2245.46</v>
      </c>
      <c r="Q26" s="26"/>
      <c r="R26" s="26"/>
      <c r="S26" s="27"/>
      <c r="T26" s="27"/>
      <c r="U26" s="27"/>
      <c r="V26" s="27"/>
      <c r="W26" s="27"/>
      <c r="X26" s="26"/>
      <c r="Y26" s="26"/>
      <c r="Z26" s="26"/>
      <c r="AA26" s="26"/>
      <c r="AB26" s="27"/>
      <c r="AC26" s="27"/>
      <c r="AD26" s="26"/>
      <c r="AE26" s="26"/>
      <c r="AF26" s="25">
        <f t="shared" si="3"/>
        <v>-2514.914642857143</v>
      </c>
      <c r="AG26" s="28">
        <f t="shared" si="4"/>
        <v>-4.6428571431533783E-3</v>
      </c>
    </row>
    <row r="27" spans="1:33" s="29" customFormat="1" ht="23.25" customHeight="1" x14ac:dyDescent="0.2">
      <c r="A27" s="18">
        <v>43777</v>
      </c>
      <c r="B27" s="19"/>
      <c r="C27" s="20" t="s">
        <v>41</v>
      </c>
      <c r="D27" s="20" t="s">
        <v>42</v>
      </c>
      <c r="E27" s="20" t="s">
        <v>43</v>
      </c>
      <c r="F27" s="21">
        <v>97333</v>
      </c>
      <c r="G27" s="21" t="s">
        <v>44</v>
      </c>
      <c r="H27" s="23"/>
      <c r="I27" s="23"/>
      <c r="J27" s="23"/>
      <c r="K27" s="23">
        <v>180</v>
      </c>
      <c r="L27" s="24"/>
      <c r="M27" s="25">
        <f t="shared" si="0"/>
        <v>160.71428571428569</v>
      </c>
      <c r="N27" s="25">
        <f t="shared" si="1"/>
        <v>19.285714285714281</v>
      </c>
      <c r="O27" s="25">
        <f t="shared" si="2"/>
        <v>0</v>
      </c>
      <c r="P27" s="25"/>
      <c r="Q27" s="26">
        <v>160.71</v>
      </c>
      <c r="R27" s="26"/>
      <c r="S27" s="27"/>
      <c r="T27" s="27"/>
      <c r="U27" s="27"/>
      <c r="V27" s="27"/>
      <c r="W27" s="27"/>
      <c r="X27" s="26"/>
      <c r="Y27" s="26"/>
      <c r="Z27" s="26"/>
      <c r="AA27" s="26"/>
      <c r="AB27" s="27"/>
      <c r="AC27" s="27"/>
      <c r="AD27" s="26"/>
      <c r="AE27" s="26"/>
      <c r="AF27" s="25">
        <f t="shared" si="3"/>
        <v>-179.99571428571429</v>
      </c>
      <c r="AG27" s="28">
        <f t="shared" si="4"/>
        <v>4.2857142857144481E-3</v>
      </c>
    </row>
    <row r="28" spans="1:33" s="29" customFormat="1" ht="23.25" customHeight="1" x14ac:dyDescent="0.2">
      <c r="A28" s="18">
        <v>43778</v>
      </c>
      <c r="B28" s="19"/>
      <c r="C28" s="20" t="s">
        <v>37</v>
      </c>
      <c r="D28" s="20" t="s">
        <v>38</v>
      </c>
      <c r="E28" s="20" t="s">
        <v>39</v>
      </c>
      <c r="F28" s="21">
        <v>37804</v>
      </c>
      <c r="G28" s="44" t="s">
        <v>952</v>
      </c>
      <c r="H28" s="23"/>
      <c r="I28" s="23"/>
      <c r="J28" s="23"/>
      <c r="K28" s="23">
        <v>154</v>
      </c>
      <c r="L28" s="24"/>
      <c r="M28" s="25">
        <f t="shared" si="0"/>
        <v>137.5</v>
      </c>
      <c r="N28" s="25">
        <f t="shared" si="1"/>
        <v>16.5</v>
      </c>
      <c r="O28" s="25">
        <f t="shared" si="2"/>
        <v>0</v>
      </c>
      <c r="P28" s="25">
        <v>137.5</v>
      </c>
      <c r="Q28" s="26"/>
      <c r="R28" s="26"/>
      <c r="S28" s="27"/>
      <c r="T28" s="27"/>
      <c r="U28" s="27"/>
      <c r="V28" s="27"/>
      <c r="W28" s="27"/>
      <c r="X28" s="26"/>
      <c r="Y28" s="26"/>
      <c r="Z28" s="26"/>
      <c r="AA28" s="26"/>
      <c r="AB28" s="27"/>
      <c r="AC28" s="27"/>
      <c r="AD28" s="26"/>
      <c r="AE28" s="26"/>
      <c r="AF28" s="25">
        <f t="shared" si="3"/>
        <v>-154</v>
      </c>
      <c r="AG28" s="28">
        <f t="shared" si="4"/>
        <v>0</v>
      </c>
    </row>
    <row r="29" spans="1:33" s="29" customFormat="1" ht="23.25" customHeight="1" x14ac:dyDescent="0.2">
      <c r="A29" s="18">
        <v>43780</v>
      </c>
      <c r="B29" s="19"/>
      <c r="C29" s="20" t="s">
        <v>54</v>
      </c>
      <c r="D29" s="20" t="s">
        <v>55</v>
      </c>
      <c r="E29" s="20" t="s">
        <v>56</v>
      </c>
      <c r="F29" s="21">
        <v>3328</v>
      </c>
      <c r="G29" s="44" t="s">
        <v>626</v>
      </c>
      <c r="H29" s="23"/>
      <c r="I29" s="23"/>
      <c r="J29" s="23">
        <v>440</v>
      </c>
      <c r="K29" s="23"/>
      <c r="L29" s="24"/>
      <c r="M29" s="25">
        <f t="shared" si="0"/>
        <v>440</v>
      </c>
      <c r="N29" s="25">
        <f t="shared" si="1"/>
        <v>0</v>
      </c>
      <c r="O29" s="25">
        <f t="shared" si="2"/>
        <v>0</v>
      </c>
      <c r="P29" s="25">
        <v>440</v>
      </c>
      <c r="Q29" s="26"/>
      <c r="R29" s="26"/>
      <c r="S29" s="27"/>
      <c r="T29" s="27"/>
      <c r="U29" s="27"/>
      <c r="V29" s="27"/>
      <c r="W29" s="27"/>
      <c r="X29" s="26"/>
      <c r="Y29" s="26"/>
      <c r="Z29" s="26"/>
      <c r="AA29" s="26"/>
      <c r="AB29" s="27"/>
      <c r="AC29" s="27"/>
      <c r="AD29" s="26"/>
      <c r="AE29" s="26"/>
      <c r="AF29" s="25">
        <f t="shared" si="3"/>
        <v>-440</v>
      </c>
      <c r="AG29" s="28">
        <f t="shared" si="4"/>
        <v>0</v>
      </c>
    </row>
    <row r="30" spans="1:33" s="29" customFormat="1" ht="23.25" customHeight="1" x14ac:dyDescent="0.2">
      <c r="A30" s="18">
        <v>43780</v>
      </c>
      <c r="B30" s="19"/>
      <c r="C30" s="20" t="s">
        <v>58</v>
      </c>
      <c r="D30" s="20"/>
      <c r="E30" s="20"/>
      <c r="F30" s="21"/>
      <c r="G30" s="21" t="s">
        <v>521</v>
      </c>
      <c r="H30" s="23">
        <v>100</v>
      </c>
      <c r="I30" s="23"/>
      <c r="J30" s="23"/>
      <c r="K30" s="23"/>
      <c r="L30" s="24"/>
      <c r="M30" s="25">
        <f t="shared" si="0"/>
        <v>100</v>
      </c>
      <c r="N30" s="25">
        <f t="shared" si="1"/>
        <v>0</v>
      </c>
      <c r="O30" s="25">
        <f t="shared" si="2"/>
        <v>0</v>
      </c>
      <c r="P30" s="25"/>
      <c r="Q30" s="26"/>
      <c r="R30" s="26"/>
      <c r="S30" s="27"/>
      <c r="T30" s="27"/>
      <c r="U30" s="27"/>
      <c r="V30" s="27"/>
      <c r="W30" s="27"/>
      <c r="X30" s="26"/>
      <c r="Y30" s="26"/>
      <c r="Z30" s="26"/>
      <c r="AA30" s="26">
        <v>100</v>
      </c>
      <c r="AB30" s="27"/>
      <c r="AC30" s="27"/>
      <c r="AD30" s="26"/>
      <c r="AE30" s="26"/>
      <c r="AF30" s="25">
        <f t="shared" si="3"/>
        <v>-100</v>
      </c>
      <c r="AG30" s="28">
        <f t="shared" si="4"/>
        <v>0</v>
      </c>
    </row>
    <row r="31" spans="1:33" s="29" customFormat="1" ht="23.25" customHeight="1" x14ac:dyDescent="0.2">
      <c r="A31" s="18">
        <v>43780</v>
      </c>
      <c r="B31" s="19"/>
      <c r="C31" s="20" t="s">
        <v>933</v>
      </c>
      <c r="D31" s="20" t="s">
        <v>934</v>
      </c>
      <c r="E31" s="20" t="s">
        <v>935</v>
      </c>
      <c r="F31" s="21">
        <v>5489</v>
      </c>
      <c r="G31" s="21" t="s">
        <v>902</v>
      </c>
      <c r="H31" s="23"/>
      <c r="I31" s="23"/>
      <c r="J31" s="23">
        <v>600</v>
      </c>
      <c r="K31" s="23"/>
      <c r="L31" s="24"/>
      <c r="M31" s="25">
        <f t="shared" si="0"/>
        <v>600</v>
      </c>
      <c r="N31" s="25">
        <f t="shared" si="1"/>
        <v>0</v>
      </c>
      <c r="O31" s="25">
        <f t="shared" si="2"/>
        <v>0</v>
      </c>
      <c r="P31" s="25">
        <v>600</v>
      </c>
      <c r="Q31" s="26"/>
      <c r="R31" s="26"/>
      <c r="S31" s="27"/>
      <c r="T31" s="27"/>
      <c r="U31" s="27"/>
      <c r="V31" s="27"/>
      <c r="W31" s="27"/>
      <c r="X31" s="26"/>
      <c r="Y31" s="26"/>
      <c r="Z31" s="26"/>
      <c r="AA31" s="26"/>
      <c r="AB31" s="27"/>
      <c r="AC31" s="27"/>
      <c r="AD31" s="26"/>
      <c r="AE31" s="26"/>
      <c r="AF31" s="25">
        <f t="shared" si="3"/>
        <v>-600</v>
      </c>
      <c r="AG31" s="28">
        <f t="shared" si="4"/>
        <v>0</v>
      </c>
    </row>
    <row r="32" spans="1:33" s="29" customFormat="1" ht="23.25" customHeight="1" x14ac:dyDescent="0.2">
      <c r="A32" s="18">
        <v>43780</v>
      </c>
      <c r="B32" s="19"/>
      <c r="C32" s="20" t="s">
        <v>41</v>
      </c>
      <c r="D32" s="20" t="s">
        <v>42</v>
      </c>
      <c r="E32" s="20" t="s">
        <v>43</v>
      </c>
      <c r="F32" s="21">
        <v>153773</v>
      </c>
      <c r="G32" s="21" t="s">
        <v>44</v>
      </c>
      <c r="H32" s="23"/>
      <c r="I32" s="23"/>
      <c r="J32" s="23"/>
      <c r="K32" s="23">
        <v>180</v>
      </c>
      <c r="L32" s="24"/>
      <c r="M32" s="25">
        <f t="shared" si="0"/>
        <v>160.71428571428569</v>
      </c>
      <c r="N32" s="25">
        <f t="shared" si="1"/>
        <v>19.285714285714281</v>
      </c>
      <c r="O32" s="25">
        <f t="shared" si="2"/>
        <v>0</v>
      </c>
      <c r="P32" s="25"/>
      <c r="Q32" s="26">
        <v>160.71</v>
      </c>
      <c r="R32" s="26"/>
      <c r="S32" s="27"/>
      <c r="T32" s="27"/>
      <c r="U32" s="27"/>
      <c r="V32" s="27"/>
      <c r="W32" s="27"/>
      <c r="X32" s="26"/>
      <c r="Y32" s="26"/>
      <c r="Z32" s="26"/>
      <c r="AA32" s="26"/>
      <c r="AB32" s="27"/>
      <c r="AC32" s="27"/>
      <c r="AD32" s="26"/>
      <c r="AE32" s="26"/>
      <c r="AF32" s="25">
        <f t="shared" si="3"/>
        <v>-179.99571428571429</v>
      </c>
      <c r="AG32" s="28">
        <f t="shared" si="4"/>
        <v>4.2857142857144481E-3</v>
      </c>
    </row>
    <row r="33" spans="1:33" s="29" customFormat="1" ht="23.25" customHeight="1" x14ac:dyDescent="0.2">
      <c r="A33" s="18">
        <v>43780</v>
      </c>
      <c r="B33" s="19"/>
      <c r="C33" s="20" t="s">
        <v>37</v>
      </c>
      <c r="D33" s="20" t="s">
        <v>38</v>
      </c>
      <c r="E33" s="20" t="s">
        <v>39</v>
      </c>
      <c r="F33" s="21">
        <v>37820</v>
      </c>
      <c r="G33" s="22" t="s">
        <v>953</v>
      </c>
      <c r="H33" s="23"/>
      <c r="I33" s="23"/>
      <c r="J33" s="23"/>
      <c r="K33" s="23">
        <v>186</v>
      </c>
      <c r="L33" s="24"/>
      <c r="M33" s="25">
        <f t="shared" si="0"/>
        <v>166.07142857142856</v>
      </c>
      <c r="N33" s="25">
        <f t="shared" si="1"/>
        <v>19.928571428571427</v>
      </c>
      <c r="O33" s="25">
        <f t="shared" si="2"/>
        <v>0</v>
      </c>
      <c r="P33" s="25">
        <v>166.07</v>
      </c>
      <c r="Q33" s="26"/>
      <c r="R33" s="26"/>
      <c r="S33" s="27"/>
      <c r="T33" s="27"/>
      <c r="U33" s="27"/>
      <c r="V33" s="27"/>
      <c r="W33" s="27"/>
      <c r="X33" s="26"/>
      <c r="Y33" s="26"/>
      <c r="Z33" s="26"/>
      <c r="AA33" s="26"/>
      <c r="AB33" s="27"/>
      <c r="AC33" s="27"/>
      <c r="AD33" s="26"/>
      <c r="AE33" s="26"/>
      <c r="AF33" s="25">
        <f t="shared" si="3"/>
        <v>-185.99857142857141</v>
      </c>
      <c r="AG33" s="28">
        <f t="shared" si="4"/>
        <v>1.4285714285904305E-3</v>
      </c>
    </row>
    <row r="34" spans="1:33" s="29" customFormat="1" ht="23.25" customHeight="1" x14ac:dyDescent="0.2">
      <c r="A34" s="18">
        <v>43781</v>
      </c>
      <c r="B34" s="19"/>
      <c r="C34" s="20" t="s">
        <v>41</v>
      </c>
      <c r="D34" s="20" t="s">
        <v>42</v>
      </c>
      <c r="E34" s="20" t="s">
        <v>43</v>
      </c>
      <c r="F34" s="21">
        <v>153822</v>
      </c>
      <c r="G34" s="21" t="s">
        <v>44</v>
      </c>
      <c r="H34" s="23"/>
      <c r="I34" s="23"/>
      <c r="J34" s="23"/>
      <c r="K34" s="23">
        <v>180</v>
      </c>
      <c r="L34" s="24"/>
      <c r="M34" s="25">
        <f t="shared" si="0"/>
        <v>160.71428571428569</v>
      </c>
      <c r="N34" s="25">
        <f t="shared" si="1"/>
        <v>19.285714285714281</v>
      </c>
      <c r="O34" s="25">
        <f t="shared" si="2"/>
        <v>0</v>
      </c>
      <c r="P34" s="25"/>
      <c r="Q34" s="26">
        <v>160.71</v>
      </c>
      <c r="R34" s="26"/>
      <c r="S34" s="27"/>
      <c r="T34" s="27"/>
      <c r="U34" s="27"/>
      <c r="V34" s="27"/>
      <c r="W34" s="27"/>
      <c r="X34" s="26"/>
      <c r="Y34" s="26"/>
      <c r="Z34" s="26"/>
      <c r="AA34" s="26"/>
      <c r="AB34" s="27"/>
      <c r="AC34" s="27"/>
      <c r="AD34" s="26"/>
      <c r="AE34" s="26"/>
      <c r="AF34" s="25">
        <f t="shared" si="3"/>
        <v>-179.99571428571429</v>
      </c>
      <c r="AG34" s="28">
        <f t="shared" si="4"/>
        <v>4.2857142857144481E-3</v>
      </c>
    </row>
    <row r="35" spans="1:33" s="29" customFormat="1" ht="23.25" customHeight="1" x14ac:dyDescent="0.2">
      <c r="A35" s="18">
        <v>43781</v>
      </c>
      <c r="B35" s="19"/>
      <c r="C35" s="20" t="s">
        <v>37</v>
      </c>
      <c r="D35" s="20" t="s">
        <v>38</v>
      </c>
      <c r="E35" s="20" t="s">
        <v>39</v>
      </c>
      <c r="F35" s="21">
        <v>37843</v>
      </c>
      <c r="G35" s="44" t="s">
        <v>297</v>
      </c>
      <c r="H35" s="23"/>
      <c r="I35" s="23"/>
      <c r="J35" s="23"/>
      <c r="K35" s="23">
        <v>234</v>
      </c>
      <c r="L35" s="24"/>
      <c r="M35" s="25">
        <f t="shared" si="0"/>
        <v>208.92857142857142</v>
      </c>
      <c r="N35" s="25">
        <f t="shared" si="1"/>
        <v>25.071428571428569</v>
      </c>
      <c r="O35" s="25">
        <f t="shared" si="2"/>
        <v>0</v>
      </c>
      <c r="P35" s="25">
        <v>208.93</v>
      </c>
      <c r="Q35" s="26"/>
      <c r="R35" s="26"/>
      <c r="S35" s="27"/>
      <c r="T35" s="27"/>
      <c r="U35" s="27"/>
      <c r="V35" s="27"/>
      <c r="W35" s="27"/>
      <c r="X35" s="26"/>
      <c r="Y35" s="26"/>
      <c r="Z35" s="26"/>
      <c r="AA35" s="26"/>
      <c r="AB35" s="27"/>
      <c r="AC35" s="27"/>
      <c r="AD35" s="26"/>
      <c r="AE35" s="26"/>
      <c r="AF35" s="25">
        <f t="shared" si="3"/>
        <v>-234.00142857142856</v>
      </c>
      <c r="AG35" s="28">
        <f t="shared" si="4"/>
        <v>-1.4285714285620088E-3</v>
      </c>
    </row>
    <row r="36" spans="1:33" s="41" customFormat="1" ht="23.25" customHeight="1" x14ac:dyDescent="0.2">
      <c r="A36" s="30">
        <v>43781</v>
      </c>
      <c r="B36" s="31"/>
      <c r="C36" s="32" t="s">
        <v>58</v>
      </c>
      <c r="D36" s="32"/>
      <c r="E36" s="32"/>
      <c r="F36" s="33"/>
      <c r="G36" s="34" t="s">
        <v>954</v>
      </c>
      <c r="H36" s="35">
        <v>100</v>
      </c>
      <c r="I36" s="35"/>
      <c r="J36" s="35"/>
      <c r="K36" s="35"/>
      <c r="L36" s="36"/>
      <c r="M36" s="37">
        <f t="shared" si="0"/>
        <v>100</v>
      </c>
      <c r="N36" s="37">
        <f t="shared" si="1"/>
        <v>0</v>
      </c>
      <c r="O36" s="37">
        <f t="shared" si="2"/>
        <v>0</v>
      </c>
      <c r="P36" s="37"/>
      <c r="Q36" s="38"/>
      <c r="R36" s="38"/>
      <c r="S36" s="39"/>
      <c r="T36" s="39"/>
      <c r="U36" s="39"/>
      <c r="V36" s="39"/>
      <c r="W36" s="39"/>
      <c r="X36" s="38"/>
      <c r="Y36" s="38"/>
      <c r="Z36" s="38"/>
      <c r="AA36" s="38">
        <v>100</v>
      </c>
      <c r="AB36" s="39"/>
      <c r="AC36" s="39"/>
      <c r="AD36" s="38"/>
      <c r="AE36" s="38"/>
      <c r="AF36" s="37">
        <f t="shared" si="3"/>
        <v>-100</v>
      </c>
      <c r="AG36" s="40">
        <f t="shared" si="4"/>
        <v>0</v>
      </c>
    </row>
    <row r="37" spans="1:33" s="29" customFormat="1" ht="23.25" customHeight="1" x14ac:dyDescent="0.2">
      <c r="A37" s="18">
        <v>43780</v>
      </c>
      <c r="B37" s="19"/>
      <c r="C37" s="20" t="s">
        <v>955</v>
      </c>
      <c r="D37" s="20" t="s">
        <v>527</v>
      </c>
      <c r="E37" s="20" t="s">
        <v>47</v>
      </c>
      <c r="F37" s="21">
        <v>72579</v>
      </c>
      <c r="G37" s="122" t="s">
        <v>956</v>
      </c>
      <c r="H37" s="23"/>
      <c r="I37" s="23"/>
      <c r="J37" s="23"/>
      <c r="K37" s="23">
        <v>1159.25</v>
      </c>
      <c r="L37" s="24"/>
      <c r="M37" s="25">
        <f t="shared" ref="M37:M68" si="5">SUM(H37:J37,K37/1.12)</f>
        <v>1035.0446428571427</v>
      </c>
      <c r="N37" s="25">
        <f t="shared" ref="N37:N68" si="6">K37/1.12*0.12</f>
        <v>124.20535714285711</v>
      </c>
      <c r="O37" s="25">
        <f t="shared" ref="O37:O68" si="7">-SUM(I37:J37,K37/1.12)*L37</f>
        <v>0</v>
      </c>
      <c r="P37" s="25"/>
      <c r="Q37" s="26"/>
      <c r="R37" s="26"/>
      <c r="S37" s="27"/>
      <c r="T37" s="27"/>
      <c r="U37" s="27"/>
      <c r="V37" s="27"/>
      <c r="W37" s="27"/>
      <c r="X37" s="26"/>
      <c r="Y37" s="26">
        <v>1035.04</v>
      </c>
      <c r="Z37" s="26"/>
      <c r="AA37" s="26"/>
      <c r="AB37" s="27"/>
      <c r="AC37" s="27"/>
      <c r="AD37" s="26"/>
      <c r="AE37" s="26"/>
      <c r="AF37" s="25">
        <f t="shared" ref="AF37:AF68" si="8">-SUM(N37:AE37)</f>
        <v>-1159.2453571428571</v>
      </c>
      <c r="AG37" s="28">
        <f t="shared" ref="AG37:AG68" si="9">SUM(H37:K37)+AF37+O37</f>
        <v>4.6428571429260046E-3</v>
      </c>
    </row>
    <row r="38" spans="1:33" s="29" customFormat="1" ht="23.25" customHeight="1" x14ac:dyDescent="0.2">
      <c r="A38" s="18">
        <v>43781</v>
      </c>
      <c r="B38" s="19"/>
      <c r="C38" s="20" t="s">
        <v>58</v>
      </c>
      <c r="D38" s="20"/>
      <c r="E38" s="20"/>
      <c r="F38" s="21"/>
      <c r="G38" s="21" t="s">
        <v>957</v>
      </c>
      <c r="H38" s="23"/>
      <c r="I38" s="23"/>
      <c r="J38" s="23">
        <v>300</v>
      </c>
      <c r="K38" s="23"/>
      <c r="L38" s="24"/>
      <c r="M38" s="25">
        <f t="shared" si="5"/>
        <v>300</v>
      </c>
      <c r="N38" s="25">
        <f t="shared" si="6"/>
        <v>0</v>
      </c>
      <c r="O38" s="25">
        <f t="shared" si="7"/>
        <v>0</v>
      </c>
      <c r="P38" s="25"/>
      <c r="Q38" s="26"/>
      <c r="R38" s="26"/>
      <c r="S38" s="27">
        <v>300</v>
      </c>
      <c r="T38" s="27"/>
      <c r="U38" s="27"/>
      <c r="V38" s="27"/>
      <c r="W38" s="27"/>
      <c r="X38" s="26"/>
      <c r="Y38" s="26"/>
      <c r="Z38" s="26"/>
      <c r="AA38" s="26"/>
      <c r="AB38" s="27"/>
      <c r="AC38" s="27"/>
      <c r="AD38" s="26"/>
      <c r="AE38" s="26"/>
      <c r="AF38" s="25">
        <f t="shared" si="8"/>
        <v>-300</v>
      </c>
      <c r="AG38" s="28">
        <f t="shared" si="9"/>
        <v>0</v>
      </c>
    </row>
    <row r="39" spans="1:33" s="29" customFormat="1" ht="23.25" customHeight="1" x14ac:dyDescent="0.2">
      <c r="A39" s="18">
        <v>43782</v>
      </c>
      <c r="B39" s="19"/>
      <c r="C39" s="20" t="s">
        <v>54</v>
      </c>
      <c r="D39" s="20" t="s">
        <v>55</v>
      </c>
      <c r="E39" s="20" t="s">
        <v>56</v>
      </c>
      <c r="F39" s="21">
        <v>3329</v>
      </c>
      <c r="G39" s="21" t="s">
        <v>626</v>
      </c>
      <c r="H39" s="23"/>
      <c r="I39" s="23"/>
      <c r="J39" s="23">
        <v>660</v>
      </c>
      <c r="K39" s="23"/>
      <c r="L39" s="24"/>
      <c r="M39" s="25">
        <f t="shared" si="5"/>
        <v>660</v>
      </c>
      <c r="N39" s="25">
        <f t="shared" si="6"/>
        <v>0</v>
      </c>
      <c r="O39" s="25">
        <f t="shared" si="7"/>
        <v>0</v>
      </c>
      <c r="P39" s="25">
        <v>660</v>
      </c>
      <c r="Q39" s="26"/>
      <c r="R39" s="26"/>
      <c r="S39" s="27"/>
      <c r="T39" s="27"/>
      <c r="U39" s="27"/>
      <c r="V39" s="27"/>
      <c r="W39" s="27"/>
      <c r="X39" s="26"/>
      <c r="Y39" s="26"/>
      <c r="Z39" s="26"/>
      <c r="AA39" s="26"/>
      <c r="AB39" s="27"/>
      <c r="AC39" s="27"/>
      <c r="AD39" s="26"/>
      <c r="AE39" s="26"/>
      <c r="AF39" s="25">
        <f t="shared" si="8"/>
        <v>-660</v>
      </c>
      <c r="AG39" s="28">
        <f t="shared" si="9"/>
        <v>0</v>
      </c>
    </row>
    <row r="40" spans="1:33" s="29" customFormat="1" ht="23.25" customHeight="1" x14ac:dyDescent="0.2">
      <c r="A40" s="18">
        <v>43782</v>
      </c>
      <c r="B40" s="19"/>
      <c r="C40" s="20" t="s">
        <v>933</v>
      </c>
      <c r="D40" s="20" t="s">
        <v>934</v>
      </c>
      <c r="E40" s="20" t="s">
        <v>935</v>
      </c>
      <c r="F40" s="21">
        <v>5492</v>
      </c>
      <c r="G40" s="21" t="s">
        <v>958</v>
      </c>
      <c r="H40" s="23"/>
      <c r="I40" s="23"/>
      <c r="J40" s="23">
        <v>1122</v>
      </c>
      <c r="K40" s="23"/>
      <c r="L40" s="24"/>
      <c r="M40" s="25">
        <f t="shared" si="5"/>
        <v>1122</v>
      </c>
      <c r="N40" s="25">
        <f t="shared" si="6"/>
        <v>0</v>
      </c>
      <c r="O40" s="25">
        <f t="shared" si="7"/>
        <v>0</v>
      </c>
      <c r="P40" s="25">
        <v>1122</v>
      </c>
      <c r="Q40" s="26"/>
      <c r="R40" s="26"/>
      <c r="S40" s="27"/>
      <c r="T40" s="27"/>
      <c r="U40" s="27"/>
      <c r="V40" s="27"/>
      <c r="W40" s="27"/>
      <c r="X40" s="26"/>
      <c r="Y40" s="26"/>
      <c r="Z40" s="26"/>
      <c r="AA40" s="26"/>
      <c r="AB40" s="27"/>
      <c r="AC40" s="27"/>
      <c r="AD40" s="26"/>
      <c r="AE40" s="26"/>
      <c r="AF40" s="25">
        <f t="shared" si="8"/>
        <v>-1122</v>
      </c>
      <c r="AG40" s="28">
        <f t="shared" si="9"/>
        <v>0</v>
      </c>
    </row>
    <row r="41" spans="1:33" s="29" customFormat="1" ht="23.25" customHeight="1" x14ac:dyDescent="0.2">
      <c r="A41" s="18">
        <v>43782</v>
      </c>
      <c r="B41" s="19"/>
      <c r="C41" s="20" t="s">
        <v>58</v>
      </c>
      <c r="D41" s="20"/>
      <c r="E41" s="20"/>
      <c r="F41" s="21"/>
      <c r="G41" s="21" t="s">
        <v>294</v>
      </c>
      <c r="H41" s="23">
        <v>100</v>
      </c>
      <c r="I41" s="23"/>
      <c r="J41" s="23"/>
      <c r="K41" s="23"/>
      <c r="L41" s="24"/>
      <c r="M41" s="25">
        <f t="shared" si="5"/>
        <v>100</v>
      </c>
      <c r="N41" s="25">
        <f t="shared" si="6"/>
        <v>0</v>
      </c>
      <c r="O41" s="25">
        <f t="shared" si="7"/>
        <v>0</v>
      </c>
      <c r="P41" s="25"/>
      <c r="Q41" s="26"/>
      <c r="R41" s="26"/>
      <c r="S41" s="27"/>
      <c r="T41" s="27"/>
      <c r="U41" s="27"/>
      <c r="V41" s="27"/>
      <c r="W41" s="27"/>
      <c r="X41" s="26"/>
      <c r="Y41" s="26"/>
      <c r="Z41" s="26"/>
      <c r="AA41" s="26">
        <v>100</v>
      </c>
      <c r="AB41" s="27"/>
      <c r="AC41" s="27"/>
      <c r="AD41" s="26"/>
      <c r="AE41" s="26"/>
      <c r="AF41" s="25">
        <f t="shared" si="8"/>
        <v>-100</v>
      </c>
      <c r="AG41" s="28">
        <f t="shared" si="9"/>
        <v>0</v>
      </c>
    </row>
    <row r="42" spans="1:33" s="29" customFormat="1" ht="23.25" customHeight="1" x14ac:dyDescent="0.2">
      <c r="A42" s="18">
        <v>43782</v>
      </c>
      <c r="B42" s="19"/>
      <c r="C42" s="20" t="s">
        <v>37</v>
      </c>
      <c r="D42" s="20" t="s">
        <v>38</v>
      </c>
      <c r="E42" s="20" t="s">
        <v>39</v>
      </c>
      <c r="F42" s="21">
        <v>99488</v>
      </c>
      <c r="G42" s="21" t="s">
        <v>959</v>
      </c>
      <c r="H42" s="23"/>
      <c r="I42" s="23"/>
      <c r="J42" s="23"/>
      <c r="K42" s="23">
        <v>89.5</v>
      </c>
      <c r="L42" s="24"/>
      <c r="M42" s="25">
        <f t="shared" si="5"/>
        <v>79.910714285714278</v>
      </c>
      <c r="N42" s="25">
        <f t="shared" si="6"/>
        <v>9.5892857142857135</v>
      </c>
      <c r="O42" s="25">
        <f t="shared" si="7"/>
        <v>0</v>
      </c>
      <c r="P42" s="25">
        <v>79.91</v>
      </c>
      <c r="Q42" s="26"/>
      <c r="R42" s="26"/>
      <c r="S42" s="27"/>
      <c r="T42" s="27"/>
      <c r="U42" s="27"/>
      <c r="V42" s="27"/>
      <c r="W42" s="27"/>
      <c r="X42" s="26"/>
      <c r="Y42" s="26"/>
      <c r="Z42" s="26"/>
      <c r="AA42" s="26"/>
      <c r="AB42" s="27"/>
      <c r="AC42" s="27"/>
      <c r="AD42" s="26"/>
      <c r="AE42" s="26"/>
      <c r="AF42" s="25">
        <f t="shared" si="8"/>
        <v>-89.499285714285705</v>
      </c>
      <c r="AG42" s="28">
        <f t="shared" si="9"/>
        <v>7.1428571429521526E-4</v>
      </c>
    </row>
    <row r="43" spans="1:33" s="29" customFormat="1" ht="23.25" customHeight="1" x14ac:dyDescent="0.2">
      <c r="A43" s="18">
        <v>43782</v>
      </c>
      <c r="B43" s="19"/>
      <c r="C43" s="20" t="s">
        <v>41</v>
      </c>
      <c r="D43" s="20" t="s">
        <v>42</v>
      </c>
      <c r="E43" s="20" t="s">
        <v>43</v>
      </c>
      <c r="F43" s="21">
        <v>153868</v>
      </c>
      <c r="G43" s="21" t="s">
        <v>44</v>
      </c>
      <c r="H43" s="23"/>
      <c r="I43" s="23"/>
      <c r="J43" s="23"/>
      <c r="K43" s="23">
        <v>180</v>
      </c>
      <c r="L43" s="24"/>
      <c r="M43" s="25">
        <f t="shared" si="5"/>
        <v>160.71428571428569</v>
      </c>
      <c r="N43" s="25">
        <f t="shared" si="6"/>
        <v>19.285714285714281</v>
      </c>
      <c r="O43" s="25">
        <f t="shared" si="7"/>
        <v>0</v>
      </c>
      <c r="P43" s="25"/>
      <c r="Q43" s="26">
        <v>160.71</v>
      </c>
      <c r="R43" s="26"/>
      <c r="S43" s="27"/>
      <c r="T43" s="27"/>
      <c r="U43" s="27"/>
      <c r="V43" s="27"/>
      <c r="W43" s="27"/>
      <c r="X43" s="26"/>
      <c r="Y43" s="26"/>
      <c r="Z43" s="26"/>
      <c r="AA43" s="26"/>
      <c r="AB43" s="27"/>
      <c r="AC43" s="27"/>
      <c r="AD43" s="26"/>
      <c r="AE43" s="26"/>
      <c r="AF43" s="25">
        <f t="shared" si="8"/>
        <v>-179.99571428571429</v>
      </c>
      <c r="AG43" s="28">
        <f t="shared" si="9"/>
        <v>4.2857142857144481E-3</v>
      </c>
    </row>
    <row r="44" spans="1:33" s="29" customFormat="1" ht="23.25" customHeight="1" x14ac:dyDescent="0.2">
      <c r="A44" s="18">
        <v>43782</v>
      </c>
      <c r="B44" s="19"/>
      <c r="C44" s="20" t="s">
        <v>45</v>
      </c>
      <c r="D44" s="20" t="s">
        <v>847</v>
      </c>
      <c r="E44" s="20" t="s">
        <v>47</v>
      </c>
      <c r="F44" s="21">
        <v>204865</v>
      </c>
      <c r="G44" s="22" t="s">
        <v>960</v>
      </c>
      <c r="H44" s="23"/>
      <c r="I44" s="23"/>
      <c r="J44" s="23"/>
      <c r="K44" s="23">
        <v>1240.9000000000001</v>
      </c>
      <c r="L44" s="24"/>
      <c r="M44" s="25">
        <f t="shared" si="5"/>
        <v>1107.9464285714284</v>
      </c>
      <c r="N44" s="25">
        <f t="shared" si="6"/>
        <v>132.95357142857142</v>
      </c>
      <c r="O44" s="25">
        <f t="shared" si="7"/>
        <v>0</v>
      </c>
      <c r="P44" s="25">
        <v>1107.95</v>
      </c>
      <c r="Q44" s="26"/>
      <c r="R44" s="26"/>
      <c r="S44" s="27"/>
      <c r="T44" s="27"/>
      <c r="U44" s="27"/>
      <c r="V44" s="27"/>
      <c r="W44" s="27"/>
      <c r="X44" s="26"/>
      <c r="Y44" s="26"/>
      <c r="Z44" s="26"/>
      <c r="AA44" s="26"/>
      <c r="AB44" s="27"/>
      <c r="AC44" s="27"/>
      <c r="AD44" s="26"/>
      <c r="AE44" s="26"/>
      <c r="AF44" s="25">
        <f t="shared" si="8"/>
        <v>-1240.9035714285715</v>
      </c>
      <c r="AG44" s="28">
        <f t="shared" si="9"/>
        <v>-3.5714285713766003E-3</v>
      </c>
    </row>
    <row r="45" spans="1:33" s="29" customFormat="1" ht="23.25" customHeight="1" x14ac:dyDescent="0.2">
      <c r="A45" s="18">
        <v>43782</v>
      </c>
      <c r="B45" s="19"/>
      <c r="C45" s="20" t="s">
        <v>220</v>
      </c>
      <c r="D45" s="20"/>
      <c r="E45" s="20"/>
      <c r="F45" s="21"/>
      <c r="G45" s="22" t="s">
        <v>961</v>
      </c>
      <c r="H45" s="23"/>
      <c r="I45" s="23"/>
      <c r="J45" s="23">
        <v>300</v>
      </c>
      <c r="K45" s="23"/>
      <c r="L45" s="24"/>
      <c r="M45" s="25">
        <f t="shared" si="5"/>
        <v>300</v>
      </c>
      <c r="N45" s="25">
        <f t="shared" si="6"/>
        <v>0</v>
      </c>
      <c r="O45" s="25">
        <f t="shared" si="7"/>
        <v>0</v>
      </c>
      <c r="P45" s="25">
        <v>300</v>
      </c>
      <c r="Q45" s="26"/>
      <c r="R45" s="26"/>
      <c r="S45" s="27"/>
      <c r="T45" s="27"/>
      <c r="U45" s="27"/>
      <c r="V45" s="27"/>
      <c r="W45" s="27"/>
      <c r="X45" s="26"/>
      <c r="Y45" s="26"/>
      <c r="Z45" s="26"/>
      <c r="AA45" s="26"/>
      <c r="AB45" s="27"/>
      <c r="AC45" s="27"/>
      <c r="AD45" s="26"/>
      <c r="AE45" s="26"/>
      <c r="AF45" s="25">
        <f t="shared" si="8"/>
        <v>-300</v>
      </c>
      <c r="AG45" s="28">
        <f t="shared" si="9"/>
        <v>0</v>
      </c>
    </row>
    <row r="46" spans="1:33" s="29" customFormat="1" ht="23.25" customHeight="1" x14ac:dyDescent="0.2">
      <c r="A46" s="18">
        <v>43783</v>
      </c>
      <c r="B46" s="19"/>
      <c r="C46" s="20" t="s">
        <v>41</v>
      </c>
      <c r="D46" s="20" t="s">
        <v>42</v>
      </c>
      <c r="E46" s="20" t="s">
        <v>43</v>
      </c>
      <c r="F46" s="21">
        <v>159117</v>
      </c>
      <c r="G46" s="21" t="s">
        <v>44</v>
      </c>
      <c r="H46" s="23"/>
      <c r="I46" s="23"/>
      <c r="J46" s="23"/>
      <c r="K46" s="23">
        <v>180</v>
      </c>
      <c r="L46" s="24"/>
      <c r="M46" s="25">
        <f t="shared" si="5"/>
        <v>160.71428571428569</v>
      </c>
      <c r="N46" s="25">
        <f t="shared" si="6"/>
        <v>19.285714285714281</v>
      </c>
      <c r="O46" s="25">
        <f t="shared" si="7"/>
        <v>0</v>
      </c>
      <c r="P46" s="25"/>
      <c r="Q46" s="26">
        <v>160.71</v>
      </c>
      <c r="R46" s="26"/>
      <c r="S46" s="27"/>
      <c r="T46" s="27"/>
      <c r="U46" s="27"/>
      <c r="V46" s="27"/>
      <c r="W46" s="27"/>
      <c r="X46" s="26"/>
      <c r="Y46" s="26"/>
      <c r="Z46" s="26"/>
      <c r="AA46" s="26"/>
      <c r="AB46" s="27"/>
      <c r="AC46" s="27"/>
      <c r="AD46" s="26"/>
      <c r="AE46" s="26"/>
      <c r="AF46" s="25">
        <f t="shared" si="8"/>
        <v>-179.99571428571429</v>
      </c>
      <c r="AG46" s="28">
        <f t="shared" si="9"/>
        <v>4.2857142857144481E-3</v>
      </c>
    </row>
    <row r="47" spans="1:33" s="29" customFormat="1" ht="23.25" customHeight="1" x14ac:dyDescent="0.2">
      <c r="A47" s="18">
        <v>43783</v>
      </c>
      <c r="B47" s="19"/>
      <c r="C47" s="20" t="s">
        <v>37</v>
      </c>
      <c r="D47" s="20" t="s">
        <v>38</v>
      </c>
      <c r="E47" s="20" t="s">
        <v>39</v>
      </c>
      <c r="F47" s="21">
        <v>37887</v>
      </c>
      <c r="G47" s="22" t="s">
        <v>962</v>
      </c>
      <c r="H47" s="23"/>
      <c r="I47" s="23"/>
      <c r="J47" s="23"/>
      <c r="K47" s="23">
        <v>252</v>
      </c>
      <c r="L47" s="24"/>
      <c r="M47" s="25">
        <f t="shared" si="5"/>
        <v>224.99999999999997</v>
      </c>
      <c r="N47" s="25">
        <f t="shared" si="6"/>
        <v>26.999999999999996</v>
      </c>
      <c r="O47" s="25">
        <f t="shared" si="7"/>
        <v>0</v>
      </c>
      <c r="P47" s="25">
        <v>225</v>
      </c>
      <c r="Q47" s="26"/>
      <c r="R47" s="26"/>
      <c r="S47" s="27"/>
      <c r="T47" s="27"/>
      <c r="U47" s="27"/>
      <c r="V47" s="27"/>
      <c r="W47" s="27"/>
      <c r="X47" s="26"/>
      <c r="Y47" s="26"/>
      <c r="Z47" s="26"/>
      <c r="AA47" s="26"/>
      <c r="AB47" s="27"/>
      <c r="AC47" s="27"/>
      <c r="AD47" s="26"/>
      <c r="AE47" s="26"/>
      <c r="AF47" s="25">
        <f t="shared" si="8"/>
        <v>-252</v>
      </c>
      <c r="AG47" s="28">
        <f t="shared" si="9"/>
        <v>0</v>
      </c>
    </row>
    <row r="48" spans="1:33" s="29" customFormat="1" ht="23.25" customHeight="1" x14ac:dyDescent="0.2">
      <c r="A48" s="18">
        <v>43783</v>
      </c>
      <c r="B48" s="19"/>
      <c r="C48" s="20" t="s">
        <v>45</v>
      </c>
      <c r="D48" s="20" t="s">
        <v>847</v>
      </c>
      <c r="E48" s="20" t="s">
        <v>47</v>
      </c>
      <c r="F48" s="21">
        <v>254425</v>
      </c>
      <c r="G48" s="22" t="s">
        <v>963</v>
      </c>
      <c r="H48" s="23"/>
      <c r="I48" s="23"/>
      <c r="J48" s="23"/>
      <c r="K48" s="23">
        <f>866.29+103.96</f>
        <v>970.25</v>
      </c>
      <c r="L48" s="24"/>
      <c r="M48" s="25">
        <f t="shared" si="5"/>
        <v>866.29464285714278</v>
      </c>
      <c r="N48" s="25">
        <f t="shared" si="6"/>
        <v>103.95535714285712</v>
      </c>
      <c r="O48" s="25">
        <f t="shared" si="7"/>
        <v>0</v>
      </c>
      <c r="P48" s="25">
        <v>866.29</v>
      </c>
      <c r="Q48" s="26"/>
      <c r="R48" s="26"/>
      <c r="S48" s="27"/>
      <c r="T48" s="27"/>
      <c r="U48" s="27"/>
      <c r="V48" s="27"/>
      <c r="W48" s="27"/>
      <c r="X48" s="26"/>
      <c r="Y48" s="26"/>
      <c r="Z48" s="26"/>
      <c r="AA48" s="26"/>
      <c r="AB48" s="27"/>
      <c r="AC48" s="27"/>
      <c r="AD48" s="26"/>
      <c r="AE48" s="26"/>
      <c r="AF48" s="25">
        <f t="shared" si="8"/>
        <v>-970.24535714285707</v>
      </c>
      <c r="AG48" s="28">
        <f t="shared" si="9"/>
        <v>4.6428571429260046E-3</v>
      </c>
    </row>
    <row r="49" spans="1:33" s="29" customFormat="1" ht="23.25" customHeight="1" x14ac:dyDescent="0.2">
      <c r="A49" s="18">
        <v>43783</v>
      </c>
      <c r="B49" s="19"/>
      <c r="C49" s="20" t="s">
        <v>45</v>
      </c>
      <c r="D49" s="20" t="s">
        <v>847</v>
      </c>
      <c r="E49" s="20" t="s">
        <v>47</v>
      </c>
      <c r="F49" s="21">
        <v>254425</v>
      </c>
      <c r="G49" s="22" t="s">
        <v>964</v>
      </c>
      <c r="H49" s="23"/>
      <c r="I49" s="23"/>
      <c r="J49" s="23">
        <v>673.5</v>
      </c>
      <c r="K49" s="23"/>
      <c r="L49" s="24"/>
      <c r="M49" s="25">
        <f t="shared" si="5"/>
        <v>673.5</v>
      </c>
      <c r="N49" s="25">
        <f t="shared" si="6"/>
        <v>0</v>
      </c>
      <c r="O49" s="25">
        <f t="shared" si="7"/>
        <v>0</v>
      </c>
      <c r="P49" s="25">
        <v>673.5</v>
      </c>
      <c r="Q49" s="26"/>
      <c r="R49" s="26"/>
      <c r="S49" s="27"/>
      <c r="T49" s="27"/>
      <c r="U49" s="27"/>
      <c r="V49" s="27"/>
      <c r="W49" s="27"/>
      <c r="X49" s="26"/>
      <c r="Y49" s="26"/>
      <c r="Z49" s="26"/>
      <c r="AA49" s="26"/>
      <c r="AB49" s="27"/>
      <c r="AC49" s="27"/>
      <c r="AD49" s="26"/>
      <c r="AE49" s="26"/>
      <c r="AF49" s="25">
        <f t="shared" si="8"/>
        <v>-673.5</v>
      </c>
      <c r="AG49" s="28">
        <f t="shared" si="9"/>
        <v>0</v>
      </c>
    </row>
    <row r="50" spans="1:33" s="29" customFormat="1" ht="23.25" customHeight="1" x14ac:dyDescent="0.2">
      <c r="A50" s="18">
        <v>43783</v>
      </c>
      <c r="B50" s="19"/>
      <c r="C50" s="20" t="s">
        <v>37</v>
      </c>
      <c r="D50" s="20" t="s">
        <v>38</v>
      </c>
      <c r="E50" s="20" t="s">
        <v>39</v>
      </c>
      <c r="F50" s="21">
        <v>37903</v>
      </c>
      <c r="G50" s="21" t="s">
        <v>965</v>
      </c>
      <c r="H50" s="23"/>
      <c r="I50" s="23"/>
      <c r="J50" s="23"/>
      <c r="K50" s="23">
        <v>270</v>
      </c>
      <c r="L50" s="24"/>
      <c r="M50" s="25">
        <f t="shared" si="5"/>
        <v>241.07142857142856</v>
      </c>
      <c r="N50" s="25">
        <f t="shared" si="6"/>
        <v>28.928571428571427</v>
      </c>
      <c r="O50" s="25">
        <f t="shared" si="7"/>
        <v>0</v>
      </c>
      <c r="P50" s="25">
        <v>241.07</v>
      </c>
      <c r="Q50" s="26"/>
      <c r="R50" s="26"/>
      <c r="S50" s="27"/>
      <c r="T50" s="27"/>
      <c r="U50" s="27"/>
      <c r="V50" s="27"/>
      <c r="W50" s="27"/>
      <c r="X50" s="26"/>
      <c r="Y50" s="26"/>
      <c r="Z50" s="26"/>
      <c r="AA50" s="26"/>
      <c r="AB50" s="27"/>
      <c r="AC50" s="27"/>
      <c r="AD50" s="26"/>
      <c r="AE50" s="26"/>
      <c r="AF50" s="25">
        <f t="shared" si="8"/>
        <v>-269.99857142857144</v>
      </c>
      <c r="AG50" s="28">
        <f t="shared" si="9"/>
        <v>1.4285714285620088E-3</v>
      </c>
    </row>
    <row r="51" spans="1:33" s="29" customFormat="1" ht="23.25" customHeight="1" x14ac:dyDescent="0.2">
      <c r="A51" s="18">
        <v>43783</v>
      </c>
      <c r="B51" s="19"/>
      <c r="C51" s="20" t="s">
        <v>45</v>
      </c>
      <c r="D51" s="20" t="s">
        <v>847</v>
      </c>
      <c r="E51" s="20" t="s">
        <v>47</v>
      </c>
      <c r="F51" s="21">
        <v>135099</v>
      </c>
      <c r="G51" s="22" t="s">
        <v>966</v>
      </c>
      <c r="H51" s="23"/>
      <c r="I51" s="23"/>
      <c r="J51" s="23"/>
      <c r="K51" s="23">
        <f>213.57+25.63</f>
        <v>239.2</v>
      </c>
      <c r="L51" s="24"/>
      <c r="M51" s="25">
        <f t="shared" si="5"/>
        <v>213.57142857142853</v>
      </c>
      <c r="N51" s="25">
        <f t="shared" si="6"/>
        <v>25.628571428571423</v>
      </c>
      <c r="O51" s="25">
        <f t="shared" si="7"/>
        <v>0</v>
      </c>
      <c r="P51" s="25">
        <v>213.57</v>
      </c>
      <c r="Q51" s="26"/>
      <c r="R51" s="26"/>
      <c r="S51" s="27"/>
      <c r="T51" s="27"/>
      <c r="U51" s="27"/>
      <c r="V51" s="27"/>
      <c r="W51" s="27"/>
      <c r="X51" s="26"/>
      <c r="Y51" s="26"/>
      <c r="Z51" s="26"/>
      <c r="AA51" s="26"/>
      <c r="AB51" s="27"/>
      <c r="AC51" s="27"/>
      <c r="AD51" s="26"/>
      <c r="AE51" s="26"/>
      <c r="AF51" s="25">
        <f t="shared" si="8"/>
        <v>-239.19857142857143</v>
      </c>
      <c r="AG51" s="28">
        <f t="shared" si="9"/>
        <v>1.4285714285620088E-3</v>
      </c>
    </row>
    <row r="52" spans="1:33" s="29" customFormat="1" ht="23.25" customHeight="1" x14ac:dyDescent="0.2">
      <c r="A52" s="18">
        <v>43783</v>
      </c>
      <c r="B52" s="19"/>
      <c r="C52" s="20" t="s">
        <v>45</v>
      </c>
      <c r="D52" s="20" t="s">
        <v>847</v>
      </c>
      <c r="E52" s="20" t="s">
        <v>47</v>
      </c>
      <c r="F52" s="21">
        <v>135099</v>
      </c>
      <c r="G52" s="22" t="s">
        <v>967</v>
      </c>
      <c r="H52" s="23"/>
      <c r="I52" s="23"/>
      <c r="J52" s="23">
        <v>514.79999999999995</v>
      </c>
      <c r="K52" s="23"/>
      <c r="L52" s="24"/>
      <c r="M52" s="25">
        <f t="shared" si="5"/>
        <v>514.79999999999995</v>
      </c>
      <c r="N52" s="25">
        <f t="shared" si="6"/>
        <v>0</v>
      </c>
      <c r="O52" s="25">
        <f t="shared" si="7"/>
        <v>0</v>
      </c>
      <c r="P52" s="25">
        <v>514.79999999999995</v>
      </c>
      <c r="Q52" s="26"/>
      <c r="R52" s="26"/>
      <c r="S52" s="27"/>
      <c r="T52" s="27"/>
      <c r="U52" s="27"/>
      <c r="V52" s="27"/>
      <c r="W52" s="27"/>
      <c r="X52" s="26"/>
      <c r="Y52" s="26"/>
      <c r="Z52" s="26"/>
      <c r="AA52" s="26"/>
      <c r="AB52" s="27"/>
      <c r="AC52" s="27"/>
      <c r="AD52" s="26"/>
      <c r="AE52" s="26"/>
      <c r="AF52" s="25">
        <f t="shared" si="8"/>
        <v>-514.79999999999995</v>
      </c>
      <c r="AG52" s="28">
        <f t="shared" si="9"/>
        <v>0</v>
      </c>
    </row>
    <row r="53" spans="1:33" s="29" customFormat="1" ht="23.25" customHeight="1" x14ac:dyDescent="0.2">
      <c r="A53" s="18">
        <v>43783</v>
      </c>
      <c r="B53" s="19"/>
      <c r="C53" s="20" t="s">
        <v>842</v>
      </c>
      <c r="D53" s="20"/>
      <c r="E53" s="20"/>
      <c r="F53" s="21"/>
      <c r="G53" s="21" t="s">
        <v>968</v>
      </c>
      <c r="H53" s="23">
        <v>200</v>
      </c>
      <c r="I53" s="23"/>
      <c r="J53" s="23"/>
      <c r="K53" s="23"/>
      <c r="L53" s="24"/>
      <c r="M53" s="25">
        <f t="shared" si="5"/>
        <v>200</v>
      </c>
      <c r="N53" s="25">
        <f t="shared" si="6"/>
        <v>0</v>
      </c>
      <c r="O53" s="25">
        <f t="shared" si="7"/>
        <v>0</v>
      </c>
      <c r="P53" s="25"/>
      <c r="Q53" s="26"/>
      <c r="R53" s="26"/>
      <c r="S53" s="27"/>
      <c r="T53" s="27"/>
      <c r="U53" s="27"/>
      <c r="V53" s="27"/>
      <c r="W53" s="27"/>
      <c r="X53" s="26"/>
      <c r="Y53" s="26"/>
      <c r="Z53" s="26"/>
      <c r="AA53" s="26"/>
      <c r="AB53" s="27"/>
      <c r="AC53" s="27"/>
      <c r="AD53" s="26">
        <v>200</v>
      </c>
      <c r="AE53" s="26"/>
      <c r="AF53" s="25">
        <f t="shared" si="8"/>
        <v>-200</v>
      </c>
      <c r="AG53" s="28">
        <f t="shared" si="9"/>
        <v>0</v>
      </c>
    </row>
    <row r="54" spans="1:33" s="29" customFormat="1" ht="23.25" customHeight="1" x14ac:dyDescent="0.2">
      <c r="A54" s="18">
        <v>43783</v>
      </c>
      <c r="B54" s="19"/>
      <c r="C54" s="20" t="s">
        <v>945</v>
      </c>
      <c r="D54" s="20" t="s">
        <v>115</v>
      </c>
      <c r="E54" s="20" t="s">
        <v>47</v>
      </c>
      <c r="F54" s="21">
        <v>10224974</v>
      </c>
      <c r="G54" s="21" t="s">
        <v>969</v>
      </c>
      <c r="H54" s="23"/>
      <c r="I54" s="23"/>
      <c r="J54" s="23"/>
      <c r="K54" s="23">
        <v>1241.8900000000001</v>
      </c>
      <c r="L54" s="24"/>
      <c r="M54" s="25">
        <f t="shared" si="5"/>
        <v>1108.8303571428571</v>
      </c>
      <c r="N54" s="25">
        <f t="shared" si="6"/>
        <v>133.05964285714285</v>
      </c>
      <c r="O54" s="25">
        <f t="shared" si="7"/>
        <v>0</v>
      </c>
      <c r="P54" s="25">
        <v>1108.83</v>
      </c>
      <c r="Q54" s="26"/>
      <c r="R54" s="26"/>
      <c r="S54" s="27"/>
      <c r="T54" s="27"/>
      <c r="U54" s="27"/>
      <c r="V54" s="27"/>
      <c r="W54" s="27"/>
      <c r="X54" s="26"/>
      <c r="Y54" s="26"/>
      <c r="Z54" s="26"/>
      <c r="AA54" s="26"/>
      <c r="AB54" s="27"/>
      <c r="AC54" s="27"/>
      <c r="AD54" s="26"/>
      <c r="AE54" s="26"/>
      <c r="AF54" s="25">
        <f t="shared" si="8"/>
        <v>-1241.8896428571427</v>
      </c>
      <c r="AG54" s="28">
        <f t="shared" si="9"/>
        <v>3.5714285741050844E-4</v>
      </c>
    </row>
    <row r="55" spans="1:33" s="29" customFormat="1" ht="23.25" customHeight="1" x14ac:dyDescent="0.2">
      <c r="A55" s="18">
        <v>43784</v>
      </c>
      <c r="B55" s="19"/>
      <c r="C55" s="20" t="s">
        <v>45</v>
      </c>
      <c r="D55" s="20" t="s">
        <v>847</v>
      </c>
      <c r="E55" s="20" t="s">
        <v>47</v>
      </c>
      <c r="F55" s="21">
        <v>249423</v>
      </c>
      <c r="G55" s="22" t="s">
        <v>970</v>
      </c>
      <c r="H55" s="23"/>
      <c r="I55" s="23"/>
      <c r="J55" s="23"/>
      <c r="K55" s="23">
        <v>62.5</v>
      </c>
      <c r="L55" s="24"/>
      <c r="M55" s="25">
        <f t="shared" si="5"/>
        <v>55.803571428571423</v>
      </c>
      <c r="N55" s="25">
        <f t="shared" si="6"/>
        <v>6.6964285714285703</v>
      </c>
      <c r="O55" s="25">
        <f t="shared" si="7"/>
        <v>0</v>
      </c>
      <c r="P55" s="25">
        <v>55.8</v>
      </c>
      <c r="Q55" s="26"/>
      <c r="R55" s="26"/>
      <c r="S55" s="27"/>
      <c r="T55" s="27"/>
      <c r="U55" s="27"/>
      <c r="V55" s="27"/>
      <c r="W55" s="27"/>
      <c r="X55" s="26"/>
      <c r="Y55" s="26"/>
      <c r="Z55" s="26"/>
      <c r="AA55" s="26"/>
      <c r="AB55" s="27"/>
      <c r="AC55" s="27"/>
      <c r="AD55" s="26"/>
      <c r="AE55" s="26"/>
      <c r="AF55" s="25">
        <f t="shared" si="8"/>
        <v>-62.496428571428567</v>
      </c>
      <c r="AG55" s="28">
        <f t="shared" si="9"/>
        <v>3.5714285714334437E-3</v>
      </c>
    </row>
    <row r="56" spans="1:33" s="29" customFormat="1" ht="23.25" customHeight="1" x14ac:dyDescent="0.2">
      <c r="A56" s="18">
        <v>43784</v>
      </c>
      <c r="B56" s="19"/>
      <c r="C56" s="20" t="s">
        <v>45</v>
      </c>
      <c r="D56" s="20" t="s">
        <v>847</v>
      </c>
      <c r="E56" s="20" t="s">
        <v>47</v>
      </c>
      <c r="F56" s="21">
        <v>249423</v>
      </c>
      <c r="G56" s="22" t="s">
        <v>971</v>
      </c>
      <c r="H56" s="23"/>
      <c r="I56" s="23"/>
      <c r="J56" s="23">
        <v>621.95000000000005</v>
      </c>
      <c r="K56" s="23"/>
      <c r="L56" s="24"/>
      <c r="M56" s="25">
        <f t="shared" si="5"/>
        <v>621.95000000000005</v>
      </c>
      <c r="N56" s="25">
        <f t="shared" si="6"/>
        <v>0</v>
      </c>
      <c r="O56" s="25">
        <f t="shared" si="7"/>
        <v>0</v>
      </c>
      <c r="P56" s="25">
        <v>621.95000000000005</v>
      </c>
      <c r="Q56" s="26"/>
      <c r="R56" s="26"/>
      <c r="S56" s="27"/>
      <c r="T56" s="27"/>
      <c r="U56" s="27"/>
      <c r="V56" s="27"/>
      <c r="W56" s="27"/>
      <c r="X56" s="26"/>
      <c r="Y56" s="26"/>
      <c r="Z56" s="26"/>
      <c r="AA56" s="26"/>
      <c r="AB56" s="27"/>
      <c r="AC56" s="27"/>
      <c r="AD56" s="26"/>
      <c r="AE56" s="26"/>
      <c r="AF56" s="25">
        <f t="shared" si="8"/>
        <v>-621.95000000000005</v>
      </c>
      <c r="AG56" s="28">
        <f t="shared" si="9"/>
        <v>0</v>
      </c>
    </row>
    <row r="57" spans="1:33" s="29" customFormat="1" ht="23.25" customHeight="1" x14ac:dyDescent="0.2">
      <c r="A57" s="18">
        <v>43784</v>
      </c>
      <c r="B57" s="19"/>
      <c r="C57" s="20" t="s">
        <v>58</v>
      </c>
      <c r="D57" s="20"/>
      <c r="E57" s="20"/>
      <c r="F57" s="21"/>
      <c r="G57" s="21" t="s">
        <v>972</v>
      </c>
      <c r="H57" s="23"/>
      <c r="I57" s="23"/>
      <c r="J57" s="23">
        <v>290</v>
      </c>
      <c r="K57" s="23"/>
      <c r="L57" s="24"/>
      <c r="M57" s="25">
        <f t="shared" si="5"/>
        <v>290</v>
      </c>
      <c r="N57" s="25">
        <f t="shared" si="6"/>
        <v>0</v>
      </c>
      <c r="O57" s="25">
        <f t="shared" si="7"/>
        <v>0</v>
      </c>
      <c r="P57" s="25">
        <v>290</v>
      </c>
      <c r="Q57" s="26"/>
      <c r="R57" s="26"/>
      <c r="S57" s="27"/>
      <c r="T57" s="27"/>
      <c r="U57" s="27"/>
      <c r="V57" s="27"/>
      <c r="W57" s="27"/>
      <c r="X57" s="26"/>
      <c r="Y57" s="26"/>
      <c r="Z57" s="26"/>
      <c r="AA57" s="26"/>
      <c r="AB57" s="27"/>
      <c r="AC57" s="27"/>
      <c r="AD57" s="26"/>
      <c r="AE57" s="26"/>
      <c r="AF57" s="25">
        <f t="shared" si="8"/>
        <v>-290</v>
      </c>
      <c r="AG57" s="28">
        <f t="shared" si="9"/>
        <v>0</v>
      </c>
    </row>
    <row r="58" spans="1:33" s="29" customFormat="1" ht="23.25" customHeight="1" x14ac:dyDescent="0.2">
      <c r="A58" s="18">
        <v>43784</v>
      </c>
      <c r="B58" s="19"/>
      <c r="C58" s="20" t="s">
        <v>41</v>
      </c>
      <c r="D58" s="20" t="s">
        <v>42</v>
      </c>
      <c r="E58" s="20" t="s">
        <v>43</v>
      </c>
      <c r="F58" s="21">
        <v>159162</v>
      </c>
      <c r="G58" s="21" t="s">
        <v>44</v>
      </c>
      <c r="H58" s="23"/>
      <c r="I58" s="23"/>
      <c r="J58" s="23"/>
      <c r="K58" s="23">
        <v>180</v>
      </c>
      <c r="L58" s="24"/>
      <c r="M58" s="25">
        <f t="shared" si="5"/>
        <v>160.71428571428569</v>
      </c>
      <c r="N58" s="25">
        <f t="shared" si="6"/>
        <v>19.285714285714281</v>
      </c>
      <c r="O58" s="25">
        <f t="shared" si="7"/>
        <v>0</v>
      </c>
      <c r="P58" s="25"/>
      <c r="Q58" s="26">
        <v>160.71</v>
      </c>
      <c r="R58" s="26"/>
      <c r="S58" s="27"/>
      <c r="T58" s="27"/>
      <c r="U58" s="27"/>
      <c r="V58" s="27"/>
      <c r="W58" s="27"/>
      <c r="X58" s="26"/>
      <c r="Y58" s="26"/>
      <c r="Z58" s="26"/>
      <c r="AA58" s="26"/>
      <c r="AB58" s="27"/>
      <c r="AC58" s="27"/>
      <c r="AD58" s="26"/>
      <c r="AE58" s="26"/>
      <c r="AF58" s="25">
        <f t="shared" si="8"/>
        <v>-179.99571428571429</v>
      </c>
      <c r="AG58" s="28">
        <f t="shared" si="9"/>
        <v>4.2857142857144481E-3</v>
      </c>
    </row>
    <row r="59" spans="1:33" s="29" customFormat="1" ht="23.25" customHeight="1" x14ac:dyDescent="0.2">
      <c r="A59" s="18">
        <v>43784</v>
      </c>
      <c r="B59" s="19"/>
      <c r="C59" s="20" t="s">
        <v>908</v>
      </c>
      <c r="D59" s="20" t="s">
        <v>973</v>
      </c>
      <c r="E59" s="20" t="s">
        <v>47</v>
      </c>
      <c r="F59" s="21">
        <v>71642</v>
      </c>
      <c r="G59" s="22" t="s">
        <v>974</v>
      </c>
      <c r="H59" s="23"/>
      <c r="I59" s="23"/>
      <c r="J59" s="23"/>
      <c r="K59" s="23">
        <v>1343</v>
      </c>
      <c r="L59" s="24"/>
      <c r="M59" s="25">
        <f t="shared" si="5"/>
        <v>1199.1071428571427</v>
      </c>
      <c r="N59" s="25">
        <f t="shared" si="6"/>
        <v>143.89285714285711</v>
      </c>
      <c r="O59" s="25">
        <f t="shared" si="7"/>
        <v>0</v>
      </c>
      <c r="P59" s="25">
        <v>1199.1099999999999</v>
      </c>
      <c r="Q59" s="26"/>
      <c r="R59" s="26"/>
      <c r="S59" s="27"/>
      <c r="T59" s="27"/>
      <c r="U59" s="27"/>
      <c r="V59" s="27"/>
      <c r="W59" s="27"/>
      <c r="X59" s="26"/>
      <c r="Y59" s="26"/>
      <c r="Z59" s="26"/>
      <c r="AA59" s="26"/>
      <c r="AB59" s="27"/>
      <c r="AC59" s="27"/>
      <c r="AD59" s="26"/>
      <c r="AE59" s="26"/>
      <c r="AF59" s="25">
        <f t="shared" si="8"/>
        <v>-1343.002857142857</v>
      </c>
      <c r="AG59" s="28">
        <f t="shared" si="9"/>
        <v>-2.8571428570103308E-3</v>
      </c>
    </row>
    <row r="60" spans="1:33" s="29" customFormat="1" ht="23.25" customHeight="1" x14ac:dyDescent="0.2">
      <c r="A60" s="18">
        <v>43784</v>
      </c>
      <c r="B60" s="19"/>
      <c r="C60" s="20" t="s">
        <v>908</v>
      </c>
      <c r="D60" s="20" t="s">
        <v>973</v>
      </c>
      <c r="E60" s="20" t="s">
        <v>47</v>
      </c>
      <c r="F60" s="21">
        <v>71642</v>
      </c>
      <c r="G60" s="21" t="s">
        <v>975</v>
      </c>
      <c r="H60" s="23"/>
      <c r="I60" s="23"/>
      <c r="J60" s="23"/>
      <c r="K60" s="23">
        <v>1480</v>
      </c>
      <c r="L60" s="24"/>
      <c r="M60" s="25">
        <f t="shared" si="5"/>
        <v>1321.4285714285713</v>
      </c>
      <c r="N60" s="25">
        <f t="shared" si="6"/>
        <v>158.57142857142856</v>
      </c>
      <c r="O60" s="25">
        <f t="shared" si="7"/>
        <v>0</v>
      </c>
      <c r="P60" s="25"/>
      <c r="Q60" s="26"/>
      <c r="R60" s="26"/>
      <c r="S60" s="27"/>
      <c r="T60" s="27"/>
      <c r="U60" s="27"/>
      <c r="V60" s="27"/>
      <c r="W60" s="27"/>
      <c r="X60" s="26">
        <v>1321.43</v>
      </c>
      <c r="Y60" s="26"/>
      <c r="Z60" s="26"/>
      <c r="AA60" s="26"/>
      <c r="AB60" s="27"/>
      <c r="AC60" s="27"/>
      <c r="AD60" s="26"/>
      <c r="AE60" s="26"/>
      <c r="AF60" s="25">
        <f t="shared" si="8"/>
        <v>-1480.0014285714287</v>
      </c>
      <c r="AG60" s="28">
        <f t="shared" si="9"/>
        <v>-1.4285714287325391E-3</v>
      </c>
    </row>
    <row r="61" spans="1:33" s="29" customFormat="1" ht="23.25" customHeight="1" x14ac:dyDescent="0.2">
      <c r="A61" s="18">
        <v>43784</v>
      </c>
      <c r="B61" s="19"/>
      <c r="C61" s="20" t="s">
        <v>908</v>
      </c>
      <c r="D61" s="20" t="s">
        <v>973</v>
      </c>
      <c r="E61" s="20" t="s">
        <v>47</v>
      </c>
      <c r="F61" s="21">
        <v>71646</v>
      </c>
      <c r="G61" s="44" t="s">
        <v>976</v>
      </c>
      <c r="H61" s="23"/>
      <c r="I61" s="23"/>
      <c r="J61" s="23"/>
      <c r="K61" s="23">
        <v>225</v>
      </c>
      <c r="L61" s="24"/>
      <c r="M61" s="25">
        <f t="shared" si="5"/>
        <v>200.89285714285711</v>
      </c>
      <c r="N61" s="25">
        <f t="shared" si="6"/>
        <v>24.107142857142854</v>
      </c>
      <c r="O61" s="25">
        <f t="shared" si="7"/>
        <v>0</v>
      </c>
      <c r="P61" s="25"/>
      <c r="Q61" s="26"/>
      <c r="R61" s="26"/>
      <c r="S61" s="27">
        <v>200.89</v>
      </c>
      <c r="T61" s="27"/>
      <c r="U61" s="27"/>
      <c r="V61" s="27"/>
      <c r="W61" s="27"/>
      <c r="X61" s="26"/>
      <c r="Y61" s="26"/>
      <c r="Z61" s="26"/>
      <c r="AA61" s="26"/>
      <c r="AB61" s="27"/>
      <c r="AC61" s="27"/>
      <c r="AD61" s="26"/>
      <c r="AE61" s="26"/>
      <c r="AF61" s="25">
        <f t="shared" si="8"/>
        <v>-224.99714285714285</v>
      </c>
      <c r="AG61" s="28">
        <f t="shared" si="9"/>
        <v>2.8571428571524393E-3</v>
      </c>
    </row>
    <row r="62" spans="1:33" s="29" customFormat="1" ht="23.25" customHeight="1" x14ac:dyDescent="0.2">
      <c r="A62" s="18">
        <v>43787</v>
      </c>
      <c r="B62" s="19"/>
      <c r="C62" s="20" t="s">
        <v>977</v>
      </c>
      <c r="D62" s="20" t="s">
        <v>978</v>
      </c>
      <c r="E62" s="20" t="s">
        <v>47</v>
      </c>
      <c r="F62" s="21">
        <v>18225899</v>
      </c>
      <c r="G62" s="22" t="s">
        <v>979</v>
      </c>
      <c r="H62" s="23"/>
      <c r="I62" s="23"/>
      <c r="J62" s="23"/>
      <c r="K62" s="23">
        <v>453</v>
      </c>
      <c r="L62" s="24"/>
      <c r="M62" s="25">
        <f t="shared" si="5"/>
        <v>404.46428571428567</v>
      </c>
      <c r="N62" s="25">
        <f t="shared" si="6"/>
        <v>48.535714285714278</v>
      </c>
      <c r="O62" s="25">
        <f t="shared" si="7"/>
        <v>0</v>
      </c>
      <c r="P62" s="25">
        <v>404.46</v>
      </c>
      <c r="Q62" s="26"/>
      <c r="R62" s="26"/>
      <c r="S62" s="27"/>
      <c r="T62" s="27"/>
      <c r="U62" s="27"/>
      <c r="V62" s="27"/>
      <c r="W62" s="27"/>
      <c r="X62" s="26"/>
      <c r="Y62" s="26"/>
      <c r="Z62" s="26"/>
      <c r="AA62" s="26"/>
      <c r="AB62" s="27"/>
      <c r="AC62" s="27"/>
      <c r="AD62" s="26"/>
      <c r="AE62" s="26"/>
      <c r="AF62" s="25">
        <f t="shared" si="8"/>
        <v>-452.99571428571426</v>
      </c>
      <c r="AG62" s="28">
        <f t="shared" si="9"/>
        <v>4.2857142857428698E-3</v>
      </c>
    </row>
    <row r="63" spans="1:33" s="29" customFormat="1" ht="23.25" customHeight="1" x14ac:dyDescent="0.2">
      <c r="A63" s="18">
        <v>43784</v>
      </c>
      <c r="B63" s="19"/>
      <c r="C63" s="20" t="s">
        <v>58</v>
      </c>
      <c r="D63" s="20"/>
      <c r="E63" s="20"/>
      <c r="F63" s="21"/>
      <c r="G63" s="44" t="s">
        <v>980</v>
      </c>
      <c r="H63" s="23">
        <v>30</v>
      </c>
      <c r="I63" s="23"/>
      <c r="J63" s="23"/>
      <c r="K63" s="23"/>
      <c r="L63" s="24"/>
      <c r="M63" s="25">
        <f t="shared" si="5"/>
        <v>30</v>
      </c>
      <c r="N63" s="25">
        <f t="shared" si="6"/>
        <v>0</v>
      </c>
      <c r="O63" s="25">
        <f t="shared" si="7"/>
        <v>0</v>
      </c>
      <c r="P63" s="25"/>
      <c r="Q63" s="26"/>
      <c r="R63" s="26"/>
      <c r="S63" s="27"/>
      <c r="T63" s="27"/>
      <c r="U63" s="27"/>
      <c r="V63" s="27"/>
      <c r="W63" s="27"/>
      <c r="X63" s="26"/>
      <c r="Y63" s="26"/>
      <c r="Z63" s="26"/>
      <c r="AA63" s="26">
        <v>30</v>
      </c>
      <c r="AB63" s="27"/>
      <c r="AC63" s="27"/>
      <c r="AD63" s="26"/>
      <c r="AE63" s="26"/>
      <c r="AF63" s="25">
        <f t="shared" si="8"/>
        <v>-30</v>
      </c>
      <c r="AG63" s="28">
        <f t="shared" si="9"/>
        <v>0</v>
      </c>
    </row>
    <row r="64" spans="1:33" s="29" customFormat="1" ht="23.25" customHeight="1" x14ac:dyDescent="0.2">
      <c r="A64" s="18">
        <v>43785</v>
      </c>
      <c r="B64" s="19"/>
      <c r="C64" s="20" t="s">
        <v>37</v>
      </c>
      <c r="D64" s="20" t="s">
        <v>38</v>
      </c>
      <c r="E64" s="20" t="s">
        <v>39</v>
      </c>
      <c r="F64" s="21">
        <v>98238</v>
      </c>
      <c r="G64" s="21" t="s">
        <v>981</v>
      </c>
      <c r="H64" s="23"/>
      <c r="I64" s="23"/>
      <c r="J64" s="23"/>
      <c r="K64" s="23">
        <v>88.97</v>
      </c>
      <c r="L64" s="24"/>
      <c r="M64" s="25">
        <f t="shared" si="5"/>
        <v>79.437499999999986</v>
      </c>
      <c r="N64" s="25">
        <f t="shared" si="6"/>
        <v>9.5324999999999971</v>
      </c>
      <c r="O64" s="25">
        <f t="shared" si="7"/>
        <v>0</v>
      </c>
      <c r="P64" s="25">
        <v>79.44</v>
      </c>
      <c r="Q64" s="26"/>
      <c r="R64" s="26"/>
      <c r="S64" s="27"/>
      <c r="T64" s="27"/>
      <c r="U64" s="27"/>
      <c r="V64" s="27"/>
      <c r="W64" s="27"/>
      <c r="X64" s="26"/>
      <c r="Y64" s="26"/>
      <c r="Z64" s="26"/>
      <c r="AA64" s="26"/>
      <c r="AB64" s="27"/>
      <c r="AC64" s="27"/>
      <c r="AD64" s="26"/>
      <c r="AE64" s="26"/>
      <c r="AF64" s="25">
        <f t="shared" si="8"/>
        <v>-88.972499999999997</v>
      </c>
      <c r="AG64" s="28">
        <f t="shared" si="9"/>
        <v>-2.4999999999977263E-3</v>
      </c>
    </row>
    <row r="65" spans="1:33" s="29" customFormat="1" ht="23.25" customHeight="1" x14ac:dyDescent="0.2">
      <c r="A65" s="18">
        <v>43785</v>
      </c>
      <c r="B65" s="19"/>
      <c r="C65" s="20" t="s">
        <v>58</v>
      </c>
      <c r="D65" s="20"/>
      <c r="E65" s="20"/>
      <c r="F65" s="21"/>
      <c r="G65" s="44" t="s">
        <v>294</v>
      </c>
      <c r="H65" s="23">
        <v>100</v>
      </c>
      <c r="I65" s="23"/>
      <c r="J65" s="23"/>
      <c r="K65" s="23"/>
      <c r="L65" s="24"/>
      <c r="M65" s="25">
        <f t="shared" si="5"/>
        <v>100</v>
      </c>
      <c r="N65" s="25">
        <f t="shared" si="6"/>
        <v>0</v>
      </c>
      <c r="O65" s="25">
        <f t="shared" si="7"/>
        <v>0</v>
      </c>
      <c r="P65" s="25"/>
      <c r="Q65" s="26"/>
      <c r="R65" s="26"/>
      <c r="S65" s="27"/>
      <c r="T65" s="27"/>
      <c r="U65" s="27"/>
      <c r="V65" s="27"/>
      <c r="W65" s="27"/>
      <c r="X65" s="26"/>
      <c r="Y65" s="26"/>
      <c r="Z65" s="26"/>
      <c r="AA65" s="26">
        <v>100</v>
      </c>
      <c r="AB65" s="27"/>
      <c r="AC65" s="27"/>
      <c r="AD65" s="26"/>
      <c r="AE65" s="26"/>
      <c r="AF65" s="25">
        <f t="shared" si="8"/>
        <v>-100</v>
      </c>
      <c r="AG65" s="28">
        <f t="shared" si="9"/>
        <v>0</v>
      </c>
    </row>
    <row r="66" spans="1:33" s="29" customFormat="1" ht="23.25" customHeight="1" x14ac:dyDescent="0.2">
      <c r="A66" s="18">
        <v>43785</v>
      </c>
      <c r="B66" s="19"/>
      <c r="C66" s="20" t="s">
        <v>45</v>
      </c>
      <c r="D66" s="20" t="s">
        <v>847</v>
      </c>
      <c r="E66" s="20" t="s">
        <v>47</v>
      </c>
      <c r="F66" s="21">
        <v>255263</v>
      </c>
      <c r="G66" s="44" t="s">
        <v>982</v>
      </c>
      <c r="H66" s="23"/>
      <c r="I66" s="23"/>
      <c r="J66" s="23"/>
      <c r="K66" s="23">
        <f>1086.83+130.42</f>
        <v>1217.25</v>
      </c>
      <c r="L66" s="24"/>
      <c r="M66" s="25">
        <f t="shared" si="5"/>
        <v>1086.8303571428571</v>
      </c>
      <c r="N66" s="25">
        <f t="shared" si="6"/>
        <v>130.41964285714286</v>
      </c>
      <c r="O66" s="25">
        <f t="shared" si="7"/>
        <v>0</v>
      </c>
      <c r="P66" s="25">
        <v>1086.83</v>
      </c>
      <c r="Q66" s="26"/>
      <c r="R66" s="26"/>
      <c r="S66" s="27"/>
      <c r="T66" s="27"/>
      <c r="U66" s="27"/>
      <c r="V66" s="27"/>
      <c r="W66" s="27"/>
      <c r="X66" s="26"/>
      <c r="Y66" s="26"/>
      <c r="Z66" s="26"/>
      <c r="AA66" s="26"/>
      <c r="AB66" s="27"/>
      <c r="AC66" s="27"/>
      <c r="AD66" s="26"/>
      <c r="AE66" s="26"/>
      <c r="AF66" s="25">
        <f t="shared" si="8"/>
        <v>-1217.2496428571428</v>
      </c>
      <c r="AG66" s="28">
        <f t="shared" si="9"/>
        <v>3.5714285718313477E-4</v>
      </c>
    </row>
    <row r="67" spans="1:33" s="29" customFormat="1" ht="23.25" customHeight="1" x14ac:dyDescent="0.2">
      <c r="A67" s="18">
        <v>43785</v>
      </c>
      <c r="B67" s="19"/>
      <c r="C67" s="20" t="s">
        <v>45</v>
      </c>
      <c r="D67" s="20" t="s">
        <v>847</v>
      </c>
      <c r="E67" s="20" t="s">
        <v>47</v>
      </c>
      <c r="F67" s="21">
        <v>255263</v>
      </c>
      <c r="G67" s="21" t="s">
        <v>983</v>
      </c>
      <c r="H67" s="23"/>
      <c r="I67" s="23"/>
      <c r="J67" s="23">
        <v>1235.9000000000001</v>
      </c>
      <c r="K67" s="23"/>
      <c r="L67" s="24"/>
      <c r="M67" s="25">
        <f t="shared" si="5"/>
        <v>1235.9000000000001</v>
      </c>
      <c r="N67" s="25">
        <f t="shared" si="6"/>
        <v>0</v>
      </c>
      <c r="O67" s="25">
        <f t="shared" si="7"/>
        <v>0</v>
      </c>
      <c r="P67" s="25">
        <v>1235.9000000000001</v>
      </c>
      <c r="Q67" s="26"/>
      <c r="R67" s="26"/>
      <c r="S67" s="27"/>
      <c r="T67" s="27"/>
      <c r="U67" s="27"/>
      <c r="V67" s="27"/>
      <c r="W67" s="27"/>
      <c r="X67" s="26"/>
      <c r="Y67" s="26"/>
      <c r="Z67" s="26"/>
      <c r="AA67" s="26"/>
      <c r="AB67" s="27"/>
      <c r="AC67" s="27"/>
      <c r="AD67" s="26"/>
      <c r="AE67" s="26"/>
      <c r="AF67" s="25">
        <f t="shared" si="8"/>
        <v>-1235.9000000000001</v>
      </c>
      <c r="AG67" s="28">
        <f t="shared" si="9"/>
        <v>0</v>
      </c>
    </row>
    <row r="68" spans="1:33" s="29" customFormat="1" ht="23.25" customHeight="1" x14ac:dyDescent="0.2">
      <c r="A68" s="18">
        <v>43785</v>
      </c>
      <c r="B68" s="19"/>
      <c r="C68" s="20" t="s">
        <v>908</v>
      </c>
      <c r="D68" s="20" t="s">
        <v>973</v>
      </c>
      <c r="E68" s="20" t="s">
        <v>47</v>
      </c>
      <c r="F68" s="21">
        <v>14988</v>
      </c>
      <c r="G68" s="21" t="s">
        <v>984</v>
      </c>
      <c r="H68" s="23"/>
      <c r="I68" s="23"/>
      <c r="J68" s="23"/>
      <c r="K68" s="23">
        <v>810</v>
      </c>
      <c r="L68" s="24"/>
      <c r="M68" s="25">
        <f t="shared" si="5"/>
        <v>723.21428571428567</v>
      </c>
      <c r="N68" s="25">
        <f t="shared" si="6"/>
        <v>86.785714285714278</v>
      </c>
      <c r="O68" s="25">
        <f t="shared" si="7"/>
        <v>0</v>
      </c>
      <c r="P68" s="25"/>
      <c r="Q68" s="26"/>
      <c r="R68" s="26"/>
      <c r="S68" s="27"/>
      <c r="T68" s="27"/>
      <c r="U68" s="27"/>
      <c r="V68" s="27"/>
      <c r="W68" s="27"/>
      <c r="X68" s="26"/>
      <c r="Y68" s="26">
        <v>723.21</v>
      </c>
      <c r="Z68" s="26"/>
      <c r="AA68" s="26"/>
      <c r="AB68" s="27"/>
      <c r="AC68" s="27"/>
      <c r="AD68" s="26"/>
      <c r="AE68" s="26"/>
      <c r="AF68" s="25">
        <f t="shared" si="8"/>
        <v>-809.99571428571426</v>
      </c>
      <c r="AG68" s="28">
        <f t="shared" si="9"/>
        <v>4.2857142857428698E-3</v>
      </c>
    </row>
    <row r="69" spans="1:33" s="29" customFormat="1" ht="23.25" customHeight="1" x14ac:dyDescent="0.2">
      <c r="A69" s="18">
        <v>43785</v>
      </c>
      <c r="B69" s="19"/>
      <c r="C69" s="20" t="s">
        <v>908</v>
      </c>
      <c r="D69" s="20" t="s">
        <v>973</v>
      </c>
      <c r="E69" s="20" t="s">
        <v>47</v>
      </c>
      <c r="F69" s="21">
        <v>14988</v>
      </c>
      <c r="G69" s="21" t="s">
        <v>985</v>
      </c>
      <c r="H69" s="23"/>
      <c r="I69" s="23"/>
      <c r="J69" s="23"/>
      <c r="K69" s="23">
        <v>2667</v>
      </c>
      <c r="L69" s="24"/>
      <c r="M69" s="25">
        <f t="shared" ref="M69:M100" si="10">SUM(H69:J69,K69/1.12)</f>
        <v>2381.25</v>
      </c>
      <c r="N69" s="25">
        <f t="shared" ref="N69:N100" si="11">K69/1.12*0.12</f>
        <v>285.75</v>
      </c>
      <c r="O69" s="25">
        <f t="shared" ref="O69:O100" si="12">-SUM(I69:J69,K69/1.12)*L69</f>
        <v>0</v>
      </c>
      <c r="P69" s="25">
        <v>2381.25</v>
      </c>
      <c r="Q69" s="26"/>
      <c r="R69" s="26"/>
      <c r="S69" s="27"/>
      <c r="T69" s="27"/>
      <c r="U69" s="27"/>
      <c r="V69" s="27"/>
      <c r="W69" s="27"/>
      <c r="X69" s="26"/>
      <c r="Y69" s="26"/>
      <c r="Z69" s="26"/>
      <c r="AA69" s="26"/>
      <c r="AB69" s="27"/>
      <c r="AC69" s="27"/>
      <c r="AD69" s="26"/>
      <c r="AE69" s="26"/>
      <c r="AF69" s="25">
        <f t="shared" ref="AF69:AF100" si="13">-SUM(N69:AE69)</f>
        <v>-2667</v>
      </c>
      <c r="AG69" s="28">
        <f t="shared" ref="AG69:AG100" si="14">SUM(H69:K69)+AF69+O69</f>
        <v>0</v>
      </c>
    </row>
    <row r="70" spans="1:33" s="29" customFormat="1" ht="23.25" customHeight="1" x14ac:dyDescent="0.2">
      <c r="A70" s="18">
        <v>43787</v>
      </c>
      <c r="B70" s="19"/>
      <c r="C70" s="20" t="s">
        <v>58</v>
      </c>
      <c r="D70" s="20"/>
      <c r="E70" s="20"/>
      <c r="F70" s="21"/>
      <c r="G70" s="22" t="s">
        <v>986</v>
      </c>
      <c r="H70" s="23">
        <v>50</v>
      </c>
      <c r="I70" s="23"/>
      <c r="J70" s="23"/>
      <c r="K70" s="23"/>
      <c r="L70" s="24"/>
      <c r="M70" s="25">
        <f t="shared" si="10"/>
        <v>50</v>
      </c>
      <c r="N70" s="25">
        <f t="shared" si="11"/>
        <v>0</v>
      </c>
      <c r="O70" s="25">
        <f t="shared" si="12"/>
        <v>0</v>
      </c>
      <c r="P70" s="25"/>
      <c r="Q70" s="26"/>
      <c r="R70" s="26"/>
      <c r="S70" s="27"/>
      <c r="T70" s="27"/>
      <c r="U70" s="27"/>
      <c r="V70" s="27"/>
      <c r="W70" s="27"/>
      <c r="X70" s="26"/>
      <c r="Y70" s="26"/>
      <c r="Z70" s="26"/>
      <c r="AA70" s="26">
        <v>50</v>
      </c>
      <c r="AB70" s="27"/>
      <c r="AC70" s="27"/>
      <c r="AD70" s="26"/>
      <c r="AE70" s="26"/>
      <c r="AF70" s="25">
        <f t="shared" si="13"/>
        <v>-50</v>
      </c>
      <c r="AG70" s="28">
        <f t="shared" si="14"/>
        <v>0</v>
      </c>
    </row>
    <row r="71" spans="1:33" s="29" customFormat="1" ht="23.25" customHeight="1" x14ac:dyDescent="0.2">
      <c r="A71" s="18">
        <v>43787</v>
      </c>
      <c r="B71" s="19"/>
      <c r="C71" s="20" t="s">
        <v>50</v>
      </c>
      <c r="D71" s="20" t="s">
        <v>51</v>
      </c>
      <c r="E71" s="20" t="s">
        <v>987</v>
      </c>
      <c r="F71" s="21">
        <v>58529</v>
      </c>
      <c r="G71" s="22" t="s">
        <v>988</v>
      </c>
      <c r="H71" s="23"/>
      <c r="I71" s="23"/>
      <c r="J71" s="23"/>
      <c r="K71" s="23">
        <v>860.19</v>
      </c>
      <c r="L71" s="24"/>
      <c r="M71" s="25">
        <f t="shared" si="10"/>
        <v>768.02678571428567</v>
      </c>
      <c r="N71" s="25">
        <f t="shared" si="11"/>
        <v>92.163214285714275</v>
      </c>
      <c r="O71" s="25">
        <f t="shared" si="12"/>
        <v>0</v>
      </c>
      <c r="P71" s="25">
        <v>768.03</v>
      </c>
      <c r="Q71" s="26"/>
      <c r="R71" s="26"/>
      <c r="S71" s="27"/>
      <c r="T71" s="27"/>
      <c r="U71" s="27"/>
      <c r="V71" s="27"/>
      <c r="W71" s="27"/>
      <c r="X71" s="26"/>
      <c r="Y71" s="26"/>
      <c r="Z71" s="26"/>
      <c r="AA71" s="26"/>
      <c r="AB71" s="27"/>
      <c r="AC71" s="27"/>
      <c r="AD71" s="26"/>
      <c r="AE71" s="26"/>
      <c r="AF71" s="25">
        <f t="shared" si="13"/>
        <v>-860.19321428571425</v>
      </c>
      <c r="AG71" s="28">
        <f t="shared" si="14"/>
        <v>-3.2142857141934655E-3</v>
      </c>
    </row>
    <row r="72" spans="1:33" s="29" customFormat="1" ht="23.25" customHeight="1" x14ac:dyDescent="0.2">
      <c r="A72" s="18">
        <v>43787</v>
      </c>
      <c r="B72" s="19"/>
      <c r="C72" s="20" t="s">
        <v>45</v>
      </c>
      <c r="D72" s="20" t="s">
        <v>847</v>
      </c>
      <c r="E72" s="20" t="s">
        <v>47</v>
      </c>
      <c r="F72" s="21">
        <v>199483</v>
      </c>
      <c r="G72" s="22" t="s">
        <v>989</v>
      </c>
      <c r="H72" s="23"/>
      <c r="I72" s="23"/>
      <c r="J72" s="23">
        <v>1105.7</v>
      </c>
      <c r="K72" s="23"/>
      <c r="L72" s="24"/>
      <c r="M72" s="25">
        <f t="shared" si="10"/>
        <v>1105.7</v>
      </c>
      <c r="N72" s="25">
        <f t="shared" si="11"/>
        <v>0</v>
      </c>
      <c r="O72" s="25">
        <f t="shared" si="12"/>
        <v>0</v>
      </c>
      <c r="P72" s="25">
        <v>1105.7</v>
      </c>
      <c r="Q72" s="26"/>
      <c r="R72" s="26"/>
      <c r="S72" s="27"/>
      <c r="T72" s="27"/>
      <c r="U72" s="27"/>
      <c r="V72" s="27"/>
      <c r="W72" s="27"/>
      <c r="X72" s="26"/>
      <c r="Y72" s="26"/>
      <c r="Z72" s="26"/>
      <c r="AA72" s="26"/>
      <c r="AB72" s="27"/>
      <c r="AC72" s="27"/>
      <c r="AD72" s="26"/>
      <c r="AE72" s="26"/>
      <c r="AF72" s="25">
        <f t="shared" si="13"/>
        <v>-1105.7</v>
      </c>
      <c r="AG72" s="28">
        <f t="shared" si="14"/>
        <v>0</v>
      </c>
    </row>
    <row r="73" spans="1:33" s="29" customFormat="1" ht="23.25" customHeight="1" x14ac:dyDescent="0.2">
      <c r="A73" s="18">
        <v>43787</v>
      </c>
      <c r="B73" s="19"/>
      <c r="C73" s="20" t="s">
        <v>45</v>
      </c>
      <c r="D73" s="20" t="s">
        <v>847</v>
      </c>
      <c r="E73" s="20" t="s">
        <v>47</v>
      </c>
      <c r="F73" s="21">
        <v>199483</v>
      </c>
      <c r="G73" s="22" t="s">
        <v>990</v>
      </c>
      <c r="H73" s="23"/>
      <c r="I73" s="23"/>
      <c r="J73" s="23"/>
      <c r="K73" s="23">
        <f>1135.27+136.23</f>
        <v>1271.5</v>
      </c>
      <c r="L73" s="24"/>
      <c r="M73" s="25">
        <f t="shared" si="10"/>
        <v>1135.2678571428571</v>
      </c>
      <c r="N73" s="25">
        <f t="shared" si="11"/>
        <v>136.23214285714286</v>
      </c>
      <c r="O73" s="25">
        <f t="shared" si="12"/>
        <v>0</v>
      </c>
      <c r="P73" s="25">
        <v>1135.27</v>
      </c>
      <c r="Q73" s="26"/>
      <c r="R73" s="26"/>
      <c r="S73" s="27"/>
      <c r="T73" s="27"/>
      <c r="U73" s="27"/>
      <c r="V73" s="27"/>
      <c r="W73" s="27"/>
      <c r="X73" s="26"/>
      <c r="Y73" s="26"/>
      <c r="Z73" s="26"/>
      <c r="AA73" s="26"/>
      <c r="AB73" s="27"/>
      <c r="AC73" s="27"/>
      <c r="AD73" s="26"/>
      <c r="AE73" s="26"/>
      <c r="AF73" s="25">
        <f t="shared" si="13"/>
        <v>-1271.5021428571429</v>
      </c>
      <c r="AG73" s="28">
        <f t="shared" si="14"/>
        <v>-2.1428571428714349E-3</v>
      </c>
    </row>
    <row r="74" spans="1:33" s="29" customFormat="1" ht="23.25" customHeight="1" x14ac:dyDescent="0.2">
      <c r="A74" s="18">
        <v>43787</v>
      </c>
      <c r="B74" s="19"/>
      <c r="C74" s="20" t="s">
        <v>37</v>
      </c>
      <c r="D74" s="20" t="s">
        <v>38</v>
      </c>
      <c r="E74" s="20" t="s">
        <v>39</v>
      </c>
      <c r="F74" s="21">
        <v>37960</v>
      </c>
      <c r="G74" s="22" t="s">
        <v>900</v>
      </c>
      <c r="H74" s="23"/>
      <c r="I74" s="23"/>
      <c r="J74" s="23"/>
      <c r="K74" s="23">
        <v>176</v>
      </c>
      <c r="L74" s="24"/>
      <c r="M74" s="25">
        <f t="shared" si="10"/>
        <v>157.14285714285714</v>
      </c>
      <c r="N74" s="25">
        <f t="shared" si="11"/>
        <v>18.857142857142858</v>
      </c>
      <c r="O74" s="25">
        <f t="shared" si="12"/>
        <v>0</v>
      </c>
      <c r="P74" s="25">
        <v>157.13999999999999</v>
      </c>
      <c r="Q74" s="26"/>
      <c r="R74" s="26"/>
      <c r="S74" s="27"/>
      <c r="T74" s="27"/>
      <c r="U74" s="27"/>
      <c r="V74" s="27"/>
      <c r="W74" s="27"/>
      <c r="X74" s="26"/>
      <c r="Y74" s="26"/>
      <c r="Z74" s="26"/>
      <c r="AA74" s="26"/>
      <c r="AB74" s="27"/>
      <c r="AC74" s="27"/>
      <c r="AD74" s="26"/>
      <c r="AE74" s="26"/>
      <c r="AF74" s="25">
        <f t="shared" si="13"/>
        <v>-175.99714285714285</v>
      </c>
      <c r="AG74" s="28">
        <f t="shared" si="14"/>
        <v>2.8571428571524393E-3</v>
      </c>
    </row>
    <row r="75" spans="1:33" s="41" customFormat="1" ht="23.25" customHeight="1" x14ac:dyDescent="0.2">
      <c r="A75" s="30">
        <v>43788</v>
      </c>
      <c r="B75" s="31"/>
      <c r="C75" s="32" t="s">
        <v>383</v>
      </c>
      <c r="D75" s="32" t="s">
        <v>991</v>
      </c>
      <c r="E75" s="32" t="s">
        <v>644</v>
      </c>
      <c r="F75" s="33">
        <v>3500</v>
      </c>
      <c r="G75" s="34" t="s">
        <v>992</v>
      </c>
      <c r="H75" s="35"/>
      <c r="I75" s="35"/>
      <c r="J75" s="35"/>
      <c r="K75" s="35">
        <v>520</v>
      </c>
      <c r="L75" s="36"/>
      <c r="M75" s="37">
        <f t="shared" si="10"/>
        <v>464.28571428571422</v>
      </c>
      <c r="N75" s="37">
        <f t="shared" si="11"/>
        <v>55.714285714285701</v>
      </c>
      <c r="O75" s="37">
        <f t="shared" si="12"/>
        <v>0</v>
      </c>
      <c r="P75" s="37"/>
      <c r="Q75" s="38"/>
      <c r="R75" s="38"/>
      <c r="S75" s="39"/>
      <c r="T75" s="39"/>
      <c r="U75" s="39"/>
      <c r="V75" s="39"/>
      <c r="W75" s="39"/>
      <c r="X75" s="38"/>
      <c r="Y75" s="38"/>
      <c r="Z75" s="38"/>
      <c r="AA75" s="38"/>
      <c r="AB75" s="39"/>
      <c r="AC75" s="39"/>
      <c r="AD75" s="38">
        <v>464.29</v>
      </c>
      <c r="AE75" s="38"/>
      <c r="AF75" s="37">
        <f t="shared" si="13"/>
        <v>-520.00428571428574</v>
      </c>
      <c r="AG75" s="40">
        <f t="shared" si="14"/>
        <v>-4.2857142857428698E-3</v>
      </c>
    </row>
    <row r="76" spans="1:33" s="29" customFormat="1" ht="23.25" customHeight="1" x14ac:dyDescent="0.2">
      <c r="A76" s="18">
        <v>43787</v>
      </c>
      <c r="B76" s="19"/>
      <c r="C76" s="20" t="s">
        <v>41</v>
      </c>
      <c r="D76" s="20" t="s">
        <v>42</v>
      </c>
      <c r="E76" s="20" t="s">
        <v>43</v>
      </c>
      <c r="F76" s="21">
        <v>163598</v>
      </c>
      <c r="G76" s="21" t="s">
        <v>44</v>
      </c>
      <c r="H76" s="23"/>
      <c r="I76" s="23"/>
      <c r="J76" s="23"/>
      <c r="K76" s="23">
        <v>180</v>
      </c>
      <c r="L76" s="24"/>
      <c r="M76" s="25">
        <f t="shared" si="10"/>
        <v>160.71428571428569</v>
      </c>
      <c r="N76" s="25">
        <f t="shared" si="11"/>
        <v>19.285714285714281</v>
      </c>
      <c r="O76" s="25">
        <f t="shared" si="12"/>
        <v>0</v>
      </c>
      <c r="P76" s="25"/>
      <c r="Q76" s="26">
        <v>160.71</v>
      </c>
      <c r="R76" s="26"/>
      <c r="S76" s="27"/>
      <c r="T76" s="27"/>
      <c r="U76" s="27"/>
      <c r="V76" s="27"/>
      <c r="W76" s="27"/>
      <c r="X76" s="26"/>
      <c r="Y76" s="26"/>
      <c r="Z76" s="26"/>
      <c r="AA76" s="26"/>
      <c r="AB76" s="27"/>
      <c r="AC76" s="27"/>
      <c r="AD76" s="26"/>
      <c r="AE76" s="26"/>
      <c r="AF76" s="25">
        <f t="shared" si="13"/>
        <v>-179.99571428571429</v>
      </c>
      <c r="AG76" s="28">
        <f t="shared" si="14"/>
        <v>4.2857142857144481E-3</v>
      </c>
    </row>
    <row r="77" spans="1:33" s="29" customFormat="1" ht="23.25" customHeight="1" x14ac:dyDescent="0.2">
      <c r="A77" s="18">
        <v>43787</v>
      </c>
      <c r="B77" s="19"/>
      <c r="C77" s="20" t="s">
        <v>185</v>
      </c>
      <c r="D77" s="20" t="s">
        <v>106</v>
      </c>
      <c r="E77" s="20" t="s">
        <v>186</v>
      </c>
      <c r="F77" s="21">
        <v>737973</v>
      </c>
      <c r="G77" s="21" t="s">
        <v>993</v>
      </c>
      <c r="H77" s="23"/>
      <c r="I77" s="23"/>
      <c r="J77" s="23"/>
      <c r="K77" s="23">
        <v>35</v>
      </c>
      <c r="L77" s="24"/>
      <c r="M77" s="25">
        <f t="shared" si="10"/>
        <v>31.249999999999996</v>
      </c>
      <c r="N77" s="25">
        <f t="shared" si="11"/>
        <v>3.7499999999999996</v>
      </c>
      <c r="O77" s="25">
        <f t="shared" si="12"/>
        <v>0</v>
      </c>
      <c r="P77" s="25"/>
      <c r="Q77" s="26"/>
      <c r="R77" s="26"/>
      <c r="S77" s="27"/>
      <c r="T77" s="27"/>
      <c r="U77" s="27"/>
      <c r="V77" s="27"/>
      <c r="W77" s="27"/>
      <c r="X77" s="26"/>
      <c r="Y77" s="26"/>
      <c r="Z77" s="26">
        <v>31.25</v>
      </c>
      <c r="AA77" s="26"/>
      <c r="AB77" s="27"/>
      <c r="AC77" s="27"/>
      <c r="AD77" s="26"/>
      <c r="AE77" s="26"/>
      <c r="AF77" s="25">
        <f t="shared" si="13"/>
        <v>-35</v>
      </c>
      <c r="AG77" s="28">
        <f t="shared" si="14"/>
        <v>0</v>
      </c>
    </row>
    <row r="78" spans="1:33" s="29" customFormat="1" ht="23.25" customHeight="1" x14ac:dyDescent="0.2">
      <c r="A78" s="18">
        <v>43787</v>
      </c>
      <c r="B78" s="19"/>
      <c r="C78" s="20" t="s">
        <v>945</v>
      </c>
      <c r="D78" s="20" t="s">
        <v>115</v>
      </c>
      <c r="E78" s="20" t="s">
        <v>47</v>
      </c>
      <c r="F78" s="21">
        <v>16683</v>
      </c>
      <c r="G78" s="21" t="s">
        <v>994</v>
      </c>
      <c r="H78" s="23"/>
      <c r="I78" s="23"/>
      <c r="J78" s="23"/>
      <c r="K78" s="23">
        <v>315.5</v>
      </c>
      <c r="L78" s="24"/>
      <c r="M78" s="25">
        <f t="shared" si="10"/>
        <v>281.69642857142856</v>
      </c>
      <c r="N78" s="25">
        <f t="shared" si="11"/>
        <v>33.803571428571423</v>
      </c>
      <c r="O78" s="25">
        <f t="shared" si="12"/>
        <v>0</v>
      </c>
      <c r="P78" s="25"/>
      <c r="Q78" s="26"/>
      <c r="R78" s="26">
        <v>281.7</v>
      </c>
      <c r="S78" s="27"/>
      <c r="T78" s="27"/>
      <c r="U78" s="27"/>
      <c r="V78" s="27"/>
      <c r="W78" s="27"/>
      <c r="X78" s="26"/>
      <c r="Y78" s="26"/>
      <c r="Z78" s="26"/>
      <c r="AA78" s="26"/>
      <c r="AB78" s="27"/>
      <c r="AC78" s="27"/>
      <c r="AD78" s="26"/>
      <c r="AE78" s="26"/>
      <c r="AF78" s="25">
        <f t="shared" si="13"/>
        <v>-315.50357142857143</v>
      </c>
      <c r="AG78" s="28">
        <f t="shared" si="14"/>
        <v>-3.5714285714334437E-3</v>
      </c>
    </row>
    <row r="79" spans="1:33" s="29" customFormat="1" ht="23.25" customHeight="1" x14ac:dyDescent="0.2">
      <c r="A79" s="18">
        <v>43787</v>
      </c>
      <c r="B79" s="19"/>
      <c r="C79" s="20" t="s">
        <v>945</v>
      </c>
      <c r="D79" s="20" t="s">
        <v>115</v>
      </c>
      <c r="E79" s="20" t="s">
        <v>47</v>
      </c>
      <c r="F79" s="21">
        <v>16683</v>
      </c>
      <c r="G79" s="21" t="s">
        <v>995</v>
      </c>
      <c r="H79" s="23"/>
      <c r="I79" s="23"/>
      <c r="J79" s="23"/>
      <c r="K79" s="23">
        <v>219.5</v>
      </c>
      <c r="L79" s="24"/>
      <c r="M79" s="25">
        <f t="shared" si="10"/>
        <v>195.98214285714283</v>
      </c>
      <c r="N79" s="25">
        <f t="shared" si="11"/>
        <v>23.517857142857139</v>
      </c>
      <c r="O79" s="25">
        <f t="shared" si="12"/>
        <v>0</v>
      </c>
      <c r="P79" s="25">
        <v>195.98</v>
      </c>
      <c r="Q79" s="26"/>
      <c r="R79" s="26"/>
      <c r="S79" s="27"/>
      <c r="T79" s="27"/>
      <c r="U79" s="27"/>
      <c r="V79" s="27"/>
      <c r="W79" s="27"/>
      <c r="X79" s="26"/>
      <c r="Y79" s="26"/>
      <c r="Z79" s="26"/>
      <c r="AA79" s="26"/>
      <c r="AB79" s="27"/>
      <c r="AC79" s="27"/>
      <c r="AD79" s="26"/>
      <c r="AE79" s="26"/>
      <c r="AF79" s="25">
        <f t="shared" si="13"/>
        <v>-219.49785714285713</v>
      </c>
      <c r="AG79" s="28">
        <f t="shared" si="14"/>
        <v>2.1428571428714349E-3</v>
      </c>
    </row>
    <row r="80" spans="1:33" s="29" customFormat="1" ht="23.25" customHeight="1" x14ac:dyDescent="0.2">
      <c r="A80" s="18">
        <v>43787</v>
      </c>
      <c r="B80" s="19"/>
      <c r="C80" s="20" t="s">
        <v>383</v>
      </c>
      <c r="D80" s="20" t="s">
        <v>991</v>
      </c>
      <c r="E80" s="20" t="s">
        <v>385</v>
      </c>
      <c r="F80" s="21">
        <v>153039</v>
      </c>
      <c r="G80" s="21" t="s">
        <v>996</v>
      </c>
      <c r="H80" s="23"/>
      <c r="I80" s="23"/>
      <c r="J80" s="23"/>
      <c r="K80" s="23">
        <v>135</v>
      </c>
      <c r="L80" s="24"/>
      <c r="M80" s="25">
        <f t="shared" si="10"/>
        <v>120.53571428571428</v>
      </c>
      <c r="N80" s="25">
        <f t="shared" si="11"/>
        <v>14.464285714285714</v>
      </c>
      <c r="O80" s="25">
        <f t="shared" si="12"/>
        <v>0</v>
      </c>
      <c r="P80" s="25"/>
      <c r="Q80" s="26"/>
      <c r="R80" s="26"/>
      <c r="S80" s="27"/>
      <c r="T80" s="27"/>
      <c r="U80" s="27"/>
      <c r="V80" s="27"/>
      <c r="W80" s="27"/>
      <c r="X80" s="26">
        <v>120.54</v>
      </c>
      <c r="Y80" s="26"/>
      <c r="Z80" s="26"/>
      <c r="AA80" s="26"/>
      <c r="AB80" s="27"/>
      <c r="AC80" s="27"/>
      <c r="AD80" s="26"/>
      <c r="AE80" s="26"/>
      <c r="AF80" s="25">
        <f t="shared" si="13"/>
        <v>-135.00428571428571</v>
      </c>
      <c r="AG80" s="28">
        <f t="shared" si="14"/>
        <v>-4.2857142857144481E-3</v>
      </c>
    </row>
    <row r="81" spans="1:33" s="29" customFormat="1" ht="23.25" customHeight="1" x14ac:dyDescent="0.2">
      <c r="A81" s="18">
        <v>43788</v>
      </c>
      <c r="B81" s="19"/>
      <c r="C81" s="20" t="s">
        <v>157</v>
      </c>
      <c r="D81" s="20"/>
      <c r="E81" s="20"/>
      <c r="F81" s="21"/>
      <c r="G81" s="21" t="s">
        <v>997</v>
      </c>
      <c r="H81" s="23">
        <v>56</v>
      </c>
      <c r="I81" s="23"/>
      <c r="J81" s="23"/>
      <c r="K81" s="23"/>
      <c r="L81" s="24"/>
      <c r="M81" s="25">
        <f t="shared" si="10"/>
        <v>56</v>
      </c>
      <c r="N81" s="25">
        <f t="shared" si="11"/>
        <v>0</v>
      </c>
      <c r="O81" s="25">
        <f t="shared" si="12"/>
        <v>0</v>
      </c>
      <c r="P81" s="25"/>
      <c r="Q81" s="26"/>
      <c r="R81" s="26"/>
      <c r="S81" s="27"/>
      <c r="T81" s="27"/>
      <c r="U81" s="27"/>
      <c r="V81" s="27"/>
      <c r="W81" s="27"/>
      <c r="X81" s="26"/>
      <c r="Y81" s="26"/>
      <c r="Z81" s="26"/>
      <c r="AA81" s="26">
        <v>56</v>
      </c>
      <c r="AB81" s="27"/>
      <c r="AC81" s="27"/>
      <c r="AD81" s="26"/>
      <c r="AE81" s="26"/>
      <c r="AF81" s="25">
        <f t="shared" si="13"/>
        <v>-56</v>
      </c>
      <c r="AG81" s="28">
        <f t="shared" si="14"/>
        <v>0</v>
      </c>
    </row>
    <row r="82" spans="1:33" s="29" customFormat="1" ht="23.25" customHeight="1" x14ac:dyDescent="0.2">
      <c r="A82" s="18">
        <v>43788</v>
      </c>
      <c r="B82" s="19"/>
      <c r="C82" s="20" t="s">
        <v>37</v>
      </c>
      <c r="D82" s="20" t="s">
        <v>38</v>
      </c>
      <c r="E82" s="20" t="s">
        <v>39</v>
      </c>
      <c r="F82" s="21">
        <v>37978</v>
      </c>
      <c r="G82" s="21" t="s">
        <v>998</v>
      </c>
      <c r="H82" s="23"/>
      <c r="I82" s="23"/>
      <c r="J82" s="23"/>
      <c r="K82" s="23">
        <v>229</v>
      </c>
      <c r="L82" s="24"/>
      <c r="M82" s="25">
        <f t="shared" si="10"/>
        <v>204.46428571428569</v>
      </c>
      <c r="N82" s="25">
        <f t="shared" si="11"/>
        <v>24.535714285714281</v>
      </c>
      <c r="O82" s="25">
        <f t="shared" si="12"/>
        <v>0</v>
      </c>
      <c r="P82" s="25"/>
      <c r="Q82" s="26">
        <v>204.46</v>
      </c>
      <c r="R82" s="26"/>
      <c r="S82" s="27"/>
      <c r="T82" s="27"/>
      <c r="U82" s="27"/>
      <c r="V82" s="27"/>
      <c r="W82" s="27"/>
      <c r="X82" s="26"/>
      <c r="Y82" s="26"/>
      <c r="Z82" s="26"/>
      <c r="AA82" s="26"/>
      <c r="AB82" s="27"/>
      <c r="AC82" s="27"/>
      <c r="AD82" s="26"/>
      <c r="AE82" s="26"/>
      <c r="AF82" s="25">
        <f t="shared" si="13"/>
        <v>-228.99571428571429</v>
      </c>
      <c r="AG82" s="28">
        <f t="shared" si="14"/>
        <v>4.2857142857144481E-3</v>
      </c>
    </row>
    <row r="83" spans="1:33" s="29" customFormat="1" ht="23.25" customHeight="1" x14ac:dyDescent="0.2">
      <c r="A83" s="18">
        <v>43788</v>
      </c>
      <c r="B83" s="19"/>
      <c r="C83" s="20" t="s">
        <v>41</v>
      </c>
      <c r="D83" s="20" t="s">
        <v>42</v>
      </c>
      <c r="E83" s="20" t="s">
        <v>43</v>
      </c>
      <c r="F83" s="21">
        <v>163644</v>
      </c>
      <c r="G83" s="21" t="s">
        <v>44</v>
      </c>
      <c r="H83" s="23"/>
      <c r="I83" s="23"/>
      <c r="J83" s="23"/>
      <c r="K83" s="23">
        <v>180</v>
      </c>
      <c r="L83" s="24"/>
      <c r="M83" s="25">
        <f t="shared" si="10"/>
        <v>160.71428571428569</v>
      </c>
      <c r="N83" s="25">
        <f t="shared" si="11"/>
        <v>19.285714285714281</v>
      </c>
      <c r="O83" s="25">
        <f t="shared" si="12"/>
        <v>0</v>
      </c>
      <c r="P83" s="25"/>
      <c r="Q83" s="26">
        <v>160.71</v>
      </c>
      <c r="R83" s="26"/>
      <c r="S83" s="27"/>
      <c r="T83" s="27"/>
      <c r="U83" s="27"/>
      <c r="V83" s="27"/>
      <c r="W83" s="27"/>
      <c r="X83" s="26"/>
      <c r="Y83" s="26"/>
      <c r="Z83" s="26"/>
      <c r="AA83" s="26"/>
      <c r="AB83" s="27"/>
      <c r="AC83" s="27"/>
      <c r="AD83" s="26"/>
      <c r="AE83" s="26"/>
      <c r="AF83" s="25">
        <f t="shared" si="13"/>
        <v>-179.99571428571429</v>
      </c>
      <c r="AG83" s="28">
        <f t="shared" si="14"/>
        <v>4.2857142857144481E-3</v>
      </c>
    </row>
    <row r="84" spans="1:33" s="29" customFormat="1" ht="23.25" customHeight="1" x14ac:dyDescent="0.2">
      <c r="A84" s="18">
        <v>43789</v>
      </c>
      <c r="B84" s="19"/>
      <c r="C84" s="20" t="s">
        <v>908</v>
      </c>
      <c r="D84" s="20" t="s">
        <v>973</v>
      </c>
      <c r="E84" s="20" t="s">
        <v>47</v>
      </c>
      <c r="F84" s="21">
        <v>16241</v>
      </c>
      <c r="G84" s="22" t="s">
        <v>999</v>
      </c>
      <c r="H84" s="23"/>
      <c r="I84" s="23"/>
      <c r="J84" s="23"/>
      <c r="K84" s="23">
        <v>23</v>
      </c>
      <c r="L84" s="24"/>
      <c r="M84" s="25">
        <f t="shared" si="10"/>
        <v>20.535714285714285</v>
      </c>
      <c r="N84" s="25">
        <f t="shared" si="11"/>
        <v>2.464285714285714</v>
      </c>
      <c r="O84" s="25">
        <f t="shared" si="12"/>
        <v>0</v>
      </c>
      <c r="P84" s="25"/>
      <c r="Q84" s="26"/>
      <c r="R84" s="26"/>
      <c r="S84" s="27"/>
      <c r="T84" s="27"/>
      <c r="U84" s="27"/>
      <c r="V84" s="27"/>
      <c r="W84" s="27"/>
      <c r="X84" s="26">
        <v>20.54</v>
      </c>
      <c r="Y84" s="26"/>
      <c r="Z84" s="26"/>
      <c r="AA84" s="26"/>
      <c r="AB84" s="27"/>
      <c r="AC84" s="27"/>
      <c r="AD84" s="26"/>
      <c r="AE84" s="26"/>
      <c r="AF84" s="25">
        <f t="shared" si="13"/>
        <v>-23.004285714285714</v>
      </c>
      <c r="AG84" s="28">
        <f t="shared" si="14"/>
        <v>-4.2857142857144481E-3</v>
      </c>
    </row>
    <row r="85" spans="1:33" s="29" customFormat="1" ht="23.25" customHeight="1" x14ac:dyDescent="0.2">
      <c r="A85" s="18">
        <v>43789</v>
      </c>
      <c r="B85" s="19"/>
      <c r="C85" s="20" t="s">
        <v>45</v>
      </c>
      <c r="D85" s="20" t="s">
        <v>847</v>
      </c>
      <c r="E85" s="20" t="s">
        <v>47</v>
      </c>
      <c r="F85" s="21">
        <v>24022</v>
      </c>
      <c r="G85" s="21" t="s">
        <v>1000</v>
      </c>
      <c r="H85" s="23"/>
      <c r="I85" s="23"/>
      <c r="J85" s="23">
        <v>1685.2</v>
      </c>
      <c r="K85" s="23"/>
      <c r="L85" s="24"/>
      <c r="M85" s="25">
        <f t="shared" si="10"/>
        <v>1685.2</v>
      </c>
      <c r="N85" s="25">
        <f t="shared" si="11"/>
        <v>0</v>
      </c>
      <c r="O85" s="25">
        <f t="shared" si="12"/>
        <v>0</v>
      </c>
      <c r="P85" s="25">
        <v>1685.2</v>
      </c>
      <c r="Q85" s="26"/>
      <c r="R85" s="26"/>
      <c r="S85" s="27"/>
      <c r="T85" s="27"/>
      <c r="U85" s="27"/>
      <c r="V85" s="27"/>
      <c r="W85" s="27"/>
      <c r="X85" s="26"/>
      <c r="Y85" s="26"/>
      <c r="Z85" s="26"/>
      <c r="AA85" s="26"/>
      <c r="AB85" s="27"/>
      <c r="AC85" s="27"/>
      <c r="AD85" s="26"/>
      <c r="AE85" s="26"/>
      <c r="AF85" s="25">
        <f t="shared" si="13"/>
        <v>-1685.2</v>
      </c>
      <c r="AG85" s="28">
        <f t="shared" si="14"/>
        <v>0</v>
      </c>
    </row>
    <row r="86" spans="1:33" s="29" customFormat="1" ht="23.25" customHeight="1" x14ac:dyDescent="0.2">
      <c r="A86" s="18">
        <v>43789</v>
      </c>
      <c r="B86" s="19"/>
      <c r="C86" s="20" t="s">
        <v>45</v>
      </c>
      <c r="D86" s="20" t="s">
        <v>847</v>
      </c>
      <c r="E86" s="20" t="s">
        <v>47</v>
      </c>
      <c r="F86" s="21">
        <v>24022</v>
      </c>
      <c r="G86" s="22" t="s">
        <v>1001</v>
      </c>
      <c r="H86" s="23"/>
      <c r="I86" s="23"/>
      <c r="J86" s="23"/>
      <c r="K86" s="23">
        <f>883.39+106.01</f>
        <v>989.4</v>
      </c>
      <c r="L86" s="24"/>
      <c r="M86" s="25">
        <f t="shared" si="10"/>
        <v>883.392857142857</v>
      </c>
      <c r="N86" s="25">
        <f t="shared" si="11"/>
        <v>106.00714285714284</v>
      </c>
      <c r="O86" s="25">
        <f t="shared" si="12"/>
        <v>0</v>
      </c>
      <c r="P86" s="25">
        <v>883.39</v>
      </c>
      <c r="Q86" s="26"/>
      <c r="R86" s="26"/>
      <c r="S86" s="27"/>
      <c r="T86" s="27"/>
      <c r="U86" s="27"/>
      <c r="V86" s="27"/>
      <c r="W86" s="27"/>
      <c r="X86" s="26"/>
      <c r="Y86" s="26"/>
      <c r="Z86" s="26"/>
      <c r="AA86" s="26"/>
      <c r="AB86" s="27"/>
      <c r="AC86" s="27"/>
      <c r="AD86" s="26"/>
      <c r="AE86" s="26"/>
      <c r="AF86" s="25">
        <f t="shared" si="13"/>
        <v>-989.39714285714285</v>
      </c>
      <c r="AG86" s="28">
        <f t="shared" si="14"/>
        <v>2.8571428571240176E-3</v>
      </c>
    </row>
    <row r="87" spans="1:33" s="29" customFormat="1" ht="23.25" customHeight="1" x14ac:dyDescent="0.2">
      <c r="A87" s="18">
        <v>43789</v>
      </c>
      <c r="B87" s="19"/>
      <c r="C87" s="20" t="s">
        <v>228</v>
      </c>
      <c r="D87" s="20" t="s">
        <v>229</v>
      </c>
      <c r="E87" s="20" t="s">
        <v>67</v>
      </c>
      <c r="F87" s="21">
        <v>4503</v>
      </c>
      <c r="G87" s="22" t="s">
        <v>1002</v>
      </c>
      <c r="H87" s="23"/>
      <c r="I87" s="23"/>
      <c r="J87" s="23"/>
      <c r="K87" s="23">
        <v>1153.5</v>
      </c>
      <c r="L87" s="24"/>
      <c r="M87" s="25">
        <f t="shared" si="10"/>
        <v>1029.9107142857142</v>
      </c>
      <c r="N87" s="25">
        <f t="shared" si="11"/>
        <v>123.58928571428571</v>
      </c>
      <c r="O87" s="25">
        <f t="shared" si="12"/>
        <v>0</v>
      </c>
      <c r="P87" s="25"/>
      <c r="Q87" s="26"/>
      <c r="R87" s="26"/>
      <c r="S87" s="27"/>
      <c r="T87" s="27"/>
      <c r="U87" s="27"/>
      <c r="V87" s="27">
        <v>1029.9100000000001</v>
      </c>
      <c r="W87" s="27"/>
      <c r="X87" s="26"/>
      <c r="Y87" s="26"/>
      <c r="Z87" s="26"/>
      <c r="AA87" s="26"/>
      <c r="AB87" s="27"/>
      <c r="AC87" s="27"/>
      <c r="AD87" s="26"/>
      <c r="AE87" s="26"/>
      <c r="AF87" s="25">
        <f t="shared" si="13"/>
        <v>-1153.4992857142859</v>
      </c>
      <c r="AG87" s="28">
        <f t="shared" si="14"/>
        <v>7.1428571413889586E-4</v>
      </c>
    </row>
    <row r="88" spans="1:33" s="29" customFormat="1" ht="23.25" customHeight="1" x14ac:dyDescent="0.2">
      <c r="A88" s="18">
        <v>43789</v>
      </c>
      <c r="B88" s="19"/>
      <c r="C88" s="20" t="s">
        <v>37</v>
      </c>
      <c r="D88" s="20" t="s">
        <v>38</v>
      </c>
      <c r="E88" s="20" t="s">
        <v>39</v>
      </c>
      <c r="F88" s="21">
        <v>114929</v>
      </c>
      <c r="G88" s="22" t="s">
        <v>538</v>
      </c>
      <c r="H88" s="23"/>
      <c r="I88" s="23"/>
      <c r="J88" s="23"/>
      <c r="K88" s="23">
        <v>218.4</v>
      </c>
      <c r="L88" s="24"/>
      <c r="M88" s="25">
        <f t="shared" si="10"/>
        <v>195</v>
      </c>
      <c r="N88" s="25">
        <f t="shared" si="11"/>
        <v>23.4</v>
      </c>
      <c r="O88" s="25">
        <f t="shared" si="12"/>
        <v>0</v>
      </c>
      <c r="P88" s="25">
        <v>195</v>
      </c>
      <c r="Q88" s="26"/>
      <c r="R88" s="26"/>
      <c r="S88" s="27"/>
      <c r="T88" s="27"/>
      <c r="U88" s="27"/>
      <c r="V88" s="27"/>
      <c r="W88" s="27"/>
      <c r="X88" s="26"/>
      <c r="Y88" s="26"/>
      <c r="Z88" s="26"/>
      <c r="AA88" s="26"/>
      <c r="AB88" s="27"/>
      <c r="AC88" s="27"/>
      <c r="AD88" s="26"/>
      <c r="AE88" s="26"/>
      <c r="AF88" s="25">
        <f t="shared" si="13"/>
        <v>-218.4</v>
      </c>
      <c r="AG88" s="28">
        <f t="shared" si="14"/>
        <v>0</v>
      </c>
    </row>
    <row r="89" spans="1:33" s="29" customFormat="1" ht="23.25" customHeight="1" x14ac:dyDescent="0.2">
      <c r="A89" s="18">
        <v>43789</v>
      </c>
      <c r="B89" s="19"/>
      <c r="C89" s="20" t="s">
        <v>41</v>
      </c>
      <c r="D89" s="20" t="s">
        <v>42</v>
      </c>
      <c r="E89" s="20" t="s">
        <v>43</v>
      </c>
      <c r="F89" s="21">
        <v>163691</v>
      </c>
      <c r="G89" s="21" t="s">
        <v>44</v>
      </c>
      <c r="H89" s="23"/>
      <c r="I89" s="23"/>
      <c r="J89" s="23"/>
      <c r="K89" s="23">
        <v>180</v>
      </c>
      <c r="L89" s="24"/>
      <c r="M89" s="25">
        <f t="shared" si="10"/>
        <v>160.71428571428569</v>
      </c>
      <c r="N89" s="25">
        <f t="shared" si="11"/>
        <v>19.285714285714281</v>
      </c>
      <c r="O89" s="25">
        <f t="shared" si="12"/>
        <v>0</v>
      </c>
      <c r="P89" s="25"/>
      <c r="Q89" s="26">
        <v>160.71</v>
      </c>
      <c r="R89" s="26"/>
      <c r="S89" s="27"/>
      <c r="T89" s="27"/>
      <c r="U89" s="27"/>
      <c r="V89" s="27"/>
      <c r="W89" s="27"/>
      <c r="X89" s="26"/>
      <c r="Y89" s="26"/>
      <c r="Z89" s="26"/>
      <c r="AA89" s="26"/>
      <c r="AB89" s="27"/>
      <c r="AC89" s="27"/>
      <c r="AD89" s="26"/>
      <c r="AE89" s="26"/>
      <c r="AF89" s="25">
        <f t="shared" si="13"/>
        <v>-179.99571428571429</v>
      </c>
      <c r="AG89" s="28">
        <f t="shared" si="14"/>
        <v>4.2857142857144481E-3</v>
      </c>
    </row>
    <row r="90" spans="1:33" s="29" customFormat="1" ht="23.25" customHeight="1" x14ac:dyDescent="0.2">
      <c r="A90" s="18">
        <v>43789</v>
      </c>
      <c r="B90" s="19"/>
      <c r="C90" s="20" t="s">
        <v>37</v>
      </c>
      <c r="D90" s="20" t="s">
        <v>38</v>
      </c>
      <c r="E90" s="20" t="s">
        <v>39</v>
      </c>
      <c r="F90" s="21">
        <v>99644</v>
      </c>
      <c r="G90" s="22" t="s">
        <v>900</v>
      </c>
      <c r="H90" s="23"/>
      <c r="I90" s="23"/>
      <c r="J90" s="23"/>
      <c r="K90" s="23">
        <v>273</v>
      </c>
      <c r="L90" s="24"/>
      <c r="M90" s="25">
        <f t="shared" si="10"/>
        <v>243.74999999999997</v>
      </c>
      <c r="N90" s="25">
        <f t="shared" si="11"/>
        <v>29.249999999999996</v>
      </c>
      <c r="O90" s="25">
        <f t="shared" si="12"/>
        <v>0</v>
      </c>
      <c r="P90" s="25">
        <v>243.75</v>
      </c>
      <c r="Q90" s="26"/>
      <c r="R90" s="26"/>
      <c r="S90" s="27"/>
      <c r="T90" s="27"/>
      <c r="U90" s="27"/>
      <c r="V90" s="27"/>
      <c r="W90" s="27"/>
      <c r="X90" s="26"/>
      <c r="Y90" s="26"/>
      <c r="Z90" s="26"/>
      <c r="AA90" s="26"/>
      <c r="AB90" s="27"/>
      <c r="AC90" s="27"/>
      <c r="AD90" s="26"/>
      <c r="AE90" s="26"/>
      <c r="AF90" s="25">
        <f t="shared" si="13"/>
        <v>-273</v>
      </c>
      <c r="AG90" s="28">
        <f t="shared" si="14"/>
        <v>0</v>
      </c>
    </row>
    <row r="91" spans="1:33" s="29" customFormat="1" ht="23.25" customHeight="1" x14ac:dyDescent="0.2">
      <c r="A91" s="18">
        <v>43790</v>
      </c>
      <c r="B91" s="19"/>
      <c r="C91" s="20" t="s">
        <v>37</v>
      </c>
      <c r="D91" s="20" t="s">
        <v>38</v>
      </c>
      <c r="E91" s="20" t="s">
        <v>39</v>
      </c>
      <c r="F91" s="21">
        <v>115133</v>
      </c>
      <c r="G91" s="22" t="s">
        <v>965</v>
      </c>
      <c r="H91" s="23"/>
      <c r="I91" s="23"/>
      <c r="J91" s="23"/>
      <c r="K91" s="23">
        <v>240</v>
      </c>
      <c r="L91" s="24"/>
      <c r="M91" s="25">
        <f t="shared" si="10"/>
        <v>214.28571428571428</v>
      </c>
      <c r="N91" s="25">
        <f t="shared" si="11"/>
        <v>25.714285714285712</v>
      </c>
      <c r="O91" s="25">
        <f t="shared" si="12"/>
        <v>0</v>
      </c>
      <c r="P91" s="25">
        <v>214.29</v>
      </c>
      <c r="Q91" s="26"/>
      <c r="R91" s="26"/>
      <c r="S91" s="27"/>
      <c r="T91" s="27"/>
      <c r="U91" s="27"/>
      <c r="V91" s="27"/>
      <c r="W91" s="27"/>
      <c r="X91" s="26"/>
      <c r="Y91" s="26"/>
      <c r="Z91" s="26"/>
      <c r="AA91" s="26"/>
      <c r="AB91" s="27"/>
      <c r="AC91" s="27"/>
      <c r="AD91" s="26"/>
      <c r="AE91" s="26"/>
      <c r="AF91" s="25">
        <f t="shared" si="13"/>
        <v>-240.00428571428571</v>
      </c>
      <c r="AG91" s="28">
        <f t="shared" si="14"/>
        <v>-4.2857142857144481E-3</v>
      </c>
    </row>
    <row r="92" spans="1:33" s="29" customFormat="1" ht="23.25" customHeight="1" x14ac:dyDescent="0.2">
      <c r="A92" s="18">
        <v>43790</v>
      </c>
      <c r="B92" s="19"/>
      <c r="C92" s="20" t="s">
        <v>45</v>
      </c>
      <c r="D92" s="20" t="s">
        <v>847</v>
      </c>
      <c r="E92" s="20" t="s">
        <v>47</v>
      </c>
      <c r="F92" s="21">
        <v>235257</v>
      </c>
      <c r="G92" s="21" t="s">
        <v>680</v>
      </c>
      <c r="H92" s="23"/>
      <c r="I92" s="23"/>
      <c r="J92" s="23">
        <v>243.5</v>
      </c>
      <c r="K92" s="23"/>
      <c r="L92" s="24"/>
      <c r="M92" s="25">
        <f t="shared" si="10"/>
        <v>243.5</v>
      </c>
      <c r="N92" s="25">
        <f t="shared" si="11"/>
        <v>0</v>
      </c>
      <c r="O92" s="25">
        <f t="shared" si="12"/>
        <v>0</v>
      </c>
      <c r="P92" s="25">
        <v>243.5</v>
      </c>
      <c r="Q92" s="26"/>
      <c r="R92" s="26"/>
      <c r="S92" s="27"/>
      <c r="T92" s="27"/>
      <c r="U92" s="27"/>
      <c r="V92" s="27"/>
      <c r="W92" s="27"/>
      <c r="X92" s="26"/>
      <c r="Y92" s="26"/>
      <c r="Z92" s="26"/>
      <c r="AA92" s="26"/>
      <c r="AB92" s="27"/>
      <c r="AC92" s="27"/>
      <c r="AD92" s="26"/>
      <c r="AE92" s="26"/>
      <c r="AF92" s="25">
        <f t="shared" si="13"/>
        <v>-243.5</v>
      </c>
      <c r="AG92" s="28">
        <f t="shared" si="14"/>
        <v>0</v>
      </c>
    </row>
    <row r="93" spans="1:33" s="29" customFormat="1" ht="23.25" customHeight="1" x14ac:dyDescent="0.2">
      <c r="A93" s="18">
        <v>43790</v>
      </c>
      <c r="B93" s="19"/>
      <c r="C93" s="20" t="s">
        <v>45</v>
      </c>
      <c r="D93" s="20" t="s">
        <v>847</v>
      </c>
      <c r="E93" s="20" t="s">
        <v>47</v>
      </c>
      <c r="F93" s="21">
        <v>235257</v>
      </c>
      <c r="G93" s="21" t="s">
        <v>1003</v>
      </c>
      <c r="H93" s="23"/>
      <c r="I93" s="23"/>
      <c r="J93" s="23"/>
      <c r="K93" s="23">
        <f>992.14+119.06</f>
        <v>1111.2</v>
      </c>
      <c r="L93" s="24"/>
      <c r="M93" s="25">
        <f t="shared" si="10"/>
        <v>992.14285714285711</v>
      </c>
      <c r="N93" s="25">
        <f t="shared" si="11"/>
        <v>119.05714285714285</v>
      </c>
      <c r="O93" s="25">
        <f t="shared" si="12"/>
        <v>0</v>
      </c>
      <c r="P93" s="25">
        <v>992.14</v>
      </c>
      <c r="Q93" s="26"/>
      <c r="R93" s="26"/>
      <c r="S93" s="27"/>
      <c r="T93" s="27"/>
      <c r="U93" s="27"/>
      <c r="V93" s="27"/>
      <c r="W93" s="27"/>
      <c r="X93" s="26"/>
      <c r="Y93" s="26"/>
      <c r="Z93" s="26"/>
      <c r="AA93" s="26"/>
      <c r="AB93" s="27"/>
      <c r="AC93" s="27"/>
      <c r="AD93" s="26"/>
      <c r="AE93" s="26"/>
      <c r="AF93" s="25">
        <f t="shared" si="13"/>
        <v>-1111.1971428571428</v>
      </c>
      <c r="AG93" s="28">
        <f t="shared" si="14"/>
        <v>2.8571428572377044E-3</v>
      </c>
    </row>
    <row r="94" spans="1:33" s="29" customFormat="1" ht="23.25" customHeight="1" x14ac:dyDescent="0.2">
      <c r="A94" s="18">
        <v>43790</v>
      </c>
      <c r="B94" s="19"/>
      <c r="C94" s="20" t="s">
        <v>41</v>
      </c>
      <c r="D94" s="20" t="s">
        <v>42</v>
      </c>
      <c r="E94" s="20" t="s">
        <v>43</v>
      </c>
      <c r="F94" s="21">
        <v>170540</v>
      </c>
      <c r="G94" s="21" t="s">
        <v>44</v>
      </c>
      <c r="H94" s="23"/>
      <c r="I94" s="23"/>
      <c r="J94" s="23"/>
      <c r="K94" s="23">
        <v>180</v>
      </c>
      <c r="L94" s="24"/>
      <c r="M94" s="25">
        <f t="shared" si="10"/>
        <v>160.71428571428569</v>
      </c>
      <c r="N94" s="25">
        <f t="shared" si="11"/>
        <v>19.285714285714281</v>
      </c>
      <c r="O94" s="25">
        <f t="shared" si="12"/>
        <v>0</v>
      </c>
      <c r="P94" s="25"/>
      <c r="Q94" s="26">
        <v>160.71</v>
      </c>
      <c r="R94" s="26"/>
      <c r="S94" s="27"/>
      <c r="T94" s="27"/>
      <c r="U94" s="27"/>
      <c r="V94" s="27"/>
      <c r="W94" s="27"/>
      <c r="X94" s="26"/>
      <c r="Y94" s="26"/>
      <c r="Z94" s="26"/>
      <c r="AA94" s="26"/>
      <c r="AB94" s="27"/>
      <c r="AC94" s="27"/>
      <c r="AD94" s="26"/>
      <c r="AE94" s="26"/>
      <c r="AF94" s="25">
        <f t="shared" si="13"/>
        <v>-179.99571428571429</v>
      </c>
      <c r="AG94" s="28">
        <f t="shared" si="14"/>
        <v>4.2857142857144481E-3</v>
      </c>
    </row>
    <row r="95" spans="1:33" s="29" customFormat="1" ht="23.25" customHeight="1" x14ac:dyDescent="0.2">
      <c r="A95" s="18">
        <v>43790</v>
      </c>
      <c r="B95" s="19"/>
      <c r="C95" s="20" t="s">
        <v>45</v>
      </c>
      <c r="D95" s="20" t="s">
        <v>847</v>
      </c>
      <c r="E95" s="20" t="s">
        <v>47</v>
      </c>
      <c r="F95" s="21">
        <v>173068</v>
      </c>
      <c r="G95" s="22" t="s">
        <v>1004</v>
      </c>
      <c r="H95" s="23"/>
      <c r="I95" s="23"/>
      <c r="J95" s="23"/>
      <c r="K95" s="23">
        <f>95.54+11.46</f>
        <v>107</v>
      </c>
      <c r="L95" s="24"/>
      <c r="M95" s="25">
        <f t="shared" si="10"/>
        <v>95.535714285714278</v>
      </c>
      <c r="N95" s="25">
        <f t="shared" si="11"/>
        <v>11.464285714285714</v>
      </c>
      <c r="O95" s="25">
        <f t="shared" si="12"/>
        <v>0</v>
      </c>
      <c r="P95" s="25">
        <v>95.54</v>
      </c>
      <c r="Q95" s="26"/>
      <c r="R95" s="26"/>
      <c r="S95" s="27"/>
      <c r="T95" s="27"/>
      <c r="U95" s="27"/>
      <c r="V95" s="27"/>
      <c r="W95" s="27"/>
      <c r="X95" s="26"/>
      <c r="Y95" s="26"/>
      <c r="Z95" s="26"/>
      <c r="AA95" s="26"/>
      <c r="AB95" s="27"/>
      <c r="AC95" s="27"/>
      <c r="AD95" s="26"/>
      <c r="AE95" s="26"/>
      <c r="AF95" s="25">
        <f t="shared" si="13"/>
        <v>-107.00428571428571</v>
      </c>
      <c r="AG95" s="28">
        <f t="shared" si="14"/>
        <v>-4.2857142857144481E-3</v>
      </c>
    </row>
    <row r="96" spans="1:33" s="29" customFormat="1" ht="23.25" customHeight="1" x14ac:dyDescent="0.2">
      <c r="A96" s="18">
        <v>43790</v>
      </c>
      <c r="B96" s="19"/>
      <c r="C96" s="20" t="s">
        <v>45</v>
      </c>
      <c r="D96" s="20" t="s">
        <v>847</v>
      </c>
      <c r="E96" s="20" t="s">
        <v>47</v>
      </c>
      <c r="F96" s="21">
        <v>173068</v>
      </c>
      <c r="G96" s="22" t="s">
        <v>1005</v>
      </c>
      <c r="H96" s="23"/>
      <c r="I96" s="23"/>
      <c r="J96" s="23">
        <v>810.65</v>
      </c>
      <c r="K96" s="23"/>
      <c r="L96" s="24"/>
      <c r="M96" s="25">
        <f t="shared" si="10"/>
        <v>810.65</v>
      </c>
      <c r="N96" s="25">
        <f t="shared" si="11"/>
        <v>0</v>
      </c>
      <c r="O96" s="25">
        <f t="shared" si="12"/>
        <v>0</v>
      </c>
      <c r="P96" s="25">
        <v>810.65</v>
      </c>
      <c r="Q96" s="26"/>
      <c r="R96" s="26"/>
      <c r="S96" s="27"/>
      <c r="T96" s="27"/>
      <c r="U96" s="27"/>
      <c r="V96" s="27"/>
      <c r="W96" s="27"/>
      <c r="X96" s="26"/>
      <c r="Y96" s="26"/>
      <c r="Z96" s="26"/>
      <c r="AA96" s="26"/>
      <c r="AB96" s="27"/>
      <c r="AC96" s="27"/>
      <c r="AD96" s="26"/>
      <c r="AE96" s="26"/>
      <c r="AF96" s="25">
        <f t="shared" si="13"/>
        <v>-810.65</v>
      </c>
      <c r="AG96" s="28">
        <f t="shared" si="14"/>
        <v>0</v>
      </c>
    </row>
    <row r="97" spans="1:33" s="29" customFormat="1" ht="23.25" customHeight="1" x14ac:dyDescent="0.2">
      <c r="A97" s="18">
        <v>43790</v>
      </c>
      <c r="B97" s="19"/>
      <c r="C97" s="20" t="s">
        <v>955</v>
      </c>
      <c r="D97" s="20" t="s">
        <v>527</v>
      </c>
      <c r="E97" s="20" t="s">
        <v>47</v>
      </c>
      <c r="F97" s="21">
        <v>1867498</v>
      </c>
      <c r="G97" s="22" t="s">
        <v>1006</v>
      </c>
      <c r="H97" s="23"/>
      <c r="I97" s="23"/>
      <c r="J97" s="23"/>
      <c r="K97" s="23">
        <v>528.75</v>
      </c>
      <c r="L97" s="24"/>
      <c r="M97" s="25">
        <f t="shared" si="10"/>
        <v>472.09821428571422</v>
      </c>
      <c r="N97" s="25">
        <f t="shared" si="11"/>
        <v>56.651785714285701</v>
      </c>
      <c r="O97" s="25">
        <f t="shared" si="12"/>
        <v>0</v>
      </c>
      <c r="P97" s="25"/>
      <c r="Q97" s="26"/>
      <c r="R97" s="26"/>
      <c r="S97" s="27"/>
      <c r="T97" s="27"/>
      <c r="U97" s="27"/>
      <c r="V97" s="27"/>
      <c r="W97" s="27"/>
      <c r="X97" s="26"/>
      <c r="Y97" s="26">
        <v>472.1</v>
      </c>
      <c r="Z97" s="26"/>
      <c r="AA97" s="26"/>
      <c r="AB97" s="27"/>
      <c r="AC97" s="27"/>
      <c r="AD97" s="26"/>
      <c r="AE97" s="26"/>
      <c r="AF97" s="25">
        <f t="shared" si="13"/>
        <v>-528.75178571428569</v>
      </c>
      <c r="AG97" s="28">
        <f t="shared" si="14"/>
        <v>-1.7857142856883002E-3</v>
      </c>
    </row>
    <row r="98" spans="1:33" s="29" customFormat="1" ht="23.25" customHeight="1" x14ac:dyDescent="0.2">
      <c r="A98" s="18">
        <v>43791</v>
      </c>
      <c r="B98" s="19"/>
      <c r="C98" s="20" t="s">
        <v>933</v>
      </c>
      <c r="D98" s="20" t="s">
        <v>934</v>
      </c>
      <c r="E98" s="20" t="s">
        <v>935</v>
      </c>
      <c r="F98" s="21">
        <v>2502</v>
      </c>
      <c r="G98" s="22" t="s">
        <v>902</v>
      </c>
      <c r="H98" s="23"/>
      <c r="I98" s="23"/>
      <c r="J98" s="23">
        <v>300</v>
      </c>
      <c r="K98" s="23"/>
      <c r="L98" s="24"/>
      <c r="M98" s="25">
        <f t="shared" si="10"/>
        <v>300</v>
      </c>
      <c r="N98" s="25">
        <f t="shared" si="11"/>
        <v>0</v>
      </c>
      <c r="O98" s="25">
        <f t="shared" si="12"/>
        <v>0</v>
      </c>
      <c r="P98" s="25">
        <v>300</v>
      </c>
      <c r="Q98" s="26"/>
      <c r="R98" s="26"/>
      <c r="S98" s="27"/>
      <c r="T98" s="27"/>
      <c r="U98" s="27"/>
      <c r="V98" s="27"/>
      <c r="W98" s="27"/>
      <c r="X98" s="26"/>
      <c r="Y98" s="26"/>
      <c r="Z98" s="26"/>
      <c r="AA98" s="26"/>
      <c r="AB98" s="27"/>
      <c r="AC98" s="27"/>
      <c r="AD98" s="26"/>
      <c r="AE98" s="26"/>
      <c r="AF98" s="25">
        <f t="shared" si="13"/>
        <v>-300</v>
      </c>
      <c r="AG98" s="28">
        <f t="shared" si="14"/>
        <v>0</v>
      </c>
    </row>
    <row r="99" spans="1:33" s="29" customFormat="1" ht="23.25" customHeight="1" x14ac:dyDescent="0.2">
      <c r="A99" s="18">
        <v>43791</v>
      </c>
      <c r="B99" s="19"/>
      <c r="C99" s="20" t="s">
        <v>54</v>
      </c>
      <c r="D99" s="20" t="s">
        <v>55</v>
      </c>
      <c r="E99" s="20" t="s">
        <v>56</v>
      </c>
      <c r="F99" s="21">
        <v>3339</v>
      </c>
      <c r="G99" s="21" t="s">
        <v>666</v>
      </c>
      <c r="H99" s="23"/>
      <c r="I99" s="23"/>
      <c r="J99" s="23">
        <v>1020</v>
      </c>
      <c r="K99" s="23"/>
      <c r="L99" s="24"/>
      <c r="M99" s="25">
        <f t="shared" si="10"/>
        <v>1020</v>
      </c>
      <c r="N99" s="25">
        <f t="shared" si="11"/>
        <v>0</v>
      </c>
      <c r="O99" s="25">
        <f t="shared" si="12"/>
        <v>0</v>
      </c>
      <c r="P99" s="25">
        <v>1020</v>
      </c>
      <c r="Q99" s="26"/>
      <c r="R99" s="26"/>
      <c r="S99" s="27"/>
      <c r="T99" s="27"/>
      <c r="U99" s="27"/>
      <c r="V99" s="27"/>
      <c r="W99" s="27"/>
      <c r="X99" s="26"/>
      <c r="Y99" s="26"/>
      <c r="Z99" s="26"/>
      <c r="AA99" s="26"/>
      <c r="AB99" s="27"/>
      <c r="AC99" s="27"/>
      <c r="AD99" s="26"/>
      <c r="AE99" s="26"/>
      <c r="AF99" s="25">
        <f t="shared" si="13"/>
        <v>-1020</v>
      </c>
      <c r="AG99" s="28">
        <f t="shared" si="14"/>
        <v>0</v>
      </c>
    </row>
    <row r="100" spans="1:33" s="29" customFormat="1" ht="23.25" customHeight="1" x14ac:dyDescent="0.2">
      <c r="A100" s="18">
        <v>43791</v>
      </c>
      <c r="B100" s="19"/>
      <c r="C100" s="20" t="s">
        <v>41</v>
      </c>
      <c r="D100" s="20" t="s">
        <v>42</v>
      </c>
      <c r="E100" s="20" t="s">
        <v>43</v>
      </c>
      <c r="F100" s="21">
        <v>170585</v>
      </c>
      <c r="G100" s="21" t="s">
        <v>44</v>
      </c>
      <c r="H100" s="23"/>
      <c r="I100" s="23"/>
      <c r="J100" s="23"/>
      <c r="K100" s="23">
        <v>180</v>
      </c>
      <c r="L100" s="24"/>
      <c r="M100" s="25">
        <f t="shared" si="10"/>
        <v>160.71428571428569</v>
      </c>
      <c r="N100" s="25">
        <f t="shared" si="11"/>
        <v>19.285714285714281</v>
      </c>
      <c r="O100" s="25">
        <f t="shared" si="12"/>
        <v>0</v>
      </c>
      <c r="P100" s="25"/>
      <c r="Q100" s="26">
        <v>160.71</v>
      </c>
      <c r="R100" s="26"/>
      <c r="S100" s="27"/>
      <c r="T100" s="27"/>
      <c r="U100" s="27"/>
      <c r="V100" s="27"/>
      <c r="W100" s="27"/>
      <c r="X100" s="26"/>
      <c r="Y100" s="26"/>
      <c r="Z100" s="26"/>
      <c r="AA100" s="26"/>
      <c r="AB100" s="27"/>
      <c r="AC100" s="27"/>
      <c r="AD100" s="26"/>
      <c r="AE100" s="26"/>
      <c r="AF100" s="25">
        <f t="shared" si="13"/>
        <v>-179.99571428571429</v>
      </c>
      <c r="AG100" s="28">
        <f t="shared" si="14"/>
        <v>4.2857142857144481E-3</v>
      </c>
    </row>
    <row r="101" spans="1:33" s="29" customFormat="1" ht="23.25" customHeight="1" x14ac:dyDescent="0.2">
      <c r="A101" s="18">
        <v>43791</v>
      </c>
      <c r="B101" s="19"/>
      <c r="C101" s="20" t="s">
        <v>424</v>
      </c>
      <c r="D101" s="20"/>
      <c r="E101" s="20"/>
      <c r="F101" s="21"/>
      <c r="G101" s="22" t="s">
        <v>1007</v>
      </c>
      <c r="H101" s="23">
        <v>40</v>
      </c>
      <c r="I101" s="23"/>
      <c r="J101" s="23"/>
      <c r="K101" s="23"/>
      <c r="L101" s="24"/>
      <c r="M101" s="25">
        <f t="shared" ref="M101:M132" si="15">SUM(H101:J101,K101/1.12)</f>
        <v>40</v>
      </c>
      <c r="N101" s="25">
        <f t="shared" ref="N101:N132" si="16">K101/1.12*0.12</f>
        <v>0</v>
      </c>
      <c r="O101" s="25">
        <f t="shared" ref="O101:O132" si="17">-SUM(I101:J101,K101/1.12)*L101</f>
        <v>0</v>
      </c>
      <c r="P101" s="25"/>
      <c r="Q101" s="26"/>
      <c r="R101" s="26"/>
      <c r="S101" s="27"/>
      <c r="T101" s="27"/>
      <c r="U101" s="27"/>
      <c r="V101" s="27"/>
      <c r="W101" s="27"/>
      <c r="X101" s="26"/>
      <c r="Y101" s="26"/>
      <c r="Z101" s="26"/>
      <c r="AA101" s="26">
        <v>40</v>
      </c>
      <c r="AB101" s="27"/>
      <c r="AC101" s="27"/>
      <c r="AD101" s="26"/>
      <c r="AE101" s="26"/>
      <c r="AF101" s="25">
        <f t="shared" ref="AF101:AF132" si="18">-SUM(N101:AE101)</f>
        <v>-40</v>
      </c>
      <c r="AG101" s="28">
        <f t="shared" ref="AG101:AG132" si="19">SUM(H101:K101)+AF101+O101</f>
        <v>0</v>
      </c>
    </row>
    <row r="102" spans="1:33" s="29" customFormat="1" ht="23.25" customHeight="1" x14ac:dyDescent="0.2">
      <c r="A102" s="18">
        <v>43791</v>
      </c>
      <c r="B102" s="19"/>
      <c r="C102" s="20" t="s">
        <v>58</v>
      </c>
      <c r="D102" s="20"/>
      <c r="E102" s="20"/>
      <c r="F102" s="21"/>
      <c r="G102" s="22" t="s">
        <v>521</v>
      </c>
      <c r="H102" s="23">
        <v>100</v>
      </c>
      <c r="I102" s="23"/>
      <c r="J102" s="23"/>
      <c r="K102" s="23"/>
      <c r="L102" s="24"/>
      <c r="M102" s="25">
        <f t="shared" si="15"/>
        <v>100</v>
      </c>
      <c r="N102" s="25">
        <f t="shared" si="16"/>
        <v>0</v>
      </c>
      <c r="O102" s="25">
        <f t="shared" si="17"/>
        <v>0</v>
      </c>
      <c r="P102" s="25"/>
      <c r="Q102" s="26"/>
      <c r="R102" s="26"/>
      <c r="S102" s="27"/>
      <c r="T102" s="27"/>
      <c r="U102" s="27"/>
      <c r="V102" s="27"/>
      <c r="W102" s="27"/>
      <c r="X102" s="26"/>
      <c r="Y102" s="26"/>
      <c r="Z102" s="26"/>
      <c r="AA102" s="26">
        <v>100</v>
      </c>
      <c r="AB102" s="27"/>
      <c r="AC102" s="27"/>
      <c r="AD102" s="26"/>
      <c r="AE102" s="26"/>
      <c r="AF102" s="25">
        <f t="shared" si="18"/>
        <v>-100</v>
      </c>
      <c r="AG102" s="28">
        <f t="shared" si="19"/>
        <v>0</v>
      </c>
    </row>
    <row r="103" spans="1:33" s="29" customFormat="1" ht="23.25" customHeight="1" x14ac:dyDescent="0.2">
      <c r="A103" s="18">
        <v>43791</v>
      </c>
      <c r="B103" s="19"/>
      <c r="C103" s="20" t="s">
        <v>220</v>
      </c>
      <c r="D103" s="20"/>
      <c r="E103" s="20"/>
      <c r="F103" s="21"/>
      <c r="G103" s="21" t="s">
        <v>961</v>
      </c>
      <c r="H103" s="23"/>
      <c r="I103" s="23"/>
      <c r="J103" s="23">
        <v>300</v>
      </c>
      <c r="K103" s="23"/>
      <c r="L103" s="24"/>
      <c r="M103" s="25">
        <f t="shared" si="15"/>
        <v>300</v>
      </c>
      <c r="N103" s="25">
        <f t="shared" si="16"/>
        <v>0</v>
      </c>
      <c r="O103" s="25">
        <f t="shared" si="17"/>
        <v>0</v>
      </c>
      <c r="P103" s="25">
        <v>300</v>
      </c>
      <c r="Q103" s="26"/>
      <c r="R103" s="26"/>
      <c r="S103" s="27"/>
      <c r="T103" s="27"/>
      <c r="U103" s="27"/>
      <c r="V103" s="27"/>
      <c r="W103" s="27"/>
      <c r="X103" s="26"/>
      <c r="Y103" s="26"/>
      <c r="Z103" s="26"/>
      <c r="AA103" s="26"/>
      <c r="AB103" s="27"/>
      <c r="AC103" s="27"/>
      <c r="AD103" s="26"/>
      <c r="AE103" s="26"/>
      <c r="AF103" s="25">
        <f t="shared" si="18"/>
        <v>-300</v>
      </c>
      <c r="AG103" s="28">
        <f t="shared" si="19"/>
        <v>0</v>
      </c>
    </row>
    <row r="104" spans="1:33" s="29" customFormat="1" ht="23.25" customHeight="1" x14ac:dyDescent="0.2">
      <c r="A104" s="18">
        <v>43791</v>
      </c>
      <c r="B104" s="19"/>
      <c r="C104" s="20" t="s">
        <v>1008</v>
      </c>
      <c r="D104" s="20" t="s">
        <v>309</v>
      </c>
      <c r="E104" s="20" t="s">
        <v>56</v>
      </c>
      <c r="F104" s="21">
        <v>15145</v>
      </c>
      <c r="G104" s="21" t="s">
        <v>902</v>
      </c>
      <c r="H104" s="23"/>
      <c r="I104" s="23"/>
      <c r="J104" s="23">
        <v>450</v>
      </c>
      <c r="K104" s="23"/>
      <c r="L104" s="24"/>
      <c r="M104" s="25">
        <f t="shared" si="15"/>
        <v>450</v>
      </c>
      <c r="N104" s="25">
        <f t="shared" si="16"/>
        <v>0</v>
      </c>
      <c r="O104" s="25">
        <f t="shared" si="17"/>
        <v>0</v>
      </c>
      <c r="P104" s="25">
        <v>450</v>
      </c>
      <c r="Q104" s="26"/>
      <c r="R104" s="26"/>
      <c r="S104" s="27"/>
      <c r="T104" s="27"/>
      <c r="U104" s="27"/>
      <c r="V104" s="27"/>
      <c r="W104" s="27"/>
      <c r="X104" s="26"/>
      <c r="Y104" s="26"/>
      <c r="Z104" s="26"/>
      <c r="AA104" s="26"/>
      <c r="AB104" s="27"/>
      <c r="AC104" s="27"/>
      <c r="AD104" s="26"/>
      <c r="AE104" s="26"/>
      <c r="AF104" s="25">
        <f t="shared" si="18"/>
        <v>-450</v>
      </c>
      <c r="AG104" s="28">
        <f t="shared" si="19"/>
        <v>0</v>
      </c>
    </row>
    <row r="105" spans="1:33" s="29" customFormat="1" ht="23.25" customHeight="1" x14ac:dyDescent="0.2">
      <c r="A105" s="18">
        <v>43791</v>
      </c>
      <c r="B105" s="19"/>
      <c r="C105" s="20" t="s">
        <v>37</v>
      </c>
      <c r="D105" s="20" t="s">
        <v>38</v>
      </c>
      <c r="E105" s="20" t="s">
        <v>39</v>
      </c>
      <c r="F105" s="21">
        <v>100221</v>
      </c>
      <c r="G105" s="44" t="s">
        <v>1009</v>
      </c>
      <c r="H105" s="23"/>
      <c r="I105" s="23"/>
      <c r="J105" s="23"/>
      <c r="K105" s="23">
        <v>490.06</v>
      </c>
      <c r="L105" s="24"/>
      <c r="M105" s="25">
        <f t="shared" si="15"/>
        <v>437.55357142857139</v>
      </c>
      <c r="N105" s="25">
        <f t="shared" si="16"/>
        <v>52.506428571428565</v>
      </c>
      <c r="O105" s="25">
        <f t="shared" si="17"/>
        <v>0</v>
      </c>
      <c r="P105" s="25">
        <v>437.55</v>
      </c>
      <c r="Q105" s="26"/>
      <c r="R105" s="26"/>
      <c r="S105" s="27"/>
      <c r="T105" s="27"/>
      <c r="U105" s="27"/>
      <c r="V105" s="27"/>
      <c r="W105" s="27"/>
      <c r="X105" s="26"/>
      <c r="Y105" s="26"/>
      <c r="Z105" s="26"/>
      <c r="AA105" s="26"/>
      <c r="AB105" s="27"/>
      <c r="AC105" s="27"/>
      <c r="AD105" s="26"/>
      <c r="AE105" s="26"/>
      <c r="AF105" s="25">
        <f t="shared" si="18"/>
        <v>-490.05642857142857</v>
      </c>
      <c r="AG105" s="28">
        <f t="shared" si="19"/>
        <v>3.5714285714334437E-3</v>
      </c>
    </row>
    <row r="106" spans="1:33" s="29" customFormat="1" ht="23.25" customHeight="1" x14ac:dyDescent="0.2">
      <c r="A106" s="18">
        <v>43791</v>
      </c>
      <c r="B106" s="19"/>
      <c r="C106" s="20" t="s">
        <v>37</v>
      </c>
      <c r="D106" s="20" t="s">
        <v>38</v>
      </c>
      <c r="E106" s="20" t="s">
        <v>39</v>
      </c>
      <c r="F106" s="21">
        <v>83282</v>
      </c>
      <c r="G106" s="44" t="s">
        <v>1010</v>
      </c>
      <c r="H106" s="23"/>
      <c r="I106" s="23"/>
      <c r="J106" s="23"/>
      <c r="K106" s="23">
        <v>154</v>
      </c>
      <c r="L106" s="24"/>
      <c r="M106" s="25">
        <f t="shared" si="15"/>
        <v>137.5</v>
      </c>
      <c r="N106" s="25">
        <f t="shared" si="16"/>
        <v>16.5</v>
      </c>
      <c r="O106" s="25">
        <f t="shared" si="17"/>
        <v>0</v>
      </c>
      <c r="P106" s="25">
        <v>137.5</v>
      </c>
      <c r="Q106" s="26"/>
      <c r="R106" s="26"/>
      <c r="S106" s="27"/>
      <c r="T106" s="27"/>
      <c r="U106" s="27"/>
      <c r="V106" s="27"/>
      <c r="W106" s="27"/>
      <c r="X106" s="26"/>
      <c r="Y106" s="26"/>
      <c r="Z106" s="26"/>
      <c r="AA106" s="26"/>
      <c r="AB106" s="27"/>
      <c r="AC106" s="27"/>
      <c r="AD106" s="26"/>
      <c r="AE106" s="26"/>
      <c r="AF106" s="25">
        <f t="shared" si="18"/>
        <v>-154</v>
      </c>
      <c r="AG106" s="28">
        <f t="shared" si="19"/>
        <v>0</v>
      </c>
    </row>
    <row r="107" spans="1:33" s="29" customFormat="1" ht="23.25" customHeight="1" x14ac:dyDescent="0.2">
      <c r="A107" s="18">
        <v>43791</v>
      </c>
      <c r="B107" s="19"/>
      <c r="C107" s="20" t="s">
        <v>37</v>
      </c>
      <c r="D107" s="20" t="s">
        <v>38</v>
      </c>
      <c r="E107" s="20" t="s">
        <v>39</v>
      </c>
      <c r="F107" s="21">
        <v>100098</v>
      </c>
      <c r="G107" s="21" t="s">
        <v>793</v>
      </c>
      <c r="H107" s="23"/>
      <c r="I107" s="23"/>
      <c r="J107" s="23"/>
      <c r="K107" s="23">
        <v>305.20999999999998</v>
      </c>
      <c r="L107" s="24"/>
      <c r="M107" s="25">
        <f t="shared" si="15"/>
        <v>272.50892857142856</v>
      </c>
      <c r="N107" s="25">
        <f t="shared" si="16"/>
        <v>32.701071428571424</v>
      </c>
      <c r="O107" s="25">
        <f t="shared" si="17"/>
        <v>0</v>
      </c>
      <c r="P107" s="25">
        <v>272.51</v>
      </c>
      <c r="Q107" s="26"/>
      <c r="R107" s="26"/>
      <c r="S107" s="27"/>
      <c r="T107" s="27"/>
      <c r="U107" s="27"/>
      <c r="V107" s="27"/>
      <c r="W107" s="27"/>
      <c r="X107" s="26"/>
      <c r="Y107" s="26"/>
      <c r="Z107" s="26"/>
      <c r="AA107" s="26"/>
      <c r="AB107" s="27"/>
      <c r="AC107" s="27"/>
      <c r="AD107" s="26"/>
      <c r="AE107" s="26"/>
      <c r="AF107" s="25">
        <f t="shared" si="18"/>
        <v>-305.21107142857142</v>
      </c>
      <c r="AG107" s="28">
        <f t="shared" si="19"/>
        <v>-1.0714285714357175E-3</v>
      </c>
    </row>
    <row r="108" spans="1:33" s="29" customFormat="1" ht="23.25" customHeight="1" x14ac:dyDescent="0.2">
      <c r="A108" s="18">
        <v>43791</v>
      </c>
      <c r="B108" s="19"/>
      <c r="C108" s="20" t="s">
        <v>498</v>
      </c>
      <c r="D108" s="20"/>
      <c r="E108" s="20"/>
      <c r="F108" s="21"/>
      <c r="G108" s="21" t="s">
        <v>1011</v>
      </c>
      <c r="H108" s="23">
        <v>210</v>
      </c>
      <c r="I108" s="23"/>
      <c r="J108" s="23"/>
      <c r="K108" s="23"/>
      <c r="L108" s="24"/>
      <c r="M108" s="25">
        <f t="shared" si="15"/>
        <v>210</v>
      </c>
      <c r="N108" s="25">
        <f t="shared" si="16"/>
        <v>0</v>
      </c>
      <c r="O108" s="25">
        <f t="shared" si="17"/>
        <v>0</v>
      </c>
      <c r="P108" s="25"/>
      <c r="Q108" s="26"/>
      <c r="R108" s="26"/>
      <c r="S108" s="27"/>
      <c r="T108" s="27"/>
      <c r="U108" s="27"/>
      <c r="V108" s="27"/>
      <c r="W108" s="27"/>
      <c r="X108" s="26"/>
      <c r="Y108" s="26"/>
      <c r="Z108" s="26"/>
      <c r="AA108" s="26">
        <v>210</v>
      </c>
      <c r="AB108" s="27"/>
      <c r="AC108" s="27"/>
      <c r="AD108" s="26"/>
      <c r="AE108" s="26"/>
      <c r="AF108" s="25">
        <f t="shared" si="18"/>
        <v>-210</v>
      </c>
      <c r="AG108" s="28">
        <f t="shared" si="19"/>
        <v>0</v>
      </c>
    </row>
    <row r="109" spans="1:33" s="29" customFormat="1" ht="23.25" customHeight="1" x14ac:dyDescent="0.2">
      <c r="A109" s="18">
        <v>43791</v>
      </c>
      <c r="B109" s="19"/>
      <c r="C109" s="20" t="s">
        <v>185</v>
      </c>
      <c r="D109" s="20" t="s">
        <v>106</v>
      </c>
      <c r="E109" s="20" t="s">
        <v>186</v>
      </c>
      <c r="F109" s="21">
        <v>784898</v>
      </c>
      <c r="G109" s="21" t="s">
        <v>1012</v>
      </c>
      <c r="H109" s="23"/>
      <c r="I109" s="23"/>
      <c r="J109" s="23"/>
      <c r="K109" s="23">
        <v>754.68</v>
      </c>
      <c r="L109" s="24"/>
      <c r="M109" s="25">
        <f t="shared" si="15"/>
        <v>673.82142857142844</v>
      </c>
      <c r="N109" s="25">
        <f t="shared" si="16"/>
        <v>80.858571428571409</v>
      </c>
      <c r="O109" s="25">
        <f t="shared" si="17"/>
        <v>0</v>
      </c>
      <c r="P109" s="25"/>
      <c r="Q109" s="26"/>
      <c r="R109" s="26"/>
      <c r="S109" s="27"/>
      <c r="T109" s="27">
        <v>673.82</v>
      </c>
      <c r="U109" s="27"/>
      <c r="V109" s="27"/>
      <c r="W109" s="27"/>
      <c r="X109" s="26"/>
      <c r="Y109" s="26"/>
      <c r="Z109" s="26"/>
      <c r="AA109" s="26"/>
      <c r="AB109" s="27"/>
      <c r="AC109" s="27"/>
      <c r="AD109" s="26"/>
      <c r="AE109" s="26"/>
      <c r="AF109" s="25">
        <f t="shared" si="18"/>
        <v>-754.67857142857144</v>
      </c>
      <c r="AG109" s="28">
        <f t="shared" si="19"/>
        <v>1.4285714285051654E-3</v>
      </c>
    </row>
    <row r="110" spans="1:33" s="29" customFormat="1" ht="23.25" customHeight="1" x14ac:dyDescent="0.2">
      <c r="A110" s="18">
        <v>43791</v>
      </c>
      <c r="B110" s="19"/>
      <c r="C110" s="20" t="s">
        <v>45</v>
      </c>
      <c r="D110" s="20" t="s">
        <v>847</v>
      </c>
      <c r="E110" s="20" t="s">
        <v>47</v>
      </c>
      <c r="F110" s="21">
        <v>276378</v>
      </c>
      <c r="G110" s="22" t="s">
        <v>1013</v>
      </c>
      <c r="H110" s="23"/>
      <c r="I110" s="23"/>
      <c r="J110" s="23">
        <v>52.45</v>
      </c>
      <c r="K110" s="23"/>
      <c r="L110" s="24"/>
      <c r="M110" s="25">
        <f t="shared" si="15"/>
        <v>52.45</v>
      </c>
      <c r="N110" s="25">
        <f t="shared" si="16"/>
        <v>0</v>
      </c>
      <c r="O110" s="25">
        <f t="shared" si="17"/>
        <v>0</v>
      </c>
      <c r="P110" s="25">
        <v>52.45</v>
      </c>
      <c r="Q110" s="26"/>
      <c r="R110" s="26"/>
      <c r="S110" s="27"/>
      <c r="T110" s="27"/>
      <c r="U110" s="27"/>
      <c r="V110" s="27"/>
      <c r="W110" s="27"/>
      <c r="X110" s="26"/>
      <c r="Y110" s="26"/>
      <c r="Z110" s="26"/>
      <c r="AA110" s="26"/>
      <c r="AB110" s="27"/>
      <c r="AC110" s="27"/>
      <c r="AD110" s="26"/>
      <c r="AE110" s="26"/>
      <c r="AF110" s="25">
        <f t="shared" si="18"/>
        <v>-52.45</v>
      </c>
      <c r="AG110" s="28">
        <f t="shared" si="19"/>
        <v>0</v>
      </c>
    </row>
    <row r="111" spans="1:33" s="29" customFormat="1" ht="23.25" customHeight="1" x14ac:dyDescent="0.2">
      <c r="A111" s="18">
        <v>43791</v>
      </c>
      <c r="B111" s="19"/>
      <c r="C111" s="20" t="s">
        <v>45</v>
      </c>
      <c r="D111" s="20" t="s">
        <v>847</v>
      </c>
      <c r="E111" s="20" t="s">
        <v>47</v>
      </c>
      <c r="F111" s="21">
        <v>276378</v>
      </c>
      <c r="G111" s="22" t="s">
        <v>1014</v>
      </c>
      <c r="H111" s="23"/>
      <c r="I111" s="23"/>
      <c r="J111" s="23"/>
      <c r="K111" s="23">
        <f>225.54+27.06</f>
        <v>252.6</v>
      </c>
      <c r="L111" s="24"/>
      <c r="M111" s="25">
        <f t="shared" si="15"/>
        <v>225.53571428571425</v>
      </c>
      <c r="N111" s="25">
        <f t="shared" si="16"/>
        <v>27.06428571428571</v>
      </c>
      <c r="O111" s="25">
        <f t="shared" si="17"/>
        <v>0</v>
      </c>
      <c r="P111" s="25">
        <v>225.54</v>
      </c>
      <c r="Q111" s="26"/>
      <c r="R111" s="26"/>
      <c r="S111" s="27"/>
      <c r="T111" s="27"/>
      <c r="U111" s="27"/>
      <c r="V111" s="27"/>
      <c r="W111" s="27"/>
      <c r="X111" s="26"/>
      <c r="Y111" s="26"/>
      <c r="Z111" s="26"/>
      <c r="AA111" s="26"/>
      <c r="AB111" s="27"/>
      <c r="AC111" s="27"/>
      <c r="AD111" s="26"/>
      <c r="AE111" s="26"/>
      <c r="AF111" s="25">
        <f t="shared" si="18"/>
        <v>-252.60428571428571</v>
      </c>
      <c r="AG111" s="28">
        <f t="shared" si="19"/>
        <v>-4.2857142857144481E-3</v>
      </c>
    </row>
    <row r="112" spans="1:33" s="29" customFormat="1" ht="23.25" customHeight="1" x14ac:dyDescent="0.2">
      <c r="A112" s="18">
        <v>43794</v>
      </c>
      <c r="B112" s="19"/>
      <c r="C112" s="20" t="s">
        <v>185</v>
      </c>
      <c r="D112" s="20" t="s">
        <v>106</v>
      </c>
      <c r="E112" s="20" t="s">
        <v>186</v>
      </c>
      <c r="F112" s="21">
        <v>739052</v>
      </c>
      <c r="G112" s="22" t="s">
        <v>1015</v>
      </c>
      <c r="H112" s="23"/>
      <c r="I112" s="23"/>
      <c r="J112" s="23"/>
      <c r="K112" s="23">
        <v>180</v>
      </c>
      <c r="L112" s="24"/>
      <c r="M112" s="25">
        <f t="shared" si="15"/>
        <v>160.71428571428569</v>
      </c>
      <c r="N112" s="25">
        <f t="shared" si="16"/>
        <v>19.285714285714281</v>
      </c>
      <c r="O112" s="25">
        <f t="shared" si="17"/>
        <v>0</v>
      </c>
      <c r="P112" s="25"/>
      <c r="Q112" s="26"/>
      <c r="R112" s="26"/>
      <c r="S112" s="27"/>
      <c r="T112" s="27"/>
      <c r="U112" s="27"/>
      <c r="V112" s="27"/>
      <c r="W112" s="27"/>
      <c r="X112" s="26"/>
      <c r="Y112" s="26">
        <v>160.71</v>
      </c>
      <c r="Z112" s="26"/>
      <c r="AA112" s="26"/>
      <c r="AB112" s="27"/>
      <c r="AC112" s="27"/>
      <c r="AD112" s="26"/>
      <c r="AE112" s="26"/>
      <c r="AF112" s="25">
        <f t="shared" si="18"/>
        <v>-179.99571428571429</v>
      </c>
      <c r="AG112" s="28">
        <f t="shared" si="19"/>
        <v>4.2857142857144481E-3</v>
      </c>
    </row>
    <row r="113" spans="1:33" s="29" customFormat="1" ht="23.25" customHeight="1" x14ac:dyDescent="0.2">
      <c r="A113" s="18">
        <v>43794</v>
      </c>
      <c r="B113" s="19"/>
      <c r="C113" s="20" t="s">
        <v>1016</v>
      </c>
      <c r="D113" s="20" t="s">
        <v>1017</v>
      </c>
      <c r="E113" s="20" t="s">
        <v>47</v>
      </c>
      <c r="F113" s="21">
        <v>572465</v>
      </c>
      <c r="G113" s="22" t="s">
        <v>1018</v>
      </c>
      <c r="H113" s="23"/>
      <c r="I113" s="23"/>
      <c r="J113" s="23"/>
      <c r="K113" s="23">
        <v>234.5</v>
      </c>
      <c r="L113" s="24"/>
      <c r="M113" s="25">
        <f t="shared" si="15"/>
        <v>209.37499999999997</v>
      </c>
      <c r="N113" s="25">
        <f t="shared" si="16"/>
        <v>25.124999999999996</v>
      </c>
      <c r="O113" s="25">
        <f t="shared" si="17"/>
        <v>0</v>
      </c>
      <c r="P113" s="25">
        <v>209.38</v>
      </c>
      <c r="Q113" s="26"/>
      <c r="R113" s="26"/>
      <c r="S113" s="27"/>
      <c r="T113" s="27"/>
      <c r="U113" s="27"/>
      <c r="V113" s="27"/>
      <c r="W113" s="27"/>
      <c r="X113" s="26"/>
      <c r="Y113" s="26"/>
      <c r="Z113" s="26"/>
      <c r="AA113" s="26"/>
      <c r="AB113" s="27"/>
      <c r="AC113" s="27"/>
      <c r="AD113" s="26"/>
      <c r="AE113" s="26"/>
      <c r="AF113" s="25">
        <f t="shared" si="18"/>
        <v>-234.505</v>
      </c>
      <c r="AG113" s="28">
        <f t="shared" si="19"/>
        <v>-4.9999999999954525E-3</v>
      </c>
    </row>
    <row r="114" spans="1:33" s="29" customFormat="1" ht="23.25" customHeight="1" x14ac:dyDescent="0.2">
      <c r="A114" s="18">
        <v>43794</v>
      </c>
      <c r="B114" s="19"/>
      <c r="C114" s="20" t="s">
        <v>45</v>
      </c>
      <c r="D114" s="20" t="s">
        <v>847</v>
      </c>
      <c r="E114" s="20" t="s">
        <v>47</v>
      </c>
      <c r="F114" s="21">
        <v>200706</v>
      </c>
      <c r="G114" s="22" t="s">
        <v>1019</v>
      </c>
      <c r="H114" s="23"/>
      <c r="I114" s="23"/>
      <c r="J114" s="23"/>
      <c r="K114" s="23">
        <f>1112.37+133.48</f>
        <v>1245.8499999999999</v>
      </c>
      <c r="L114" s="24"/>
      <c r="M114" s="25">
        <f t="shared" si="15"/>
        <v>1112.3660714285713</v>
      </c>
      <c r="N114" s="25">
        <f t="shared" si="16"/>
        <v>133.48392857142855</v>
      </c>
      <c r="O114" s="25">
        <f t="shared" si="17"/>
        <v>0</v>
      </c>
      <c r="P114" s="25">
        <v>1112.3699999999999</v>
      </c>
      <c r="Q114" s="26"/>
      <c r="R114" s="26"/>
      <c r="S114" s="27"/>
      <c r="T114" s="27"/>
      <c r="U114" s="27"/>
      <c r="V114" s="27"/>
      <c r="W114" s="27"/>
      <c r="X114" s="26"/>
      <c r="Y114" s="26"/>
      <c r="Z114" s="26"/>
      <c r="AA114" s="26"/>
      <c r="AB114" s="27"/>
      <c r="AC114" s="27"/>
      <c r="AD114" s="26"/>
      <c r="AE114" s="26"/>
      <c r="AF114" s="25">
        <f t="shared" si="18"/>
        <v>-1245.8539285714285</v>
      </c>
      <c r="AG114" s="28">
        <f t="shared" si="19"/>
        <v>-3.9285714285597351E-3</v>
      </c>
    </row>
    <row r="115" spans="1:33" s="29" customFormat="1" ht="23.25" customHeight="1" x14ac:dyDescent="0.2">
      <c r="A115" s="18">
        <v>43794</v>
      </c>
      <c r="B115" s="19"/>
      <c r="C115" s="20" t="s">
        <v>45</v>
      </c>
      <c r="D115" s="20" t="s">
        <v>847</v>
      </c>
      <c r="E115" s="20" t="s">
        <v>47</v>
      </c>
      <c r="F115" s="21">
        <v>200706</v>
      </c>
      <c r="G115" s="22" t="s">
        <v>1020</v>
      </c>
      <c r="H115" s="23"/>
      <c r="I115" s="23"/>
      <c r="J115" s="23">
        <v>117.6</v>
      </c>
      <c r="K115" s="23"/>
      <c r="L115" s="24"/>
      <c r="M115" s="25">
        <f t="shared" si="15"/>
        <v>117.6</v>
      </c>
      <c r="N115" s="25">
        <f t="shared" si="16"/>
        <v>0</v>
      </c>
      <c r="O115" s="25">
        <f t="shared" si="17"/>
        <v>0</v>
      </c>
      <c r="P115" s="25">
        <v>117.6</v>
      </c>
      <c r="Q115" s="26"/>
      <c r="R115" s="26"/>
      <c r="S115" s="27"/>
      <c r="T115" s="27"/>
      <c r="U115" s="27"/>
      <c r="V115" s="27"/>
      <c r="W115" s="27"/>
      <c r="X115" s="26"/>
      <c r="Y115" s="26"/>
      <c r="Z115" s="26"/>
      <c r="AA115" s="26"/>
      <c r="AB115" s="27"/>
      <c r="AC115" s="27"/>
      <c r="AD115" s="26"/>
      <c r="AE115" s="26"/>
      <c r="AF115" s="25">
        <f t="shared" si="18"/>
        <v>-117.6</v>
      </c>
      <c r="AG115" s="28">
        <f t="shared" si="19"/>
        <v>0</v>
      </c>
    </row>
    <row r="116" spans="1:33" s="29" customFormat="1" ht="23.25" customHeight="1" x14ac:dyDescent="0.2">
      <c r="A116" s="18">
        <v>43794</v>
      </c>
      <c r="B116" s="19"/>
      <c r="C116" s="20" t="s">
        <v>37</v>
      </c>
      <c r="D116" s="20" t="s">
        <v>38</v>
      </c>
      <c r="E116" s="20" t="s">
        <v>39</v>
      </c>
      <c r="F116" s="21">
        <v>997390</v>
      </c>
      <c r="G116" s="22" t="s">
        <v>183</v>
      </c>
      <c r="H116" s="23"/>
      <c r="I116" s="23"/>
      <c r="J116" s="23"/>
      <c r="K116" s="23">
        <v>312</v>
      </c>
      <c r="L116" s="24"/>
      <c r="M116" s="25">
        <f t="shared" si="15"/>
        <v>278.57142857142856</v>
      </c>
      <c r="N116" s="25">
        <f t="shared" si="16"/>
        <v>33.428571428571423</v>
      </c>
      <c r="O116" s="25">
        <f t="shared" si="17"/>
        <v>0</v>
      </c>
      <c r="P116" s="25">
        <v>278.57</v>
      </c>
      <c r="Q116" s="26"/>
      <c r="R116" s="26"/>
      <c r="S116" s="27"/>
      <c r="T116" s="27"/>
      <c r="U116" s="27"/>
      <c r="V116" s="27"/>
      <c r="W116" s="27"/>
      <c r="X116" s="26"/>
      <c r="Y116" s="26"/>
      <c r="Z116" s="26"/>
      <c r="AA116" s="26"/>
      <c r="AB116" s="27"/>
      <c r="AC116" s="27"/>
      <c r="AD116" s="26"/>
      <c r="AE116" s="26"/>
      <c r="AF116" s="25">
        <f t="shared" si="18"/>
        <v>-311.99857142857144</v>
      </c>
      <c r="AG116" s="28">
        <f t="shared" si="19"/>
        <v>1.4285714285620088E-3</v>
      </c>
    </row>
    <row r="117" spans="1:33" s="29" customFormat="1" ht="23.25" customHeight="1" x14ac:dyDescent="0.2">
      <c r="A117" s="18">
        <v>43794</v>
      </c>
      <c r="B117" s="19"/>
      <c r="C117" s="20" t="s">
        <v>58</v>
      </c>
      <c r="D117" s="20"/>
      <c r="E117" s="20"/>
      <c r="F117" s="21"/>
      <c r="G117" s="22" t="s">
        <v>1021</v>
      </c>
      <c r="H117" s="23">
        <v>50</v>
      </c>
      <c r="I117" s="23"/>
      <c r="J117" s="23"/>
      <c r="K117" s="23"/>
      <c r="L117" s="24"/>
      <c r="M117" s="25">
        <f t="shared" si="15"/>
        <v>50</v>
      </c>
      <c r="N117" s="25">
        <f t="shared" si="16"/>
        <v>0</v>
      </c>
      <c r="O117" s="25">
        <f t="shared" si="17"/>
        <v>0</v>
      </c>
      <c r="P117" s="25"/>
      <c r="Q117" s="26"/>
      <c r="R117" s="26"/>
      <c r="S117" s="27"/>
      <c r="T117" s="27"/>
      <c r="U117" s="27"/>
      <c r="V117" s="27"/>
      <c r="W117" s="27"/>
      <c r="X117" s="26"/>
      <c r="Y117" s="26"/>
      <c r="Z117" s="26"/>
      <c r="AA117" s="26">
        <v>50</v>
      </c>
      <c r="AB117" s="27"/>
      <c r="AC117" s="27"/>
      <c r="AD117" s="26"/>
      <c r="AE117" s="26"/>
      <c r="AF117" s="25">
        <f t="shared" si="18"/>
        <v>-50</v>
      </c>
      <c r="AG117" s="28">
        <f t="shared" si="19"/>
        <v>0</v>
      </c>
    </row>
    <row r="118" spans="1:33" s="29" customFormat="1" ht="23.25" customHeight="1" x14ac:dyDescent="0.2">
      <c r="A118" s="18">
        <v>43794</v>
      </c>
      <c r="B118" s="19"/>
      <c r="C118" s="20" t="s">
        <v>41</v>
      </c>
      <c r="D118" s="20" t="s">
        <v>42</v>
      </c>
      <c r="E118" s="20" t="s">
        <v>43</v>
      </c>
      <c r="F118" s="21">
        <v>170725</v>
      </c>
      <c r="G118" s="21" t="s">
        <v>44</v>
      </c>
      <c r="H118" s="23"/>
      <c r="I118" s="23"/>
      <c r="J118" s="23"/>
      <c r="K118" s="23">
        <v>180</v>
      </c>
      <c r="L118" s="24"/>
      <c r="M118" s="25">
        <f t="shared" si="15"/>
        <v>160.71428571428569</v>
      </c>
      <c r="N118" s="25">
        <f t="shared" si="16"/>
        <v>19.285714285714281</v>
      </c>
      <c r="O118" s="25">
        <f t="shared" si="17"/>
        <v>0</v>
      </c>
      <c r="P118" s="25"/>
      <c r="Q118" s="26">
        <v>160.71</v>
      </c>
      <c r="R118" s="26"/>
      <c r="S118" s="27"/>
      <c r="T118" s="27"/>
      <c r="U118" s="27"/>
      <c r="V118" s="27"/>
      <c r="W118" s="27"/>
      <c r="X118" s="26"/>
      <c r="Y118" s="26"/>
      <c r="Z118" s="26"/>
      <c r="AA118" s="26"/>
      <c r="AB118" s="27"/>
      <c r="AC118" s="27"/>
      <c r="AD118" s="26"/>
      <c r="AE118" s="26"/>
      <c r="AF118" s="25">
        <f t="shared" si="18"/>
        <v>-179.99571428571429</v>
      </c>
      <c r="AG118" s="28">
        <f t="shared" si="19"/>
        <v>4.2857142857144481E-3</v>
      </c>
    </row>
    <row r="119" spans="1:33" s="29" customFormat="1" ht="23.25" customHeight="1" x14ac:dyDescent="0.2">
      <c r="A119" s="18">
        <v>43795</v>
      </c>
      <c r="B119" s="19"/>
      <c r="C119" s="20" t="s">
        <v>41</v>
      </c>
      <c r="D119" s="20" t="s">
        <v>42</v>
      </c>
      <c r="E119" s="20" t="s">
        <v>43</v>
      </c>
      <c r="F119" s="21">
        <v>174077</v>
      </c>
      <c r="G119" s="21" t="s">
        <v>44</v>
      </c>
      <c r="H119" s="23"/>
      <c r="I119" s="23"/>
      <c r="J119" s="23"/>
      <c r="K119" s="23">
        <v>180</v>
      </c>
      <c r="L119" s="24"/>
      <c r="M119" s="25">
        <f t="shared" si="15"/>
        <v>160.71428571428569</v>
      </c>
      <c r="N119" s="25">
        <f t="shared" si="16"/>
        <v>19.285714285714281</v>
      </c>
      <c r="O119" s="25">
        <f t="shared" si="17"/>
        <v>0</v>
      </c>
      <c r="P119" s="25"/>
      <c r="Q119" s="26">
        <v>160.71</v>
      </c>
      <c r="R119" s="26"/>
      <c r="S119" s="27"/>
      <c r="T119" s="27"/>
      <c r="U119" s="27"/>
      <c r="V119" s="27"/>
      <c r="W119" s="27"/>
      <c r="X119" s="26"/>
      <c r="Y119" s="26"/>
      <c r="Z119" s="26"/>
      <c r="AA119" s="26"/>
      <c r="AB119" s="27"/>
      <c r="AC119" s="27"/>
      <c r="AD119" s="26"/>
      <c r="AE119" s="26"/>
      <c r="AF119" s="25">
        <f t="shared" si="18"/>
        <v>-179.99571428571429</v>
      </c>
      <c r="AG119" s="28">
        <f t="shared" si="19"/>
        <v>4.2857142857144481E-3</v>
      </c>
    </row>
    <row r="120" spans="1:33" s="29" customFormat="1" ht="23.25" customHeight="1" x14ac:dyDescent="0.2">
      <c r="A120" s="18">
        <v>43795</v>
      </c>
      <c r="B120" s="19"/>
      <c r="C120" s="20" t="s">
        <v>163</v>
      </c>
      <c r="D120" s="20" t="s">
        <v>98</v>
      </c>
      <c r="E120" s="20" t="s">
        <v>1022</v>
      </c>
      <c r="F120" s="21">
        <v>117831</v>
      </c>
      <c r="G120" s="22" t="s">
        <v>165</v>
      </c>
      <c r="H120" s="23"/>
      <c r="I120" s="23"/>
      <c r="J120" s="23"/>
      <c r="K120" s="23">
        <v>1329.54</v>
      </c>
      <c r="L120" s="24"/>
      <c r="M120" s="25">
        <f t="shared" si="15"/>
        <v>1187.0892857142856</v>
      </c>
      <c r="N120" s="25">
        <f t="shared" si="16"/>
        <v>142.45071428571427</v>
      </c>
      <c r="O120" s="25">
        <f t="shared" si="17"/>
        <v>0</v>
      </c>
      <c r="P120" s="25">
        <v>1187.0899999999999</v>
      </c>
      <c r="Q120" s="26"/>
      <c r="R120" s="26"/>
      <c r="S120" s="27"/>
      <c r="T120" s="27"/>
      <c r="U120" s="27"/>
      <c r="V120" s="27"/>
      <c r="W120" s="27"/>
      <c r="X120" s="26"/>
      <c r="Y120" s="26"/>
      <c r="Z120" s="26"/>
      <c r="AA120" s="26"/>
      <c r="AB120" s="27"/>
      <c r="AC120" s="27"/>
      <c r="AD120" s="26"/>
      <c r="AE120" s="26"/>
      <c r="AF120" s="25">
        <f t="shared" si="18"/>
        <v>-1329.5407142857141</v>
      </c>
      <c r="AG120" s="28">
        <f t="shared" si="19"/>
        <v>-7.1428571413889586E-4</v>
      </c>
    </row>
    <row r="121" spans="1:33" s="29" customFormat="1" ht="23.25" customHeight="1" x14ac:dyDescent="0.2">
      <c r="A121" s="18">
        <v>43795</v>
      </c>
      <c r="B121" s="19"/>
      <c r="C121" s="20" t="s">
        <v>1023</v>
      </c>
      <c r="D121" s="20"/>
      <c r="E121" s="20"/>
      <c r="F121" s="21">
        <v>2853400</v>
      </c>
      <c r="G121" s="22" t="s">
        <v>1024</v>
      </c>
      <c r="H121" s="23">
        <v>63.21</v>
      </c>
      <c r="I121" s="23"/>
      <c r="J121" s="23"/>
      <c r="K121" s="23"/>
      <c r="L121" s="24"/>
      <c r="M121" s="25">
        <f t="shared" si="15"/>
        <v>63.21</v>
      </c>
      <c r="N121" s="25">
        <f t="shared" si="16"/>
        <v>0</v>
      </c>
      <c r="O121" s="25">
        <f t="shared" si="17"/>
        <v>0</v>
      </c>
      <c r="P121" s="25"/>
      <c r="Q121" s="26"/>
      <c r="R121" s="26"/>
      <c r="S121" s="27"/>
      <c r="T121" s="27"/>
      <c r="U121" s="27"/>
      <c r="V121" s="27"/>
      <c r="W121" s="27"/>
      <c r="X121" s="26"/>
      <c r="Y121" s="26"/>
      <c r="Z121" s="26"/>
      <c r="AA121" s="26"/>
      <c r="AB121" s="27"/>
      <c r="AC121" s="27"/>
      <c r="AD121" s="26">
        <v>63.21</v>
      </c>
      <c r="AE121" s="26"/>
      <c r="AF121" s="25">
        <f t="shared" si="18"/>
        <v>-63.21</v>
      </c>
      <c r="AG121" s="28">
        <f t="shared" si="19"/>
        <v>0</v>
      </c>
    </row>
    <row r="122" spans="1:33" s="29" customFormat="1" ht="23.25" customHeight="1" x14ac:dyDescent="0.2">
      <c r="A122" s="18">
        <v>43795</v>
      </c>
      <c r="B122" s="19"/>
      <c r="C122" s="20" t="s">
        <v>62</v>
      </c>
      <c r="D122" s="20"/>
      <c r="E122" s="20"/>
      <c r="F122" s="21"/>
      <c r="G122" s="22" t="s">
        <v>1025</v>
      </c>
      <c r="H122" s="23">
        <v>50</v>
      </c>
      <c r="I122" s="23"/>
      <c r="J122" s="23"/>
      <c r="K122" s="23"/>
      <c r="L122" s="24"/>
      <c r="M122" s="25">
        <f t="shared" si="15"/>
        <v>50</v>
      </c>
      <c r="N122" s="25">
        <f t="shared" si="16"/>
        <v>0</v>
      </c>
      <c r="O122" s="25">
        <f t="shared" si="17"/>
        <v>0</v>
      </c>
      <c r="P122" s="25"/>
      <c r="Q122" s="26"/>
      <c r="R122" s="26"/>
      <c r="S122" s="27"/>
      <c r="T122" s="27"/>
      <c r="U122" s="27"/>
      <c r="V122" s="27"/>
      <c r="W122" s="27"/>
      <c r="X122" s="26"/>
      <c r="Y122" s="26"/>
      <c r="Z122" s="26"/>
      <c r="AA122" s="26">
        <v>50</v>
      </c>
      <c r="AB122" s="27"/>
      <c r="AC122" s="27"/>
      <c r="AD122" s="26"/>
      <c r="AE122" s="26"/>
      <c r="AF122" s="25">
        <f t="shared" si="18"/>
        <v>-50</v>
      </c>
      <c r="AG122" s="28">
        <f t="shared" si="19"/>
        <v>0</v>
      </c>
    </row>
    <row r="123" spans="1:33" s="29" customFormat="1" ht="23.25" customHeight="1" x14ac:dyDescent="0.2">
      <c r="A123" s="18">
        <v>43795</v>
      </c>
      <c r="B123" s="19"/>
      <c r="C123" s="20" t="s">
        <v>45</v>
      </c>
      <c r="D123" s="20" t="s">
        <v>847</v>
      </c>
      <c r="E123" s="20" t="s">
        <v>47</v>
      </c>
      <c r="F123" s="21">
        <v>217671</v>
      </c>
      <c r="G123" s="22" t="s">
        <v>1026</v>
      </c>
      <c r="H123" s="23"/>
      <c r="I123" s="23"/>
      <c r="J123" s="23"/>
      <c r="K123" s="23">
        <f>89.64+10.76</f>
        <v>100.4</v>
      </c>
      <c r="L123" s="24"/>
      <c r="M123" s="25">
        <f t="shared" si="15"/>
        <v>89.642857142857139</v>
      </c>
      <c r="N123" s="25">
        <f t="shared" si="16"/>
        <v>10.757142857142856</v>
      </c>
      <c r="O123" s="25">
        <f t="shared" si="17"/>
        <v>0</v>
      </c>
      <c r="P123" s="25">
        <v>89.64</v>
      </c>
      <c r="Q123" s="26"/>
      <c r="R123" s="26"/>
      <c r="S123" s="27"/>
      <c r="T123" s="27"/>
      <c r="U123" s="27"/>
      <c r="V123" s="27"/>
      <c r="W123" s="27"/>
      <c r="X123" s="26"/>
      <c r="Y123" s="26"/>
      <c r="Z123" s="26"/>
      <c r="AA123" s="26"/>
      <c r="AB123" s="27"/>
      <c r="AC123" s="27"/>
      <c r="AD123" s="26"/>
      <c r="AE123" s="26"/>
      <c r="AF123" s="25">
        <f t="shared" si="18"/>
        <v>-100.39714285714285</v>
      </c>
      <c r="AG123" s="28">
        <f t="shared" si="19"/>
        <v>2.8571428571524393E-3</v>
      </c>
    </row>
    <row r="124" spans="1:33" s="29" customFormat="1" ht="23.25" customHeight="1" x14ac:dyDescent="0.2">
      <c r="A124" s="18">
        <v>43795</v>
      </c>
      <c r="B124" s="19"/>
      <c r="C124" s="20" t="s">
        <v>45</v>
      </c>
      <c r="D124" s="20" t="s">
        <v>847</v>
      </c>
      <c r="E124" s="20" t="s">
        <v>47</v>
      </c>
      <c r="F124" s="21">
        <v>217671</v>
      </c>
      <c r="G124" s="22" t="s">
        <v>1027</v>
      </c>
      <c r="H124" s="23"/>
      <c r="I124" s="23"/>
      <c r="J124" s="23">
        <v>102</v>
      </c>
      <c r="K124" s="23"/>
      <c r="L124" s="24"/>
      <c r="M124" s="25">
        <f t="shared" si="15"/>
        <v>102</v>
      </c>
      <c r="N124" s="25">
        <f t="shared" si="16"/>
        <v>0</v>
      </c>
      <c r="O124" s="25">
        <f t="shared" si="17"/>
        <v>0</v>
      </c>
      <c r="P124" s="25">
        <v>102</v>
      </c>
      <c r="Q124" s="26"/>
      <c r="R124" s="26"/>
      <c r="S124" s="27"/>
      <c r="T124" s="27"/>
      <c r="U124" s="27"/>
      <c r="V124" s="27"/>
      <c r="W124" s="27"/>
      <c r="X124" s="26"/>
      <c r="Y124" s="26"/>
      <c r="Z124" s="26"/>
      <c r="AA124" s="26"/>
      <c r="AB124" s="27"/>
      <c r="AC124" s="27"/>
      <c r="AD124" s="26"/>
      <c r="AE124" s="26"/>
      <c r="AF124" s="25">
        <f t="shared" si="18"/>
        <v>-102</v>
      </c>
      <c r="AG124" s="28">
        <f t="shared" si="19"/>
        <v>0</v>
      </c>
    </row>
    <row r="125" spans="1:33" s="29" customFormat="1" ht="23.25" customHeight="1" x14ac:dyDescent="0.2">
      <c r="A125" s="18">
        <v>43795</v>
      </c>
      <c r="B125" s="19"/>
      <c r="C125" s="20" t="s">
        <v>45</v>
      </c>
      <c r="D125" s="20" t="s">
        <v>847</v>
      </c>
      <c r="E125" s="20" t="s">
        <v>47</v>
      </c>
      <c r="F125" s="21">
        <v>215299</v>
      </c>
      <c r="G125" s="22" t="s">
        <v>1028</v>
      </c>
      <c r="H125" s="23"/>
      <c r="I125" s="23"/>
      <c r="J125" s="23"/>
      <c r="K125" s="23">
        <f>348.35+41.8</f>
        <v>390.15000000000003</v>
      </c>
      <c r="L125" s="24"/>
      <c r="M125" s="25">
        <f t="shared" si="15"/>
        <v>348.34821428571428</v>
      </c>
      <c r="N125" s="25">
        <f t="shared" si="16"/>
        <v>41.801785714285714</v>
      </c>
      <c r="O125" s="25">
        <f t="shared" si="17"/>
        <v>0</v>
      </c>
      <c r="P125" s="25">
        <v>348.35</v>
      </c>
      <c r="Q125" s="26"/>
      <c r="R125" s="26"/>
      <c r="S125" s="27"/>
      <c r="T125" s="27"/>
      <c r="U125" s="27"/>
      <c r="V125" s="27"/>
      <c r="W125" s="27"/>
      <c r="X125" s="26"/>
      <c r="Y125" s="26"/>
      <c r="Z125" s="26"/>
      <c r="AA125" s="26"/>
      <c r="AB125" s="27"/>
      <c r="AC125" s="27"/>
      <c r="AD125" s="26"/>
      <c r="AE125" s="26"/>
      <c r="AF125" s="25">
        <f t="shared" si="18"/>
        <v>-390.15178571428572</v>
      </c>
      <c r="AG125" s="28">
        <f t="shared" si="19"/>
        <v>-1.7857142856883002E-3</v>
      </c>
    </row>
    <row r="126" spans="1:33" s="29" customFormat="1" ht="23.25" customHeight="1" x14ac:dyDescent="0.2">
      <c r="A126" s="18">
        <v>43795</v>
      </c>
      <c r="B126" s="19"/>
      <c r="C126" s="20" t="s">
        <v>45</v>
      </c>
      <c r="D126" s="20" t="s">
        <v>847</v>
      </c>
      <c r="E126" s="20" t="s">
        <v>47</v>
      </c>
      <c r="F126" s="21">
        <v>215299</v>
      </c>
      <c r="G126" s="22" t="s">
        <v>1029</v>
      </c>
      <c r="H126" s="23"/>
      <c r="I126" s="23"/>
      <c r="J126" s="23">
        <v>810.7</v>
      </c>
      <c r="K126" s="23"/>
      <c r="L126" s="24"/>
      <c r="M126" s="25">
        <f t="shared" si="15"/>
        <v>810.7</v>
      </c>
      <c r="N126" s="25">
        <f t="shared" si="16"/>
        <v>0</v>
      </c>
      <c r="O126" s="25">
        <f t="shared" si="17"/>
        <v>0</v>
      </c>
      <c r="P126" s="25">
        <v>810.7</v>
      </c>
      <c r="Q126" s="26"/>
      <c r="R126" s="26"/>
      <c r="S126" s="27"/>
      <c r="T126" s="27"/>
      <c r="U126" s="27"/>
      <c r="V126" s="27"/>
      <c r="W126" s="27"/>
      <c r="X126" s="26"/>
      <c r="Y126" s="26"/>
      <c r="Z126" s="26"/>
      <c r="AA126" s="26"/>
      <c r="AB126" s="27"/>
      <c r="AC126" s="27"/>
      <c r="AD126" s="26"/>
      <c r="AE126" s="26"/>
      <c r="AF126" s="25">
        <f t="shared" si="18"/>
        <v>-810.7</v>
      </c>
      <c r="AG126" s="28">
        <f t="shared" si="19"/>
        <v>0</v>
      </c>
    </row>
    <row r="127" spans="1:33" s="41" customFormat="1" ht="23.25" customHeight="1" x14ac:dyDescent="0.2">
      <c r="A127" s="30">
        <v>43795</v>
      </c>
      <c r="B127" s="31"/>
      <c r="C127" s="32" t="s">
        <v>185</v>
      </c>
      <c r="D127" s="32" t="s">
        <v>106</v>
      </c>
      <c r="E127" s="32" t="s">
        <v>186</v>
      </c>
      <c r="F127" s="33">
        <v>785606</v>
      </c>
      <c r="G127" s="34" t="s">
        <v>1030</v>
      </c>
      <c r="H127" s="35"/>
      <c r="I127" s="35"/>
      <c r="J127" s="35"/>
      <c r="K127" s="35">
        <v>565</v>
      </c>
      <c r="L127" s="36"/>
      <c r="M127" s="37">
        <f t="shared" si="15"/>
        <v>504.46428571428567</v>
      </c>
      <c r="N127" s="37">
        <f t="shared" si="16"/>
        <v>60.535714285714278</v>
      </c>
      <c r="O127" s="37">
        <f t="shared" si="17"/>
        <v>0</v>
      </c>
      <c r="P127" s="37"/>
      <c r="Q127" s="38"/>
      <c r="R127" s="38"/>
      <c r="S127" s="39"/>
      <c r="T127" s="39">
        <v>504.46</v>
      </c>
      <c r="U127" s="39"/>
      <c r="V127" s="39"/>
      <c r="W127" s="39"/>
      <c r="X127" s="38"/>
      <c r="Y127" s="38"/>
      <c r="Z127" s="38"/>
      <c r="AA127" s="38"/>
      <c r="AB127" s="39"/>
      <c r="AC127" s="39"/>
      <c r="AD127" s="38"/>
      <c r="AE127" s="38"/>
      <c r="AF127" s="37">
        <f t="shared" si="18"/>
        <v>-564.99571428571426</v>
      </c>
      <c r="AG127" s="40">
        <f t="shared" si="19"/>
        <v>4.2857142857428698E-3</v>
      </c>
    </row>
    <row r="128" spans="1:33" s="29" customFormat="1" ht="23.25" customHeight="1" x14ac:dyDescent="0.2">
      <c r="A128" s="18">
        <v>43795</v>
      </c>
      <c r="B128" s="19"/>
      <c r="C128" s="20" t="s">
        <v>1031</v>
      </c>
      <c r="D128" s="20" t="s">
        <v>934</v>
      </c>
      <c r="E128" s="20" t="s">
        <v>56</v>
      </c>
      <c r="F128" s="21">
        <v>2529</v>
      </c>
      <c r="G128" s="21" t="s">
        <v>902</v>
      </c>
      <c r="H128" s="23"/>
      <c r="I128" s="23"/>
      <c r="J128" s="23">
        <v>378</v>
      </c>
      <c r="K128" s="23"/>
      <c r="L128" s="24"/>
      <c r="M128" s="25">
        <f t="shared" si="15"/>
        <v>378</v>
      </c>
      <c r="N128" s="25">
        <f t="shared" si="16"/>
        <v>0</v>
      </c>
      <c r="O128" s="25">
        <f t="shared" si="17"/>
        <v>0</v>
      </c>
      <c r="P128" s="25">
        <v>378</v>
      </c>
      <c r="Q128" s="26"/>
      <c r="R128" s="26"/>
      <c r="S128" s="27"/>
      <c r="T128" s="27"/>
      <c r="U128" s="27"/>
      <c r="V128" s="27"/>
      <c r="W128" s="27"/>
      <c r="X128" s="26"/>
      <c r="Y128" s="26"/>
      <c r="Z128" s="26"/>
      <c r="AA128" s="26"/>
      <c r="AB128" s="27"/>
      <c r="AC128" s="27"/>
      <c r="AD128" s="26"/>
      <c r="AE128" s="26"/>
      <c r="AF128" s="25">
        <f t="shared" si="18"/>
        <v>-378</v>
      </c>
      <c r="AG128" s="28">
        <f t="shared" si="19"/>
        <v>0</v>
      </c>
    </row>
    <row r="129" spans="1:33" s="29" customFormat="1" ht="23.25" customHeight="1" x14ac:dyDescent="0.2">
      <c r="A129" s="18">
        <v>43796</v>
      </c>
      <c r="B129" s="19"/>
      <c r="C129" s="20" t="s">
        <v>54</v>
      </c>
      <c r="D129" s="20" t="s">
        <v>55</v>
      </c>
      <c r="E129" s="20" t="s">
        <v>56</v>
      </c>
      <c r="F129" s="21">
        <v>3346</v>
      </c>
      <c r="G129" s="21" t="s">
        <v>626</v>
      </c>
      <c r="H129" s="23"/>
      <c r="I129" s="23"/>
      <c r="J129" s="23">
        <v>440</v>
      </c>
      <c r="K129" s="23"/>
      <c r="L129" s="24"/>
      <c r="M129" s="25">
        <f t="shared" si="15"/>
        <v>440</v>
      </c>
      <c r="N129" s="25">
        <f t="shared" si="16"/>
        <v>0</v>
      </c>
      <c r="O129" s="25">
        <f t="shared" si="17"/>
        <v>0</v>
      </c>
      <c r="P129" s="25">
        <v>440</v>
      </c>
      <c r="Q129" s="26"/>
      <c r="R129" s="26"/>
      <c r="S129" s="27"/>
      <c r="T129" s="27"/>
      <c r="U129" s="27"/>
      <c r="V129" s="27"/>
      <c r="W129" s="27"/>
      <c r="X129" s="26"/>
      <c r="Y129" s="26"/>
      <c r="Z129" s="26"/>
      <c r="AA129" s="26"/>
      <c r="AB129" s="27"/>
      <c r="AC129" s="27"/>
      <c r="AD129" s="26"/>
      <c r="AE129" s="26"/>
      <c r="AF129" s="25">
        <f t="shared" si="18"/>
        <v>-440</v>
      </c>
      <c r="AG129" s="28">
        <f t="shared" si="19"/>
        <v>0</v>
      </c>
    </row>
    <row r="130" spans="1:33" s="29" customFormat="1" ht="23.25" customHeight="1" x14ac:dyDescent="0.2">
      <c r="A130" s="18">
        <v>43796</v>
      </c>
      <c r="B130" s="19"/>
      <c r="C130" s="20" t="s">
        <v>945</v>
      </c>
      <c r="D130" s="20" t="s">
        <v>115</v>
      </c>
      <c r="E130" s="20" t="s">
        <v>47</v>
      </c>
      <c r="F130" s="21">
        <v>572581</v>
      </c>
      <c r="G130" s="21" t="s">
        <v>1032</v>
      </c>
      <c r="H130" s="23"/>
      <c r="I130" s="23"/>
      <c r="J130" s="23"/>
      <c r="K130" s="23">
        <v>300</v>
      </c>
      <c r="L130" s="24"/>
      <c r="M130" s="25">
        <f t="shared" si="15"/>
        <v>267.85714285714283</v>
      </c>
      <c r="N130" s="25">
        <f t="shared" si="16"/>
        <v>32.142857142857139</v>
      </c>
      <c r="O130" s="25">
        <f t="shared" si="17"/>
        <v>0</v>
      </c>
      <c r="P130" s="25">
        <v>267.86</v>
      </c>
      <c r="Q130" s="26"/>
      <c r="R130" s="26"/>
      <c r="S130" s="27"/>
      <c r="T130" s="27"/>
      <c r="U130" s="27"/>
      <c r="V130" s="27"/>
      <c r="W130" s="27"/>
      <c r="X130" s="26"/>
      <c r="Y130" s="26"/>
      <c r="Z130" s="26"/>
      <c r="AA130" s="26"/>
      <c r="AB130" s="27"/>
      <c r="AC130" s="27"/>
      <c r="AD130" s="26"/>
      <c r="AE130" s="26"/>
      <c r="AF130" s="25">
        <f t="shared" si="18"/>
        <v>-300.00285714285712</v>
      </c>
      <c r="AG130" s="28">
        <f t="shared" si="19"/>
        <v>-2.8571428571240176E-3</v>
      </c>
    </row>
    <row r="131" spans="1:33" s="29" customFormat="1" ht="23.25" customHeight="1" x14ac:dyDescent="0.2">
      <c r="A131" s="18">
        <v>43796</v>
      </c>
      <c r="B131" s="19"/>
      <c r="C131" s="20" t="s">
        <v>45</v>
      </c>
      <c r="D131" s="20" t="s">
        <v>847</v>
      </c>
      <c r="E131" s="20" t="s">
        <v>47</v>
      </c>
      <c r="F131" s="21">
        <v>179040</v>
      </c>
      <c r="G131" s="21" t="s">
        <v>69</v>
      </c>
      <c r="H131" s="23"/>
      <c r="I131" s="23"/>
      <c r="J131" s="23">
        <v>314.75</v>
      </c>
      <c r="K131" s="23"/>
      <c r="L131" s="24"/>
      <c r="M131" s="25">
        <f t="shared" si="15"/>
        <v>314.75</v>
      </c>
      <c r="N131" s="25">
        <f t="shared" si="16"/>
        <v>0</v>
      </c>
      <c r="O131" s="25">
        <f t="shared" si="17"/>
        <v>0</v>
      </c>
      <c r="P131" s="25">
        <v>314.75</v>
      </c>
      <c r="Q131" s="26"/>
      <c r="R131" s="26"/>
      <c r="S131" s="27"/>
      <c r="T131" s="27"/>
      <c r="U131" s="27"/>
      <c r="V131" s="27"/>
      <c r="W131" s="27"/>
      <c r="X131" s="26"/>
      <c r="Y131" s="26"/>
      <c r="Z131" s="26"/>
      <c r="AA131" s="26"/>
      <c r="AB131" s="27"/>
      <c r="AC131" s="27"/>
      <c r="AD131" s="26"/>
      <c r="AE131" s="26"/>
      <c r="AF131" s="25">
        <f t="shared" si="18"/>
        <v>-314.75</v>
      </c>
      <c r="AG131" s="28">
        <f t="shared" si="19"/>
        <v>0</v>
      </c>
    </row>
    <row r="132" spans="1:33" s="29" customFormat="1" ht="23.25" customHeight="1" x14ac:dyDescent="0.2">
      <c r="A132" s="18">
        <v>43796</v>
      </c>
      <c r="B132" s="19"/>
      <c r="C132" s="20" t="s">
        <v>41</v>
      </c>
      <c r="D132" s="20" t="s">
        <v>42</v>
      </c>
      <c r="E132" s="20" t="s">
        <v>43</v>
      </c>
      <c r="F132" s="21">
        <v>174125</v>
      </c>
      <c r="G132" s="21" t="s">
        <v>44</v>
      </c>
      <c r="H132" s="23"/>
      <c r="I132" s="23"/>
      <c r="J132" s="23"/>
      <c r="K132" s="23">
        <v>180</v>
      </c>
      <c r="L132" s="24"/>
      <c r="M132" s="25">
        <f t="shared" si="15"/>
        <v>160.71428571428569</v>
      </c>
      <c r="N132" s="25">
        <f t="shared" si="16"/>
        <v>19.285714285714281</v>
      </c>
      <c r="O132" s="25">
        <f t="shared" si="17"/>
        <v>0</v>
      </c>
      <c r="P132" s="26"/>
      <c r="Q132" s="26">
        <v>160.71</v>
      </c>
      <c r="R132" s="26"/>
      <c r="S132" s="27"/>
      <c r="T132" s="27"/>
      <c r="U132" s="27"/>
      <c r="V132" s="27"/>
      <c r="W132" s="27"/>
      <c r="X132" s="26"/>
      <c r="Y132" s="26"/>
      <c r="Z132" s="26"/>
      <c r="AA132" s="26"/>
      <c r="AB132" s="27"/>
      <c r="AC132" s="27"/>
      <c r="AD132" s="26"/>
      <c r="AE132" s="26"/>
      <c r="AF132" s="25">
        <f t="shared" si="18"/>
        <v>-179.99571428571429</v>
      </c>
      <c r="AG132" s="28">
        <f t="shared" si="19"/>
        <v>4.2857142857144481E-3</v>
      </c>
    </row>
    <row r="133" spans="1:33" s="29" customFormat="1" ht="23.25" customHeight="1" x14ac:dyDescent="0.2">
      <c r="A133" s="18">
        <v>43797</v>
      </c>
      <c r="B133" s="19"/>
      <c r="C133" s="20" t="s">
        <v>41</v>
      </c>
      <c r="D133" s="20" t="s">
        <v>42</v>
      </c>
      <c r="E133" s="20" t="s">
        <v>43</v>
      </c>
      <c r="F133" s="21">
        <v>181875</v>
      </c>
      <c r="G133" s="21" t="s">
        <v>44</v>
      </c>
      <c r="H133" s="23"/>
      <c r="I133" s="23"/>
      <c r="J133" s="23"/>
      <c r="K133" s="23">
        <v>180</v>
      </c>
      <c r="L133" s="24"/>
      <c r="M133" s="25">
        <f t="shared" ref="M133:M140" si="20">SUM(H133:J133,K133/1.12)</f>
        <v>160.71428571428569</v>
      </c>
      <c r="N133" s="25">
        <f t="shared" ref="N133:N140" si="21">K133/1.12*0.12</f>
        <v>19.285714285714281</v>
      </c>
      <c r="O133" s="25">
        <f t="shared" ref="O133:O140" si="22">-SUM(I133:J133,K133/1.12)*L133</f>
        <v>0</v>
      </c>
      <c r="P133" s="26"/>
      <c r="Q133" s="26">
        <v>160.71</v>
      </c>
      <c r="R133" s="26"/>
      <c r="S133" s="27"/>
      <c r="T133" s="27"/>
      <c r="U133" s="27"/>
      <c r="V133" s="27"/>
      <c r="W133" s="27"/>
      <c r="X133" s="26"/>
      <c r="Y133" s="26"/>
      <c r="Z133" s="26"/>
      <c r="AA133" s="26"/>
      <c r="AB133" s="27"/>
      <c r="AC133" s="27"/>
      <c r="AD133" s="26"/>
      <c r="AE133" s="26"/>
      <c r="AF133" s="25">
        <f t="shared" ref="AF133:AF140" si="23">-SUM(N133:AE133)</f>
        <v>-179.99571428571429</v>
      </c>
      <c r="AG133" s="28">
        <f t="shared" ref="AG133:AG140" si="24">SUM(H133:K133)+AF133+O133</f>
        <v>4.2857142857144481E-3</v>
      </c>
    </row>
    <row r="134" spans="1:33" s="29" customFormat="1" ht="23.25" customHeight="1" x14ac:dyDescent="0.2">
      <c r="A134" s="18">
        <v>43797</v>
      </c>
      <c r="B134" s="19"/>
      <c r="C134" s="20" t="s">
        <v>37</v>
      </c>
      <c r="D134" s="20" t="s">
        <v>38</v>
      </c>
      <c r="E134" s="20" t="s">
        <v>39</v>
      </c>
      <c r="F134" s="21">
        <v>99863</v>
      </c>
      <c r="G134" s="21" t="s">
        <v>183</v>
      </c>
      <c r="H134" s="23"/>
      <c r="I134" s="23"/>
      <c r="J134" s="23"/>
      <c r="K134" s="23">
        <v>195</v>
      </c>
      <c r="L134" s="24"/>
      <c r="M134" s="25">
        <f t="shared" si="20"/>
        <v>174.10714285714283</v>
      </c>
      <c r="N134" s="25">
        <f t="shared" si="21"/>
        <v>20.892857142857139</v>
      </c>
      <c r="O134" s="25">
        <f t="shared" si="22"/>
        <v>0</v>
      </c>
      <c r="P134" s="26">
        <v>174.11</v>
      </c>
      <c r="Q134" s="26"/>
      <c r="R134" s="26"/>
      <c r="S134" s="27"/>
      <c r="T134" s="27"/>
      <c r="U134" s="27"/>
      <c r="V134" s="27"/>
      <c r="W134" s="27"/>
      <c r="X134" s="26"/>
      <c r="Y134" s="26"/>
      <c r="Z134" s="26"/>
      <c r="AA134" s="26"/>
      <c r="AB134" s="27"/>
      <c r="AC134" s="27"/>
      <c r="AD134" s="26"/>
      <c r="AE134" s="26"/>
      <c r="AF134" s="25">
        <f t="shared" si="23"/>
        <v>-195.00285714285715</v>
      </c>
      <c r="AG134" s="28">
        <f t="shared" si="24"/>
        <v>-2.8571428571524393E-3</v>
      </c>
    </row>
    <row r="135" spans="1:33" s="29" customFormat="1" ht="23.25" customHeight="1" x14ac:dyDescent="0.2">
      <c r="A135" s="18">
        <v>43797</v>
      </c>
      <c r="B135" s="19"/>
      <c r="C135" s="20" t="s">
        <v>945</v>
      </c>
      <c r="D135" s="20" t="s">
        <v>115</v>
      </c>
      <c r="E135" s="20" t="s">
        <v>47</v>
      </c>
      <c r="F135" s="21">
        <v>572544</v>
      </c>
      <c r="G135" s="22" t="s">
        <v>310</v>
      </c>
      <c r="H135" s="23"/>
      <c r="I135" s="23"/>
      <c r="J135" s="23"/>
      <c r="K135" s="23">
        <v>1900</v>
      </c>
      <c r="L135" s="24"/>
      <c r="M135" s="25">
        <f t="shared" si="20"/>
        <v>1696.4285714285713</v>
      </c>
      <c r="N135" s="25">
        <f t="shared" si="21"/>
        <v>203.57142857142856</v>
      </c>
      <c r="O135" s="25">
        <f t="shared" si="22"/>
        <v>0</v>
      </c>
      <c r="P135" s="26">
        <v>1696.43</v>
      </c>
      <c r="Q135" s="26"/>
      <c r="R135" s="26"/>
      <c r="S135" s="27"/>
      <c r="T135" s="27"/>
      <c r="U135" s="27"/>
      <c r="V135" s="27"/>
      <c r="W135" s="27"/>
      <c r="X135" s="26"/>
      <c r="Y135" s="26"/>
      <c r="Z135" s="26"/>
      <c r="AA135" s="26"/>
      <c r="AB135" s="27"/>
      <c r="AC135" s="27"/>
      <c r="AD135" s="26"/>
      <c r="AE135" s="26"/>
      <c r="AF135" s="25">
        <f t="shared" si="23"/>
        <v>-1900.0014285714287</v>
      </c>
      <c r="AG135" s="28">
        <f t="shared" si="24"/>
        <v>-1.4285714287325391E-3</v>
      </c>
    </row>
    <row r="136" spans="1:33" s="29" customFormat="1" ht="23.25" customHeight="1" x14ac:dyDescent="0.2">
      <c r="A136" s="18">
        <v>43797</v>
      </c>
      <c r="B136" s="19"/>
      <c r="C136" s="20" t="s">
        <v>45</v>
      </c>
      <c r="D136" s="20" t="s">
        <v>847</v>
      </c>
      <c r="E136" s="20" t="s">
        <v>47</v>
      </c>
      <c r="F136" s="21">
        <v>188651</v>
      </c>
      <c r="G136" s="21" t="s">
        <v>1033</v>
      </c>
      <c r="H136" s="23"/>
      <c r="I136" s="23"/>
      <c r="J136" s="23"/>
      <c r="K136" s="23">
        <v>791.1</v>
      </c>
      <c r="L136" s="24"/>
      <c r="M136" s="25">
        <f t="shared" si="20"/>
        <v>706.33928571428567</v>
      </c>
      <c r="N136" s="25">
        <f t="shared" si="21"/>
        <v>84.760714285714272</v>
      </c>
      <c r="O136" s="25">
        <f t="shared" si="22"/>
        <v>0</v>
      </c>
      <c r="P136" s="25">
        <v>706.34</v>
      </c>
      <c r="Q136" s="26"/>
      <c r="R136" s="26"/>
      <c r="S136" s="27"/>
      <c r="T136" s="27"/>
      <c r="U136" s="27"/>
      <c r="V136" s="27"/>
      <c r="W136" s="27"/>
      <c r="X136" s="26"/>
      <c r="Y136" s="26"/>
      <c r="Z136" s="26"/>
      <c r="AA136" s="26"/>
      <c r="AB136" s="27"/>
      <c r="AC136" s="27"/>
      <c r="AD136" s="26"/>
      <c r="AE136" s="26"/>
      <c r="AF136" s="25">
        <f t="shared" si="23"/>
        <v>-791.10071428571428</v>
      </c>
      <c r="AG136" s="28">
        <f t="shared" si="24"/>
        <v>-7.1428571425258269E-4</v>
      </c>
    </row>
    <row r="137" spans="1:33" s="29" customFormat="1" ht="23.25" customHeight="1" x14ac:dyDescent="0.2">
      <c r="A137" s="18">
        <v>43798</v>
      </c>
      <c r="B137" s="19"/>
      <c r="C137" s="20" t="s">
        <v>37</v>
      </c>
      <c r="D137" s="20" t="s">
        <v>38</v>
      </c>
      <c r="E137" s="20" t="s">
        <v>39</v>
      </c>
      <c r="F137" s="21">
        <v>131230</v>
      </c>
      <c r="G137" s="22" t="s">
        <v>567</v>
      </c>
      <c r="H137" s="23"/>
      <c r="I137" s="23"/>
      <c r="J137" s="23"/>
      <c r="K137" s="23">
        <v>240</v>
      </c>
      <c r="L137" s="24"/>
      <c r="M137" s="25">
        <f t="shared" si="20"/>
        <v>214.28571428571428</v>
      </c>
      <c r="N137" s="25">
        <f t="shared" si="21"/>
        <v>25.714285714285712</v>
      </c>
      <c r="O137" s="25">
        <f t="shared" si="22"/>
        <v>0</v>
      </c>
      <c r="P137" s="25">
        <v>214.29</v>
      </c>
      <c r="Q137" s="26"/>
      <c r="R137" s="26"/>
      <c r="S137" s="27"/>
      <c r="T137" s="27"/>
      <c r="U137" s="27"/>
      <c r="V137" s="27"/>
      <c r="W137" s="27"/>
      <c r="X137" s="26"/>
      <c r="Y137" s="26"/>
      <c r="Z137" s="26"/>
      <c r="AA137" s="26"/>
      <c r="AB137" s="27"/>
      <c r="AC137" s="27"/>
      <c r="AD137" s="26"/>
      <c r="AE137" s="26"/>
      <c r="AF137" s="25">
        <f t="shared" si="23"/>
        <v>-240.00428571428571</v>
      </c>
      <c r="AG137" s="28">
        <f t="shared" si="24"/>
        <v>-4.2857142857144481E-3</v>
      </c>
    </row>
    <row r="138" spans="1:33" s="29" customFormat="1" ht="23.25" customHeight="1" x14ac:dyDescent="0.2">
      <c r="A138" s="18">
        <v>43798</v>
      </c>
      <c r="B138" s="19"/>
      <c r="C138" s="20" t="s">
        <v>45</v>
      </c>
      <c r="D138" s="20" t="s">
        <v>847</v>
      </c>
      <c r="E138" s="20" t="s">
        <v>47</v>
      </c>
      <c r="F138" s="21">
        <v>244207</v>
      </c>
      <c r="G138" s="22" t="s">
        <v>1034</v>
      </c>
      <c r="H138" s="23"/>
      <c r="I138" s="23"/>
      <c r="J138" s="23">
        <v>758.75</v>
      </c>
      <c r="K138" s="23"/>
      <c r="L138" s="24"/>
      <c r="M138" s="25">
        <f t="shared" si="20"/>
        <v>758.75</v>
      </c>
      <c r="N138" s="25">
        <f t="shared" si="21"/>
        <v>0</v>
      </c>
      <c r="O138" s="25">
        <f t="shared" si="22"/>
        <v>0</v>
      </c>
      <c r="P138" s="25">
        <v>758.75</v>
      </c>
      <c r="Q138" s="26"/>
      <c r="R138" s="26"/>
      <c r="S138" s="27"/>
      <c r="T138" s="27"/>
      <c r="U138" s="27"/>
      <c r="V138" s="27"/>
      <c r="W138" s="27"/>
      <c r="X138" s="26"/>
      <c r="Y138" s="26"/>
      <c r="Z138" s="26"/>
      <c r="AA138" s="26"/>
      <c r="AB138" s="27"/>
      <c r="AC138" s="27"/>
      <c r="AD138" s="26"/>
      <c r="AE138" s="26"/>
      <c r="AF138" s="25">
        <f t="shared" si="23"/>
        <v>-758.75</v>
      </c>
      <c r="AG138" s="28">
        <f t="shared" si="24"/>
        <v>0</v>
      </c>
    </row>
    <row r="139" spans="1:33" s="29" customFormat="1" ht="23.25" customHeight="1" x14ac:dyDescent="0.2">
      <c r="A139" s="18">
        <v>43798</v>
      </c>
      <c r="B139" s="19"/>
      <c r="C139" s="20" t="s">
        <v>45</v>
      </c>
      <c r="D139" s="20" t="s">
        <v>847</v>
      </c>
      <c r="E139" s="20" t="s">
        <v>47</v>
      </c>
      <c r="F139" s="21">
        <v>244207</v>
      </c>
      <c r="G139" s="22" t="s">
        <v>1035</v>
      </c>
      <c r="H139" s="23"/>
      <c r="I139" s="23"/>
      <c r="J139" s="23"/>
      <c r="K139" s="23">
        <f>35.27+4.23</f>
        <v>39.5</v>
      </c>
      <c r="L139" s="24"/>
      <c r="M139" s="25">
        <f t="shared" si="20"/>
        <v>35.267857142857139</v>
      </c>
      <c r="N139" s="25">
        <f t="shared" si="21"/>
        <v>4.2321428571428568</v>
      </c>
      <c r="O139" s="25">
        <f t="shared" si="22"/>
        <v>0</v>
      </c>
      <c r="P139" s="25">
        <v>35.270000000000003</v>
      </c>
      <c r="Q139" s="26"/>
      <c r="R139" s="26"/>
      <c r="S139" s="27"/>
      <c r="T139" s="27"/>
      <c r="U139" s="27"/>
      <c r="V139" s="27"/>
      <c r="W139" s="27"/>
      <c r="X139" s="26"/>
      <c r="Y139" s="26"/>
      <c r="Z139" s="26"/>
      <c r="AA139" s="26"/>
      <c r="AB139" s="27"/>
      <c r="AC139" s="27"/>
      <c r="AD139" s="26"/>
      <c r="AE139" s="26"/>
      <c r="AF139" s="25">
        <f t="shared" si="23"/>
        <v>-39.502142857142857</v>
      </c>
      <c r="AG139" s="28">
        <f t="shared" si="24"/>
        <v>-2.1428571428572241E-3</v>
      </c>
    </row>
    <row r="140" spans="1:33" s="29" customFormat="1" ht="23.25" customHeight="1" x14ac:dyDescent="0.2">
      <c r="A140" s="18">
        <v>43798</v>
      </c>
      <c r="B140" s="19"/>
      <c r="C140" s="20" t="s">
        <v>41</v>
      </c>
      <c r="D140" s="20" t="s">
        <v>42</v>
      </c>
      <c r="E140" s="20" t="s">
        <v>43</v>
      </c>
      <c r="F140" s="21">
        <v>181915</v>
      </c>
      <c r="G140" s="21" t="s">
        <v>44</v>
      </c>
      <c r="H140" s="23"/>
      <c r="I140" s="23"/>
      <c r="J140" s="23"/>
      <c r="K140" s="23">
        <v>180</v>
      </c>
      <c r="L140" s="24"/>
      <c r="M140" s="25">
        <f t="shared" si="20"/>
        <v>160.71428571428569</v>
      </c>
      <c r="N140" s="25">
        <f t="shared" si="21"/>
        <v>19.285714285714281</v>
      </c>
      <c r="O140" s="25">
        <f t="shared" si="22"/>
        <v>0</v>
      </c>
      <c r="P140" s="26"/>
      <c r="Q140" s="26">
        <v>160.71</v>
      </c>
      <c r="R140" s="26"/>
      <c r="S140" s="27"/>
      <c r="T140" s="27"/>
      <c r="U140" s="27"/>
      <c r="V140" s="27"/>
      <c r="W140" s="27"/>
      <c r="X140" s="26"/>
      <c r="Y140" s="26"/>
      <c r="Z140" s="26"/>
      <c r="AA140" s="26"/>
      <c r="AB140" s="27"/>
      <c r="AC140" s="27"/>
      <c r="AD140" s="26"/>
      <c r="AE140" s="26"/>
      <c r="AF140" s="25">
        <f t="shared" si="23"/>
        <v>-179.99571428571429</v>
      </c>
      <c r="AG140" s="28">
        <f t="shared" si="24"/>
        <v>4.2857142857144481E-3</v>
      </c>
    </row>
    <row r="141" spans="1:33" s="29" customFormat="1" ht="23.25" customHeight="1" x14ac:dyDescent="0.2">
      <c r="A141" s="18"/>
      <c r="B141" s="19"/>
      <c r="C141" s="20"/>
      <c r="D141" s="20"/>
      <c r="E141" s="20"/>
      <c r="F141" s="21"/>
      <c r="G141" s="22"/>
      <c r="H141" s="23"/>
      <c r="I141" s="23"/>
      <c r="J141" s="23"/>
      <c r="K141" s="23"/>
      <c r="L141" s="24"/>
      <c r="M141" s="25"/>
      <c r="N141" s="25"/>
      <c r="O141" s="25"/>
      <c r="P141" s="25"/>
      <c r="Q141" s="26"/>
      <c r="R141" s="26"/>
      <c r="S141" s="27"/>
      <c r="T141" s="27"/>
      <c r="U141" s="27"/>
      <c r="V141" s="27"/>
      <c r="W141" s="27"/>
      <c r="X141" s="26"/>
      <c r="Y141" s="26"/>
      <c r="Z141" s="26"/>
      <c r="AA141" s="26"/>
      <c r="AB141" s="27"/>
      <c r="AC141" s="27"/>
      <c r="AD141" s="26"/>
      <c r="AE141" s="26"/>
      <c r="AF141" s="25"/>
      <c r="AG141" s="28"/>
    </row>
    <row r="142" spans="1:33" s="29" customFormat="1" ht="23.25" customHeight="1" x14ac:dyDescent="0.2">
      <c r="A142" s="18"/>
      <c r="B142" s="19"/>
      <c r="C142" s="20"/>
      <c r="D142" s="20"/>
      <c r="E142" s="20"/>
      <c r="F142" s="21"/>
      <c r="G142" s="21"/>
      <c r="H142" s="23"/>
      <c r="I142" s="23"/>
      <c r="J142" s="23"/>
      <c r="K142" s="23"/>
      <c r="L142" s="24"/>
      <c r="M142" s="25"/>
      <c r="N142" s="25"/>
      <c r="O142" s="25"/>
      <c r="P142" s="25"/>
      <c r="Q142" s="26"/>
      <c r="R142" s="26"/>
      <c r="S142" s="27"/>
      <c r="T142" s="27"/>
      <c r="U142" s="27"/>
      <c r="V142" s="27"/>
      <c r="W142" s="27"/>
      <c r="X142" s="26"/>
      <c r="Y142" s="26"/>
      <c r="Z142" s="26"/>
      <c r="AA142" s="26"/>
      <c r="AB142" s="27"/>
      <c r="AC142" s="27"/>
      <c r="AD142" s="26"/>
      <c r="AE142" s="26"/>
      <c r="AF142" s="25"/>
      <c r="AG142" s="28"/>
    </row>
    <row r="143" spans="1:33" s="29" customFormat="1" ht="19.5" customHeight="1" x14ac:dyDescent="0.2">
      <c r="A143" s="18"/>
      <c r="B143" s="19"/>
      <c r="C143" s="45"/>
      <c r="D143" s="45"/>
      <c r="E143" s="45"/>
      <c r="F143" s="21"/>
      <c r="G143" s="22"/>
      <c r="H143" s="23"/>
      <c r="I143" s="23"/>
      <c r="J143" s="23"/>
      <c r="K143" s="23"/>
      <c r="L143" s="24"/>
      <c r="M143" s="26">
        <f>SUM(H143:J143,K143/1.12)</f>
        <v>0</v>
      </c>
      <c r="N143" s="26">
        <f>K143/1.12*0.12</f>
        <v>0</v>
      </c>
      <c r="O143" s="26">
        <f>-SUM(I143:J143,K143/1.12)*L143</f>
        <v>0</v>
      </c>
      <c r="P143" s="26"/>
      <c r="Q143" s="26"/>
      <c r="R143" s="26"/>
      <c r="S143" s="26"/>
      <c r="T143" s="27"/>
      <c r="U143" s="27"/>
      <c r="V143" s="27"/>
      <c r="W143" s="27"/>
      <c r="X143" s="27"/>
      <c r="Y143" s="46"/>
      <c r="Z143" s="26"/>
      <c r="AA143" s="26"/>
      <c r="AB143" s="26"/>
      <c r="AC143" s="27"/>
      <c r="AD143" s="27"/>
      <c r="AE143" s="47"/>
      <c r="AF143" s="25">
        <f>-SUM(N143:AE143)</f>
        <v>0</v>
      </c>
      <c r="AG143" s="28">
        <f>SUM(H143:K143)+AF143+O143</f>
        <v>0</v>
      </c>
    </row>
    <row r="144" spans="1:33" s="57" customFormat="1" ht="12" customHeight="1" x14ac:dyDescent="0.2">
      <c r="A144" s="49"/>
      <c r="B144" s="50"/>
      <c r="C144" s="51"/>
      <c r="D144" s="52"/>
      <c r="E144" s="52"/>
      <c r="F144" s="53"/>
      <c r="G144" s="51"/>
      <c r="H144" s="54">
        <f t="shared" ref="H144:AG144" si="25">SUM(H5:H143)</f>
        <v>5549.21</v>
      </c>
      <c r="I144" s="54">
        <f t="shared" si="25"/>
        <v>0</v>
      </c>
      <c r="J144" s="54">
        <f t="shared" si="25"/>
        <v>16925.450000000004</v>
      </c>
      <c r="K144" s="54">
        <f t="shared" si="25"/>
        <v>43667.39</v>
      </c>
      <c r="L144" s="54">
        <f t="shared" si="25"/>
        <v>0</v>
      </c>
      <c r="M144" s="54">
        <f t="shared" si="25"/>
        <v>61463.40107142854</v>
      </c>
      <c r="N144" s="54">
        <f t="shared" si="25"/>
        <v>4678.6489285714279</v>
      </c>
      <c r="O144" s="54">
        <f t="shared" si="25"/>
        <v>0</v>
      </c>
      <c r="P144" s="54">
        <f t="shared" si="25"/>
        <v>44358.479999999989</v>
      </c>
      <c r="Q144" s="54">
        <f t="shared" si="25"/>
        <v>3257.9500000000003</v>
      </c>
      <c r="R144" s="54">
        <f t="shared" si="25"/>
        <v>281.7</v>
      </c>
      <c r="S144" s="54">
        <f t="shared" si="25"/>
        <v>500.89</v>
      </c>
      <c r="T144" s="54">
        <f t="shared" si="25"/>
        <v>1270.24</v>
      </c>
      <c r="U144" s="54">
        <f t="shared" si="25"/>
        <v>0</v>
      </c>
      <c r="V144" s="54">
        <f t="shared" si="25"/>
        <v>1029.9100000000001</v>
      </c>
      <c r="W144" s="54">
        <f t="shared" si="25"/>
        <v>0</v>
      </c>
      <c r="X144" s="54">
        <f t="shared" si="25"/>
        <v>2328.36</v>
      </c>
      <c r="Y144" s="54">
        <f t="shared" si="25"/>
        <v>5391.06</v>
      </c>
      <c r="Z144" s="54">
        <f t="shared" si="25"/>
        <v>31.25</v>
      </c>
      <c r="AA144" s="54">
        <f t="shared" si="25"/>
        <v>1236</v>
      </c>
      <c r="AB144" s="54">
        <f t="shared" si="25"/>
        <v>0</v>
      </c>
      <c r="AC144" s="54">
        <f t="shared" si="25"/>
        <v>0</v>
      </c>
      <c r="AD144" s="54">
        <f t="shared" si="25"/>
        <v>1777.5</v>
      </c>
      <c r="AE144" s="54">
        <f t="shared" si="25"/>
        <v>0</v>
      </c>
      <c r="AF144" s="54">
        <f t="shared" si="25"/>
        <v>-66141.988928571445</v>
      </c>
      <c r="AG144" s="54">
        <f t="shared" si="25"/>
        <v>6.1071428571864317E-2</v>
      </c>
    </row>
    <row r="145" spans="11:25" s="3" customFormat="1" ht="10.199999999999999" x14ac:dyDescent="0.2">
      <c r="K145" s="5"/>
      <c r="L145" s="6"/>
      <c r="M145" s="5"/>
      <c r="Y145" s="5"/>
    </row>
    <row r="152" spans="11:25" x14ac:dyDescent="0.25">
      <c r="Q152" s="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K24"/>
  <sheetViews>
    <sheetView topLeftCell="A22" zoomScale="90" zoomScaleNormal="90" workbookViewId="0">
      <selection activeCell="E40" sqref="E40"/>
    </sheetView>
  </sheetViews>
  <sheetFormatPr defaultRowHeight="13.2" x14ac:dyDescent="0.25"/>
  <cols>
    <col min="1" max="1" width="10.21875" style="1" customWidth="1"/>
    <col min="2" max="2" width="9.21875" style="2" hidden="1" customWidth="1"/>
    <col min="3" max="3" width="30.21875" style="3" customWidth="1"/>
    <col min="4" max="4" width="17.6640625" style="4" customWidth="1"/>
    <col min="5" max="5" width="35.33203125" style="4" customWidth="1"/>
    <col min="6" max="6" width="9.88671875" style="2" customWidth="1"/>
    <col min="7" max="7" width="35.44140625" style="3" customWidth="1"/>
    <col min="8" max="8" width="9.88671875" style="5" customWidth="1"/>
    <col min="9" max="9" width="10.6640625" style="5" hidden="1" customWidth="1"/>
    <col min="10" max="10" width="12.21875" style="5" customWidth="1"/>
    <col min="11" max="11" width="12.5546875" style="5" customWidth="1"/>
    <col min="12" max="12" width="6.44140625" style="89" hidden="1" customWidth="1"/>
    <col min="13" max="13" width="11.6640625" style="5" customWidth="1"/>
    <col min="14" max="14" width="10.21875" style="5" customWidth="1"/>
    <col min="15" max="15" width="8.21875" style="5" customWidth="1"/>
    <col min="16" max="16" width="12.21875" style="5" customWidth="1"/>
    <col min="17" max="17" width="12.5546875" style="5" customWidth="1"/>
    <col min="18" max="18" width="11.5546875" style="5"/>
    <col min="19" max="19" width="10.21875" style="5" customWidth="1"/>
    <col min="20" max="21" width="11.5546875" style="5"/>
    <col min="22" max="22" width="13.33203125" style="5" customWidth="1"/>
    <col min="23" max="23" width="10.21875" style="5" customWidth="1"/>
    <col min="24" max="24" width="12.44140625" style="5" customWidth="1"/>
    <col min="25" max="25" width="11.6640625" style="5" customWidth="1"/>
    <col min="26" max="26" width="10.44140625" style="5" customWidth="1"/>
    <col min="27" max="27" width="9" style="5" customWidth="1"/>
    <col min="28" max="28" width="11.33203125" style="5" customWidth="1"/>
    <col min="29" max="30" width="10.109375" style="5" customWidth="1"/>
    <col min="31" max="31" width="12.77734375" style="5" customWidth="1"/>
    <col min="32" max="32" width="13.33203125" style="5" customWidth="1"/>
    <col min="33" max="33" width="9.21875" style="3" customWidth="1"/>
    <col min="34" max="1025" width="11.5546875" style="3"/>
  </cols>
  <sheetData>
    <row r="1" spans="1:33" ht="12" customHeight="1" x14ac:dyDescent="0.25">
      <c r="A1" s="7" t="s">
        <v>0</v>
      </c>
      <c r="C1" s="8"/>
    </row>
    <row r="2" spans="1:33" ht="12" customHeight="1" x14ac:dyDescent="0.25">
      <c r="A2" s="7" t="s">
        <v>1</v>
      </c>
    </row>
    <row r="3" spans="1:33" ht="12" customHeight="1" x14ac:dyDescent="0.25">
      <c r="A3" s="7" t="s">
        <v>1036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/>
      <c r="W3" s="10"/>
      <c r="X3" s="10"/>
      <c r="Y3" s="10" t="s">
        <v>3</v>
      </c>
      <c r="Z3" s="10"/>
      <c r="AA3" s="10">
        <v>6230</v>
      </c>
      <c r="AB3" s="10" t="s">
        <v>4</v>
      </c>
      <c r="AC3" s="10">
        <v>6202</v>
      </c>
      <c r="AD3" s="10"/>
      <c r="AE3" s="10">
        <v>6109</v>
      </c>
      <c r="AF3" s="10">
        <v>1002</v>
      </c>
    </row>
    <row r="4" spans="1:33" s="17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96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pans="1:33" s="29" customFormat="1" ht="23.25" customHeight="1" x14ac:dyDescent="0.2">
      <c r="A5" s="18">
        <v>43801</v>
      </c>
      <c r="B5" s="19"/>
      <c r="C5" s="20" t="s">
        <v>1037</v>
      </c>
      <c r="D5" s="20" t="s">
        <v>643</v>
      </c>
      <c r="E5" s="20" t="s">
        <v>737</v>
      </c>
      <c r="F5" s="21">
        <v>4982</v>
      </c>
      <c r="G5" s="22" t="s">
        <v>645</v>
      </c>
      <c r="H5" s="23"/>
      <c r="I5" s="23"/>
      <c r="J5" s="23"/>
      <c r="K5" s="23">
        <v>1323.23</v>
      </c>
      <c r="L5" s="105"/>
      <c r="M5" s="25">
        <f t="shared" ref="M5:M23" si="0">SUM(H5:J5,K5/1.12)</f>
        <v>1181.4553571428571</v>
      </c>
      <c r="N5" s="25">
        <f t="shared" ref="N5:N23" si="1">K5/1.12*0.12</f>
        <v>141.77464285714285</v>
      </c>
      <c r="O5" s="25">
        <f t="shared" ref="O5:O23" si="2">-SUM(I5:J5,K5/1.12)*L5</f>
        <v>0</v>
      </c>
      <c r="P5" s="25">
        <v>1181.46</v>
      </c>
      <c r="Q5" s="26"/>
      <c r="R5" s="26"/>
      <c r="S5" s="27"/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>
        <f t="shared" ref="AF5:AF23" si="3">-SUM(N5:AE5)</f>
        <v>-1323.2346428571429</v>
      </c>
      <c r="AG5" s="28">
        <f t="shared" ref="AG5:AG23" si="4">SUM(H5:K5)+AF5+O5</f>
        <v>-4.6428571429260046E-3</v>
      </c>
    </row>
    <row r="6" spans="1:33" s="29" customFormat="1" ht="23.25" customHeight="1" x14ac:dyDescent="0.2">
      <c r="A6" s="18">
        <v>43801</v>
      </c>
      <c r="B6" s="19"/>
      <c r="C6" s="20" t="s">
        <v>54</v>
      </c>
      <c r="D6" s="20" t="s">
        <v>55</v>
      </c>
      <c r="E6" s="20" t="s">
        <v>56</v>
      </c>
      <c r="F6" s="21">
        <v>3347</v>
      </c>
      <c r="G6" s="21" t="s">
        <v>1038</v>
      </c>
      <c r="H6" s="23"/>
      <c r="I6" s="23"/>
      <c r="J6" s="23">
        <v>2199</v>
      </c>
      <c r="K6" s="23"/>
      <c r="L6" s="105"/>
      <c r="M6" s="25">
        <f t="shared" si="0"/>
        <v>2199</v>
      </c>
      <c r="N6" s="25">
        <f t="shared" si="1"/>
        <v>0</v>
      </c>
      <c r="O6" s="25">
        <f t="shared" si="2"/>
        <v>0</v>
      </c>
      <c r="P6" s="25">
        <v>2199</v>
      </c>
      <c r="Q6" s="26"/>
      <c r="R6" s="26"/>
      <c r="S6" s="27"/>
      <c r="T6" s="27"/>
      <c r="U6" s="27"/>
      <c r="V6" s="27"/>
      <c r="W6" s="27"/>
      <c r="X6" s="26"/>
      <c r="Y6" s="26"/>
      <c r="Z6" s="26"/>
      <c r="AA6" s="26"/>
      <c r="AB6" s="27"/>
      <c r="AC6" s="27"/>
      <c r="AD6" s="26"/>
      <c r="AE6" s="26"/>
      <c r="AF6" s="25">
        <f t="shared" si="3"/>
        <v>-2199</v>
      </c>
      <c r="AG6" s="28">
        <f t="shared" si="4"/>
        <v>0</v>
      </c>
    </row>
    <row r="7" spans="1:33" s="29" customFormat="1" ht="23.25" customHeight="1" x14ac:dyDescent="0.2">
      <c r="A7" s="18">
        <v>43801</v>
      </c>
      <c r="B7" s="19"/>
      <c r="C7" s="20" t="s">
        <v>45</v>
      </c>
      <c r="D7" s="20" t="s">
        <v>847</v>
      </c>
      <c r="E7" s="20" t="s">
        <v>47</v>
      </c>
      <c r="F7" s="21">
        <v>253300</v>
      </c>
      <c r="G7" s="21" t="s">
        <v>1039</v>
      </c>
      <c r="H7" s="23"/>
      <c r="I7" s="23"/>
      <c r="J7" s="23">
        <v>447.75</v>
      </c>
      <c r="K7" s="23"/>
      <c r="L7" s="105"/>
      <c r="M7" s="25">
        <f t="shared" si="0"/>
        <v>447.75</v>
      </c>
      <c r="N7" s="25">
        <f t="shared" si="1"/>
        <v>0</v>
      </c>
      <c r="O7" s="25">
        <f t="shared" si="2"/>
        <v>0</v>
      </c>
      <c r="P7" s="25">
        <v>447.75</v>
      </c>
      <c r="Q7" s="26"/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>
        <f t="shared" si="3"/>
        <v>-447.75</v>
      </c>
      <c r="AG7" s="28">
        <f t="shared" si="4"/>
        <v>0</v>
      </c>
    </row>
    <row r="8" spans="1:33" s="29" customFormat="1" ht="23.25" customHeight="1" x14ac:dyDescent="0.2">
      <c r="A8" s="18">
        <v>43801</v>
      </c>
      <c r="B8" s="19"/>
      <c r="C8" s="20" t="s">
        <v>45</v>
      </c>
      <c r="D8" s="20" t="s">
        <v>847</v>
      </c>
      <c r="E8" s="20" t="s">
        <v>47</v>
      </c>
      <c r="F8" s="21">
        <v>253300</v>
      </c>
      <c r="G8" s="21" t="s">
        <v>1040</v>
      </c>
      <c r="H8" s="23"/>
      <c r="I8" s="23"/>
      <c r="J8" s="23"/>
      <c r="K8" s="23">
        <f>1704.02+204.48</f>
        <v>1908.5</v>
      </c>
      <c r="L8" s="105"/>
      <c r="M8" s="25">
        <f t="shared" si="0"/>
        <v>1704.0178571428569</v>
      </c>
      <c r="N8" s="25">
        <f t="shared" si="1"/>
        <v>204.4821428571428</v>
      </c>
      <c r="O8" s="25">
        <f t="shared" si="2"/>
        <v>0</v>
      </c>
      <c r="P8" s="25">
        <v>1704.02</v>
      </c>
      <c r="Q8" s="26"/>
      <c r="R8" s="26"/>
      <c r="S8" s="27"/>
      <c r="T8" s="27"/>
      <c r="U8" s="27"/>
      <c r="V8" s="27"/>
      <c r="W8" s="27"/>
      <c r="X8" s="26"/>
      <c r="Y8" s="26"/>
      <c r="Z8" s="26"/>
      <c r="AA8" s="26"/>
      <c r="AB8" s="27"/>
      <c r="AC8" s="27"/>
      <c r="AD8" s="26"/>
      <c r="AE8" s="26"/>
      <c r="AF8" s="25">
        <f t="shared" si="3"/>
        <v>-1908.5021428571429</v>
      </c>
      <c r="AG8" s="28">
        <f t="shared" si="4"/>
        <v>-2.1428571428714349E-3</v>
      </c>
    </row>
    <row r="9" spans="1:33" s="29" customFormat="1" ht="23.25" customHeight="1" x14ac:dyDescent="0.2">
      <c r="A9" s="18">
        <v>43801</v>
      </c>
      <c r="B9" s="19"/>
      <c r="C9" s="20" t="s">
        <v>58</v>
      </c>
      <c r="D9" s="20"/>
      <c r="E9" s="20"/>
      <c r="F9" s="21"/>
      <c r="G9" s="22" t="s">
        <v>113</v>
      </c>
      <c r="H9" s="23">
        <v>100</v>
      </c>
      <c r="I9" s="23"/>
      <c r="J9" s="23"/>
      <c r="K9" s="23"/>
      <c r="L9" s="105"/>
      <c r="M9" s="25">
        <f t="shared" si="0"/>
        <v>100</v>
      </c>
      <c r="N9" s="25">
        <f t="shared" si="1"/>
        <v>0</v>
      </c>
      <c r="O9" s="25">
        <f t="shared" si="2"/>
        <v>0</v>
      </c>
      <c r="P9" s="25"/>
      <c r="Q9" s="26"/>
      <c r="R9" s="26"/>
      <c r="S9" s="27"/>
      <c r="T9" s="27"/>
      <c r="U9" s="27"/>
      <c r="V9" s="27"/>
      <c r="W9" s="27"/>
      <c r="X9" s="26"/>
      <c r="Y9" s="26"/>
      <c r="Z9" s="26"/>
      <c r="AA9" s="26">
        <v>100</v>
      </c>
      <c r="AB9" s="27"/>
      <c r="AC9" s="27"/>
      <c r="AD9" s="26"/>
      <c r="AE9" s="26"/>
      <c r="AF9" s="25">
        <f t="shared" si="3"/>
        <v>-100</v>
      </c>
      <c r="AG9" s="28">
        <f t="shared" si="4"/>
        <v>0</v>
      </c>
    </row>
    <row r="10" spans="1:33" s="29" customFormat="1" ht="23.25" customHeight="1" x14ac:dyDescent="0.2">
      <c r="A10" s="18">
        <v>43801</v>
      </c>
      <c r="B10" s="19"/>
      <c r="C10" s="20" t="s">
        <v>41</v>
      </c>
      <c r="D10" s="20" t="s">
        <v>42</v>
      </c>
      <c r="E10" s="20" t="s">
        <v>43</v>
      </c>
      <c r="F10" s="21">
        <v>182458</v>
      </c>
      <c r="G10" s="21" t="s">
        <v>44</v>
      </c>
      <c r="H10" s="23"/>
      <c r="I10" s="23"/>
      <c r="J10" s="23"/>
      <c r="K10" s="23">
        <v>180</v>
      </c>
      <c r="L10" s="105"/>
      <c r="M10" s="25">
        <f t="shared" si="0"/>
        <v>160.71428571428569</v>
      </c>
      <c r="N10" s="25">
        <f t="shared" si="1"/>
        <v>19.285714285714281</v>
      </c>
      <c r="O10" s="25">
        <f t="shared" si="2"/>
        <v>0</v>
      </c>
      <c r="P10" s="26"/>
      <c r="Q10" s="26">
        <v>160.71</v>
      </c>
      <c r="R10" s="26"/>
      <c r="S10" s="27"/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>
        <f t="shared" si="3"/>
        <v>-179.99571428571429</v>
      </c>
      <c r="AG10" s="28">
        <f t="shared" si="4"/>
        <v>4.2857142857144481E-3</v>
      </c>
    </row>
    <row r="11" spans="1:33" s="29" customFormat="1" ht="23.25" customHeight="1" x14ac:dyDescent="0.2">
      <c r="A11" s="18">
        <v>43801</v>
      </c>
      <c r="B11" s="19"/>
      <c r="C11" s="20" t="s">
        <v>62</v>
      </c>
      <c r="D11" s="20"/>
      <c r="E11" s="20"/>
      <c r="F11" s="21"/>
      <c r="G11" s="22" t="s">
        <v>1041</v>
      </c>
      <c r="H11" s="23">
        <v>50</v>
      </c>
      <c r="I11" s="23"/>
      <c r="J11" s="23"/>
      <c r="K11" s="23"/>
      <c r="L11" s="105"/>
      <c r="M11" s="25">
        <f t="shared" si="0"/>
        <v>50</v>
      </c>
      <c r="N11" s="25">
        <f t="shared" si="1"/>
        <v>0</v>
      </c>
      <c r="O11" s="25">
        <f t="shared" si="2"/>
        <v>0</v>
      </c>
      <c r="P11" s="25"/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>
        <v>50</v>
      </c>
      <c r="AB11" s="27"/>
      <c r="AC11" s="27"/>
      <c r="AD11" s="26"/>
      <c r="AE11" s="26"/>
      <c r="AF11" s="25">
        <f t="shared" si="3"/>
        <v>-50</v>
      </c>
      <c r="AG11" s="28">
        <f t="shared" si="4"/>
        <v>0</v>
      </c>
    </row>
    <row r="12" spans="1:33" s="29" customFormat="1" ht="23.25" customHeight="1" x14ac:dyDescent="0.2">
      <c r="A12" s="18">
        <v>43801</v>
      </c>
      <c r="B12" s="19"/>
      <c r="C12" s="20" t="s">
        <v>498</v>
      </c>
      <c r="D12" s="20"/>
      <c r="E12" s="20"/>
      <c r="F12" s="21"/>
      <c r="G12" s="22" t="s">
        <v>1042</v>
      </c>
      <c r="H12" s="23">
        <v>164</v>
      </c>
      <c r="I12" s="23"/>
      <c r="J12" s="23"/>
      <c r="K12" s="23"/>
      <c r="L12" s="105"/>
      <c r="M12" s="25">
        <f t="shared" si="0"/>
        <v>164</v>
      </c>
      <c r="N12" s="25">
        <f t="shared" si="1"/>
        <v>0</v>
      </c>
      <c r="O12" s="25">
        <f t="shared" si="2"/>
        <v>0</v>
      </c>
      <c r="P12" s="25"/>
      <c r="Q12" s="26"/>
      <c r="R12" s="26"/>
      <c r="S12" s="27"/>
      <c r="T12" s="27"/>
      <c r="U12" s="27"/>
      <c r="V12" s="27"/>
      <c r="W12" s="27"/>
      <c r="X12" s="26"/>
      <c r="Y12" s="26"/>
      <c r="Z12" s="26"/>
      <c r="AA12" s="26">
        <v>164</v>
      </c>
      <c r="AB12" s="27"/>
      <c r="AC12" s="27"/>
      <c r="AD12" s="26"/>
      <c r="AE12" s="26"/>
      <c r="AF12" s="25">
        <f t="shared" si="3"/>
        <v>-164</v>
      </c>
      <c r="AG12" s="28">
        <f t="shared" si="4"/>
        <v>0</v>
      </c>
    </row>
    <row r="13" spans="1:33" s="29" customFormat="1" ht="23.25" customHeight="1" x14ac:dyDescent="0.2">
      <c r="A13" s="18">
        <v>43803</v>
      </c>
      <c r="B13" s="19"/>
      <c r="C13" s="20" t="s">
        <v>908</v>
      </c>
      <c r="D13" s="20" t="s">
        <v>973</v>
      </c>
      <c r="E13" s="20" t="s">
        <v>47</v>
      </c>
      <c r="F13" s="21">
        <v>17566</v>
      </c>
      <c r="G13" s="21" t="s">
        <v>1043</v>
      </c>
      <c r="H13" s="23"/>
      <c r="I13" s="23"/>
      <c r="J13" s="23"/>
      <c r="K13" s="23">
        <v>940</v>
      </c>
      <c r="L13" s="105"/>
      <c r="M13" s="25">
        <f t="shared" si="0"/>
        <v>839.28571428571422</v>
      </c>
      <c r="N13" s="25">
        <f t="shared" si="1"/>
        <v>100.71428571428571</v>
      </c>
      <c r="O13" s="25">
        <f t="shared" si="2"/>
        <v>0</v>
      </c>
      <c r="P13" s="25">
        <v>839.29</v>
      </c>
      <c r="Q13" s="26"/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>
        <f t="shared" si="3"/>
        <v>-940.00428571428563</v>
      </c>
      <c r="AG13" s="28">
        <f t="shared" si="4"/>
        <v>-4.285714285629183E-3</v>
      </c>
    </row>
    <row r="14" spans="1:33" s="29" customFormat="1" ht="23.25" customHeight="1" x14ac:dyDescent="0.2">
      <c r="A14" s="18">
        <v>43803</v>
      </c>
      <c r="B14" s="19"/>
      <c r="C14" s="20" t="s">
        <v>58</v>
      </c>
      <c r="D14" s="20"/>
      <c r="E14" s="20"/>
      <c r="F14" s="21"/>
      <c r="G14" s="21" t="s">
        <v>1044</v>
      </c>
      <c r="H14" s="23">
        <v>60</v>
      </c>
      <c r="I14" s="23"/>
      <c r="J14" s="23"/>
      <c r="K14" s="23"/>
      <c r="L14" s="105"/>
      <c r="M14" s="25">
        <f t="shared" si="0"/>
        <v>60</v>
      </c>
      <c r="N14" s="25">
        <f t="shared" si="1"/>
        <v>0</v>
      </c>
      <c r="O14" s="25">
        <f t="shared" si="2"/>
        <v>0</v>
      </c>
      <c r="P14" s="25"/>
      <c r="Q14" s="26"/>
      <c r="R14" s="26"/>
      <c r="S14" s="27"/>
      <c r="T14" s="27"/>
      <c r="U14" s="27"/>
      <c r="V14" s="27"/>
      <c r="W14" s="27"/>
      <c r="X14" s="26"/>
      <c r="Y14" s="26"/>
      <c r="Z14" s="26"/>
      <c r="AA14" s="26">
        <v>60</v>
      </c>
      <c r="AB14" s="27"/>
      <c r="AC14" s="27"/>
      <c r="AD14" s="26"/>
      <c r="AE14" s="26"/>
      <c r="AF14" s="25">
        <f t="shared" si="3"/>
        <v>-60</v>
      </c>
      <c r="AG14" s="28">
        <f t="shared" si="4"/>
        <v>0</v>
      </c>
    </row>
    <row r="15" spans="1:33" s="29" customFormat="1" ht="23.25" customHeight="1" x14ac:dyDescent="0.2">
      <c r="A15" s="18">
        <v>43803</v>
      </c>
      <c r="B15" s="19"/>
      <c r="C15" s="20" t="s">
        <v>37</v>
      </c>
      <c r="D15" s="20" t="s">
        <v>38</v>
      </c>
      <c r="E15" s="20" t="s">
        <v>39</v>
      </c>
      <c r="F15" s="21">
        <v>118464</v>
      </c>
      <c r="G15" s="22" t="s">
        <v>359</v>
      </c>
      <c r="H15" s="23"/>
      <c r="I15" s="23"/>
      <c r="J15" s="23"/>
      <c r="K15" s="23">
        <v>119.25</v>
      </c>
      <c r="L15" s="105"/>
      <c r="M15" s="25">
        <f t="shared" si="0"/>
        <v>106.47321428571428</v>
      </c>
      <c r="N15" s="25">
        <f t="shared" si="1"/>
        <v>12.776785714285714</v>
      </c>
      <c r="O15" s="25">
        <f t="shared" si="2"/>
        <v>0</v>
      </c>
      <c r="P15" s="25">
        <v>106.47</v>
      </c>
      <c r="Q15" s="26"/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>
        <f t="shared" si="3"/>
        <v>-119.24678571428571</v>
      </c>
      <c r="AG15" s="28">
        <f t="shared" si="4"/>
        <v>3.2142857142929415E-3</v>
      </c>
    </row>
    <row r="16" spans="1:33" s="29" customFormat="1" ht="23.25" customHeight="1" x14ac:dyDescent="0.2">
      <c r="A16" s="18">
        <v>43803</v>
      </c>
      <c r="B16" s="19"/>
      <c r="C16" s="20" t="s">
        <v>45</v>
      </c>
      <c r="D16" s="20" t="s">
        <v>847</v>
      </c>
      <c r="E16" s="20" t="s">
        <v>47</v>
      </c>
      <c r="F16" s="21">
        <v>219405</v>
      </c>
      <c r="G16" s="22" t="s">
        <v>1045</v>
      </c>
      <c r="H16" s="23"/>
      <c r="I16" s="23"/>
      <c r="J16" s="23"/>
      <c r="K16" s="23">
        <f>793.84+95.26</f>
        <v>889.1</v>
      </c>
      <c r="L16" s="105"/>
      <c r="M16" s="25">
        <f t="shared" si="0"/>
        <v>793.83928571428567</v>
      </c>
      <c r="N16" s="25">
        <f t="shared" si="1"/>
        <v>95.260714285714272</v>
      </c>
      <c r="O16" s="25">
        <f t="shared" si="2"/>
        <v>0</v>
      </c>
      <c r="P16" s="25">
        <v>793.84</v>
      </c>
      <c r="Q16" s="26"/>
      <c r="R16" s="26"/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/>
      <c r="AE16" s="26"/>
      <c r="AF16" s="25">
        <f t="shared" si="3"/>
        <v>-889.10071428571428</v>
      </c>
      <c r="AG16" s="28">
        <f t="shared" si="4"/>
        <v>-7.1428571425258269E-4</v>
      </c>
    </row>
    <row r="17" spans="1:33" s="29" customFormat="1" ht="23.25" customHeight="1" x14ac:dyDescent="0.2">
      <c r="A17" s="18">
        <v>43803</v>
      </c>
      <c r="B17" s="19"/>
      <c r="C17" s="20" t="s">
        <v>45</v>
      </c>
      <c r="D17" s="20" t="s">
        <v>847</v>
      </c>
      <c r="E17" s="20" t="s">
        <v>47</v>
      </c>
      <c r="F17" s="21">
        <v>219405</v>
      </c>
      <c r="G17" s="21" t="s">
        <v>1046</v>
      </c>
      <c r="H17" s="23"/>
      <c r="I17" s="23"/>
      <c r="J17" s="23">
        <v>717.75</v>
      </c>
      <c r="K17" s="23"/>
      <c r="L17" s="105"/>
      <c r="M17" s="25">
        <f t="shared" si="0"/>
        <v>717.75</v>
      </c>
      <c r="N17" s="25">
        <f t="shared" si="1"/>
        <v>0</v>
      </c>
      <c r="O17" s="25">
        <f t="shared" si="2"/>
        <v>0</v>
      </c>
      <c r="P17" s="25">
        <v>717.75</v>
      </c>
      <c r="Q17" s="26"/>
      <c r="R17" s="26"/>
      <c r="S17" s="27"/>
      <c r="T17" s="27"/>
      <c r="U17" s="27"/>
      <c r="V17" s="27"/>
      <c r="W17" s="27"/>
      <c r="X17" s="26"/>
      <c r="Y17" s="26"/>
      <c r="Z17" s="26"/>
      <c r="AA17" s="26"/>
      <c r="AB17" s="27"/>
      <c r="AC17" s="27"/>
      <c r="AD17" s="26"/>
      <c r="AE17" s="26"/>
      <c r="AF17" s="25">
        <f t="shared" si="3"/>
        <v>-717.75</v>
      </c>
      <c r="AG17" s="28">
        <f t="shared" si="4"/>
        <v>0</v>
      </c>
    </row>
    <row r="18" spans="1:33" s="29" customFormat="1" ht="23.25" customHeight="1" x14ac:dyDescent="0.2">
      <c r="A18" s="18">
        <v>43803</v>
      </c>
      <c r="B18" s="19"/>
      <c r="C18" s="20" t="s">
        <v>58</v>
      </c>
      <c r="D18" s="20"/>
      <c r="E18" s="20"/>
      <c r="F18" s="21"/>
      <c r="G18" s="21" t="s">
        <v>1047</v>
      </c>
      <c r="H18" s="23">
        <v>140</v>
      </c>
      <c r="I18" s="23"/>
      <c r="J18" s="23"/>
      <c r="K18" s="23"/>
      <c r="L18" s="105"/>
      <c r="M18" s="25">
        <f t="shared" si="0"/>
        <v>140</v>
      </c>
      <c r="N18" s="25">
        <f t="shared" si="1"/>
        <v>0</v>
      </c>
      <c r="O18" s="25">
        <f t="shared" si="2"/>
        <v>0</v>
      </c>
      <c r="P18" s="25"/>
      <c r="Q18" s="26"/>
      <c r="R18" s="26"/>
      <c r="S18" s="27"/>
      <c r="T18" s="27"/>
      <c r="U18" s="27"/>
      <c r="V18" s="27"/>
      <c r="W18" s="27"/>
      <c r="X18" s="26"/>
      <c r="Y18" s="26"/>
      <c r="Z18" s="26"/>
      <c r="AA18" s="26">
        <v>140</v>
      </c>
      <c r="AB18" s="27"/>
      <c r="AC18" s="27"/>
      <c r="AD18" s="26"/>
      <c r="AE18" s="26"/>
      <c r="AF18" s="25">
        <f t="shared" si="3"/>
        <v>-140</v>
      </c>
      <c r="AG18" s="28">
        <f t="shared" si="4"/>
        <v>0</v>
      </c>
    </row>
    <row r="19" spans="1:33" s="29" customFormat="1" ht="23.25" customHeight="1" x14ac:dyDescent="0.2">
      <c r="A19" s="18">
        <v>43803</v>
      </c>
      <c r="B19" s="19"/>
      <c r="C19" s="20" t="s">
        <v>220</v>
      </c>
      <c r="D19" s="20"/>
      <c r="E19" s="20"/>
      <c r="F19" s="21"/>
      <c r="G19" s="44" t="s">
        <v>1048</v>
      </c>
      <c r="H19" s="23"/>
      <c r="I19" s="23"/>
      <c r="J19" s="23"/>
      <c r="K19" s="23">
        <v>200</v>
      </c>
      <c r="L19" s="105"/>
      <c r="M19" s="25">
        <f t="shared" si="0"/>
        <v>178.57142857142856</v>
      </c>
      <c r="N19" s="25">
        <f t="shared" si="1"/>
        <v>21.428571428571427</v>
      </c>
      <c r="O19" s="25">
        <f t="shared" si="2"/>
        <v>0</v>
      </c>
      <c r="P19" s="25">
        <v>178.57</v>
      </c>
      <c r="Q19" s="26"/>
      <c r="R19" s="26"/>
      <c r="S19" s="27"/>
      <c r="T19" s="27"/>
      <c r="U19" s="27"/>
      <c r="V19" s="27"/>
      <c r="W19" s="27"/>
      <c r="X19" s="26"/>
      <c r="Y19" s="26"/>
      <c r="Z19" s="26"/>
      <c r="AA19" s="26"/>
      <c r="AB19" s="27"/>
      <c r="AC19" s="27"/>
      <c r="AD19" s="26"/>
      <c r="AE19" s="26"/>
      <c r="AF19" s="25">
        <f t="shared" si="3"/>
        <v>-199.99857142857141</v>
      </c>
      <c r="AG19" s="28">
        <f t="shared" si="4"/>
        <v>1.4285714285904305E-3</v>
      </c>
    </row>
    <row r="20" spans="1:33" s="29" customFormat="1" ht="23.25" customHeight="1" x14ac:dyDescent="0.2">
      <c r="A20" s="18">
        <v>43803</v>
      </c>
      <c r="B20" s="19"/>
      <c r="C20" s="20" t="s">
        <v>41</v>
      </c>
      <c r="D20" s="20" t="s">
        <v>42</v>
      </c>
      <c r="E20" s="20" t="s">
        <v>43</v>
      </c>
      <c r="F20" s="21">
        <v>182898</v>
      </c>
      <c r="G20" s="21" t="s">
        <v>44</v>
      </c>
      <c r="H20" s="23"/>
      <c r="I20" s="23"/>
      <c r="J20" s="23"/>
      <c r="K20" s="23">
        <v>180</v>
      </c>
      <c r="L20" s="105"/>
      <c r="M20" s="25">
        <f t="shared" si="0"/>
        <v>160.71428571428569</v>
      </c>
      <c r="N20" s="25">
        <f t="shared" si="1"/>
        <v>19.285714285714281</v>
      </c>
      <c r="O20" s="25">
        <f t="shared" si="2"/>
        <v>0</v>
      </c>
      <c r="P20" s="26"/>
      <c r="Q20" s="26">
        <v>160.71</v>
      </c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>
        <f t="shared" si="3"/>
        <v>-179.99571428571429</v>
      </c>
      <c r="AG20" s="28">
        <f t="shared" si="4"/>
        <v>4.2857142857144481E-3</v>
      </c>
    </row>
    <row r="21" spans="1:33" s="29" customFormat="1" ht="23.25" customHeight="1" x14ac:dyDescent="0.2">
      <c r="A21" s="18">
        <v>43804</v>
      </c>
      <c r="B21" s="19"/>
      <c r="C21" s="20" t="s">
        <v>41</v>
      </c>
      <c r="D21" s="20" t="s">
        <v>42</v>
      </c>
      <c r="E21" s="20" t="s">
        <v>43</v>
      </c>
      <c r="F21" s="21">
        <v>182917</v>
      </c>
      <c r="G21" s="21" t="s">
        <v>44</v>
      </c>
      <c r="H21" s="23"/>
      <c r="I21" s="23"/>
      <c r="J21" s="23"/>
      <c r="K21" s="23">
        <v>180</v>
      </c>
      <c r="L21" s="105"/>
      <c r="M21" s="25">
        <f t="shared" si="0"/>
        <v>160.71428571428569</v>
      </c>
      <c r="N21" s="25">
        <f t="shared" si="1"/>
        <v>19.285714285714281</v>
      </c>
      <c r="O21" s="25">
        <f t="shared" si="2"/>
        <v>0</v>
      </c>
      <c r="P21" s="26"/>
      <c r="Q21" s="26">
        <v>160.71</v>
      </c>
      <c r="R21" s="26"/>
      <c r="S21" s="27"/>
      <c r="T21" s="27"/>
      <c r="U21" s="27"/>
      <c r="V21" s="27"/>
      <c r="W21" s="27"/>
      <c r="X21" s="26"/>
      <c r="Y21" s="26"/>
      <c r="Z21" s="26"/>
      <c r="AA21" s="26"/>
      <c r="AB21" s="27"/>
      <c r="AC21" s="27"/>
      <c r="AD21" s="26"/>
      <c r="AE21" s="26"/>
      <c r="AF21" s="25">
        <f t="shared" si="3"/>
        <v>-179.99571428571429</v>
      </c>
      <c r="AG21" s="28">
        <f t="shared" si="4"/>
        <v>4.2857142857144481E-3</v>
      </c>
    </row>
    <row r="22" spans="1:33" s="29" customFormat="1" ht="23.25" customHeight="1" x14ac:dyDescent="0.2">
      <c r="A22" s="18">
        <v>43804</v>
      </c>
      <c r="B22" s="19"/>
      <c r="C22" s="20" t="s">
        <v>945</v>
      </c>
      <c r="D22" s="20" t="s">
        <v>115</v>
      </c>
      <c r="E22" s="20" t="s">
        <v>47</v>
      </c>
      <c r="F22" s="21">
        <v>573114</v>
      </c>
      <c r="G22" s="21" t="s">
        <v>1049</v>
      </c>
      <c r="H22" s="23"/>
      <c r="I22" s="23"/>
      <c r="J22" s="23"/>
      <c r="K22" s="23">
        <v>348</v>
      </c>
      <c r="L22" s="105"/>
      <c r="M22" s="25">
        <f t="shared" si="0"/>
        <v>310.71428571428567</v>
      </c>
      <c r="N22" s="25">
        <f t="shared" si="1"/>
        <v>37.285714285714278</v>
      </c>
      <c r="O22" s="25">
        <f t="shared" si="2"/>
        <v>0</v>
      </c>
      <c r="P22" s="25">
        <v>310.70999999999998</v>
      </c>
      <c r="Q22" s="26"/>
      <c r="R22" s="26"/>
      <c r="S22" s="27"/>
      <c r="T22" s="27"/>
      <c r="U22" s="27"/>
      <c r="V22" s="27"/>
      <c r="W22" s="27"/>
      <c r="X22" s="26"/>
      <c r="Y22" s="26"/>
      <c r="Z22" s="26"/>
      <c r="AA22" s="26"/>
      <c r="AB22" s="27"/>
      <c r="AC22" s="27"/>
      <c r="AD22" s="26"/>
      <c r="AE22" s="26"/>
      <c r="AF22" s="25">
        <f t="shared" si="3"/>
        <v>-347.99571428571426</v>
      </c>
      <c r="AG22" s="28">
        <f t="shared" si="4"/>
        <v>4.2857142857428698E-3</v>
      </c>
    </row>
    <row r="23" spans="1:33" s="29" customFormat="1" ht="23.25" customHeight="1" x14ac:dyDescent="0.2">
      <c r="A23" s="18"/>
      <c r="B23" s="19"/>
      <c r="C23" s="20"/>
      <c r="D23" s="20"/>
      <c r="E23" s="20"/>
      <c r="F23" s="21"/>
      <c r="G23" s="22"/>
      <c r="H23" s="23"/>
      <c r="I23" s="23"/>
      <c r="J23" s="23"/>
      <c r="K23" s="23"/>
      <c r="L23" s="105"/>
      <c r="M23" s="25">
        <f t="shared" si="0"/>
        <v>0</v>
      </c>
      <c r="N23" s="25">
        <f t="shared" si="1"/>
        <v>0</v>
      </c>
      <c r="O23" s="25">
        <f t="shared" si="2"/>
        <v>0</v>
      </c>
      <c r="P23" s="25"/>
      <c r="Q23" s="26"/>
      <c r="R23" s="26"/>
      <c r="S23" s="27"/>
      <c r="T23" s="27"/>
      <c r="U23" s="27"/>
      <c r="V23" s="27"/>
      <c r="W23" s="27"/>
      <c r="X23" s="26"/>
      <c r="Y23" s="26"/>
      <c r="Z23" s="26"/>
      <c r="AA23" s="26"/>
      <c r="AB23" s="27"/>
      <c r="AC23" s="27"/>
      <c r="AD23" s="26"/>
      <c r="AE23" s="26"/>
      <c r="AF23" s="25">
        <f t="shared" si="3"/>
        <v>0</v>
      </c>
      <c r="AG23" s="28">
        <f t="shared" si="4"/>
        <v>0</v>
      </c>
    </row>
    <row r="24" spans="1:33" s="57" customFormat="1" ht="12" customHeight="1" x14ac:dyDescent="0.2">
      <c r="A24" s="49"/>
      <c r="B24" s="50"/>
      <c r="C24" s="51"/>
      <c r="D24" s="52"/>
      <c r="E24" s="52"/>
      <c r="F24" s="53"/>
      <c r="G24" s="51"/>
      <c r="H24" s="54">
        <f t="shared" ref="H24:AG24" si="5">SUM(H5:H23)</f>
        <v>514</v>
      </c>
      <c r="I24" s="54">
        <f t="shared" si="5"/>
        <v>0</v>
      </c>
      <c r="J24" s="54">
        <f t="shared" si="5"/>
        <v>3364.5</v>
      </c>
      <c r="K24" s="54">
        <f t="shared" si="5"/>
        <v>6268.08</v>
      </c>
      <c r="L24" s="54">
        <f t="shared" si="5"/>
        <v>0</v>
      </c>
      <c r="M24" s="54">
        <f t="shared" si="5"/>
        <v>9475.0000000000018</v>
      </c>
      <c r="N24" s="54">
        <f t="shared" si="5"/>
        <v>671.58000000000015</v>
      </c>
      <c r="O24" s="54">
        <f t="shared" si="5"/>
        <v>0</v>
      </c>
      <c r="P24" s="54">
        <f t="shared" si="5"/>
        <v>8478.8599999999988</v>
      </c>
      <c r="Q24" s="54">
        <f t="shared" si="5"/>
        <v>482.13</v>
      </c>
      <c r="R24" s="54">
        <f t="shared" si="5"/>
        <v>0</v>
      </c>
      <c r="S24" s="54">
        <f t="shared" si="5"/>
        <v>0</v>
      </c>
      <c r="T24" s="54">
        <f t="shared" si="5"/>
        <v>0</v>
      </c>
      <c r="U24" s="54">
        <f t="shared" si="5"/>
        <v>0</v>
      </c>
      <c r="V24" s="54">
        <f t="shared" si="5"/>
        <v>0</v>
      </c>
      <c r="W24" s="54">
        <f t="shared" si="5"/>
        <v>0</v>
      </c>
      <c r="X24" s="54">
        <f t="shared" si="5"/>
        <v>0</v>
      </c>
      <c r="Y24" s="54">
        <f t="shared" si="5"/>
        <v>0</v>
      </c>
      <c r="Z24" s="54">
        <f t="shared" si="5"/>
        <v>0</v>
      </c>
      <c r="AA24" s="54">
        <f t="shared" si="5"/>
        <v>514</v>
      </c>
      <c r="AB24" s="54">
        <f t="shared" si="5"/>
        <v>0</v>
      </c>
      <c r="AC24" s="54">
        <f t="shared" si="5"/>
        <v>0</v>
      </c>
      <c r="AD24" s="54">
        <f t="shared" si="5"/>
        <v>0</v>
      </c>
      <c r="AE24" s="54">
        <f t="shared" si="5"/>
        <v>0</v>
      </c>
      <c r="AF24" s="54">
        <f t="shared" si="5"/>
        <v>-10146.570000000002</v>
      </c>
      <c r="AG24" s="54">
        <f t="shared" si="5"/>
        <v>1.0000000000090381E-2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J54"/>
  <sheetViews>
    <sheetView topLeftCell="A32" zoomScale="90" zoomScaleNormal="90" workbookViewId="0">
      <selection activeCell="A48" sqref="A48:XFD53"/>
    </sheetView>
  </sheetViews>
  <sheetFormatPr defaultRowHeight="13.2" x14ac:dyDescent="0.25"/>
  <cols>
    <col min="1" max="1" width="10.21875" style="1" customWidth="1"/>
    <col min="2" max="2" width="9.21875" style="2" hidden="1" customWidth="1"/>
    <col min="3" max="3" width="30.21875" style="3" customWidth="1"/>
    <col min="4" max="4" width="17.6640625" style="4" customWidth="1"/>
    <col min="5" max="5" width="35.33203125" style="4" customWidth="1"/>
    <col min="6" max="6" width="9.88671875" style="2" customWidth="1"/>
    <col min="7" max="7" width="38.6640625" style="3" customWidth="1"/>
    <col min="8" max="8" width="9.88671875" style="5" customWidth="1"/>
    <col min="9" max="9" width="10.6640625" style="5" customWidth="1"/>
    <col min="10" max="10" width="12.21875" style="5" customWidth="1"/>
    <col min="11" max="11" width="12.5546875" style="5" customWidth="1"/>
    <col min="12" max="12" width="6.44140625" style="89" customWidth="1"/>
    <col min="13" max="13" width="11.6640625" style="5" customWidth="1"/>
    <col min="14" max="14" width="10.21875" style="5" customWidth="1"/>
    <col min="15" max="15" width="8.21875" style="5" customWidth="1"/>
    <col min="16" max="16" width="12.21875" style="5" customWidth="1"/>
    <col min="17" max="17" width="12.5546875" style="5" customWidth="1"/>
    <col min="18" max="18" width="11.5546875" style="5"/>
    <col min="19" max="19" width="10.21875" style="5" customWidth="1"/>
    <col min="20" max="21" width="11.5546875" style="5"/>
    <col min="22" max="22" width="9" style="5" customWidth="1"/>
    <col min="23" max="23" width="11.33203125" style="5" customWidth="1"/>
    <col min="24" max="25" width="10.109375" style="5" customWidth="1"/>
    <col min="26" max="26" width="12.77734375" style="5" customWidth="1"/>
    <col min="27" max="27" width="13.33203125" style="5" customWidth="1"/>
    <col min="28" max="28" width="9.21875" style="3" customWidth="1"/>
    <col min="29" max="1023" width="11.5546875" style="3"/>
    <col min="1024" max="1025" width="11.5546875"/>
  </cols>
  <sheetData>
    <row r="1" spans="1:1024" ht="12" customHeight="1" x14ac:dyDescent="0.25">
      <c r="A1" s="7" t="s">
        <v>0</v>
      </c>
      <c r="C1" s="8"/>
    </row>
    <row r="2" spans="1:1024" ht="12" customHeight="1" x14ac:dyDescent="0.25">
      <c r="A2" s="7" t="s">
        <v>1</v>
      </c>
    </row>
    <row r="3" spans="1:1024" ht="12" customHeight="1" x14ac:dyDescent="0.25">
      <c r="A3" s="7" t="s">
        <v>1036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>
        <v>6230</v>
      </c>
      <c r="W3" s="10" t="s">
        <v>4</v>
      </c>
      <c r="X3" s="10">
        <v>6202</v>
      </c>
      <c r="Y3" s="10"/>
      <c r="Z3" s="10">
        <v>6109</v>
      </c>
      <c r="AA3" s="10">
        <v>1002</v>
      </c>
    </row>
    <row r="4" spans="1:1024" s="17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96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31</v>
      </c>
      <c r="W4" s="13" t="s">
        <v>32</v>
      </c>
      <c r="X4" s="14" t="s">
        <v>33</v>
      </c>
      <c r="Y4" s="13" t="s">
        <v>34</v>
      </c>
      <c r="Z4" s="15" t="s">
        <v>35</v>
      </c>
      <c r="AA4" s="16" t="s">
        <v>36</v>
      </c>
      <c r="AMJ4"/>
    </row>
    <row r="5" spans="1:1024" s="29" customFormat="1" ht="23.25" customHeight="1" x14ac:dyDescent="0.25">
      <c r="A5" s="18">
        <v>43804</v>
      </c>
      <c r="B5" s="19"/>
      <c r="C5" s="20" t="s">
        <v>41</v>
      </c>
      <c r="D5" s="20" t="s">
        <v>42</v>
      </c>
      <c r="E5" s="20" t="s">
        <v>43</v>
      </c>
      <c r="F5" s="21">
        <v>192819</v>
      </c>
      <c r="G5" s="21" t="s">
        <v>44</v>
      </c>
      <c r="H5" s="23"/>
      <c r="I5" s="23"/>
      <c r="J5" s="23"/>
      <c r="K5" s="23">
        <v>180</v>
      </c>
      <c r="L5" s="105"/>
      <c r="M5" s="25">
        <f t="shared" ref="M5:M45" si="0">SUM(H5:J5,K5/1.12)</f>
        <v>160.71428571428569</v>
      </c>
      <c r="N5" s="25">
        <f t="shared" ref="N5:N45" si="1">K5/1.12*0.12</f>
        <v>19.285714285714281</v>
      </c>
      <c r="O5" s="25">
        <f t="shared" ref="O5:O45" si="2">-SUM(I5:J5,K5/1.12)*L5</f>
        <v>0</v>
      </c>
      <c r="P5" s="25"/>
      <c r="Q5" s="26">
        <v>160.71</v>
      </c>
      <c r="R5" s="26"/>
      <c r="S5" s="27"/>
      <c r="T5" s="27"/>
      <c r="U5" s="27"/>
      <c r="V5" s="26"/>
      <c r="W5" s="27"/>
      <c r="X5" s="27"/>
      <c r="Y5" s="26"/>
      <c r="Z5" s="26"/>
      <c r="AA5" s="25">
        <f t="shared" ref="AA5:AA45" si="3">-SUM(N5:Z5)</f>
        <v>-179.99571428571429</v>
      </c>
      <c r="AB5" s="28">
        <f t="shared" ref="AB5:AB45" si="4">SUM(H5:K5)+AA5+O5</f>
        <v>4.2857142857144481E-3</v>
      </c>
      <c r="AMJ5"/>
    </row>
    <row r="6" spans="1:1024" s="29" customFormat="1" ht="23.25" customHeight="1" x14ac:dyDescent="0.25">
      <c r="A6" s="18">
        <v>43774</v>
      </c>
      <c r="B6" s="19"/>
      <c r="C6" s="20" t="s">
        <v>37</v>
      </c>
      <c r="D6" s="20" t="s">
        <v>38</v>
      </c>
      <c r="E6" s="20" t="s">
        <v>39</v>
      </c>
      <c r="F6" s="21">
        <v>99283</v>
      </c>
      <c r="G6" s="22" t="s">
        <v>932</v>
      </c>
      <c r="H6" s="23"/>
      <c r="I6" s="23"/>
      <c r="J6" s="23"/>
      <c r="K6" s="23">
        <v>360.5</v>
      </c>
      <c r="L6" s="105"/>
      <c r="M6" s="25">
        <f t="shared" si="0"/>
        <v>321.87499999999994</v>
      </c>
      <c r="N6" s="25">
        <f t="shared" si="1"/>
        <v>38.624999999999993</v>
      </c>
      <c r="O6" s="25">
        <f t="shared" si="2"/>
        <v>0</v>
      </c>
      <c r="P6" s="25">
        <v>321.88</v>
      </c>
      <c r="Q6" s="26"/>
      <c r="R6" s="26"/>
      <c r="S6" s="27"/>
      <c r="T6" s="27"/>
      <c r="U6" s="27"/>
      <c r="V6" s="26"/>
      <c r="W6" s="27"/>
      <c r="X6" s="27"/>
      <c r="Y6" s="26"/>
      <c r="Z6" s="26"/>
      <c r="AA6" s="25">
        <f t="shared" si="3"/>
        <v>-360.505</v>
      </c>
      <c r="AB6" s="28">
        <f t="shared" si="4"/>
        <v>-4.9999999999954525E-3</v>
      </c>
      <c r="AMJ6"/>
    </row>
    <row r="7" spans="1:1024" s="29" customFormat="1" ht="23.25" customHeight="1" x14ac:dyDescent="0.25">
      <c r="A7" s="18">
        <v>43805</v>
      </c>
      <c r="B7" s="19"/>
      <c r="C7" s="20" t="s">
        <v>45</v>
      </c>
      <c r="D7" s="20" t="s">
        <v>847</v>
      </c>
      <c r="E7" s="20" t="s">
        <v>47</v>
      </c>
      <c r="F7" s="21">
        <v>151214</v>
      </c>
      <c r="G7" s="21" t="s">
        <v>585</v>
      </c>
      <c r="H7" s="23"/>
      <c r="I7" s="23"/>
      <c r="J7" s="23">
        <v>602.54999999999995</v>
      </c>
      <c r="K7" s="23"/>
      <c r="L7" s="105"/>
      <c r="M7" s="25">
        <f t="shared" si="0"/>
        <v>602.54999999999995</v>
      </c>
      <c r="N7" s="25">
        <f t="shared" si="1"/>
        <v>0</v>
      </c>
      <c r="O7" s="25">
        <f t="shared" si="2"/>
        <v>0</v>
      </c>
      <c r="P7" s="25">
        <v>602.54999999999995</v>
      </c>
      <c r="Q7" s="26"/>
      <c r="R7" s="26"/>
      <c r="S7" s="27"/>
      <c r="T7" s="27"/>
      <c r="U7" s="27"/>
      <c r="V7" s="26"/>
      <c r="W7" s="27"/>
      <c r="X7" s="27"/>
      <c r="Y7" s="26"/>
      <c r="Z7" s="26"/>
      <c r="AA7" s="25">
        <f t="shared" si="3"/>
        <v>-602.54999999999995</v>
      </c>
      <c r="AB7" s="28">
        <f t="shared" si="4"/>
        <v>0</v>
      </c>
      <c r="AMJ7"/>
    </row>
    <row r="8" spans="1:1024" s="29" customFormat="1" ht="23.25" customHeight="1" x14ac:dyDescent="0.25">
      <c r="A8" s="18">
        <v>43805</v>
      </c>
      <c r="B8" s="19"/>
      <c r="C8" s="20" t="s">
        <v>45</v>
      </c>
      <c r="D8" s="20" t="s">
        <v>847</v>
      </c>
      <c r="E8" s="20" t="s">
        <v>47</v>
      </c>
      <c r="F8" s="21">
        <v>151214</v>
      </c>
      <c r="G8" s="21" t="s">
        <v>1050</v>
      </c>
      <c r="H8" s="23"/>
      <c r="I8" s="23"/>
      <c r="J8" s="23"/>
      <c r="K8" s="21">
        <f>291.96+35.04</f>
        <v>327</v>
      </c>
      <c r="L8" s="105"/>
      <c r="M8" s="25">
        <f t="shared" si="0"/>
        <v>291.96428571428567</v>
      </c>
      <c r="N8" s="25">
        <f t="shared" si="1"/>
        <v>35.035714285714278</v>
      </c>
      <c r="O8" s="25">
        <f t="shared" si="2"/>
        <v>0</v>
      </c>
      <c r="P8" s="25">
        <v>291.95999999999998</v>
      </c>
      <c r="Q8" s="26"/>
      <c r="R8" s="26"/>
      <c r="S8" s="27"/>
      <c r="T8" s="27"/>
      <c r="U8" s="27"/>
      <c r="V8" s="26"/>
      <c r="W8" s="27"/>
      <c r="X8" s="27"/>
      <c r="Y8" s="26"/>
      <c r="Z8" s="26"/>
      <c r="AA8" s="25">
        <f t="shared" si="3"/>
        <v>-326.99571428571426</v>
      </c>
      <c r="AB8" s="28">
        <f t="shared" si="4"/>
        <v>4.2857142857428698E-3</v>
      </c>
      <c r="AMJ8"/>
    </row>
    <row r="9" spans="1:1024" s="29" customFormat="1" ht="23.25" customHeight="1" x14ac:dyDescent="0.25">
      <c r="A9" s="18">
        <v>43806</v>
      </c>
      <c r="B9" s="19"/>
      <c r="C9" s="20" t="s">
        <v>37</v>
      </c>
      <c r="D9" s="20" t="s">
        <v>38</v>
      </c>
      <c r="E9" s="20" t="s">
        <v>39</v>
      </c>
      <c r="F9" s="21">
        <v>134102</v>
      </c>
      <c r="G9" s="21" t="s">
        <v>1051</v>
      </c>
      <c r="H9" s="23"/>
      <c r="I9" s="23"/>
      <c r="J9" s="23"/>
      <c r="K9" s="23">
        <v>107</v>
      </c>
      <c r="L9" s="105"/>
      <c r="M9" s="25">
        <f t="shared" si="0"/>
        <v>95.535714285714278</v>
      </c>
      <c r="N9" s="25">
        <f t="shared" si="1"/>
        <v>11.464285714285714</v>
      </c>
      <c r="O9" s="25">
        <f t="shared" si="2"/>
        <v>0</v>
      </c>
      <c r="P9" s="25"/>
      <c r="Q9" s="26"/>
      <c r="R9" s="26"/>
      <c r="S9" s="27"/>
      <c r="T9" s="27">
        <v>95.54</v>
      </c>
      <c r="U9" s="27"/>
      <c r="V9" s="26"/>
      <c r="W9" s="27"/>
      <c r="X9" s="27"/>
      <c r="Y9" s="26"/>
      <c r="Z9" s="26"/>
      <c r="AA9" s="25">
        <f t="shared" si="3"/>
        <v>-107.00428571428571</v>
      </c>
      <c r="AB9" s="28">
        <f t="shared" si="4"/>
        <v>-4.2857142857144481E-3</v>
      </c>
      <c r="AMJ9"/>
    </row>
    <row r="10" spans="1:1024" s="29" customFormat="1" ht="23.25" customHeight="1" x14ac:dyDescent="0.25">
      <c r="A10" s="18">
        <v>43806</v>
      </c>
      <c r="B10" s="19"/>
      <c r="C10" s="20" t="s">
        <v>37</v>
      </c>
      <c r="D10" s="20" t="s">
        <v>38</v>
      </c>
      <c r="E10" s="20" t="s">
        <v>39</v>
      </c>
      <c r="F10" s="21">
        <v>134101</v>
      </c>
      <c r="G10" s="21" t="s">
        <v>1052</v>
      </c>
      <c r="H10" s="23"/>
      <c r="I10" s="23"/>
      <c r="J10" s="23"/>
      <c r="K10" s="23">
        <v>110</v>
      </c>
      <c r="L10" s="105"/>
      <c r="M10" s="25">
        <f t="shared" si="0"/>
        <v>98.214285714285708</v>
      </c>
      <c r="N10" s="25">
        <f t="shared" si="1"/>
        <v>11.785714285714285</v>
      </c>
      <c r="O10" s="25">
        <f t="shared" si="2"/>
        <v>0</v>
      </c>
      <c r="P10" s="25">
        <v>98.21</v>
      </c>
      <c r="Q10" s="26"/>
      <c r="R10" s="26"/>
      <c r="S10" s="27"/>
      <c r="T10" s="27"/>
      <c r="U10" s="27"/>
      <c r="V10" s="26"/>
      <c r="W10" s="27"/>
      <c r="X10" s="27"/>
      <c r="Y10" s="26"/>
      <c r="Z10" s="26"/>
      <c r="AA10" s="25">
        <f t="shared" si="3"/>
        <v>-109.99571428571429</v>
      </c>
      <c r="AB10" s="28">
        <f t="shared" si="4"/>
        <v>4.2857142857144481E-3</v>
      </c>
      <c r="AMJ10"/>
    </row>
    <row r="11" spans="1:1024" s="29" customFormat="1" ht="23.25" customHeight="1" x14ac:dyDescent="0.25">
      <c r="A11" s="18">
        <v>43806</v>
      </c>
      <c r="B11" s="19"/>
      <c r="C11" s="20" t="s">
        <v>37</v>
      </c>
      <c r="D11" s="20" t="s">
        <v>38</v>
      </c>
      <c r="E11" s="20" t="s">
        <v>39</v>
      </c>
      <c r="F11" s="21">
        <v>134224</v>
      </c>
      <c r="G11" s="21" t="s">
        <v>1053</v>
      </c>
      <c r="H11" s="23"/>
      <c r="I11" s="23"/>
      <c r="J11" s="23"/>
      <c r="K11" s="23">
        <f>590+95</f>
        <v>685</v>
      </c>
      <c r="L11" s="105"/>
      <c r="M11" s="25">
        <f t="shared" si="0"/>
        <v>611.60714285714278</v>
      </c>
      <c r="N11" s="25">
        <f t="shared" si="1"/>
        <v>73.392857142857125</v>
      </c>
      <c r="O11" s="25">
        <f t="shared" si="2"/>
        <v>0</v>
      </c>
      <c r="P11" s="25">
        <v>611.61</v>
      </c>
      <c r="Q11" s="26"/>
      <c r="R11" s="26"/>
      <c r="S11" s="27"/>
      <c r="T11" s="27"/>
      <c r="U11" s="27"/>
      <c r="V11" s="26"/>
      <c r="W11" s="27"/>
      <c r="X11" s="27"/>
      <c r="Y11" s="26"/>
      <c r="Z11" s="26"/>
      <c r="AA11" s="25">
        <f t="shared" si="3"/>
        <v>-685.00285714285712</v>
      </c>
      <c r="AB11" s="28">
        <f t="shared" si="4"/>
        <v>-2.8571428571240176E-3</v>
      </c>
      <c r="AMJ11"/>
    </row>
    <row r="12" spans="1:1024" s="29" customFormat="1" ht="23.25" customHeight="1" x14ac:dyDescent="0.25">
      <c r="A12" s="18">
        <v>43806</v>
      </c>
      <c r="B12" s="19"/>
      <c r="C12" s="20" t="s">
        <v>37</v>
      </c>
      <c r="D12" s="20" t="s">
        <v>38</v>
      </c>
      <c r="E12" s="20" t="s">
        <v>39</v>
      </c>
      <c r="F12" s="21">
        <v>134224</v>
      </c>
      <c r="G12" s="21" t="s">
        <v>1054</v>
      </c>
      <c r="H12" s="23"/>
      <c r="I12" s="23"/>
      <c r="J12" s="23"/>
      <c r="K12" s="23">
        <v>198</v>
      </c>
      <c r="L12" s="105"/>
      <c r="M12" s="25">
        <f t="shared" si="0"/>
        <v>176.78571428571428</v>
      </c>
      <c r="N12" s="25">
        <f t="shared" si="1"/>
        <v>21.214285714285712</v>
      </c>
      <c r="O12" s="25">
        <f t="shared" si="2"/>
        <v>0</v>
      </c>
      <c r="P12" s="25"/>
      <c r="Q12" s="26"/>
      <c r="R12" s="26">
        <v>176.79</v>
      </c>
      <c r="S12" s="27"/>
      <c r="T12" s="27"/>
      <c r="U12" s="27"/>
      <c r="V12" s="26"/>
      <c r="W12" s="27"/>
      <c r="X12" s="27"/>
      <c r="Y12" s="26"/>
      <c r="Z12" s="26"/>
      <c r="AA12" s="25">
        <f t="shared" si="3"/>
        <v>-198.00428571428571</v>
      </c>
      <c r="AB12" s="28">
        <f t="shared" si="4"/>
        <v>-4.2857142857144481E-3</v>
      </c>
      <c r="AMJ12"/>
    </row>
    <row r="13" spans="1:1024" s="29" customFormat="1" ht="23.25" customHeight="1" x14ac:dyDescent="0.25">
      <c r="A13" s="18">
        <v>43808</v>
      </c>
      <c r="B13" s="19"/>
      <c r="C13" s="20" t="s">
        <v>41</v>
      </c>
      <c r="D13" s="20" t="s">
        <v>42</v>
      </c>
      <c r="E13" s="20" t="s">
        <v>43</v>
      </c>
      <c r="F13" s="21">
        <v>193058</v>
      </c>
      <c r="G13" s="21" t="s">
        <v>44</v>
      </c>
      <c r="H13" s="23"/>
      <c r="I13" s="23"/>
      <c r="J13" s="23"/>
      <c r="K13" s="23">
        <v>180</v>
      </c>
      <c r="L13" s="105"/>
      <c r="M13" s="25">
        <f t="shared" si="0"/>
        <v>160.71428571428569</v>
      </c>
      <c r="N13" s="25">
        <f t="shared" si="1"/>
        <v>19.285714285714281</v>
      </c>
      <c r="O13" s="25">
        <f t="shared" si="2"/>
        <v>0</v>
      </c>
      <c r="P13" s="25"/>
      <c r="Q13" s="26">
        <v>160.71</v>
      </c>
      <c r="R13" s="26"/>
      <c r="S13" s="27"/>
      <c r="T13" s="27"/>
      <c r="U13" s="27"/>
      <c r="V13" s="26"/>
      <c r="W13" s="27"/>
      <c r="X13" s="27"/>
      <c r="Y13" s="26"/>
      <c r="Z13" s="26"/>
      <c r="AA13" s="25">
        <f t="shared" si="3"/>
        <v>-179.99571428571429</v>
      </c>
      <c r="AB13" s="28">
        <f t="shared" si="4"/>
        <v>4.2857142857144481E-3</v>
      </c>
      <c r="AMJ13"/>
    </row>
    <row r="14" spans="1:1024" s="29" customFormat="1" ht="23.25" customHeight="1" x14ac:dyDescent="0.25">
      <c r="A14" s="18">
        <v>43808</v>
      </c>
      <c r="B14" s="19"/>
      <c r="C14" s="20" t="s">
        <v>45</v>
      </c>
      <c r="D14" s="20" t="s">
        <v>847</v>
      </c>
      <c r="E14" s="20" t="s">
        <v>47</v>
      </c>
      <c r="F14" s="21">
        <v>210422</v>
      </c>
      <c r="G14" s="22" t="s">
        <v>1055</v>
      </c>
      <c r="H14" s="23"/>
      <c r="I14" s="23"/>
      <c r="J14" s="23"/>
      <c r="K14" s="23">
        <f>1678.26+201.39</f>
        <v>1879.65</v>
      </c>
      <c r="L14" s="105"/>
      <c r="M14" s="25">
        <f t="shared" si="0"/>
        <v>1678.2589285714284</v>
      </c>
      <c r="N14" s="25">
        <f t="shared" si="1"/>
        <v>201.39107142857139</v>
      </c>
      <c r="O14" s="25">
        <f t="shared" si="2"/>
        <v>0</v>
      </c>
      <c r="P14" s="25">
        <v>1678.26</v>
      </c>
      <c r="Q14" s="26"/>
      <c r="R14" s="26"/>
      <c r="S14" s="27"/>
      <c r="T14" s="27"/>
      <c r="U14" s="27"/>
      <c r="V14" s="26"/>
      <c r="W14" s="27"/>
      <c r="X14" s="27"/>
      <c r="Y14" s="26"/>
      <c r="Z14" s="26"/>
      <c r="AA14" s="25">
        <f t="shared" si="3"/>
        <v>-1879.6510714285714</v>
      </c>
      <c r="AB14" s="28">
        <f t="shared" si="4"/>
        <v>-1.0714285713220306E-3</v>
      </c>
      <c r="AMJ14"/>
    </row>
    <row r="15" spans="1:1024" s="29" customFormat="1" ht="23.25" customHeight="1" x14ac:dyDescent="0.25">
      <c r="A15" s="18">
        <v>43808</v>
      </c>
      <c r="B15" s="19"/>
      <c r="C15" s="20" t="s">
        <v>45</v>
      </c>
      <c r="D15" s="20" t="s">
        <v>847</v>
      </c>
      <c r="E15" s="20" t="s">
        <v>47</v>
      </c>
      <c r="F15" s="21">
        <v>210422</v>
      </c>
      <c r="G15" s="21" t="s">
        <v>1056</v>
      </c>
      <c r="H15" s="23"/>
      <c r="I15" s="23"/>
      <c r="J15" s="23">
        <v>159.5</v>
      </c>
      <c r="K15" s="23"/>
      <c r="L15" s="105"/>
      <c r="M15" s="25">
        <f t="shared" si="0"/>
        <v>159.5</v>
      </c>
      <c r="N15" s="25">
        <f t="shared" si="1"/>
        <v>0</v>
      </c>
      <c r="O15" s="25">
        <f t="shared" si="2"/>
        <v>0</v>
      </c>
      <c r="P15" s="25">
        <v>159.5</v>
      </c>
      <c r="Q15" s="26"/>
      <c r="R15" s="26"/>
      <c r="S15" s="27"/>
      <c r="T15" s="27"/>
      <c r="U15" s="27"/>
      <c r="V15" s="26"/>
      <c r="W15" s="27"/>
      <c r="X15" s="27"/>
      <c r="Y15" s="26"/>
      <c r="Z15" s="26"/>
      <c r="AA15" s="25">
        <f t="shared" si="3"/>
        <v>-159.5</v>
      </c>
      <c r="AB15" s="28">
        <f t="shared" si="4"/>
        <v>0</v>
      </c>
      <c r="AMJ15"/>
    </row>
    <row r="16" spans="1:1024" s="29" customFormat="1" ht="23.25" customHeight="1" x14ac:dyDescent="0.25">
      <c r="A16" s="18">
        <v>43808</v>
      </c>
      <c r="B16" s="19"/>
      <c r="C16" s="20" t="s">
        <v>58</v>
      </c>
      <c r="D16" s="20"/>
      <c r="E16" s="20"/>
      <c r="F16" s="21"/>
      <c r="G16" s="22" t="s">
        <v>1057</v>
      </c>
      <c r="H16" s="23">
        <v>50</v>
      </c>
      <c r="I16" s="23"/>
      <c r="J16" s="23"/>
      <c r="K16" s="23"/>
      <c r="L16" s="105"/>
      <c r="M16" s="25">
        <f t="shared" si="0"/>
        <v>50</v>
      </c>
      <c r="N16" s="25">
        <f t="shared" si="1"/>
        <v>0</v>
      </c>
      <c r="O16" s="25">
        <f t="shared" si="2"/>
        <v>0</v>
      </c>
      <c r="P16" s="25"/>
      <c r="Q16" s="26"/>
      <c r="R16" s="26"/>
      <c r="S16" s="27"/>
      <c r="T16" s="27"/>
      <c r="U16" s="27"/>
      <c r="V16" s="26">
        <v>50</v>
      </c>
      <c r="W16" s="27"/>
      <c r="X16" s="27"/>
      <c r="Y16" s="26"/>
      <c r="Z16" s="26"/>
      <c r="AA16" s="25">
        <f t="shared" si="3"/>
        <v>-50</v>
      </c>
      <c r="AB16" s="28">
        <f t="shared" si="4"/>
        <v>0</v>
      </c>
      <c r="AMJ16"/>
    </row>
    <row r="17" spans="1:1024" s="29" customFormat="1" ht="23.25" customHeight="1" x14ac:dyDescent="0.25">
      <c r="A17" s="18">
        <v>43808</v>
      </c>
      <c r="B17" s="19"/>
      <c r="C17" s="20" t="s">
        <v>498</v>
      </c>
      <c r="D17" s="20"/>
      <c r="E17" s="20"/>
      <c r="F17" s="21"/>
      <c r="G17" s="22" t="s">
        <v>1042</v>
      </c>
      <c r="H17" s="23">
        <v>240</v>
      </c>
      <c r="I17" s="23"/>
      <c r="J17" s="23"/>
      <c r="K17" s="23"/>
      <c r="L17" s="105"/>
      <c r="M17" s="25">
        <f t="shared" si="0"/>
        <v>240</v>
      </c>
      <c r="N17" s="25">
        <f t="shared" si="1"/>
        <v>0</v>
      </c>
      <c r="O17" s="25">
        <f t="shared" si="2"/>
        <v>0</v>
      </c>
      <c r="P17" s="25"/>
      <c r="Q17" s="26"/>
      <c r="R17" s="26"/>
      <c r="S17" s="27"/>
      <c r="T17" s="27"/>
      <c r="U17" s="27"/>
      <c r="V17" s="26">
        <v>240</v>
      </c>
      <c r="W17" s="27"/>
      <c r="X17" s="27"/>
      <c r="Y17" s="26"/>
      <c r="Z17" s="26"/>
      <c r="AA17" s="25">
        <f t="shared" si="3"/>
        <v>-240</v>
      </c>
      <c r="AB17" s="28">
        <f t="shared" si="4"/>
        <v>0</v>
      </c>
      <c r="AMJ17"/>
    </row>
    <row r="18" spans="1:1024" s="29" customFormat="1" ht="23.25" customHeight="1" x14ac:dyDescent="0.25">
      <c r="A18" s="18">
        <v>43808</v>
      </c>
      <c r="B18" s="19"/>
      <c r="C18" s="20" t="s">
        <v>37</v>
      </c>
      <c r="D18" s="20" t="s">
        <v>38</v>
      </c>
      <c r="E18" s="20" t="s">
        <v>39</v>
      </c>
      <c r="F18" s="21">
        <v>119800</v>
      </c>
      <c r="G18" s="22" t="s">
        <v>1058</v>
      </c>
      <c r="H18" s="23">
        <v>700</v>
      </c>
      <c r="I18" s="23"/>
      <c r="J18" s="23"/>
      <c r="K18" s="23"/>
      <c r="L18" s="105"/>
      <c r="M18" s="25">
        <f t="shared" si="0"/>
        <v>700</v>
      </c>
      <c r="N18" s="25">
        <f t="shared" si="1"/>
        <v>0</v>
      </c>
      <c r="O18" s="25">
        <f t="shared" si="2"/>
        <v>0</v>
      </c>
      <c r="P18" s="25"/>
      <c r="Q18" s="26"/>
      <c r="R18" s="26"/>
      <c r="S18" s="27"/>
      <c r="T18" s="27"/>
      <c r="U18" s="27"/>
      <c r="V18" s="26"/>
      <c r="W18" s="27"/>
      <c r="X18" s="27"/>
      <c r="Y18" s="26">
        <v>700</v>
      </c>
      <c r="Z18" s="26"/>
      <c r="AA18" s="25">
        <f t="shared" si="3"/>
        <v>-700</v>
      </c>
      <c r="AB18" s="28">
        <f t="shared" si="4"/>
        <v>0</v>
      </c>
      <c r="AMJ18"/>
    </row>
    <row r="19" spans="1:1024" s="29" customFormat="1" ht="23.25" customHeight="1" x14ac:dyDescent="0.25">
      <c r="A19" s="18">
        <v>43808</v>
      </c>
      <c r="B19" s="19"/>
      <c r="C19" s="20" t="s">
        <v>157</v>
      </c>
      <c r="D19" s="20"/>
      <c r="E19" s="20"/>
      <c r="F19" s="21"/>
      <c r="G19" s="21" t="s">
        <v>1059</v>
      </c>
      <c r="H19" s="23">
        <v>500</v>
      </c>
      <c r="I19" s="23"/>
      <c r="J19" s="23"/>
      <c r="K19" s="23"/>
      <c r="L19" s="105"/>
      <c r="M19" s="25">
        <f t="shared" si="0"/>
        <v>500</v>
      </c>
      <c r="N19" s="25">
        <f t="shared" si="1"/>
        <v>0</v>
      </c>
      <c r="O19" s="25">
        <f t="shared" si="2"/>
        <v>0</v>
      </c>
      <c r="P19" s="25"/>
      <c r="Q19" s="26"/>
      <c r="R19" s="26"/>
      <c r="S19" s="27"/>
      <c r="T19" s="27"/>
      <c r="U19" s="27"/>
      <c r="V19" s="26"/>
      <c r="W19" s="27"/>
      <c r="X19" s="27"/>
      <c r="Y19" s="26">
        <v>500</v>
      </c>
      <c r="Z19" s="26"/>
      <c r="AA19" s="25">
        <f t="shared" si="3"/>
        <v>-500</v>
      </c>
      <c r="AB19" s="28">
        <f t="shared" si="4"/>
        <v>0</v>
      </c>
      <c r="AMJ19"/>
    </row>
    <row r="20" spans="1:1024" s="29" customFormat="1" ht="23.25" customHeight="1" x14ac:dyDescent="0.25">
      <c r="A20" s="18">
        <v>43808</v>
      </c>
      <c r="B20" s="19"/>
      <c r="C20" s="20" t="s">
        <v>37</v>
      </c>
      <c r="D20" s="20" t="s">
        <v>38</v>
      </c>
      <c r="E20" s="20" t="s">
        <v>39</v>
      </c>
      <c r="F20" s="21">
        <v>119799</v>
      </c>
      <c r="G20" s="22" t="s">
        <v>1060</v>
      </c>
      <c r="H20" s="23"/>
      <c r="I20" s="23"/>
      <c r="J20" s="23"/>
      <c r="K20" s="23">
        <v>183</v>
      </c>
      <c r="L20" s="105"/>
      <c r="M20" s="25">
        <f t="shared" si="0"/>
        <v>163.39285714285714</v>
      </c>
      <c r="N20" s="25">
        <f t="shared" si="1"/>
        <v>19.607142857142858</v>
      </c>
      <c r="O20" s="25">
        <f t="shared" si="2"/>
        <v>0</v>
      </c>
      <c r="P20" s="25">
        <v>163.38999999999999</v>
      </c>
      <c r="Q20" s="26"/>
      <c r="R20" s="26"/>
      <c r="S20" s="27"/>
      <c r="T20" s="27"/>
      <c r="U20" s="27"/>
      <c r="V20" s="26"/>
      <c r="W20" s="27"/>
      <c r="X20" s="27"/>
      <c r="Y20" s="26"/>
      <c r="Z20" s="26"/>
      <c r="AA20" s="25">
        <f t="shared" si="3"/>
        <v>-182.99714285714285</v>
      </c>
      <c r="AB20" s="28">
        <f t="shared" si="4"/>
        <v>2.8571428571524393E-3</v>
      </c>
      <c r="AMJ20"/>
    </row>
    <row r="21" spans="1:1024" s="29" customFormat="1" ht="23.25" customHeight="1" x14ac:dyDescent="0.25">
      <c r="A21" s="18">
        <v>43809</v>
      </c>
      <c r="B21" s="19"/>
      <c r="C21" s="20" t="s">
        <v>41</v>
      </c>
      <c r="D21" s="20" t="s">
        <v>42</v>
      </c>
      <c r="E21" s="20" t="s">
        <v>43</v>
      </c>
      <c r="F21" s="21">
        <v>197606</v>
      </c>
      <c r="G21" s="21" t="s">
        <v>44</v>
      </c>
      <c r="H21" s="23"/>
      <c r="I21" s="23"/>
      <c r="J21" s="23"/>
      <c r="K21" s="23">
        <v>180</v>
      </c>
      <c r="L21" s="105"/>
      <c r="M21" s="25">
        <f t="shared" si="0"/>
        <v>160.71428571428569</v>
      </c>
      <c r="N21" s="25">
        <f t="shared" si="1"/>
        <v>19.285714285714281</v>
      </c>
      <c r="O21" s="25">
        <f t="shared" si="2"/>
        <v>0</v>
      </c>
      <c r="P21" s="25"/>
      <c r="Q21" s="26">
        <v>160.71</v>
      </c>
      <c r="R21" s="26"/>
      <c r="S21" s="27"/>
      <c r="T21" s="27"/>
      <c r="U21" s="27"/>
      <c r="V21" s="26"/>
      <c r="W21" s="27"/>
      <c r="X21" s="27"/>
      <c r="Y21" s="26"/>
      <c r="Z21" s="26"/>
      <c r="AA21" s="25">
        <f t="shared" si="3"/>
        <v>-179.99571428571429</v>
      </c>
      <c r="AB21" s="28">
        <f t="shared" si="4"/>
        <v>4.2857142857144481E-3</v>
      </c>
      <c r="AMJ21"/>
    </row>
    <row r="22" spans="1:1024" s="29" customFormat="1" ht="23.25" customHeight="1" x14ac:dyDescent="0.25">
      <c r="A22" s="18">
        <v>43809</v>
      </c>
      <c r="B22" s="19"/>
      <c r="C22" s="20" t="s">
        <v>1061</v>
      </c>
      <c r="D22" s="20" t="s">
        <v>229</v>
      </c>
      <c r="E22" s="20" t="s">
        <v>67</v>
      </c>
      <c r="F22" s="21">
        <v>4530</v>
      </c>
      <c r="G22" s="21" t="s">
        <v>1062</v>
      </c>
      <c r="H22" s="23"/>
      <c r="I22" s="23"/>
      <c r="J22" s="23"/>
      <c r="K22" s="23">
        <v>617.44000000000005</v>
      </c>
      <c r="L22" s="105"/>
      <c r="M22" s="25">
        <f t="shared" si="0"/>
        <v>551.28571428571433</v>
      </c>
      <c r="N22" s="25">
        <f t="shared" si="1"/>
        <v>66.15428571428572</v>
      </c>
      <c r="O22" s="25">
        <f t="shared" si="2"/>
        <v>0</v>
      </c>
      <c r="P22" s="25"/>
      <c r="Q22" s="26"/>
      <c r="R22" s="26"/>
      <c r="S22" s="27"/>
      <c r="T22" s="27"/>
      <c r="U22" s="27"/>
      <c r="V22" s="26"/>
      <c r="W22" s="27"/>
      <c r="X22" s="27">
        <v>551.29</v>
      </c>
      <c r="Y22" s="26"/>
      <c r="Z22" s="26"/>
      <c r="AA22" s="25">
        <f t="shared" si="3"/>
        <v>-617.44428571428568</v>
      </c>
      <c r="AB22" s="28">
        <f t="shared" si="4"/>
        <v>-4.285714285629183E-3</v>
      </c>
      <c r="AMJ22"/>
    </row>
    <row r="23" spans="1:1024" s="29" customFormat="1" ht="23.25" customHeight="1" x14ac:dyDescent="0.25">
      <c r="A23" s="18">
        <v>43809</v>
      </c>
      <c r="B23" s="19"/>
      <c r="C23" s="20" t="s">
        <v>54</v>
      </c>
      <c r="D23" s="20" t="s">
        <v>55</v>
      </c>
      <c r="E23" s="20" t="s">
        <v>56</v>
      </c>
      <c r="F23" s="21">
        <v>3353</v>
      </c>
      <c r="G23" s="21" t="s">
        <v>1063</v>
      </c>
      <c r="H23" s="23"/>
      <c r="I23" s="23"/>
      <c r="J23" s="23">
        <v>2306</v>
      </c>
      <c r="K23" s="23"/>
      <c r="L23" s="105"/>
      <c r="M23" s="25">
        <f t="shared" si="0"/>
        <v>2306</v>
      </c>
      <c r="N23" s="25">
        <f t="shared" si="1"/>
        <v>0</v>
      </c>
      <c r="O23" s="25">
        <f t="shared" si="2"/>
        <v>0</v>
      </c>
      <c r="P23" s="25">
        <v>2306</v>
      </c>
      <c r="Q23" s="26"/>
      <c r="R23" s="26"/>
      <c r="S23" s="27"/>
      <c r="T23" s="27"/>
      <c r="U23" s="27"/>
      <c r="V23" s="26"/>
      <c r="W23" s="27"/>
      <c r="X23" s="27"/>
      <c r="Y23" s="26"/>
      <c r="Z23" s="26"/>
      <c r="AA23" s="25">
        <f t="shared" si="3"/>
        <v>-2306</v>
      </c>
      <c r="AB23" s="28">
        <f t="shared" si="4"/>
        <v>0</v>
      </c>
      <c r="AMJ23"/>
    </row>
    <row r="24" spans="1:1024" s="29" customFormat="1" ht="23.25" customHeight="1" x14ac:dyDescent="0.25">
      <c r="A24" s="18">
        <v>43809</v>
      </c>
      <c r="B24" s="19"/>
      <c r="C24" s="20" t="s">
        <v>45</v>
      </c>
      <c r="D24" s="20" t="s">
        <v>847</v>
      </c>
      <c r="E24" s="20" t="s">
        <v>47</v>
      </c>
      <c r="F24" s="21">
        <v>21942</v>
      </c>
      <c r="G24" s="22" t="s">
        <v>1064</v>
      </c>
      <c r="H24" s="23"/>
      <c r="I24" s="23"/>
      <c r="J24" s="23"/>
      <c r="K24" s="23">
        <f>120.54+14.46</f>
        <v>135</v>
      </c>
      <c r="L24" s="105"/>
      <c r="M24" s="25">
        <f t="shared" si="0"/>
        <v>120.53571428571428</v>
      </c>
      <c r="N24" s="25">
        <f t="shared" si="1"/>
        <v>14.464285714285714</v>
      </c>
      <c r="O24" s="25">
        <f t="shared" si="2"/>
        <v>0</v>
      </c>
      <c r="P24" s="25">
        <v>120.54</v>
      </c>
      <c r="Q24" s="26"/>
      <c r="R24" s="26"/>
      <c r="S24" s="27"/>
      <c r="T24" s="27"/>
      <c r="U24" s="27"/>
      <c r="V24" s="26"/>
      <c r="W24" s="27"/>
      <c r="X24" s="27"/>
      <c r="Y24" s="26"/>
      <c r="Z24" s="26"/>
      <c r="AA24" s="25">
        <f t="shared" si="3"/>
        <v>-135.00428571428571</v>
      </c>
      <c r="AB24" s="28">
        <f t="shared" si="4"/>
        <v>-4.2857142857144481E-3</v>
      </c>
      <c r="AMJ24"/>
    </row>
    <row r="25" spans="1:1024" s="29" customFormat="1" ht="23.25" customHeight="1" x14ac:dyDescent="0.25">
      <c r="A25" s="18">
        <v>43809</v>
      </c>
      <c r="B25" s="19"/>
      <c r="C25" s="20" t="s">
        <v>45</v>
      </c>
      <c r="D25" s="20" t="s">
        <v>847</v>
      </c>
      <c r="E25" s="20" t="s">
        <v>47</v>
      </c>
      <c r="F25" s="21">
        <v>21942</v>
      </c>
      <c r="G25" s="22" t="s">
        <v>69</v>
      </c>
      <c r="H25" s="23"/>
      <c r="I25" s="23"/>
      <c r="J25" s="23">
        <v>441.8</v>
      </c>
      <c r="K25" s="23"/>
      <c r="L25" s="105"/>
      <c r="M25" s="25">
        <f t="shared" si="0"/>
        <v>441.8</v>
      </c>
      <c r="N25" s="25">
        <f t="shared" si="1"/>
        <v>0</v>
      </c>
      <c r="O25" s="25">
        <f t="shared" si="2"/>
        <v>0</v>
      </c>
      <c r="P25" s="25">
        <v>441.8</v>
      </c>
      <c r="Q25" s="26"/>
      <c r="R25" s="26"/>
      <c r="S25" s="27"/>
      <c r="T25" s="27"/>
      <c r="U25" s="27"/>
      <c r="V25" s="26"/>
      <c r="W25" s="27"/>
      <c r="X25" s="27"/>
      <c r="Y25" s="26"/>
      <c r="Z25" s="26"/>
      <c r="AA25" s="25">
        <f t="shared" si="3"/>
        <v>-441.8</v>
      </c>
      <c r="AB25" s="28">
        <f t="shared" si="4"/>
        <v>0</v>
      </c>
      <c r="AMJ25"/>
    </row>
    <row r="26" spans="1:1024" s="29" customFormat="1" ht="23.25" customHeight="1" x14ac:dyDescent="0.25">
      <c r="A26" s="18">
        <v>43809</v>
      </c>
      <c r="B26" s="19"/>
      <c r="C26" s="20" t="s">
        <v>37</v>
      </c>
      <c r="D26" s="20" t="s">
        <v>38</v>
      </c>
      <c r="E26" s="20" t="s">
        <v>39</v>
      </c>
      <c r="F26" s="21">
        <v>86940</v>
      </c>
      <c r="G26" s="21" t="s">
        <v>236</v>
      </c>
      <c r="H26" s="23"/>
      <c r="I26" s="23"/>
      <c r="J26" s="23"/>
      <c r="K26" s="23">
        <v>105</v>
      </c>
      <c r="L26" s="105"/>
      <c r="M26" s="25">
        <f t="shared" si="0"/>
        <v>93.749999999999986</v>
      </c>
      <c r="N26" s="25">
        <f t="shared" si="1"/>
        <v>11.249999999999998</v>
      </c>
      <c r="O26" s="25">
        <f t="shared" si="2"/>
        <v>0</v>
      </c>
      <c r="P26" s="25"/>
      <c r="Q26" s="26"/>
      <c r="R26" s="26"/>
      <c r="S26" s="27"/>
      <c r="T26" s="27"/>
      <c r="U26" s="27">
        <v>93.75</v>
      </c>
      <c r="V26" s="26"/>
      <c r="W26" s="27"/>
      <c r="X26" s="27"/>
      <c r="Y26" s="26"/>
      <c r="Z26" s="26"/>
      <c r="AA26" s="25">
        <f t="shared" si="3"/>
        <v>-105</v>
      </c>
      <c r="AB26" s="28">
        <f t="shared" si="4"/>
        <v>0</v>
      </c>
      <c r="AMJ26"/>
    </row>
    <row r="27" spans="1:1024" s="29" customFormat="1" ht="23.25" customHeight="1" x14ac:dyDescent="0.25">
      <c r="A27" s="18">
        <v>43809</v>
      </c>
      <c r="B27" s="19"/>
      <c r="C27" s="20" t="s">
        <v>37</v>
      </c>
      <c r="D27" s="20" t="s">
        <v>38</v>
      </c>
      <c r="E27" s="20" t="s">
        <v>39</v>
      </c>
      <c r="F27" s="21">
        <v>86892</v>
      </c>
      <c r="G27" s="21" t="s">
        <v>965</v>
      </c>
      <c r="H27" s="23"/>
      <c r="I27" s="23"/>
      <c r="J27" s="23"/>
      <c r="K27" s="23">
        <v>240</v>
      </c>
      <c r="L27" s="105"/>
      <c r="M27" s="25">
        <f t="shared" si="0"/>
        <v>214.28571428571428</v>
      </c>
      <c r="N27" s="25">
        <f t="shared" si="1"/>
        <v>25.714285714285712</v>
      </c>
      <c r="O27" s="25">
        <f t="shared" si="2"/>
        <v>0</v>
      </c>
      <c r="P27" s="25">
        <v>214.29</v>
      </c>
      <c r="Q27" s="26"/>
      <c r="R27" s="26"/>
      <c r="S27" s="27"/>
      <c r="T27" s="27"/>
      <c r="U27" s="27"/>
      <c r="V27" s="26"/>
      <c r="W27" s="27"/>
      <c r="X27" s="27"/>
      <c r="Y27" s="26"/>
      <c r="Z27" s="26"/>
      <c r="AA27" s="25">
        <f t="shared" si="3"/>
        <v>-240.00428571428571</v>
      </c>
      <c r="AB27" s="28">
        <f t="shared" si="4"/>
        <v>-4.2857142857144481E-3</v>
      </c>
      <c r="AMJ27"/>
    </row>
    <row r="28" spans="1:1024" s="29" customFormat="1" ht="23.25" customHeight="1" x14ac:dyDescent="0.25">
      <c r="A28" s="18">
        <v>43809</v>
      </c>
      <c r="B28" s="19"/>
      <c r="C28" s="20" t="s">
        <v>58</v>
      </c>
      <c r="D28" s="20"/>
      <c r="E28" s="20"/>
      <c r="F28" s="21"/>
      <c r="G28" s="22" t="s">
        <v>521</v>
      </c>
      <c r="H28" s="23">
        <v>100</v>
      </c>
      <c r="I28" s="23"/>
      <c r="J28" s="23"/>
      <c r="K28" s="23"/>
      <c r="L28" s="105"/>
      <c r="M28" s="25">
        <f t="shared" si="0"/>
        <v>100</v>
      </c>
      <c r="N28" s="25">
        <f t="shared" si="1"/>
        <v>0</v>
      </c>
      <c r="O28" s="25">
        <f t="shared" si="2"/>
        <v>0</v>
      </c>
      <c r="P28" s="25"/>
      <c r="Q28" s="26"/>
      <c r="R28" s="26"/>
      <c r="S28" s="27"/>
      <c r="T28" s="27"/>
      <c r="U28" s="27"/>
      <c r="V28" s="26">
        <v>100</v>
      </c>
      <c r="W28" s="27"/>
      <c r="X28" s="27"/>
      <c r="Y28" s="26"/>
      <c r="Z28" s="26"/>
      <c r="AA28" s="25">
        <f t="shared" si="3"/>
        <v>-100</v>
      </c>
      <c r="AB28" s="28">
        <f t="shared" si="4"/>
        <v>0</v>
      </c>
      <c r="AMJ28"/>
    </row>
    <row r="29" spans="1:1024" s="29" customFormat="1" ht="23.25" customHeight="1" x14ac:dyDescent="0.25">
      <c r="A29" s="18">
        <v>43810</v>
      </c>
      <c r="B29" s="19"/>
      <c r="C29" s="20" t="s">
        <v>45</v>
      </c>
      <c r="D29" s="20" t="s">
        <v>847</v>
      </c>
      <c r="E29" s="20" t="s">
        <v>47</v>
      </c>
      <c r="F29" s="21">
        <v>220975</v>
      </c>
      <c r="G29" s="21" t="s">
        <v>1065</v>
      </c>
      <c r="H29" s="23"/>
      <c r="I29" s="23"/>
      <c r="J29" s="23">
        <v>478.6</v>
      </c>
      <c r="K29" s="23"/>
      <c r="L29" s="105"/>
      <c r="M29" s="25">
        <f t="shared" si="0"/>
        <v>478.6</v>
      </c>
      <c r="N29" s="25">
        <f t="shared" si="1"/>
        <v>0</v>
      </c>
      <c r="O29" s="25">
        <f t="shared" si="2"/>
        <v>0</v>
      </c>
      <c r="P29" s="25">
        <v>478.6</v>
      </c>
      <c r="Q29" s="26"/>
      <c r="R29" s="26"/>
      <c r="S29" s="27"/>
      <c r="T29" s="27"/>
      <c r="U29" s="27"/>
      <c r="V29" s="26"/>
      <c r="W29" s="27"/>
      <c r="X29" s="27"/>
      <c r="Y29" s="26"/>
      <c r="Z29" s="26"/>
      <c r="AA29" s="25">
        <f t="shared" si="3"/>
        <v>-478.6</v>
      </c>
      <c r="AB29" s="28">
        <f t="shared" si="4"/>
        <v>0</v>
      </c>
      <c r="AMJ29"/>
    </row>
    <row r="30" spans="1:1024" s="29" customFormat="1" ht="23.25" customHeight="1" x14ac:dyDescent="0.25">
      <c r="A30" s="18">
        <v>43810</v>
      </c>
      <c r="B30" s="19"/>
      <c r="C30" s="20" t="s">
        <v>45</v>
      </c>
      <c r="D30" s="20" t="s">
        <v>847</v>
      </c>
      <c r="E30" s="20" t="s">
        <v>47</v>
      </c>
      <c r="F30" s="21">
        <v>220975</v>
      </c>
      <c r="G30" s="44" t="s">
        <v>1066</v>
      </c>
      <c r="H30" s="23"/>
      <c r="I30" s="23"/>
      <c r="J30" s="23"/>
      <c r="K30" s="23">
        <f>1984.06+238.09-279</f>
        <v>1943.15</v>
      </c>
      <c r="L30" s="105"/>
      <c r="M30" s="25">
        <f t="shared" si="0"/>
        <v>1734.9553571428571</v>
      </c>
      <c r="N30" s="25">
        <f t="shared" si="1"/>
        <v>208.19464285714284</v>
      </c>
      <c r="O30" s="25">
        <f t="shared" si="2"/>
        <v>0</v>
      </c>
      <c r="P30" s="25">
        <v>1734.96</v>
      </c>
      <c r="Q30" s="26"/>
      <c r="R30" s="26"/>
      <c r="S30" s="27"/>
      <c r="T30" s="27"/>
      <c r="U30" s="27"/>
      <c r="V30" s="26"/>
      <c r="W30" s="27"/>
      <c r="X30" s="27"/>
      <c r="Y30" s="26"/>
      <c r="Z30" s="26"/>
      <c r="AA30" s="25">
        <f t="shared" si="3"/>
        <v>-1943.1546428571428</v>
      </c>
      <c r="AB30" s="28">
        <f t="shared" si="4"/>
        <v>-4.6428571426986309E-3</v>
      </c>
      <c r="AMJ30"/>
    </row>
    <row r="31" spans="1:1024" s="29" customFormat="1" ht="23.25" customHeight="1" x14ac:dyDescent="0.25">
      <c r="A31" s="18">
        <v>43810</v>
      </c>
      <c r="B31" s="19"/>
      <c r="C31" s="20" t="s">
        <v>45</v>
      </c>
      <c r="D31" s="20" t="s">
        <v>847</v>
      </c>
      <c r="E31" s="20" t="s">
        <v>47</v>
      </c>
      <c r="F31" s="21">
        <v>220975</v>
      </c>
      <c r="G31" s="22" t="s">
        <v>129</v>
      </c>
      <c r="H31" s="23"/>
      <c r="I31" s="23"/>
      <c r="J31" s="23"/>
      <c r="K31" s="23">
        <v>279</v>
      </c>
      <c r="L31" s="105"/>
      <c r="M31" s="25">
        <f t="shared" si="0"/>
        <v>249.10714285714283</v>
      </c>
      <c r="N31" s="25">
        <f t="shared" si="1"/>
        <v>29.892857142857139</v>
      </c>
      <c r="O31" s="25">
        <f t="shared" si="2"/>
        <v>0</v>
      </c>
      <c r="P31" s="25"/>
      <c r="Q31" s="26"/>
      <c r="R31" s="26">
        <v>249.11</v>
      </c>
      <c r="S31" s="27"/>
      <c r="T31" s="27"/>
      <c r="U31" s="27"/>
      <c r="V31" s="26"/>
      <c r="W31" s="27"/>
      <c r="X31" s="27"/>
      <c r="Y31" s="26"/>
      <c r="Z31" s="26"/>
      <c r="AA31" s="25">
        <f t="shared" si="3"/>
        <v>-279.00285714285712</v>
      </c>
      <c r="AB31" s="28">
        <f t="shared" si="4"/>
        <v>-2.8571428571240176E-3</v>
      </c>
      <c r="AMJ31"/>
    </row>
    <row r="32" spans="1:1024" s="29" customFormat="1" ht="23.25" customHeight="1" x14ac:dyDescent="0.25">
      <c r="A32" s="18">
        <v>43810</v>
      </c>
      <c r="B32" s="19"/>
      <c r="C32" s="20" t="s">
        <v>41</v>
      </c>
      <c r="D32" s="20" t="s">
        <v>42</v>
      </c>
      <c r="E32" s="20" t="s">
        <v>43</v>
      </c>
      <c r="F32" s="21">
        <v>197653</v>
      </c>
      <c r="G32" s="21" t="s">
        <v>44</v>
      </c>
      <c r="H32" s="23"/>
      <c r="I32" s="23"/>
      <c r="J32" s="23"/>
      <c r="K32" s="23">
        <v>180</v>
      </c>
      <c r="L32" s="105"/>
      <c r="M32" s="25">
        <f t="shared" si="0"/>
        <v>160.71428571428569</v>
      </c>
      <c r="N32" s="25">
        <f t="shared" si="1"/>
        <v>19.285714285714281</v>
      </c>
      <c r="O32" s="25">
        <f t="shared" si="2"/>
        <v>0</v>
      </c>
      <c r="P32" s="25"/>
      <c r="Q32" s="26">
        <v>160.71</v>
      </c>
      <c r="R32" s="26"/>
      <c r="S32" s="27"/>
      <c r="T32" s="27"/>
      <c r="U32" s="27"/>
      <c r="V32" s="26"/>
      <c r="W32" s="27"/>
      <c r="X32" s="27"/>
      <c r="Y32" s="26"/>
      <c r="Z32" s="26"/>
      <c r="AA32" s="25">
        <f t="shared" si="3"/>
        <v>-179.99571428571429</v>
      </c>
      <c r="AB32" s="28">
        <f t="shared" si="4"/>
        <v>4.2857142857144481E-3</v>
      </c>
      <c r="AMJ32"/>
    </row>
    <row r="33" spans="1:1024" s="29" customFormat="1" ht="23.25" customHeight="1" x14ac:dyDescent="0.25">
      <c r="A33" s="18">
        <v>43810</v>
      </c>
      <c r="B33" s="19"/>
      <c r="C33" s="20" t="s">
        <v>62</v>
      </c>
      <c r="D33" s="20"/>
      <c r="E33" s="20"/>
      <c r="F33" s="21"/>
      <c r="G33" s="22" t="s">
        <v>1067</v>
      </c>
      <c r="H33" s="23">
        <v>50</v>
      </c>
      <c r="I33" s="23"/>
      <c r="J33" s="23"/>
      <c r="K33" s="23"/>
      <c r="L33" s="105"/>
      <c r="M33" s="25">
        <f t="shared" si="0"/>
        <v>50</v>
      </c>
      <c r="N33" s="25">
        <f t="shared" si="1"/>
        <v>0</v>
      </c>
      <c r="O33" s="25">
        <f t="shared" si="2"/>
        <v>0</v>
      </c>
      <c r="P33" s="25"/>
      <c r="Q33" s="26"/>
      <c r="R33" s="26"/>
      <c r="S33" s="27"/>
      <c r="T33" s="27"/>
      <c r="U33" s="27"/>
      <c r="V33" s="26">
        <v>50</v>
      </c>
      <c r="W33" s="27"/>
      <c r="X33" s="27"/>
      <c r="Y33" s="26"/>
      <c r="Z33" s="26"/>
      <c r="AA33" s="25">
        <f t="shared" si="3"/>
        <v>-50</v>
      </c>
      <c r="AB33" s="28">
        <f t="shared" si="4"/>
        <v>0</v>
      </c>
      <c r="AMJ33"/>
    </row>
    <row r="34" spans="1:1024" s="29" customFormat="1" ht="23.25" customHeight="1" x14ac:dyDescent="0.25">
      <c r="A34" s="18">
        <v>43811</v>
      </c>
      <c r="B34" s="19"/>
      <c r="C34" s="20" t="s">
        <v>45</v>
      </c>
      <c r="D34" s="20" t="s">
        <v>847</v>
      </c>
      <c r="E34" s="20" t="s">
        <v>47</v>
      </c>
      <c r="F34" s="21">
        <v>216130</v>
      </c>
      <c r="G34" s="44" t="s">
        <v>1004</v>
      </c>
      <c r="H34" s="23"/>
      <c r="I34" s="23"/>
      <c r="J34" s="23"/>
      <c r="K34" s="23">
        <v>107</v>
      </c>
      <c r="L34" s="105"/>
      <c r="M34" s="25">
        <f t="shared" si="0"/>
        <v>95.535714285714278</v>
      </c>
      <c r="N34" s="25">
        <f t="shared" si="1"/>
        <v>11.464285714285714</v>
      </c>
      <c r="O34" s="25">
        <f t="shared" si="2"/>
        <v>0</v>
      </c>
      <c r="P34" s="25">
        <v>95.54</v>
      </c>
      <c r="Q34" s="26"/>
      <c r="R34" s="26"/>
      <c r="S34" s="27"/>
      <c r="T34" s="27"/>
      <c r="U34" s="27"/>
      <c r="V34" s="26"/>
      <c r="W34" s="27"/>
      <c r="X34" s="27"/>
      <c r="Y34" s="26"/>
      <c r="Z34" s="26"/>
      <c r="AA34" s="25">
        <f t="shared" si="3"/>
        <v>-107.00428571428571</v>
      </c>
      <c r="AB34" s="28">
        <f t="shared" si="4"/>
        <v>-4.2857142857144481E-3</v>
      </c>
      <c r="AMJ34"/>
    </row>
    <row r="35" spans="1:1024" s="29" customFormat="1" ht="23.25" customHeight="1" x14ac:dyDescent="0.25">
      <c r="A35" s="18">
        <v>43811</v>
      </c>
      <c r="B35" s="19"/>
      <c r="C35" s="20" t="s">
        <v>58</v>
      </c>
      <c r="D35" s="20"/>
      <c r="E35" s="20"/>
      <c r="F35" s="21"/>
      <c r="G35" s="44" t="s">
        <v>1068</v>
      </c>
      <c r="H35" s="23">
        <v>50</v>
      </c>
      <c r="I35" s="23"/>
      <c r="J35" s="23"/>
      <c r="K35" s="23"/>
      <c r="L35" s="105"/>
      <c r="M35" s="25">
        <f t="shared" si="0"/>
        <v>50</v>
      </c>
      <c r="N35" s="25">
        <f t="shared" si="1"/>
        <v>0</v>
      </c>
      <c r="O35" s="25">
        <f t="shared" si="2"/>
        <v>0</v>
      </c>
      <c r="P35" s="25"/>
      <c r="Q35" s="26"/>
      <c r="R35" s="26"/>
      <c r="S35" s="27"/>
      <c r="T35" s="27"/>
      <c r="U35" s="27"/>
      <c r="V35" s="26">
        <v>50</v>
      </c>
      <c r="W35" s="27"/>
      <c r="X35" s="27"/>
      <c r="Y35" s="26"/>
      <c r="Z35" s="26"/>
      <c r="AA35" s="25">
        <f t="shared" si="3"/>
        <v>-50</v>
      </c>
      <c r="AB35" s="28">
        <f t="shared" si="4"/>
        <v>0</v>
      </c>
      <c r="AMJ35"/>
    </row>
    <row r="36" spans="1:1024" s="29" customFormat="1" ht="23.25" customHeight="1" x14ac:dyDescent="0.25">
      <c r="A36" s="18">
        <v>43811</v>
      </c>
      <c r="B36" s="19"/>
      <c r="C36" s="20" t="s">
        <v>41</v>
      </c>
      <c r="D36" s="20" t="s">
        <v>42</v>
      </c>
      <c r="E36" s="20" t="s">
        <v>43</v>
      </c>
      <c r="F36" s="21">
        <v>197704</v>
      </c>
      <c r="G36" s="21" t="s">
        <v>44</v>
      </c>
      <c r="H36" s="23"/>
      <c r="I36" s="23"/>
      <c r="J36" s="23"/>
      <c r="K36" s="23">
        <v>180</v>
      </c>
      <c r="L36" s="105"/>
      <c r="M36" s="25">
        <f t="shared" si="0"/>
        <v>160.71428571428569</v>
      </c>
      <c r="N36" s="25">
        <f t="shared" si="1"/>
        <v>19.285714285714281</v>
      </c>
      <c r="O36" s="25">
        <f t="shared" si="2"/>
        <v>0</v>
      </c>
      <c r="P36" s="25"/>
      <c r="Q36" s="26">
        <v>160.71</v>
      </c>
      <c r="R36" s="26"/>
      <c r="S36" s="27"/>
      <c r="T36" s="27"/>
      <c r="U36" s="27"/>
      <c r="V36" s="26"/>
      <c r="W36" s="27"/>
      <c r="X36" s="27"/>
      <c r="Y36" s="26"/>
      <c r="Z36" s="26"/>
      <c r="AA36" s="25">
        <f t="shared" si="3"/>
        <v>-179.99571428571429</v>
      </c>
      <c r="AB36" s="28">
        <f t="shared" si="4"/>
        <v>4.2857142857144481E-3</v>
      </c>
      <c r="AMJ36"/>
    </row>
    <row r="37" spans="1:1024" s="29" customFormat="1" ht="23.25" customHeight="1" x14ac:dyDescent="0.25">
      <c r="A37" s="18">
        <v>43811</v>
      </c>
      <c r="B37" s="19"/>
      <c r="C37" s="20" t="s">
        <v>45</v>
      </c>
      <c r="D37" s="20" t="s">
        <v>847</v>
      </c>
      <c r="E37" s="20" t="s">
        <v>47</v>
      </c>
      <c r="F37" s="21">
        <v>142115</v>
      </c>
      <c r="G37" s="21" t="s">
        <v>1069</v>
      </c>
      <c r="H37" s="23"/>
      <c r="I37" s="23"/>
      <c r="J37" s="23"/>
      <c r="K37" s="23">
        <f>1003.57+120.43</f>
        <v>1124</v>
      </c>
      <c r="L37" s="105"/>
      <c r="M37" s="25">
        <f t="shared" si="0"/>
        <v>1003.5714285714284</v>
      </c>
      <c r="N37" s="25">
        <f t="shared" si="1"/>
        <v>120.4285714285714</v>
      </c>
      <c r="O37" s="25">
        <f t="shared" si="2"/>
        <v>0</v>
      </c>
      <c r="P37" s="25">
        <v>1003.57</v>
      </c>
      <c r="Q37" s="26"/>
      <c r="R37" s="26"/>
      <c r="S37" s="27"/>
      <c r="T37" s="27"/>
      <c r="U37" s="27"/>
      <c r="V37" s="26"/>
      <c r="W37" s="27"/>
      <c r="X37" s="27"/>
      <c r="Y37" s="26"/>
      <c r="Z37" s="26"/>
      <c r="AA37" s="25">
        <f t="shared" si="3"/>
        <v>-1123.9985714285715</v>
      </c>
      <c r="AB37" s="28">
        <f t="shared" si="4"/>
        <v>1.4285714285051654E-3</v>
      </c>
      <c r="AMJ37"/>
    </row>
    <row r="38" spans="1:1024" s="29" customFormat="1" ht="23.25" customHeight="1" x14ac:dyDescent="0.25">
      <c r="A38" s="18">
        <v>43811</v>
      </c>
      <c r="B38" s="19"/>
      <c r="C38" s="20" t="s">
        <v>45</v>
      </c>
      <c r="D38" s="20" t="s">
        <v>847</v>
      </c>
      <c r="E38" s="20" t="s">
        <v>47</v>
      </c>
      <c r="F38" s="21">
        <v>142115</v>
      </c>
      <c r="G38" s="21" t="s">
        <v>1070</v>
      </c>
      <c r="H38" s="23"/>
      <c r="I38" s="23"/>
      <c r="J38" s="23">
        <v>1441.2</v>
      </c>
      <c r="K38" s="23"/>
      <c r="L38" s="105"/>
      <c r="M38" s="25">
        <f t="shared" si="0"/>
        <v>1441.2</v>
      </c>
      <c r="N38" s="25">
        <f t="shared" si="1"/>
        <v>0</v>
      </c>
      <c r="O38" s="25">
        <f t="shared" si="2"/>
        <v>0</v>
      </c>
      <c r="P38" s="25">
        <v>1441.2</v>
      </c>
      <c r="Q38" s="26"/>
      <c r="R38" s="26"/>
      <c r="S38" s="27"/>
      <c r="T38" s="27"/>
      <c r="U38" s="27"/>
      <c r="V38" s="26"/>
      <c r="W38" s="27"/>
      <c r="X38" s="27"/>
      <c r="Y38" s="26"/>
      <c r="Z38" s="26"/>
      <c r="AA38" s="25">
        <f t="shared" si="3"/>
        <v>-1441.2</v>
      </c>
      <c r="AB38" s="28">
        <f t="shared" si="4"/>
        <v>0</v>
      </c>
      <c r="AMJ38"/>
    </row>
    <row r="39" spans="1:1024" s="29" customFormat="1" ht="23.25" customHeight="1" x14ac:dyDescent="0.25">
      <c r="A39" s="18">
        <v>43811</v>
      </c>
      <c r="B39" s="19"/>
      <c r="C39" s="20" t="s">
        <v>37</v>
      </c>
      <c r="D39" s="20" t="s">
        <v>38</v>
      </c>
      <c r="E39" s="20" t="s">
        <v>39</v>
      </c>
      <c r="F39" s="21">
        <v>87581</v>
      </c>
      <c r="G39" s="22" t="s">
        <v>1071</v>
      </c>
      <c r="H39" s="23"/>
      <c r="I39" s="23"/>
      <c r="J39" s="23"/>
      <c r="K39" s="23">
        <v>229</v>
      </c>
      <c r="L39" s="105"/>
      <c r="M39" s="25">
        <f t="shared" si="0"/>
        <v>204.46428571428569</v>
      </c>
      <c r="N39" s="25">
        <f t="shared" si="1"/>
        <v>24.535714285714281</v>
      </c>
      <c r="O39" s="25">
        <f t="shared" si="2"/>
        <v>0</v>
      </c>
      <c r="P39" s="25">
        <v>204.46</v>
      </c>
      <c r="Q39" s="26"/>
      <c r="R39" s="26"/>
      <c r="S39" s="27"/>
      <c r="T39" s="27"/>
      <c r="U39" s="27"/>
      <c r="V39" s="26"/>
      <c r="W39" s="27"/>
      <c r="X39" s="27"/>
      <c r="Y39" s="26"/>
      <c r="Z39" s="26"/>
      <c r="AA39" s="25">
        <f t="shared" si="3"/>
        <v>-228.99571428571429</v>
      </c>
      <c r="AB39" s="28">
        <f t="shared" si="4"/>
        <v>4.2857142857144481E-3</v>
      </c>
      <c r="AMJ39"/>
    </row>
    <row r="40" spans="1:1024" s="29" customFormat="1" ht="23.25" customHeight="1" x14ac:dyDescent="0.25">
      <c r="A40" s="18">
        <v>43811</v>
      </c>
      <c r="B40" s="19"/>
      <c r="C40" s="20" t="s">
        <v>37</v>
      </c>
      <c r="D40" s="20" t="s">
        <v>38</v>
      </c>
      <c r="E40" s="20" t="s">
        <v>39</v>
      </c>
      <c r="F40" s="21">
        <v>100196</v>
      </c>
      <c r="G40" s="22" t="s">
        <v>183</v>
      </c>
      <c r="H40" s="23"/>
      <c r="I40" s="23"/>
      <c r="J40" s="23"/>
      <c r="K40" s="23">
        <v>78</v>
      </c>
      <c r="L40" s="105"/>
      <c r="M40" s="25">
        <f t="shared" si="0"/>
        <v>69.642857142857139</v>
      </c>
      <c r="N40" s="25">
        <f t="shared" si="1"/>
        <v>8.3571428571428559</v>
      </c>
      <c r="O40" s="25">
        <f t="shared" si="2"/>
        <v>0</v>
      </c>
      <c r="P40" s="25">
        <v>69.64</v>
      </c>
      <c r="Q40" s="26"/>
      <c r="R40" s="26"/>
      <c r="S40" s="27"/>
      <c r="T40" s="27"/>
      <c r="U40" s="27"/>
      <c r="V40" s="26"/>
      <c r="W40" s="27"/>
      <c r="X40" s="27"/>
      <c r="Y40" s="26"/>
      <c r="Z40" s="26"/>
      <c r="AA40" s="25">
        <f t="shared" si="3"/>
        <v>-77.997142857142862</v>
      </c>
      <c r="AB40" s="28">
        <f t="shared" si="4"/>
        <v>2.8571428571382285E-3</v>
      </c>
      <c r="AMJ40"/>
    </row>
    <row r="41" spans="1:1024" s="29" customFormat="1" ht="23.25" customHeight="1" x14ac:dyDescent="0.25">
      <c r="A41" s="18"/>
      <c r="B41" s="19"/>
      <c r="C41" s="20"/>
      <c r="D41" s="20"/>
      <c r="E41" s="20"/>
      <c r="F41" s="21"/>
      <c r="G41" s="22"/>
      <c r="H41" s="23"/>
      <c r="I41" s="23"/>
      <c r="J41" s="23"/>
      <c r="K41" s="23"/>
      <c r="L41" s="105"/>
      <c r="M41" s="25">
        <f t="shared" si="0"/>
        <v>0</v>
      </c>
      <c r="N41" s="25">
        <f t="shared" si="1"/>
        <v>0</v>
      </c>
      <c r="O41" s="25">
        <f t="shared" si="2"/>
        <v>0</v>
      </c>
      <c r="P41" s="25"/>
      <c r="Q41" s="26"/>
      <c r="R41" s="26"/>
      <c r="S41" s="27"/>
      <c r="T41" s="27"/>
      <c r="U41" s="27"/>
      <c r="V41" s="26"/>
      <c r="W41" s="27"/>
      <c r="X41" s="27"/>
      <c r="Y41" s="26"/>
      <c r="Z41" s="26"/>
      <c r="AA41" s="25">
        <f t="shared" si="3"/>
        <v>0</v>
      </c>
      <c r="AB41" s="28">
        <f t="shared" si="4"/>
        <v>0</v>
      </c>
      <c r="AMJ41"/>
    </row>
    <row r="42" spans="1:1024" s="29" customFormat="1" ht="23.25" hidden="1" customHeight="1" x14ac:dyDescent="0.25">
      <c r="A42" s="18"/>
      <c r="B42" s="19"/>
      <c r="C42" s="20"/>
      <c r="D42" s="20"/>
      <c r="E42" s="20"/>
      <c r="F42" s="21"/>
      <c r="G42" s="21"/>
      <c r="H42" s="23"/>
      <c r="I42" s="23"/>
      <c r="J42" s="23"/>
      <c r="K42" s="23"/>
      <c r="L42" s="105"/>
      <c r="M42" s="25">
        <f t="shared" si="0"/>
        <v>0</v>
      </c>
      <c r="N42" s="25">
        <f t="shared" si="1"/>
        <v>0</v>
      </c>
      <c r="O42" s="25">
        <f t="shared" si="2"/>
        <v>0</v>
      </c>
      <c r="P42" s="25"/>
      <c r="Q42" s="26"/>
      <c r="R42" s="26"/>
      <c r="S42" s="27"/>
      <c r="T42" s="27"/>
      <c r="U42" s="27"/>
      <c r="V42" s="26"/>
      <c r="W42" s="27"/>
      <c r="X42" s="27"/>
      <c r="Y42" s="26"/>
      <c r="Z42" s="26"/>
      <c r="AA42" s="25">
        <f t="shared" si="3"/>
        <v>0</v>
      </c>
      <c r="AB42" s="28">
        <f t="shared" si="4"/>
        <v>0</v>
      </c>
      <c r="AMJ42"/>
    </row>
    <row r="43" spans="1:1024" s="29" customFormat="1" ht="23.25" hidden="1" customHeight="1" x14ac:dyDescent="0.25">
      <c r="A43" s="18"/>
      <c r="B43" s="19"/>
      <c r="C43" s="20"/>
      <c r="D43" s="20"/>
      <c r="E43" s="20"/>
      <c r="F43" s="21"/>
      <c r="G43" s="44"/>
      <c r="H43" s="23"/>
      <c r="I43" s="23"/>
      <c r="J43" s="23"/>
      <c r="K43" s="23"/>
      <c r="L43" s="105"/>
      <c r="M43" s="25">
        <f t="shared" si="0"/>
        <v>0</v>
      </c>
      <c r="N43" s="25">
        <f t="shared" si="1"/>
        <v>0</v>
      </c>
      <c r="O43" s="25">
        <f t="shared" si="2"/>
        <v>0</v>
      </c>
      <c r="P43" s="25"/>
      <c r="Q43" s="26"/>
      <c r="R43" s="26"/>
      <c r="S43" s="27"/>
      <c r="T43" s="27"/>
      <c r="U43" s="27"/>
      <c r="V43" s="26"/>
      <c r="W43" s="27"/>
      <c r="X43" s="27"/>
      <c r="Y43" s="26"/>
      <c r="Z43" s="26"/>
      <c r="AA43" s="25">
        <f t="shared" si="3"/>
        <v>0</v>
      </c>
      <c r="AB43" s="28">
        <f t="shared" si="4"/>
        <v>0</v>
      </c>
      <c r="AMJ43"/>
    </row>
    <row r="44" spans="1:1024" s="29" customFormat="1" ht="23.25" hidden="1" customHeight="1" x14ac:dyDescent="0.25">
      <c r="A44" s="18"/>
      <c r="B44" s="19"/>
      <c r="C44" s="20"/>
      <c r="D44" s="20"/>
      <c r="E44" s="20"/>
      <c r="F44" s="21"/>
      <c r="G44" s="44"/>
      <c r="H44" s="23"/>
      <c r="I44" s="23"/>
      <c r="J44" s="23"/>
      <c r="K44" s="23"/>
      <c r="L44" s="105"/>
      <c r="M44" s="25">
        <f t="shared" si="0"/>
        <v>0</v>
      </c>
      <c r="N44" s="25">
        <f t="shared" si="1"/>
        <v>0</v>
      </c>
      <c r="O44" s="25">
        <f t="shared" si="2"/>
        <v>0</v>
      </c>
      <c r="P44" s="25"/>
      <c r="Q44" s="26"/>
      <c r="R44" s="26"/>
      <c r="S44" s="27"/>
      <c r="T44" s="27"/>
      <c r="U44" s="27"/>
      <c r="V44" s="26"/>
      <c r="W44" s="27"/>
      <c r="X44" s="27"/>
      <c r="Y44" s="26"/>
      <c r="Z44" s="26"/>
      <c r="AA44" s="25">
        <f t="shared" si="3"/>
        <v>0</v>
      </c>
      <c r="AB44" s="28">
        <f t="shared" si="4"/>
        <v>0</v>
      </c>
      <c r="AMJ44"/>
    </row>
    <row r="45" spans="1:1024" s="29" customFormat="1" ht="23.25" customHeight="1" x14ac:dyDescent="0.25">
      <c r="A45" s="18"/>
      <c r="B45" s="19"/>
      <c r="C45" s="20"/>
      <c r="D45" s="20"/>
      <c r="E45" s="20"/>
      <c r="F45" s="21"/>
      <c r="G45" s="22"/>
      <c r="H45" s="23"/>
      <c r="I45" s="23"/>
      <c r="J45" s="23"/>
      <c r="K45" s="23"/>
      <c r="L45" s="105"/>
      <c r="M45" s="25">
        <f t="shared" si="0"/>
        <v>0</v>
      </c>
      <c r="N45" s="25">
        <f t="shared" si="1"/>
        <v>0</v>
      </c>
      <c r="O45" s="25">
        <f t="shared" si="2"/>
        <v>0</v>
      </c>
      <c r="P45" s="25"/>
      <c r="Q45" s="26"/>
      <c r="R45" s="26"/>
      <c r="S45" s="27"/>
      <c r="T45" s="27"/>
      <c r="U45" s="27"/>
      <c r="V45" s="26"/>
      <c r="W45" s="27"/>
      <c r="X45" s="27"/>
      <c r="Y45" s="26"/>
      <c r="Z45" s="26"/>
      <c r="AA45" s="25">
        <f t="shared" si="3"/>
        <v>0</v>
      </c>
      <c r="AB45" s="28">
        <f t="shared" si="4"/>
        <v>0</v>
      </c>
      <c r="AMJ45"/>
    </row>
    <row r="46" spans="1:1024" s="57" customFormat="1" ht="12" customHeight="1" x14ac:dyDescent="0.25">
      <c r="A46" s="49"/>
      <c r="B46" s="50"/>
      <c r="C46" s="51"/>
      <c r="D46" s="52"/>
      <c r="E46" s="52"/>
      <c r="F46" s="53"/>
      <c r="G46" s="51"/>
      <c r="H46" s="54">
        <f t="shared" ref="H46:AB46" si="5">SUM(H5:H45)</f>
        <v>1690</v>
      </c>
      <c r="I46" s="54">
        <f t="shared" si="5"/>
        <v>0</v>
      </c>
      <c r="J46" s="54">
        <f t="shared" si="5"/>
        <v>5429.6500000000005</v>
      </c>
      <c r="K46" s="54">
        <f t="shared" si="5"/>
        <v>9607.74</v>
      </c>
      <c r="L46" s="54">
        <f t="shared" si="5"/>
        <v>0</v>
      </c>
      <c r="M46" s="54">
        <f t="shared" si="5"/>
        <v>15697.989285714286</v>
      </c>
      <c r="N46" s="54">
        <f t="shared" si="5"/>
        <v>1029.4007142857142</v>
      </c>
      <c r="O46" s="54">
        <f t="shared" si="5"/>
        <v>0</v>
      </c>
      <c r="P46" s="54">
        <f t="shared" si="5"/>
        <v>12037.960000000001</v>
      </c>
      <c r="Q46" s="54">
        <f t="shared" si="5"/>
        <v>803.55000000000007</v>
      </c>
      <c r="R46" s="54">
        <f t="shared" si="5"/>
        <v>425.9</v>
      </c>
      <c r="S46" s="54">
        <f t="shared" si="5"/>
        <v>0</v>
      </c>
      <c r="T46" s="54">
        <f t="shared" si="5"/>
        <v>95.54</v>
      </c>
      <c r="U46" s="54">
        <f t="shared" si="5"/>
        <v>93.75</v>
      </c>
      <c r="V46" s="54">
        <f t="shared" si="5"/>
        <v>490</v>
      </c>
      <c r="W46" s="54">
        <f t="shared" si="5"/>
        <v>0</v>
      </c>
      <c r="X46" s="54">
        <f t="shared" si="5"/>
        <v>551.29</v>
      </c>
      <c r="Y46" s="54">
        <f t="shared" si="5"/>
        <v>1200</v>
      </c>
      <c r="Z46" s="54">
        <f t="shared" si="5"/>
        <v>0</v>
      </c>
      <c r="AA46" s="54">
        <f t="shared" si="5"/>
        <v>-16727.390714285717</v>
      </c>
      <c r="AB46" s="54">
        <f t="shared" si="5"/>
        <v>-7.1428571392573303E-4</v>
      </c>
      <c r="AMJ46"/>
    </row>
    <row r="47" spans="1:1024" ht="12" customHeight="1" x14ac:dyDescent="0.25"/>
    <row r="54" spans="17:17" x14ac:dyDescent="0.25">
      <c r="Q54" s="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J46"/>
  <sheetViews>
    <sheetView topLeftCell="A22" zoomScale="90" zoomScaleNormal="90" workbookViewId="0">
      <selection activeCell="G38" sqref="A38:XFD41"/>
    </sheetView>
  </sheetViews>
  <sheetFormatPr defaultRowHeight="13.2" x14ac:dyDescent="0.25"/>
  <cols>
    <col min="1" max="1" width="10.21875" style="1" customWidth="1"/>
    <col min="2" max="2" width="9.21875" style="2" hidden="1" customWidth="1"/>
    <col min="3" max="3" width="30.21875" style="3" customWidth="1"/>
    <col min="4" max="4" width="17.6640625" style="4" customWidth="1"/>
    <col min="5" max="5" width="19.21875" style="4" customWidth="1"/>
    <col min="6" max="6" width="9.88671875" style="2" customWidth="1"/>
    <col min="7" max="7" width="34.77734375" style="3" customWidth="1"/>
    <col min="8" max="8" width="8.6640625" style="5" customWidth="1"/>
    <col min="9" max="9" width="10.6640625" style="5" customWidth="1"/>
    <col min="10" max="10" width="10.21875" style="5" customWidth="1"/>
    <col min="11" max="11" width="12.5546875" style="5" customWidth="1"/>
    <col min="12" max="12" width="6.44140625" style="89" customWidth="1"/>
    <col min="13" max="13" width="11.6640625" style="5" customWidth="1"/>
    <col min="14" max="14" width="10.21875" style="5" customWidth="1"/>
    <col min="15" max="15" width="8.21875" style="5" customWidth="1"/>
    <col min="16" max="16" width="12.21875" style="5" customWidth="1"/>
    <col min="17" max="17" width="12.5546875" style="5" customWidth="1"/>
    <col min="18" max="18" width="11.5546875" style="5"/>
    <col min="19" max="19" width="10.21875" style="5" customWidth="1"/>
    <col min="20" max="21" width="11.5546875" style="5"/>
    <col min="22" max="22" width="13.33203125" style="5" customWidth="1"/>
    <col min="23" max="23" width="10.21875" style="5" customWidth="1"/>
    <col min="24" max="24" width="10.44140625" style="5" customWidth="1"/>
    <col min="25" max="25" width="11.6640625" style="5" customWidth="1"/>
    <col min="26" max="26" width="10.44140625" style="5" customWidth="1"/>
    <col min="27" max="27" width="9" style="5" customWidth="1"/>
    <col min="28" max="28" width="11.33203125" style="5" customWidth="1"/>
    <col min="29" max="30" width="10.109375" style="5" customWidth="1"/>
    <col min="31" max="31" width="12.77734375" style="5" customWidth="1"/>
    <col min="32" max="32" width="13.33203125" style="5" customWidth="1"/>
    <col min="33" max="33" width="9.21875" style="3" customWidth="1"/>
    <col min="34" max="1023" width="11.5546875" style="3"/>
    <col min="1024" max="1025" width="11.5546875"/>
  </cols>
  <sheetData>
    <row r="1" spans="1:1024" ht="12" customHeight="1" x14ac:dyDescent="0.25">
      <c r="A1" s="7" t="s">
        <v>0</v>
      </c>
      <c r="C1" s="8"/>
    </row>
    <row r="2" spans="1:1024" ht="12" customHeight="1" x14ac:dyDescent="0.25">
      <c r="A2" s="7" t="s">
        <v>1</v>
      </c>
    </row>
    <row r="3" spans="1:1024" ht="12" customHeight="1" x14ac:dyDescent="0.25">
      <c r="A3" s="7" t="s">
        <v>1036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/>
      <c r="W3" s="10"/>
      <c r="X3" s="10"/>
      <c r="Y3" s="10" t="s">
        <v>3</v>
      </c>
      <c r="Z3" s="10"/>
      <c r="AA3" s="10">
        <v>6230</v>
      </c>
      <c r="AB3" s="10" t="s">
        <v>4</v>
      </c>
      <c r="AC3" s="10">
        <v>6202</v>
      </c>
      <c r="AD3" s="10"/>
      <c r="AE3" s="10">
        <v>6109</v>
      </c>
      <c r="AF3" s="10">
        <v>1002</v>
      </c>
    </row>
    <row r="4" spans="1:1024" s="17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96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  <c r="AMJ4"/>
    </row>
    <row r="5" spans="1:1024" s="29" customFormat="1" ht="23.25" customHeight="1" x14ac:dyDescent="0.25">
      <c r="A5" s="18">
        <v>43811</v>
      </c>
      <c r="B5" s="19"/>
      <c r="C5" s="20" t="s">
        <v>159</v>
      </c>
      <c r="D5" s="20" t="s">
        <v>160</v>
      </c>
      <c r="E5" s="20" t="s">
        <v>1072</v>
      </c>
      <c r="F5" s="21">
        <v>17536</v>
      </c>
      <c r="G5" s="21" t="s">
        <v>1073</v>
      </c>
      <c r="H5" s="23"/>
      <c r="I5" s="23"/>
      <c r="J5" s="23"/>
      <c r="K5" s="23">
        <v>1050</v>
      </c>
      <c r="L5" s="105"/>
      <c r="M5" s="25">
        <f t="shared" ref="M5:M35" si="0">SUM(H5:J5,K5/1.12)</f>
        <v>937.49999999999989</v>
      </c>
      <c r="N5" s="25">
        <f t="shared" ref="N5:N35" si="1">K5/1.12*0.12</f>
        <v>112.49999999999999</v>
      </c>
      <c r="O5" s="25">
        <f t="shared" ref="O5:O35" si="2">-SUM(I5:J5,K5/1.12)*L5</f>
        <v>0</v>
      </c>
      <c r="P5" s="25"/>
      <c r="Q5" s="26"/>
      <c r="R5" s="26"/>
      <c r="S5" s="27">
        <v>937.5</v>
      </c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>
        <f t="shared" ref="AF5:AF35" si="3">-SUM(N5:AE5)</f>
        <v>-1050</v>
      </c>
      <c r="AG5" s="28">
        <f t="shared" ref="AG5:AG35" si="4">SUM(H5:K5)+AF5+O5</f>
        <v>0</v>
      </c>
      <c r="AMJ5"/>
    </row>
    <row r="6" spans="1:1024" s="29" customFormat="1" ht="23.25" customHeight="1" x14ac:dyDescent="0.25">
      <c r="A6" s="18">
        <v>43811</v>
      </c>
      <c r="B6" s="19"/>
      <c r="C6" s="20" t="s">
        <v>62</v>
      </c>
      <c r="D6" s="20"/>
      <c r="E6" s="20"/>
      <c r="F6" s="21"/>
      <c r="G6" s="21" t="s">
        <v>861</v>
      </c>
      <c r="H6" s="23">
        <v>150</v>
      </c>
      <c r="I6" s="23"/>
      <c r="J6" s="23"/>
      <c r="K6" s="23"/>
      <c r="L6" s="105"/>
      <c r="M6" s="25">
        <f t="shared" si="0"/>
        <v>150</v>
      </c>
      <c r="N6" s="25">
        <f t="shared" si="1"/>
        <v>0</v>
      </c>
      <c r="O6" s="25">
        <f t="shared" si="2"/>
        <v>0</v>
      </c>
      <c r="P6" s="25"/>
      <c r="Q6" s="26"/>
      <c r="R6" s="26"/>
      <c r="S6" s="27"/>
      <c r="T6" s="27"/>
      <c r="U6" s="27"/>
      <c r="V6" s="27"/>
      <c r="W6" s="27"/>
      <c r="X6" s="26"/>
      <c r="Y6" s="26"/>
      <c r="Z6" s="26"/>
      <c r="AA6" s="26">
        <v>150</v>
      </c>
      <c r="AB6" s="27"/>
      <c r="AC6" s="27"/>
      <c r="AD6" s="26"/>
      <c r="AE6" s="26"/>
      <c r="AF6" s="25">
        <f t="shared" si="3"/>
        <v>-150</v>
      </c>
      <c r="AG6" s="28">
        <f t="shared" si="4"/>
        <v>0</v>
      </c>
      <c r="AMJ6"/>
    </row>
    <row r="7" spans="1:1024" s="29" customFormat="1" ht="23.25" customHeight="1" x14ac:dyDescent="0.25">
      <c r="A7" s="18">
        <v>43811</v>
      </c>
      <c r="B7" s="19"/>
      <c r="C7" s="20" t="s">
        <v>1074</v>
      </c>
      <c r="D7" s="20"/>
      <c r="E7" s="20" t="s">
        <v>819</v>
      </c>
      <c r="F7" s="21">
        <v>28820188</v>
      </c>
      <c r="G7" s="21" t="s">
        <v>1075</v>
      </c>
      <c r="H7" s="23"/>
      <c r="I7" s="23"/>
      <c r="J7" s="23">
        <v>600</v>
      </c>
      <c r="K7" s="23"/>
      <c r="L7" s="105"/>
      <c r="M7" s="25">
        <f t="shared" si="0"/>
        <v>600</v>
      </c>
      <c r="N7" s="25">
        <f t="shared" si="1"/>
        <v>0</v>
      </c>
      <c r="O7" s="25">
        <f t="shared" si="2"/>
        <v>0</v>
      </c>
      <c r="P7" s="25"/>
      <c r="Q7" s="26"/>
      <c r="R7" s="26"/>
      <c r="S7" s="27">
        <v>600</v>
      </c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>
        <f t="shared" si="3"/>
        <v>-600</v>
      </c>
      <c r="AG7" s="28">
        <f t="shared" si="4"/>
        <v>0</v>
      </c>
      <c r="AMJ7"/>
    </row>
    <row r="8" spans="1:1024" s="29" customFormat="1" ht="23.25" customHeight="1" x14ac:dyDescent="0.25">
      <c r="A8" s="18">
        <v>43811</v>
      </c>
      <c r="B8" s="19"/>
      <c r="C8" s="20" t="s">
        <v>824</v>
      </c>
      <c r="D8" s="20" t="s">
        <v>825</v>
      </c>
      <c r="E8" s="20" t="s">
        <v>1072</v>
      </c>
      <c r="F8" s="21">
        <v>51427</v>
      </c>
      <c r="G8" s="21" t="s">
        <v>1076</v>
      </c>
      <c r="H8" s="23"/>
      <c r="I8" s="23"/>
      <c r="J8" s="23"/>
      <c r="K8" s="23">
        <v>360</v>
      </c>
      <c r="L8" s="105"/>
      <c r="M8" s="25">
        <f t="shared" si="0"/>
        <v>321.42857142857139</v>
      </c>
      <c r="N8" s="25">
        <f t="shared" si="1"/>
        <v>38.571428571428562</v>
      </c>
      <c r="O8" s="25">
        <f t="shared" si="2"/>
        <v>0</v>
      </c>
      <c r="P8" s="25"/>
      <c r="Q8" s="26"/>
      <c r="R8" s="26"/>
      <c r="S8" s="27"/>
      <c r="T8" s="27"/>
      <c r="U8" s="27"/>
      <c r="V8" s="27"/>
      <c r="W8" s="27"/>
      <c r="X8" s="26">
        <v>321.43</v>
      </c>
      <c r="Y8" s="26"/>
      <c r="Z8" s="26"/>
      <c r="AA8" s="26"/>
      <c r="AB8" s="27"/>
      <c r="AC8" s="27"/>
      <c r="AD8" s="26"/>
      <c r="AE8" s="26"/>
      <c r="AF8" s="25">
        <f t="shared" si="3"/>
        <v>-360.00142857142856</v>
      </c>
      <c r="AG8" s="28">
        <f t="shared" si="4"/>
        <v>-1.4285714285620088E-3</v>
      </c>
      <c r="AMJ8"/>
    </row>
    <row r="9" spans="1:1024" s="29" customFormat="1" ht="23.25" customHeight="1" x14ac:dyDescent="0.25">
      <c r="A9" s="18">
        <v>43811</v>
      </c>
      <c r="B9" s="19"/>
      <c r="C9" s="20" t="s">
        <v>45</v>
      </c>
      <c r="D9" s="20" t="s">
        <v>847</v>
      </c>
      <c r="E9" s="20" t="s">
        <v>47</v>
      </c>
      <c r="F9" s="21">
        <v>224941</v>
      </c>
      <c r="G9" s="21" t="s">
        <v>1077</v>
      </c>
      <c r="H9" s="23"/>
      <c r="I9" s="23"/>
      <c r="J9" s="23">
        <v>918.2</v>
      </c>
      <c r="K9" s="23"/>
      <c r="L9" s="105"/>
      <c r="M9" s="25">
        <f t="shared" si="0"/>
        <v>918.2</v>
      </c>
      <c r="N9" s="25">
        <f t="shared" si="1"/>
        <v>0</v>
      </c>
      <c r="O9" s="25">
        <f t="shared" si="2"/>
        <v>0</v>
      </c>
      <c r="P9" s="25">
        <v>918.2</v>
      </c>
      <c r="Q9" s="26"/>
      <c r="R9" s="26"/>
      <c r="S9" s="27"/>
      <c r="T9" s="27"/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>
        <f t="shared" si="3"/>
        <v>-918.2</v>
      </c>
      <c r="AG9" s="28">
        <f t="shared" si="4"/>
        <v>0</v>
      </c>
      <c r="AMJ9"/>
    </row>
    <row r="10" spans="1:1024" s="29" customFormat="1" ht="23.25" customHeight="1" x14ac:dyDescent="0.25">
      <c r="A10" s="18">
        <v>43811</v>
      </c>
      <c r="B10" s="19"/>
      <c r="C10" s="20" t="s">
        <v>1078</v>
      </c>
      <c r="D10" s="20" t="s">
        <v>1079</v>
      </c>
      <c r="E10" s="20" t="s">
        <v>1072</v>
      </c>
      <c r="F10" s="21">
        <v>2906</v>
      </c>
      <c r="G10" s="21" t="s">
        <v>1080</v>
      </c>
      <c r="H10" s="23"/>
      <c r="I10" s="23"/>
      <c r="J10" s="23"/>
      <c r="K10" s="23">
        <v>540</v>
      </c>
      <c r="L10" s="105"/>
      <c r="M10" s="25">
        <f t="shared" si="0"/>
        <v>482.14285714285711</v>
      </c>
      <c r="N10" s="25">
        <f t="shared" si="1"/>
        <v>57.857142857142854</v>
      </c>
      <c r="O10" s="25">
        <f t="shared" si="2"/>
        <v>0</v>
      </c>
      <c r="P10" s="25"/>
      <c r="Q10" s="26"/>
      <c r="R10" s="26"/>
      <c r="S10" s="27">
        <v>482.14</v>
      </c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>
        <f t="shared" si="3"/>
        <v>-539.99714285714288</v>
      </c>
      <c r="AG10" s="28">
        <f t="shared" si="4"/>
        <v>2.8571428571240176E-3</v>
      </c>
      <c r="AMJ10"/>
    </row>
    <row r="11" spans="1:1024" s="29" customFormat="1" ht="23.25" customHeight="1" x14ac:dyDescent="0.25">
      <c r="A11" s="18">
        <v>43812</v>
      </c>
      <c r="B11" s="19"/>
      <c r="C11" s="20" t="s">
        <v>45</v>
      </c>
      <c r="D11" s="20" t="s">
        <v>847</v>
      </c>
      <c r="E11" s="20" t="s">
        <v>47</v>
      </c>
      <c r="F11" s="21">
        <v>256013</v>
      </c>
      <c r="G11" s="21" t="s">
        <v>1081</v>
      </c>
      <c r="H11" s="23"/>
      <c r="I11" s="23"/>
      <c r="J11" s="23"/>
      <c r="K11" s="23">
        <f>244.91+29.39</f>
        <v>274.3</v>
      </c>
      <c r="L11" s="105"/>
      <c r="M11" s="25">
        <f t="shared" si="0"/>
        <v>244.91071428571428</v>
      </c>
      <c r="N11" s="25">
        <f t="shared" si="1"/>
        <v>29.389285714285712</v>
      </c>
      <c r="O11" s="25">
        <f t="shared" si="2"/>
        <v>0</v>
      </c>
      <c r="P11" s="25">
        <v>244.91</v>
      </c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>
        <f t="shared" si="3"/>
        <v>-274.2992857142857</v>
      </c>
      <c r="AG11" s="28">
        <f t="shared" si="4"/>
        <v>7.1428571430942611E-4</v>
      </c>
      <c r="AMJ11"/>
    </row>
    <row r="12" spans="1:1024" s="29" customFormat="1" ht="23.25" customHeight="1" x14ac:dyDescent="0.25">
      <c r="A12" s="18">
        <v>43812</v>
      </c>
      <c r="B12" s="19"/>
      <c r="C12" s="20" t="s">
        <v>45</v>
      </c>
      <c r="D12" s="20" t="s">
        <v>847</v>
      </c>
      <c r="E12" s="20" t="s">
        <v>47</v>
      </c>
      <c r="F12" s="21">
        <v>256013</v>
      </c>
      <c r="G12" s="21" t="s">
        <v>1082</v>
      </c>
      <c r="H12" s="23"/>
      <c r="I12" s="23"/>
      <c r="J12" s="23">
        <v>394.3</v>
      </c>
      <c r="K12" s="23"/>
      <c r="L12" s="105"/>
      <c r="M12" s="25">
        <f t="shared" si="0"/>
        <v>394.3</v>
      </c>
      <c r="N12" s="25">
        <f t="shared" si="1"/>
        <v>0</v>
      </c>
      <c r="O12" s="25">
        <f t="shared" si="2"/>
        <v>0</v>
      </c>
      <c r="P12" s="25">
        <v>394.3</v>
      </c>
      <c r="Q12" s="26"/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>
        <f t="shared" si="3"/>
        <v>-394.3</v>
      </c>
      <c r="AG12" s="28">
        <f t="shared" si="4"/>
        <v>0</v>
      </c>
      <c r="AMJ12"/>
    </row>
    <row r="13" spans="1:1024" s="29" customFormat="1" ht="23.25" customHeight="1" x14ac:dyDescent="0.25">
      <c r="A13" s="18">
        <v>43812</v>
      </c>
      <c r="B13" s="19"/>
      <c r="C13" s="20" t="s">
        <v>37</v>
      </c>
      <c r="D13" s="20" t="s">
        <v>38</v>
      </c>
      <c r="E13" s="20" t="s">
        <v>39</v>
      </c>
      <c r="F13" s="21">
        <v>100229</v>
      </c>
      <c r="G13" s="22" t="s">
        <v>183</v>
      </c>
      <c r="H13" s="23"/>
      <c r="I13" s="23"/>
      <c r="J13" s="23"/>
      <c r="K13" s="23">
        <v>117</v>
      </c>
      <c r="L13" s="105"/>
      <c r="M13" s="25">
        <f t="shared" si="0"/>
        <v>104.46428571428571</v>
      </c>
      <c r="N13" s="25">
        <f t="shared" si="1"/>
        <v>12.535714285714285</v>
      </c>
      <c r="O13" s="25">
        <f t="shared" si="2"/>
        <v>0</v>
      </c>
      <c r="P13" s="25">
        <v>104.46</v>
      </c>
      <c r="Q13" s="26"/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>
        <f t="shared" si="3"/>
        <v>-116.99571428571429</v>
      </c>
      <c r="AG13" s="28">
        <f t="shared" si="4"/>
        <v>4.2857142857144481E-3</v>
      </c>
      <c r="AMJ13"/>
    </row>
    <row r="14" spans="1:1024" s="29" customFormat="1" ht="23.25" customHeight="1" x14ac:dyDescent="0.25">
      <c r="A14" s="18">
        <v>43812</v>
      </c>
      <c r="B14" s="19"/>
      <c r="C14" s="20" t="s">
        <v>557</v>
      </c>
      <c r="D14" s="20" t="s">
        <v>558</v>
      </c>
      <c r="E14" s="20" t="s">
        <v>39</v>
      </c>
      <c r="F14" s="21">
        <v>4211216</v>
      </c>
      <c r="G14" s="21" t="s">
        <v>1051</v>
      </c>
      <c r="H14" s="23"/>
      <c r="I14" s="23"/>
      <c r="J14" s="23"/>
      <c r="K14" s="23">
        <v>71.25</v>
      </c>
      <c r="L14" s="105"/>
      <c r="M14" s="25">
        <f t="shared" si="0"/>
        <v>63.616071428571423</v>
      </c>
      <c r="N14" s="25">
        <f t="shared" si="1"/>
        <v>7.6339285714285703</v>
      </c>
      <c r="O14" s="25">
        <f t="shared" si="2"/>
        <v>0</v>
      </c>
      <c r="P14" s="25"/>
      <c r="Q14" s="26"/>
      <c r="R14" s="26"/>
      <c r="S14" s="27"/>
      <c r="T14" s="27"/>
      <c r="U14" s="27"/>
      <c r="V14" s="27"/>
      <c r="W14" s="27"/>
      <c r="X14" s="26"/>
      <c r="Y14" s="26">
        <v>63.62</v>
      </c>
      <c r="Z14" s="26"/>
      <c r="AA14" s="26"/>
      <c r="AB14" s="27"/>
      <c r="AC14" s="27"/>
      <c r="AD14" s="26"/>
      <c r="AE14" s="26"/>
      <c r="AF14" s="25">
        <f t="shared" si="3"/>
        <v>-71.253928571428574</v>
      </c>
      <c r="AG14" s="28">
        <f t="shared" si="4"/>
        <v>-3.9285714285739459E-3</v>
      </c>
      <c r="AMJ14"/>
    </row>
    <row r="15" spans="1:1024" s="29" customFormat="1" ht="23.25" customHeight="1" x14ac:dyDescent="0.25">
      <c r="A15" s="18">
        <v>43812</v>
      </c>
      <c r="B15" s="19"/>
      <c r="C15" s="20" t="s">
        <v>41</v>
      </c>
      <c r="D15" s="20" t="s">
        <v>42</v>
      </c>
      <c r="E15" s="20" t="s">
        <v>43</v>
      </c>
      <c r="F15" s="21">
        <v>197756</v>
      </c>
      <c r="G15" s="22" t="s">
        <v>44</v>
      </c>
      <c r="H15" s="23"/>
      <c r="I15" s="23"/>
      <c r="J15" s="23"/>
      <c r="K15" s="23">
        <v>180</v>
      </c>
      <c r="L15" s="105"/>
      <c r="M15" s="25">
        <f t="shared" si="0"/>
        <v>160.71428571428569</v>
      </c>
      <c r="N15" s="25">
        <f t="shared" si="1"/>
        <v>19.285714285714281</v>
      </c>
      <c r="O15" s="25">
        <f t="shared" si="2"/>
        <v>0</v>
      </c>
      <c r="P15" s="25"/>
      <c r="Q15" s="26">
        <v>160.71</v>
      </c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>
        <f t="shared" si="3"/>
        <v>-179.99571428571429</v>
      </c>
      <c r="AG15" s="28">
        <f t="shared" si="4"/>
        <v>4.2857142857144481E-3</v>
      </c>
      <c r="AMJ15"/>
    </row>
    <row r="16" spans="1:1024" s="29" customFormat="1" ht="23.25" customHeight="1" x14ac:dyDescent="0.25">
      <c r="A16" s="18">
        <v>43812</v>
      </c>
      <c r="B16" s="19"/>
      <c r="C16" s="20" t="s">
        <v>1083</v>
      </c>
      <c r="D16" s="20" t="s">
        <v>1084</v>
      </c>
      <c r="E16" s="20" t="s">
        <v>1085</v>
      </c>
      <c r="F16" s="21">
        <v>11697</v>
      </c>
      <c r="G16" s="22" t="s">
        <v>1086</v>
      </c>
      <c r="H16" s="23"/>
      <c r="I16" s="23"/>
      <c r="J16" s="23">
        <v>18.75</v>
      </c>
      <c r="K16" s="23"/>
      <c r="L16" s="105"/>
      <c r="M16" s="25">
        <f t="shared" si="0"/>
        <v>18.75</v>
      </c>
      <c r="N16" s="25">
        <f t="shared" si="1"/>
        <v>0</v>
      </c>
      <c r="O16" s="25">
        <f t="shared" si="2"/>
        <v>0</v>
      </c>
      <c r="P16" s="25"/>
      <c r="Q16" s="26"/>
      <c r="R16" s="26"/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>
        <v>18.75</v>
      </c>
      <c r="AE16" s="26"/>
      <c r="AF16" s="25">
        <f t="shared" si="3"/>
        <v>-18.75</v>
      </c>
      <c r="AG16" s="28">
        <f t="shared" si="4"/>
        <v>0</v>
      </c>
      <c r="AMJ16"/>
    </row>
    <row r="17" spans="1:1024" s="29" customFormat="1" ht="23.25" customHeight="1" x14ac:dyDescent="0.25">
      <c r="A17" s="18">
        <v>43812</v>
      </c>
      <c r="B17" s="19"/>
      <c r="C17" s="20" t="s">
        <v>557</v>
      </c>
      <c r="D17" s="20" t="s">
        <v>558</v>
      </c>
      <c r="E17" s="20" t="s">
        <v>39</v>
      </c>
      <c r="F17" s="21">
        <v>15192</v>
      </c>
      <c r="G17" s="22" t="s">
        <v>1087</v>
      </c>
      <c r="H17" s="23"/>
      <c r="I17" s="23"/>
      <c r="J17" s="23"/>
      <c r="K17" s="23">
        <v>140</v>
      </c>
      <c r="L17" s="105"/>
      <c r="M17" s="25">
        <f t="shared" si="0"/>
        <v>124.99999999999999</v>
      </c>
      <c r="N17" s="25">
        <f t="shared" si="1"/>
        <v>14.999999999999998</v>
      </c>
      <c r="O17" s="25">
        <f t="shared" si="2"/>
        <v>0</v>
      </c>
      <c r="P17" s="25"/>
      <c r="Q17" s="26"/>
      <c r="R17" s="26"/>
      <c r="S17" s="27"/>
      <c r="T17" s="27"/>
      <c r="U17" s="27"/>
      <c r="V17" s="27"/>
      <c r="W17" s="27"/>
      <c r="X17" s="26"/>
      <c r="Y17" s="26"/>
      <c r="Z17" s="26"/>
      <c r="AA17" s="26"/>
      <c r="AB17" s="27"/>
      <c r="AC17" s="27"/>
      <c r="AD17" s="26"/>
      <c r="AE17" s="26">
        <v>125</v>
      </c>
      <c r="AF17" s="25">
        <f t="shared" si="3"/>
        <v>-140</v>
      </c>
      <c r="AG17" s="28">
        <f t="shared" si="4"/>
        <v>0</v>
      </c>
      <c r="AMJ17"/>
    </row>
    <row r="18" spans="1:1024" s="29" customFormat="1" ht="23.25" customHeight="1" x14ac:dyDescent="0.25">
      <c r="A18" s="18">
        <v>43813</v>
      </c>
      <c r="B18" s="19"/>
      <c r="C18" s="20" t="s">
        <v>45</v>
      </c>
      <c r="D18" s="20" t="s">
        <v>847</v>
      </c>
      <c r="E18" s="20" t="s">
        <v>47</v>
      </c>
      <c r="F18" s="21">
        <v>192574</v>
      </c>
      <c r="G18" s="21" t="s">
        <v>369</v>
      </c>
      <c r="H18" s="23"/>
      <c r="I18" s="23"/>
      <c r="J18" s="23"/>
      <c r="K18" s="23">
        <f>728.57+87.43</f>
        <v>816</v>
      </c>
      <c r="L18" s="105"/>
      <c r="M18" s="25">
        <f t="shared" si="0"/>
        <v>728.57142857142856</v>
      </c>
      <c r="N18" s="25">
        <f t="shared" si="1"/>
        <v>87.428571428571416</v>
      </c>
      <c r="O18" s="25">
        <f t="shared" si="2"/>
        <v>0</v>
      </c>
      <c r="P18" s="25">
        <v>728.57</v>
      </c>
      <c r="Q18" s="26"/>
      <c r="R18" s="26"/>
      <c r="S18" s="27"/>
      <c r="T18" s="27"/>
      <c r="U18" s="27"/>
      <c r="V18" s="27"/>
      <c r="W18" s="27"/>
      <c r="X18" s="26"/>
      <c r="Y18" s="26"/>
      <c r="Z18" s="26"/>
      <c r="AA18" s="26"/>
      <c r="AB18" s="27"/>
      <c r="AC18" s="27"/>
      <c r="AD18" s="26"/>
      <c r="AE18" s="26"/>
      <c r="AF18" s="25">
        <f t="shared" si="3"/>
        <v>-815.99857142857149</v>
      </c>
      <c r="AG18" s="28">
        <f t="shared" si="4"/>
        <v>1.4285714285051654E-3</v>
      </c>
      <c r="AMJ18"/>
    </row>
    <row r="19" spans="1:1024" s="29" customFormat="1" ht="23.25" customHeight="1" x14ac:dyDescent="0.25">
      <c r="A19" s="18">
        <v>43813</v>
      </c>
      <c r="B19" s="19"/>
      <c r="C19" s="20" t="s">
        <v>45</v>
      </c>
      <c r="D19" s="20" t="s">
        <v>847</v>
      </c>
      <c r="E19" s="20" t="s">
        <v>47</v>
      </c>
      <c r="F19" s="21">
        <v>192574</v>
      </c>
      <c r="G19" s="22" t="s">
        <v>1039</v>
      </c>
      <c r="H19" s="23"/>
      <c r="I19" s="23"/>
      <c r="J19" s="23">
        <v>939</v>
      </c>
      <c r="K19" s="23"/>
      <c r="L19" s="105"/>
      <c r="M19" s="25">
        <f t="shared" si="0"/>
        <v>939</v>
      </c>
      <c r="N19" s="25">
        <f t="shared" si="1"/>
        <v>0</v>
      </c>
      <c r="O19" s="25">
        <f t="shared" si="2"/>
        <v>0</v>
      </c>
      <c r="P19" s="25">
        <v>939</v>
      </c>
      <c r="Q19" s="26"/>
      <c r="R19" s="26"/>
      <c r="S19" s="27"/>
      <c r="T19" s="27"/>
      <c r="U19" s="27"/>
      <c r="V19" s="27"/>
      <c r="W19" s="27"/>
      <c r="X19" s="26"/>
      <c r="Y19" s="26"/>
      <c r="Z19" s="26"/>
      <c r="AA19" s="26"/>
      <c r="AB19" s="27"/>
      <c r="AC19" s="27"/>
      <c r="AD19" s="26"/>
      <c r="AE19" s="26"/>
      <c r="AF19" s="25">
        <f t="shared" si="3"/>
        <v>-939</v>
      </c>
      <c r="AG19" s="28">
        <f t="shared" si="4"/>
        <v>0</v>
      </c>
      <c r="AMJ19"/>
    </row>
    <row r="20" spans="1:1024" s="29" customFormat="1" ht="23.25" customHeight="1" x14ac:dyDescent="0.25">
      <c r="A20" s="18">
        <v>43813</v>
      </c>
      <c r="B20" s="19"/>
      <c r="C20" s="20" t="s">
        <v>945</v>
      </c>
      <c r="D20" s="20" t="s">
        <v>115</v>
      </c>
      <c r="E20" s="20" t="s">
        <v>47</v>
      </c>
      <c r="F20" s="21">
        <v>573705</v>
      </c>
      <c r="G20" s="22" t="s">
        <v>1088</v>
      </c>
      <c r="H20" s="23"/>
      <c r="I20" s="23"/>
      <c r="J20" s="23"/>
      <c r="K20" s="23">
        <v>1900</v>
      </c>
      <c r="L20" s="105"/>
      <c r="M20" s="25">
        <f t="shared" si="0"/>
        <v>1696.4285714285713</v>
      </c>
      <c r="N20" s="25">
        <f t="shared" si="1"/>
        <v>203.57142857142856</v>
      </c>
      <c r="O20" s="25">
        <f t="shared" si="2"/>
        <v>0</v>
      </c>
      <c r="P20" s="25">
        <v>1696.43</v>
      </c>
      <c r="Q20" s="26"/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>
        <f t="shared" si="3"/>
        <v>-1900.0014285714287</v>
      </c>
      <c r="AG20" s="28">
        <f t="shared" si="4"/>
        <v>-1.4285714287325391E-3</v>
      </c>
      <c r="AMJ20"/>
    </row>
    <row r="21" spans="1:1024" s="29" customFormat="1" ht="23.25" customHeight="1" x14ac:dyDescent="0.25">
      <c r="A21" s="18">
        <v>43815</v>
      </c>
      <c r="B21" s="19"/>
      <c r="C21" s="20" t="s">
        <v>37</v>
      </c>
      <c r="D21" s="20" t="s">
        <v>38</v>
      </c>
      <c r="E21" s="20" t="s">
        <v>39</v>
      </c>
      <c r="F21" s="21">
        <v>107738</v>
      </c>
      <c r="G21" s="21" t="s">
        <v>1089</v>
      </c>
      <c r="H21" s="23"/>
      <c r="I21" s="23"/>
      <c r="J21" s="23"/>
      <c r="K21" s="23">
        <v>765</v>
      </c>
      <c r="L21" s="105"/>
      <c r="M21" s="25">
        <f t="shared" si="0"/>
        <v>683.03571428571422</v>
      </c>
      <c r="N21" s="25">
        <f t="shared" si="1"/>
        <v>81.964285714285708</v>
      </c>
      <c r="O21" s="25">
        <f t="shared" si="2"/>
        <v>0</v>
      </c>
      <c r="P21" s="25">
        <v>683.04</v>
      </c>
      <c r="Q21" s="26"/>
      <c r="R21" s="26"/>
      <c r="S21" s="27"/>
      <c r="T21" s="27"/>
      <c r="U21" s="27"/>
      <c r="V21" s="27"/>
      <c r="W21" s="27"/>
      <c r="X21" s="26"/>
      <c r="Y21" s="26"/>
      <c r="Z21" s="26"/>
      <c r="AA21" s="26"/>
      <c r="AB21" s="27"/>
      <c r="AC21" s="27"/>
      <c r="AD21" s="26"/>
      <c r="AE21" s="26"/>
      <c r="AF21" s="25">
        <f t="shared" si="3"/>
        <v>-765.00428571428563</v>
      </c>
      <c r="AG21" s="28">
        <f t="shared" si="4"/>
        <v>-4.285714285629183E-3</v>
      </c>
      <c r="AMJ21"/>
    </row>
    <row r="22" spans="1:1024" s="29" customFormat="1" ht="23.25" customHeight="1" x14ac:dyDescent="0.25">
      <c r="A22" s="18">
        <v>43815</v>
      </c>
      <c r="B22" s="19"/>
      <c r="C22" s="20" t="s">
        <v>41</v>
      </c>
      <c r="D22" s="20" t="s">
        <v>42</v>
      </c>
      <c r="E22" s="20" t="s">
        <v>43</v>
      </c>
      <c r="F22" s="21">
        <v>202085</v>
      </c>
      <c r="G22" s="22" t="s">
        <v>44</v>
      </c>
      <c r="H22" s="23"/>
      <c r="I22" s="23"/>
      <c r="J22" s="23"/>
      <c r="K22" s="23">
        <v>180</v>
      </c>
      <c r="L22" s="105"/>
      <c r="M22" s="25">
        <f t="shared" si="0"/>
        <v>160.71428571428569</v>
      </c>
      <c r="N22" s="25">
        <f t="shared" si="1"/>
        <v>19.285714285714281</v>
      </c>
      <c r="O22" s="25">
        <f t="shared" si="2"/>
        <v>0</v>
      </c>
      <c r="P22" s="25"/>
      <c r="Q22" s="26">
        <v>160.71</v>
      </c>
      <c r="R22" s="26"/>
      <c r="S22" s="27"/>
      <c r="T22" s="27"/>
      <c r="U22" s="27"/>
      <c r="V22" s="27"/>
      <c r="W22" s="27"/>
      <c r="X22" s="26"/>
      <c r="Y22" s="26"/>
      <c r="Z22" s="26"/>
      <c r="AA22" s="26"/>
      <c r="AB22" s="27"/>
      <c r="AC22" s="27"/>
      <c r="AD22" s="26"/>
      <c r="AE22" s="26"/>
      <c r="AF22" s="25">
        <f t="shared" si="3"/>
        <v>-179.99571428571429</v>
      </c>
      <c r="AG22" s="28">
        <f t="shared" si="4"/>
        <v>4.2857142857144481E-3</v>
      </c>
      <c r="AMJ22"/>
    </row>
    <row r="23" spans="1:1024" s="29" customFormat="1" ht="23.25" customHeight="1" x14ac:dyDescent="0.25">
      <c r="A23" s="18">
        <v>43816</v>
      </c>
      <c r="B23" s="19"/>
      <c r="C23" s="20" t="s">
        <v>41</v>
      </c>
      <c r="D23" s="20" t="s">
        <v>42</v>
      </c>
      <c r="E23" s="20" t="s">
        <v>43</v>
      </c>
      <c r="F23" s="21">
        <v>202136</v>
      </c>
      <c r="G23" s="22" t="s">
        <v>44</v>
      </c>
      <c r="H23" s="23"/>
      <c r="I23" s="23"/>
      <c r="J23" s="23"/>
      <c r="K23" s="23">
        <v>180</v>
      </c>
      <c r="L23" s="105"/>
      <c r="M23" s="25">
        <f t="shared" si="0"/>
        <v>160.71428571428569</v>
      </c>
      <c r="N23" s="25">
        <f t="shared" si="1"/>
        <v>19.285714285714281</v>
      </c>
      <c r="O23" s="25">
        <f t="shared" si="2"/>
        <v>0</v>
      </c>
      <c r="P23" s="25"/>
      <c r="Q23" s="26">
        <v>160.71</v>
      </c>
      <c r="R23" s="26"/>
      <c r="S23" s="27"/>
      <c r="T23" s="27"/>
      <c r="U23" s="27"/>
      <c r="V23" s="27"/>
      <c r="W23" s="27"/>
      <c r="X23" s="26"/>
      <c r="Y23" s="26"/>
      <c r="Z23" s="26"/>
      <c r="AA23" s="26"/>
      <c r="AB23" s="27"/>
      <c r="AC23" s="27"/>
      <c r="AD23" s="26"/>
      <c r="AE23" s="26"/>
      <c r="AF23" s="25">
        <f t="shared" si="3"/>
        <v>-179.99571428571429</v>
      </c>
      <c r="AG23" s="28">
        <f t="shared" si="4"/>
        <v>4.2857142857144481E-3</v>
      </c>
      <c r="AMJ23"/>
    </row>
    <row r="24" spans="1:1024" s="29" customFormat="1" ht="23.25" customHeight="1" x14ac:dyDescent="0.25">
      <c r="A24" s="18">
        <v>43815</v>
      </c>
      <c r="B24" s="19"/>
      <c r="C24" s="20" t="s">
        <v>62</v>
      </c>
      <c r="D24" s="20"/>
      <c r="E24" s="20"/>
      <c r="F24" s="21"/>
      <c r="G24" s="22" t="s">
        <v>1025</v>
      </c>
      <c r="H24" s="23">
        <v>40</v>
      </c>
      <c r="I24" s="23"/>
      <c r="J24" s="23"/>
      <c r="K24" s="23"/>
      <c r="L24" s="105"/>
      <c r="M24" s="25">
        <f t="shared" si="0"/>
        <v>40</v>
      </c>
      <c r="N24" s="25">
        <f t="shared" si="1"/>
        <v>0</v>
      </c>
      <c r="O24" s="25">
        <f t="shared" si="2"/>
        <v>0</v>
      </c>
      <c r="P24" s="25"/>
      <c r="Q24" s="26"/>
      <c r="R24" s="26"/>
      <c r="S24" s="27"/>
      <c r="T24" s="27"/>
      <c r="U24" s="27"/>
      <c r="V24" s="27"/>
      <c r="W24" s="27"/>
      <c r="X24" s="26"/>
      <c r="Y24" s="26"/>
      <c r="Z24" s="26"/>
      <c r="AA24" s="26">
        <v>40</v>
      </c>
      <c r="AB24" s="27"/>
      <c r="AC24" s="27"/>
      <c r="AD24" s="26"/>
      <c r="AE24" s="26"/>
      <c r="AF24" s="25">
        <f t="shared" si="3"/>
        <v>-40</v>
      </c>
      <c r="AG24" s="28">
        <f t="shared" si="4"/>
        <v>0</v>
      </c>
      <c r="AMJ24"/>
    </row>
    <row r="25" spans="1:1024" s="29" customFormat="1" ht="23.25" customHeight="1" x14ac:dyDescent="0.25">
      <c r="A25" s="18">
        <v>43815</v>
      </c>
      <c r="B25" s="19"/>
      <c r="C25" s="20" t="s">
        <v>54</v>
      </c>
      <c r="D25" s="20" t="s">
        <v>55</v>
      </c>
      <c r="E25" s="20" t="s">
        <v>56</v>
      </c>
      <c r="F25" s="21">
        <v>3364</v>
      </c>
      <c r="G25" s="22" t="s">
        <v>1090</v>
      </c>
      <c r="H25" s="23"/>
      <c r="I25" s="23"/>
      <c r="J25" s="23">
        <v>190</v>
      </c>
      <c r="K25" s="23"/>
      <c r="L25" s="105"/>
      <c r="M25" s="25">
        <f t="shared" si="0"/>
        <v>190</v>
      </c>
      <c r="N25" s="25">
        <f t="shared" si="1"/>
        <v>0</v>
      </c>
      <c r="O25" s="25">
        <f t="shared" si="2"/>
        <v>0</v>
      </c>
      <c r="P25" s="25">
        <v>190</v>
      </c>
      <c r="Q25" s="26"/>
      <c r="R25" s="26"/>
      <c r="S25" s="27"/>
      <c r="T25" s="27"/>
      <c r="U25" s="27"/>
      <c r="V25" s="27"/>
      <c r="W25" s="27"/>
      <c r="X25" s="26"/>
      <c r="Y25" s="26"/>
      <c r="Z25" s="26"/>
      <c r="AA25" s="26"/>
      <c r="AB25" s="27"/>
      <c r="AC25" s="27"/>
      <c r="AD25" s="26"/>
      <c r="AE25" s="26"/>
      <c r="AF25" s="25">
        <f t="shared" si="3"/>
        <v>-190</v>
      </c>
      <c r="AG25" s="28">
        <f t="shared" si="4"/>
        <v>0</v>
      </c>
      <c r="AMJ25"/>
    </row>
    <row r="26" spans="1:1024" s="29" customFormat="1" ht="23.25" customHeight="1" x14ac:dyDescent="0.25">
      <c r="A26" s="18">
        <v>43815</v>
      </c>
      <c r="B26" s="19"/>
      <c r="C26" s="20" t="s">
        <v>58</v>
      </c>
      <c r="D26" s="20"/>
      <c r="E26" s="20"/>
      <c r="F26" s="21"/>
      <c r="G26" s="22" t="s">
        <v>113</v>
      </c>
      <c r="H26" s="23">
        <v>100</v>
      </c>
      <c r="I26" s="23"/>
      <c r="J26" s="23"/>
      <c r="K26" s="23"/>
      <c r="L26" s="105"/>
      <c r="M26" s="25">
        <f t="shared" si="0"/>
        <v>100</v>
      </c>
      <c r="N26" s="25">
        <f t="shared" si="1"/>
        <v>0</v>
      </c>
      <c r="O26" s="25">
        <f t="shared" si="2"/>
        <v>0</v>
      </c>
      <c r="P26" s="25"/>
      <c r="Q26" s="26"/>
      <c r="R26" s="26"/>
      <c r="S26" s="27"/>
      <c r="T26" s="27"/>
      <c r="U26" s="27"/>
      <c r="V26" s="27"/>
      <c r="W26" s="27"/>
      <c r="X26" s="26"/>
      <c r="Y26" s="26"/>
      <c r="Z26" s="26"/>
      <c r="AA26" s="26">
        <v>100</v>
      </c>
      <c r="AB26" s="27"/>
      <c r="AC26" s="27"/>
      <c r="AD26" s="26"/>
      <c r="AE26" s="26"/>
      <c r="AF26" s="25">
        <f t="shared" si="3"/>
        <v>-100</v>
      </c>
      <c r="AG26" s="28">
        <f t="shared" si="4"/>
        <v>0</v>
      </c>
      <c r="AMJ26"/>
    </row>
    <row r="27" spans="1:1024" s="29" customFormat="1" ht="23.25" customHeight="1" x14ac:dyDescent="0.25">
      <c r="A27" s="18">
        <v>43815</v>
      </c>
      <c r="B27" s="19"/>
      <c r="C27" s="20" t="s">
        <v>1091</v>
      </c>
      <c r="D27" s="20" t="s">
        <v>1092</v>
      </c>
      <c r="E27" s="20" t="s">
        <v>99</v>
      </c>
      <c r="F27" s="21">
        <v>118787</v>
      </c>
      <c r="G27" s="22" t="s">
        <v>165</v>
      </c>
      <c r="H27" s="23"/>
      <c r="I27" s="23"/>
      <c r="J27" s="23"/>
      <c r="K27" s="23">
        <v>1329.54</v>
      </c>
      <c r="L27" s="105"/>
      <c r="M27" s="25">
        <f t="shared" si="0"/>
        <v>1187.0892857142856</v>
      </c>
      <c r="N27" s="25">
        <f t="shared" si="1"/>
        <v>142.45071428571427</v>
      </c>
      <c r="O27" s="25">
        <f t="shared" si="2"/>
        <v>0</v>
      </c>
      <c r="P27" s="25">
        <v>1187.0899999999999</v>
      </c>
      <c r="Q27" s="26"/>
      <c r="R27" s="26"/>
      <c r="S27" s="27"/>
      <c r="T27" s="27"/>
      <c r="U27" s="27"/>
      <c r="V27" s="27"/>
      <c r="W27" s="27"/>
      <c r="X27" s="26"/>
      <c r="Y27" s="26"/>
      <c r="Z27" s="26"/>
      <c r="AA27" s="26"/>
      <c r="AB27" s="27"/>
      <c r="AC27" s="27"/>
      <c r="AD27" s="26"/>
      <c r="AE27" s="26"/>
      <c r="AF27" s="25">
        <f t="shared" si="3"/>
        <v>-1329.5407142857141</v>
      </c>
      <c r="AG27" s="28">
        <f t="shared" si="4"/>
        <v>-7.1428571413889586E-4</v>
      </c>
      <c r="AMJ27"/>
    </row>
    <row r="28" spans="1:1024" s="29" customFormat="1" ht="23.25" customHeight="1" x14ac:dyDescent="0.25">
      <c r="A28" s="18">
        <v>43816</v>
      </c>
      <c r="B28" s="19"/>
      <c r="C28" s="20" t="s">
        <v>498</v>
      </c>
      <c r="D28" s="20"/>
      <c r="E28" s="20"/>
      <c r="F28" s="21"/>
      <c r="G28" s="21" t="s">
        <v>1093</v>
      </c>
      <c r="H28" s="23">
        <v>245</v>
      </c>
      <c r="I28" s="23"/>
      <c r="J28" s="23"/>
      <c r="K28" s="23"/>
      <c r="L28" s="105"/>
      <c r="M28" s="25">
        <f t="shared" si="0"/>
        <v>245</v>
      </c>
      <c r="N28" s="25">
        <f t="shared" si="1"/>
        <v>0</v>
      </c>
      <c r="O28" s="25">
        <f t="shared" si="2"/>
        <v>0</v>
      </c>
      <c r="P28" s="25"/>
      <c r="Q28" s="26"/>
      <c r="R28" s="26"/>
      <c r="S28" s="27"/>
      <c r="T28" s="27"/>
      <c r="U28" s="27"/>
      <c r="V28" s="27"/>
      <c r="W28" s="27"/>
      <c r="X28" s="26"/>
      <c r="Y28" s="26"/>
      <c r="Z28" s="26"/>
      <c r="AA28" s="26">
        <v>245</v>
      </c>
      <c r="AB28" s="27"/>
      <c r="AC28" s="27"/>
      <c r="AD28" s="26"/>
      <c r="AE28" s="26"/>
      <c r="AF28" s="25">
        <f t="shared" si="3"/>
        <v>-245</v>
      </c>
      <c r="AG28" s="28">
        <f t="shared" si="4"/>
        <v>0</v>
      </c>
      <c r="AMJ28"/>
    </row>
    <row r="29" spans="1:1024" s="29" customFormat="1" ht="23.25" customHeight="1" x14ac:dyDescent="0.25">
      <c r="A29" s="18">
        <v>43816</v>
      </c>
      <c r="B29" s="19"/>
      <c r="C29" s="20" t="s">
        <v>37</v>
      </c>
      <c r="D29" s="20" t="s">
        <v>38</v>
      </c>
      <c r="E29" s="20" t="s">
        <v>39</v>
      </c>
      <c r="F29" s="21">
        <v>88625</v>
      </c>
      <c r="G29" s="21" t="s">
        <v>567</v>
      </c>
      <c r="H29" s="23"/>
      <c r="I29" s="23"/>
      <c r="J29" s="23"/>
      <c r="K29" s="23">
        <v>240</v>
      </c>
      <c r="L29" s="105"/>
      <c r="M29" s="25">
        <f t="shared" si="0"/>
        <v>214.28571428571428</v>
      </c>
      <c r="N29" s="25">
        <f t="shared" si="1"/>
        <v>25.714285714285712</v>
      </c>
      <c r="O29" s="25">
        <f t="shared" si="2"/>
        <v>0</v>
      </c>
      <c r="P29" s="25">
        <v>214.29</v>
      </c>
      <c r="Q29" s="26"/>
      <c r="R29" s="26"/>
      <c r="S29" s="27"/>
      <c r="T29" s="27"/>
      <c r="U29" s="27"/>
      <c r="V29" s="27"/>
      <c r="W29" s="27"/>
      <c r="X29" s="26"/>
      <c r="Y29" s="26"/>
      <c r="Z29" s="26"/>
      <c r="AA29" s="26"/>
      <c r="AB29" s="27"/>
      <c r="AC29" s="27"/>
      <c r="AD29" s="26"/>
      <c r="AE29" s="26"/>
      <c r="AF29" s="25">
        <f t="shared" si="3"/>
        <v>-240.00428571428571</v>
      </c>
      <c r="AG29" s="28">
        <f t="shared" si="4"/>
        <v>-4.2857142857144481E-3</v>
      </c>
      <c r="AMJ29"/>
    </row>
    <row r="30" spans="1:1024" s="29" customFormat="1" ht="23.25" customHeight="1" x14ac:dyDescent="0.25">
      <c r="A30" s="18">
        <v>43816</v>
      </c>
      <c r="B30" s="19"/>
      <c r="C30" s="20" t="s">
        <v>45</v>
      </c>
      <c r="D30" s="20" t="s">
        <v>847</v>
      </c>
      <c r="E30" s="20" t="s">
        <v>47</v>
      </c>
      <c r="F30" s="21">
        <v>212084</v>
      </c>
      <c r="G30" s="22" t="s">
        <v>1094</v>
      </c>
      <c r="H30" s="23"/>
      <c r="I30" s="23"/>
      <c r="J30" s="23"/>
      <c r="K30" s="23">
        <f>801.7+96.2</f>
        <v>897.90000000000009</v>
      </c>
      <c r="L30" s="105"/>
      <c r="M30" s="25">
        <f t="shared" si="0"/>
        <v>801.69642857142856</v>
      </c>
      <c r="N30" s="25">
        <f t="shared" si="1"/>
        <v>96.203571428571422</v>
      </c>
      <c r="O30" s="25">
        <f t="shared" si="2"/>
        <v>0</v>
      </c>
      <c r="P30" s="25">
        <v>801.7</v>
      </c>
      <c r="Q30" s="26"/>
      <c r="R30" s="26"/>
      <c r="S30" s="27"/>
      <c r="T30" s="27"/>
      <c r="U30" s="27"/>
      <c r="V30" s="27"/>
      <c r="W30" s="27"/>
      <c r="X30" s="26"/>
      <c r="Y30" s="26"/>
      <c r="Z30" s="26"/>
      <c r="AA30" s="26"/>
      <c r="AB30" s="27"/>
      <c r="AC30" s="27"/>
      <c r="AD30" s="26"/>
      <c r="AE30" s="26"/>
      <c r="AF30" s="25">
        <f t="shared" si="3"/>
        <v>-897.90357142857147</v>
      </c>
      <c r="AG30" s="28">
        <f t="shared" si="4"/>
        <v>-3.5714285713766003E-3</v>
      </c>
      <c r="AMJ30"/>
    </row>
    <row r="31" spans="1:1024" s="29" customFormat="1" ht="23.25" customHeight="1" x14ac:dyDescent="0.25">
      <c r="A31" s="18">
        <v>43816</v>
      </c>
      <c r="B31" s="19"/>
      <c r="C31" s="20" t="s">
        <v>45</v>
      </c>
      <c r="D31" s="20" t="s">
        <v>847</v>
      </c>
      <c r="E31" s="20" t="s">
        <v>47</v>
      </c>
      <c r="F31" s="21">
        <v>212084</v>
      </c>
      <c r="G31" s="22" t="s">
        <v>1095</v>
      </c>
      <c r="H31" s="23"/>
      <c r="I31" s="23"/>
      <c r="J31" s="23">
        <v>206.8</v>
      </c>
      <c r="K31" s="23"/>
      <c r="L31" s="105"/>
      <c r="M31" s="25">
        <f t="shared" si="0"/>
        <v>206.8</v>
      </c>
      <c r="N31" s="25">
        <f t="shared" si="1"/>
        <v>0</v>
      </c>
      <c r="O31" s="25">
        <f t="shared" si="2"/>
        <v>0</v>
      </c>
      <c r="P31" s="25">
        <v>206.8</v>
      </c>
      <c r="Q31" s="26"/>
      <c r="R31" s="26"/>
      <c r="S31" s="27"/>
      <c r="T31" s="27"/>
      <c r="U31" s="27"/>
      <c r="V31" s="27"/>
      <c r="W31" s="27"/>
      <c r="X31" s="26"/>
      <c r="Y31" s="26"/>
      <c r="Z31" s="26"/>
      <c r="AA31" s="26"/>
      <c r="AB31" s="27"/>
      <c r="AC31" s="27"/>
      <c r="AD31" s="26"/>
      <c r="AE31" s="26"/>
      <c r="AF31" s="25">
        <f t="shared" si="3"/>
        <v>-206.8</v>
      </c>
      <c r="AG31" s="28">
        <f t="shared" si="4"/>
        <v>0</v>
      </c>
      <c r="AMJ31"/>
    </row>
    <row r="32" spans="1:1024" s="29" customFormat="1" ht="23.25" customHeight="1" x14ac:dyDescent="0.25">
      <c r="A32" s="18">
        <v>43816</v>
      </c>
      <c r="B32" s="19"/>
      <c r="C32" s="20" t="s">
        <v>45</v>
      </c>
      <c r="D32" s="20" t="s">
        <v>847</v>
      </c>
      <c r="E32" s="20" t="s">
        <v>47</v>
      </c>
      <c r="F32" s="21">
        <v>184739</v>
      </c>
      <c r="G32" s="21" t="s">
        <v>1096</v>
      </c>
      <c r="H32" s="23"/>
      <c r="I32" s="23"/>
      <c r="J32" s="23"/>
      <c r="K32" s="23">
        <v>199.75</v>
      </c>
      <c r="L32" s="105"/>
      <c r="M32" s="25">
        <f t="shared" si="0"/>
        <v>178.34821428571428</v>
      </c>
      <c r="N32" s="25">
        <f t="shared" si="1"/>
        <v>21.401785714285712</v>
      </c>
      <c r="O32" s="25">
        <f t="shared" si="2"/>
        <v>0</v>
      </c>
      <c r="P32" s="25">
        <v>178.35</v>
      </c>
      <c r="Q32" s="26"/>
      <c r="R32" s="26"/>
      <c r="S32" s="27"/>
      <c r="T32" s="27"/>
      <c r="U32" s="27"/>
      <c r="V32" s="27"/>
      <c r="W32" s="27"/>
      <c r="X32" s="26"/>
      <c r="Y32" s="26"/>
      <c r="Z32" s="26"/>
      <c r="AA32" s="26"/>
      <c r="AB32" s="27"/>
      <c r="AC32" s="27"/>
      <c r="AD32" s="26"/>
      <c r="AE32" s="26"/>
      <c r="AF32" s="25">
        <f t="shared" si="3"/>
        <v>-199.75178571428572</v>
      </c>
      <c r="AG32" s="28">
        <f t="shared" si="4"/>
        <v>-1.7857142857167219E-3</v>
      </c>
      <c r="AMJ32"/>
    </row>
    <row r="33" spans="1:1024" s="29" customFormat="1" ht="23.25" customHeight="1" x14ac:dyDescent="0.25">
      <c r="A33" s="18"/>
      <c r="B33" s="19"/>
      <c r="C33" s="20"/>
      <c r="D33" s="20"/>
      <c r="E33" s="20"/>
      <c r="F33" s="21"/>
      <c r="G33" s="21"/>
      <c r="H33" s="23"/>
      <c r="I33" s="23"/>
      <c r="J33" s="23"/>
      <c r="K33" s="23"/>
      <c r="L33" s="105"/>
      <c r="M33" s="25">
        <f t="shared" si="0"/>
        <v>0</v>
      </c>
      <c r="N33" s="25">
        <f t="shared" si="1"/>
        <v>0</v>
      </c>
      <c r="O33" s="25">
        <f t="shared" si="2"/>
        <v>0</v>
      </c>
      <c r="P33" s="25"/>
      <c r="Q33" s="26"/>
      <c r="R33" s="26"/>
      <c r="S33" s="27"/>
      <c r="T33" s="27"/>
      <c r="U33" s="27"/>
      <c r="V33" s="27"/>
      <c r="W33" s="27"/>
      <c r="X33" s="26"/>
      <c r="Y33" s="26"/>
      <c r="Z33" s="26"/>
      <c r="AA33" s="26"/>
      <c r="AB33" s="27"/>
      <c r="AC33" s="27"/>
      <c r="AD33" s="26"/>
      <c r="AE33" s="26"/>
      <c r="AF33" s="25">
        <f t="shared" si="3"/>
        <v>0</v>
      </c>
      <c r="AG33" s="28">
        <f t="shared" si="4"/>
        <v>0</v>
      </c>
      <c r="AMJ33"/>
    </row>
    <row r="34" spans="1:1024" s="29" customFormat="1" ht="23.25" customHeight="1" x14ac:dyDescent="0.25">
      <c r="A34" s="18"/>
      <c r="B34" s="19"/>
      <c r="C34" s="20"/>
      <c r="D34" s="20"/>
      <c r="E34" s="20"/>
      <c r="F34" s="21"/>
      <c r="G34" s="22"/>
      <c r="H34" s="23"/>
      <c r="I34" s="23"/>
      <c r="J34" s="23"/>
      <c r="K34" s="23"/>
      <c r="L34" s="105"/>
      <c r="M34" s="25">
        <f t="shared" si="0"/>
        <v>0</v>
      </c>
      <c r="N34" s="25">
        <f t="shared" si="1"/>
        <v>0</v>
      </c>
      <c r="O34" s="25">
        <f t="shared" si="2"/>
        <v>0</v>
      </c>
      <c r="P34" s="25"/>
      <c r="Q34" s="26"/>
      <c r="R34" s="26"/>
      <c r="S34" s="27"/>
      <c r="T34" s="27"/>
      <c r="U34" s="27"/>
      <c r="V34" s="27"/>
      <c r="W34" s="27"/>
      <c r="X34" s="26"/>
      <c r="Y34" s="26"/>
      <c r="Z34" s="26"/>
      <c r="AA34" s="26"/>
      <c r="AB34" s="27"/>
      <c r="AC34" s="27"/>
      <c r="AD34" s="26"/>
      <c r="AE34" s="26"/>
      <c r="AF34" s="25">
        <f t="shared" si="3"/>
        <v>0</v>
      </c>
      <c r="AG34" s="28">
        <f t="shared" si="4"/>
        <v>0</v>
      </c>
      <c r="AMJ34"/>
    </row>
    <row r="35" spans="1:1024" s="29" customFormat="1" ht="23.25" customHeight="1" x14ac:dyDescent="0.25">
      <c r="A35" s="18"/>
      <c r="B35" s="19"/>
      <c r="C35" s="20"/>
      <c r="D35" s="20"/>
      <c r="E35" s="20"/>
      <c r="F35" s="21"/>
      <c r="G35" s="22"/>
      <c r="H35" s="23"/>
      <c r="I35" s="23"/>
      <c r="J35" s="23"/>
      <c r="K35" s="23"/>
      <c r="L35" s="105"/>
      <c r="M35" s="25">
        <f t="shared" si="0"/>
        <v>0</v>
      </c>
      <c r="N35" s="25">
        <f t="shared" si="1"/>
        <v>0</v>
      </c>
      <c r="O35" s="25">
        <f t="shared" si="2"/>
        <v>0</v>
      </c>
      <c r="P35" s="25"/>
      <c r="Q35" s="26"/>
      <c r="R35" s="26"/>
      <c r="S35" s="27"/>
      <c r="T35" s="27"/>
      <c r="U35" s="27"/>
      <c r="V35" s="27"/>
      <c r="W35" s="27"/>
      <c r="X35" s="26"/>
      <c r="Y35" s="26"/>
      <c r="Z35" s="26"/>
      <c r="AA35" s="26"/>
      <c r="AB35" s="27"/>
      <c r="AC35" s="27"/>
      <c r="AD35" s="26"/>
      <c r="AE35" s="26"/>
      <c r="AF35" s="25">
        <f t="shared" si="3"/>
        <v>0</v>
      </c>
      <c r="AG35" s="28">
        <f t="shared" si="4"/>
        <v>0</v>
      </c>
      <c r="AMJ35"/>
    </row>
    <row r="36" spans="1:1024" s="57" customFormat="1" ht="12" customHeight="1" x14ac:dyDescent="0.25">
      <c r="A36" s="49"/>
      <c r="B36" s="50"/>
      <c r="C36" s="51"/>
      <c r="D36" s="52"/>
      <c r="E36" s="52"/>
      <c r="F36" s="53"/>
      <c r="G36" s="51"/>
      <c r="H36" s="54">
        <f t="shared" ref="H36:AG36" si="5">SUM(H5:H35)</f>
        <v>535</v>
      </c>
      <c r="I36" s="54">
        <f t="shared" si="5"/>
        <v>0</v>
      </c>
      <c r="J36" s="54">
        <f t="shared" si="5"/>
        <v>3267.05</v>
      </c>
      <c r="K36" s="54">
        <f t="shared" si="5"/>
        <v>9240.74</v>
      </c>
      <c r="L36" s="54">
        <f t="shared" si="5"/>
        <v>0</v>
      </c>
      <c r="M36" s="54">
        <f t="shared" si="5"/>
        <v>12052.710714285715</v>
      </c>
      <c r="N36" s="54">
        <f t="shared" si="5"/>
        <v>990.07928571428556</v>
      </c>
      <c r="O36" s="54">
        <f t="shared" si="5"/>
        <v>0</v>
      </c>
      <c r="P36" s="54">
        <f t="shared" si="5"/>
        <v>8487.14</v>
      </c>
      <c r="Q36" s="54">
        <f t="shared" si="5"/>
        <v>482.13</v>
      </c>
      <c r="R36" s="54">
        <f t="shared" si="5"/>
        <v>0</v>
      </c>
      <c r="S36" s="54">
        <f t="shared" si="5"/>
        <v>2019.6399999999999</v>
      </c>
      <c r="T36" s="54">
        <f t="shared" si="5"/>
        <v>0</v>
      </c>
      <c r="U36" s="54">
        <f t="shared" si="5"/>
        <v>0</v>
      </c>
      <c r="V36" s="54">
        <f t="shared" si="5"/>
        <v>0</v>
      </c>
      <c r="W36" s="54">
        <f t="shared" si="5"/>
        <v>0</v>
      </c>
      <c r="X36" s="54">
        <f t="shared" si="5"/>
        <v>321.43</v>
      </c>
      <c r="Y36" s="54">
        <f t="shared" si="5"/>
        <v>63.62</v>
      </c>
      <c r="Z36" s="54">
        <f t="shared" si="5"/>
        <v>0</v>
      </c>
      <c r="AA36" s="54">
        <f t="shared" si="5"/>
        <v>535</v>
      </c>
      <c r="AB36" s="54">
        <f t="shared" si="5"/>
        <v>0</v>
      </c>
      <c r="AC36" s="54">
        <f t="shared" si="5"/>
        <v>0</v>
      </c>
      <c r="AD36" s="54">
        <f t="shared" si="5"/>
        <v>18.75</v>
      </c>
      <c r="AE36" s="54">
        <f t="shared" si="5"/>
        <v>125</v>
      </c>
      <c r="AF36" s="54">
        <f t="shared" si="5"/>
        <v>-13042.789285714287</v>
      </c>
      <c r="AG36" s="54">
        <f t="shared" si="5"/>
        <v>7.1428571435205868E-4</v>
      </c>
      <c r="AMJ36"/>
    </row>
    <row r="37" spans="1:1024" ht="12" customHeight="1" x14ac:dyDescent="0.25"/>
    <row r="39" spans="1:1024" s="3" customFormat="1" x14ac:dyDescent="0.25">
      <c r="K39" s="5"/>
      <c r="L39" s="89"/>
      <c r="M39" s="5"/>
      <c r="Y39" s="5"/>
      <c r="AMJ39"/>
    </row>
    <row r="45" spans="1:1024" x14ac:dyDescent="0.25">
      <c r="J45" s="5" t="s">
        <v>1097</v>
      </c>
    </row>
    <row r="46" spans="1:1024" x14ac:dyDescent="0.25">
      <c r="Q46" s="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J59"/>
  <sheetViews>
    <sheetView tabSelected="1" topLeftCell="A43" zoomScale="90" zoomScaleNormal="90" workbookViewId="0">
      <selection activeCell="E58" sqref="A58:XFD68"/>
    </sheetView>
  </sheetViews>
  <sheetFormatPr defaultRowHeight="13.2" x14ac:dyDescent="0.25"/>
  <cols>
    <col min="1" max="1" width="10.21875" style="1" customWidth="1"/>
    <col min="2" max="2" width="9.21875" style="2" hidden="1" customWidth="1"/>
    <col min="3" max="3" width="27.5546875" style="3" customWidth="1"/>
    <col min="4" max="4" width="17.6640625" style="4" customWidth="1"/>
    <col min="5" max="5" width="35.33203125" style="4" customWidth="1"/>
    <col min="6" max="6" width="7.88671875" style="2" customWidth="1"/>
    <col min="7" max="7" width="34.5546875" style="3" customWidth="1"/>
    <col min="8" max="8" width="9.88671875" style="5" customWidth="1"/>
    <col min="9" max="9" width="10.6640625" style="5" customWidth="1"/>
    <col min="10" max="10" width="10.21875" style="5" customWidth="1"/>
    <col min="11" max="11" width="12.5546875" style="5" customWidth="1"/>
    <col min="12" max="12" width="6.44140625" style="89" customWidth="1"/>
    <col min="13" max="13" width="11.6640625" style="5" customWidth="1"/>
    <col min="14" max="14" width="10.21875" style="5" customWidth="1"/>
    <col min="15" max="15" width="8.21875" style="5" customWidth="1"/>
    <col min="16" max="16" width="12.21875" style="5" customWidth="1"/>
    <col min="17" max="17" width="12.5546875" style="5" customWidth="1"/>
    <col min="18" max="18" width="11.5546875" style="5"/>
    <col min="19" max="19" width="10.109375" style="5" customWidth="1"/>
    <col min="20" max="20" width="10.44140625" style="5" customWidth="1"/>
    <col min="21" max="21" width="11.5546875" style="5"/>
    <col min="22" max="22" width="13.33203125" style="5" customWidth="1"/>
    <col min="23" max="23" width="10.21875" style="5" customWidth="1"/>
    <col min="24" max="24" width="12.44140625" style="5" customWidth="1"/>
    <col min="25" max="25" width="11.6640625" style="5" customWidth="1"/>
    <col min="26" max="26" width="10.44140625" style="5" customWidth="1"/>
    <col min="27" max="27" width="9" style="5" customWidth="1"/>
    <col min="28" max="28" width="11.33203125" style="5" customWidth="1"/>
    <col min="29" max="29" width="10.109375" style="5" customWidth="1"/>
    <col min="30" max="30" width="8.6640625" style="5" customWidth="1"/>
    <col min="31" max="31" width="12.77734375" style="5" customWidth="1"/>
    <col min="32" max="32" width="13.33203125" style="5" customWidth="1"/>
    <col min="33" max="33" width="9.21875" style="3" customWidth="1"/>
    <col min="34" max="1023" width="11.5546875" style="3"/>
    <col min="1024" max="1025" width="11.5546875"/>
  </cols>
  <sheetData>
    <row r="1" spans="1:1024" ht="12" customHeight="1" x14ac:dyDescent="0.25">
      <c r="A1" s="7" t="s">
        <v>0</v>
      </c>
      <c r="C1" s="8"/>
    </row>
    <row r="2" spans="1:1024" ht="12" customHeight="1" x14ac:dyDescent="0.25">
      <c r="A2" s="7" t="s">
        <v>1</v>
      </c>
    </row>
    <row r="3" spans="1:1024" ht="12" customHeight="1" x14ac:dyDescent="0.25">
      <c r="A3" s="7" t="s">
        <v>1036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/>
      <c r="W3" s="10"/>
      <c r="X3" s="10"/>
      <c r="Y3" s="10" t="s">
        <v>3</v>
      </c>
      <c r="Z3" s="10"/>
      <c r="AA3" s="10">
        <v>6230</v>
      </c>
      <c r="AB3" s="10" t="s">
        <v>4</v>
      </c>
      <c r="AC3" s="10">
        <v>6202</v>
      </c>
      <c r="AD3" s="10"/>
      <c r="AE3" s="10">
        <v>6109</v>
      </c>
      <c r="AF3" s="10">
        <v>1002</v>
      </c>
    </row>
    <row r="4" spans="1:1024" s="17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96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  <c r="AMJ4"/>
    </row>
    <row r="5" spans="1:1024" s="29" customFormat="1" ht="23.25" customHeight="1" x14ac:dyDescent="0.25">
      <c r="A5" s="18">
        <v>43817</v>
      </c>
      <c r="B5" s="19"/>
      <c r="C5" s="20" t="s">
        <v>45</v>
      </c>
      <c r="D5" s="20" t="s">
        <v>847</v>
      </c>
      <c r="E5" s="20" t="s">
        <v>47</v>
      </c>
      <c r="F5" s="21">
        <v>205098</v>
      </c>
      <c r="G5" s="21" t="s">
        <v>1098</v>
      </c>
      <c r="H5" s="23"/>
      <c r="I5" s="23"/>
      <c r="J5" s="23"/>
      <c r="K5" s="23">
        <f>966.7+116</f>
        <v>1082.7</v>
      </c>
      <c r="L5" s="105"/>
      <c r="M5" s="25">
        <f t="shared" ref="M5:M36" si="0">SUM(H5:J5,K5/1.12)</f>
        <v>966.69642857142856</v>
      </c>
      <c r="N5" s="25">
        <f t="shared" ref="N5:N36" si="1">K5/1.12*0.12</f>
        <v>116.00357142857142</v>
      </c>
      <c r="O5" s="25">
        <f t="shared" ref="O5:O36" si="2">-SUM(I5:J5,K5/1.12)*L5</f>
        <v>0</v>
      </c>
      <c r="P5" s="25">
        <v>966.7</v>
      </c>
      <c r="Q5" s="26"/>
      <c r="R5" s="26"/>
      <c r="S5" s="27"/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>
        <f t="shared" ref="AF5:AF36" si="3">-SUM(N5:AE5)</f>
        <v>-1082.7035714285714</v>
      </c>
      <c r="AG5" s="28">
        <f t="shared" ref="AG5:AG36" si="4">SUM(H5:K5)+AF5+O5</f>
        <v>-3.5714285713766003E-3</v>
      </c>
      <c r="AI5" s="123" t="e">
        <f>MATCH(0,P5:AE5,0)</f>
        <v>#N/A</v>
      </c>
      <c r="AMJ5"/>
    </row>
    <row r="6" spans="1:1024" s="29" customFormat="1" ht="23.25" customHeight="1" x14ac:dyDescent="0.25">
      <c r="A6" s="18">
        <v>43817</v>
      </c>
      <c r="B6" s="19"/>
      <c r="C6" s="20" t="s">
        <v>45</v>
      </c>
      <c r="D6" s="20" t="s">
        <v>847</v>
      </c>
      <c r="E6" s="20" t="s">
        <v>47</v>
      </c>
      <c r="F6" s="21">
        <v>205098</v>
      </c>
      <c r="G6" s="21" t="s">
        <v>1099</v>
      </c>
      <c r="H6" s="23"/>
      <c r="I6" s="23"/>
      <c r="J6" s="23">
        <v>138.80000000000001</v>
      </c>
      <c r="K6" s="23"/>
      <c r="L6" s="105"/>
      <c r="M6" s="25">
        <f t="shared" si="0"/>
        <v>138.80000000000001</v>
      </c>
      <c r="N6" s="25">
        <f t="shared" si="1"/>
        <v>0</v>
      </c>
      <c r="O6" s="25">
        <f t="shared" si="2"/>
        <v>0</v>
      </c>
      <c r="P6" s="25">
        <v>138.80000000000001</v>
      </c>
      <c r="Q6" s="26"/>
      <c r="R6" s="26"/>
      <c r="S6" s="27"/>
      <c r="T6" s="27"/>
      <c r="U6" s="27"/>
      <c r="V6" s="27"/>
      <c r="W6" s="27"/>
      <c r="X6" s="26"/>
      <c r="Y6" s="26"/>
      <c r="Z6" s="26"/>
      <c r="AA6" s="26"/>
      <c r="AB6" s="27"/>
      <c r="AC6" s="27"/>
      <c r="AD6" s="26"/>
      <c r="AE6" s="26"/>
      <c r="AF6" s="25">
        <f t="shared" si="3"/>
        <v>-138.80000000000001</v>
      </c>
      <c r="AG6" s="28">
        <f t="shared" si="4"/>
        <v>0</v>
      </c>
      <c r="AI6" s="29" t="e">
        <f t="array" ref="AI6">INDEX(P6:AE6,MATCH(1,P6:AE6,0),0)</f>
        <v>#N/A</v>
      </c>
      <c r="AMJ6"/>
    </row>
    <row r="7" spans="1:1024" s="29" customFormat="1" ht="23.25" customHeight="1" x14ac:dyDescent="0.25">
      <c r="A7" s="18">
        <v>43817</v>
      </c>
      <c r="B7" s="19"/>
      <c r="C7" s="20" t="s">
        <v>37</v>
      </c>
      <c r="D7" s="20" t="s">
        <v>38</v>
      </c>
      <c r="E7" s="20" t="s">
        <v>39</v>
      </c>
      <c r="F7" s="21">
        <v>100390</v>
      </c>
      <c r="G7" s="21" t="s">
        <v>183</v>
      </c>
      <c r="H7" s="23"/>
      <c r="I7" s="23"/>
      <c r="J7" s="23"/>
      <c r="K7" s="23">
        <v>234</v>
      </c>
      <c r="L7" s="105"/>
      <c r="M7" s="25">
        <f t="shared" si="0"/>
        <v>208.92857142857142</v>
      </c>
      <c r="N7" s="25">
        <f t="shared" si="1"/>
        <v>25.071428571428569</v>
      </c>
      <c r="O7" s="25">
        <f t="shared" si="2"/>
        <v>0</v>
      </c>
      <c r="P7" s="25">
        <v>208.93</v>
      </c>
      <c r="Q7" s="26"/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>
        <f t="shared" si="3"/>
        <v>-234.00142857142856</v>
      </c>
      <c r="AG7" s="28">
        <f t="shared" si="4"/>
        <v>-1.4285714285620088E-3</v>
      </c>
      <c r="AMJ7"/>
    </row>
    <row r="8" spans="1:1024" s="29" customFormat="1" ht="23.25" customHeight="1" x14ac:dyDescent="0.25">
      <c r="A8" s="18">
        <v>43817</v>
      </c>
      <c r="B8" s="19"/>
      <c r="C8" s="20" t="s">
        <v>41</v>
      </c>
      <c r="D8" s="20" t="s">
        <v>42</v>
      </c>
      <c r="E8" s="20" t="s">
        <v>43</v>
      </c>
      <c r="F8" s="21">
        <v>205242</v>
      </c>
      <c r="G8" s="21" t="s">
        <v>44</v>
      </c>
      <c r="H8" s="23"/>
      <c r="I8" s="23"/>
      <c r="J8" s="23"/>
      <c r="K8" s="23">
        <v>180</v>
      </c>
      <c r="L8" s="105"/>
      <c r="M8" s="25">
        <f t="shared" si="0"/>
        <v>160.71428571428569</v>
      </c>
      <c r="N8" s="25">
        <f t="shared" si="1"/>
        <v>19.285714285714281</v>
      </c>
      <c r="O8" s="25">
        <f t="shared" si="2"/>
        <v>0</v>
      </c>
      <c r="P8" s="25"/>
      <c r="Q8" s="26">
        <v>160.71</v>
      </c>
      <c r="R8" s="26"/>
      <c r="S8" s="27"/>
      <c r="T8" s="27"/>
      <c r="U8" s="27"/>
      <c r="V8" s="27"/>
      <c r="W8" s="27"/>
      <c r="X8" s="26"/>
      <c r="Y8" s="26"/>
      <c r="Z8" s="26"/>
      <c r="AA8" s="26"/>
      <c r="AB8" s="27"/>
      <c r="AC8" s="27"/>
      <c r="AD8" s="26"/>
      <c r="AE8" s="26"/>
      <c r="AF8" s="25">
        <f t="shared" si="3"/>
        <v>-179.99571428571429</v>
      </c>
      <c r="AG8" s="28">
        <f t="shared" si="4"/>
        <v>4.2857142857144481E-3</v>
      </c>
      <c r="AMJ8"/>
    </row>
    <row r="9" spans="1:1024" s="29" customFormat="1" ht="23.25" customHeight="1" x14ac:dyDescent="0.25">
      <c r="A9" s="18">
        <v>43817</v>
      </c>
      <c r="B9" s="19"/>
      <c r="C9" s="20" t="s">
        <v>37</v>
      </c>
      <c r="D9" s="20" t="s">
        <v>38</v>
      </c>
      <c r="E9" s="20" t="s">
        <v>39</v>
      </c>
      <c r="F9" s="21">
        <v>137813</v>
      </c>
      <c r="G9" s="21" t="s">
        <v>1100</v>
      </c>
      <c r="H9" s="23"/>
      <c r="I9" s="23"/>
      <c r="J9" s="23"/>
      <c r="K9" s="23">
        <v>410.5</v>
      </c>
      <c r="L9" s="105"/>
      <c r="M9" s="25">
        <f t="shared" si="0"/>
        <v>366.51785714285711</v>
      </c>
      <c r="N9" s="25">
        <f t="shared" si="1"/>
        <v>43.982142857142854</v>
      </c>
      <c r="O9" s="25">
        <f t="shared" si="2"/>
        <v>0</v>
      </c>
      <c r="P9" s="25">
        <v>366.52</v>
      </c>
      <c r="Q9" s="26"/>
      <c r="R9" s="26"/>
      <c r="S9" s="27"/>
      <c r="T9" s="27"/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>
        <f t="shared" si="3"/>
        <v>-410.50214285714281</v>
      </c>
      <c r="AG9" s="28">
        <f t="shared" si="4"/>
        <v>-2.1428571428145915E-3</v>
      </c>
      <c r="AMJ9"/>
    </row>
    <row r="10" spans="1:1024" s="29" customFormat="1" ht="23.25" customHeight="1" x14ac:dyDescent="0.25">
      <c r="A10" s="18">
        <v>43817</v>
      </c>
      <c r="B10" s="19"/>
      <c r="C10" s="20" t="s">
        <v>220</v>
      </c>
      <c r="D10" s="20"/>
      <c r="E10" s="20"/>
      <c r="F10" s="21"/>
      <c r="G10" s="21" t="s">
        <v>1048</v>
      </c>
      <c r="H10" s="23"/>
      <c r="I10" s="23"/>
      <c r="J10" s="23">
        <v>300</v>
      </c>
      <c r="K10" s="23"/>
      <c r="L10" s="105"/>
      <c r="M10" s="25">
        <f t="shared" si="0"/>
        <v>300</v>
      </c>
      <c r="N10" s="25">
        <f t="shared" si="1"/>
        <v>0</v>
      </c>
      <c r="O10" s="25">
        <f t="shared" si="2"/>
        <v>0</v>
      </c>
      <c r="P10" s="25">
        <v>300</v>
      </c>
      <c r="Q10" s="26"/>
      <c r="R10" s="26"/>
      <c r="S10" s="27"/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>
        <f t="shared" si="3"/>
        <v>-300</v>
      </c>
      <c r="AG10" s="28">
        <f t="shared" si="4"/>
        <v>0</v>
      </c>
      <c r="AMJ10"/>
    </row>
    <row r="11" spans="1:1024" s="29" customFormat="1" ht="23.25" customHeight="1" x14ac:dyDescent="0.25">
      <c r="A11" s="18">
        <v>43817</v>
      </c>
      <c r="B11" s="19"/>
      <c r="C11" s="20" t="s">
        <v>58</v>
      </c>
      <c r="D11" s="20"/>
      <c r="E11" s="20"/>
      <c r="F11" s="21"/>
      <c r="G11" s="21" t="s">
        <v>521</v>
      </c>
      <c r="H11" s="23">
        <v>100</v>
      </c>
      <c r="I11" s="23"/>
      <c r="J11" s="23"/>
      <c r="K11" s="23"/>
      <c r="L11" s="105"/>
      <c r="M11" s="25">
        <f t="shared" si="0"/>
        <v>100</v>
      </c>
      <c r="N11" s="25">
        <f t="shared" si="1"/>
        <v>0</v>
      </c>
      <c r="O11" s="25">
        <f t="shared" si="2"/>
        <v>0</v>
      </c>
      <c r="P11" s="25"/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>
        <v>100</v>
      </c>
      <c r="AB11" s="27"/>
      <c r="AC11" s="27"/>
      <c r="AD11" s="26"/>
      <c r="AE11" s="26"/>
      <c r="AF11" s="25">
        <f t="shared" si="3"/>
        <v>-100</v>
      </c>
      <c r="AG11" s="28">
        <f t="shared" si="4"/>
        <v>0</v>
      </c>
      <c r="AMJ11"/>
    </row>
    <row r="12" spans="1:1024" s="29" customFormat="1" ht="23.25" customHeight="1" x14ac:dyDescent="0.25">
      <c r="A12" s="18">
        <v>43817</v>
      </c>
      <c r="B12" s="19"/>
      <c r="C12" s="20" t="s">
        <v>54</v>
      </c>
      <c r="D12" s="20" t="s">
        <v>55</v>
      </c>
      <c r="E12" s="20" t="s">
        <v>56</v>
      </c>
      <c r="F12" s="21">
        <v>3371</v>
      </c>
      <c r="G12" s="21" t="s">
        <v>1101</v>
      </c>
      <c r="H12" s="23"/>
      <c r="I12" s="23"/>
      <c r="J12" s="23">
        <v>1917</v>
      </c>
      <c r="K12" s="23"/>
      <c r="L12" s="105"/>
      <c r="M12" s="25">
        <f t="shared" si="0"/>
        <v>1917</v>
      </c>
      <c r="N12" s="25">
        <f t="shared" si="1"/>
        <v>0</v>
      </c>
      <c r="O12" s="25">
        <f t="shared" si="2"/>
        <v>0</v>
      </c>
      <c r="P12" s="25">
        <v>1917</v>
      </c>
      <c r="Q12" s="26"/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>
        <f t="shared" si="3"/>
        <v>-1917</v>
      </c>
      <c r="AG12" s="28">
        <f t="shared" si="4"/>
        <v>0</v>
      </c>
      <c r="AMJ12"/>
    </row>
    <row r="13" spans="1:1024" s="29" customFormat="1" ht="23.25" customHeight="1" x14ac:dyDescent="0.25">
      <c r="A13" s="18">
        <v>43825</v>
      </c>
      <c r="B13" s="19"/>
      <c r="C13" s="20" t="s">
        <v>41</v>
      </c>
      <c r="D13" s="20" t="s">
        <v>42</v>
      </c>
      <c r="E13" s="20" t="s">
        <v>43</v>
      </c>
      <c r="F13" s="21">
        <v>216383</v>
      </c>
      <c r="G13" s="21" t="s">
        <v>44</v>
      </c>
      <c r="H13" s="23"/>
      <c r="I13" s="23"/>
      <c r="J13" s="23"/>
      <c r="K13" s="23">
        <v>180</v>
      </c>
      <c r="L13" s="105"/>
      <c r="M13" s="25">
        <f t="shared" si="0"/>
        <v>160.71428571428569</v>
      </c>
      <c r="N13" s="25">
        <f t="shared" si="1"/>
        <v>19.285714285714281</v>
      </c>
      <c r="O13" s="25">
        <f t="shared" si="2"/>
        <v>0</v>
      </c>
      <c r="P13" s="25"/>
      <c r="Q13" s="26">
        <v>160.71</v>
      </c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>
        <f t="shared" si="3"/>
        <v>-179.99571428571429</v>
      </c>
      <c r="AG13" s="28">
        <f t="shared" si="4"/>
        <v>4.2857142857144481E-3</v>
      </c>
      <c r="AMJ13"/>
    </row>
    <row r="14" spans="1:1024" s="29" customFormat="1" ht="23.25" customHeight="1" x14ac:dyDescent="0.25">
      <c r="A14" s="18">
        <v>43818</v>
      </c>
      <c r="B14" s="19"/>
      <c r="C14" s="20" t="s">
        <v>58</v>
      </c>
      <c r="D14" s="20"/>
      <c r="E14" s="20"/>
      <c r="F14" s="21"/>
      <c r="G14" s="21" t="s">
        <v>1102</v>
      </c>
      <c r="H14" s="23">
        <v>50</v>
      </c>
      <c r="I14" s="23"/>
      <c r="J14" s="23"/>
      <c r="K14" s="23"/>
      <c r="L14" s="105"/>
      <c r="M14" s="25">
        <f t="shared" si="0"/>
        <v>50</v>
      </c>
      <c r="N14" s="25">
        <f t="shared" si="1"/>
        <v>0</v>
      </c>
      <c r="O14" s="25">
        <f t="shared" si="2"/>
        <v>0</v>
      </c>
      <c r="P14" s="25"/>
      <c r="Q14" s="26"/>
      <c r="R14" s="26"/>
      <c r="S14" s="27"/>
      <c r="T14" s="27"/>
      <c r="U14" s="27"/>
      <c r="V14" s="27"/>
      <c r="W14" s="27"/>
      <c r="X14" s="26"/>
      <c r="Y14" s="26"/>
      <c r="Z14" s="26"/>
      <c r="AA14" s="26">
        <v>50</v>
      </c>
      <c r="AB14" s="27"/>
      <c r="AC14" s="27"/>
      <c r="AD14" s="26"/>
      <c r="AE14" s="26"/>
      <c r="AF14" s="25">
        <f t="shared" si="3"/>
        <v>-50</v>
      </c>
      <c r="AG14" s="28">
        <f t="shared" si="4"/>
        <v>0</v>
      </c>
      <c r="AMJ14"/>
    </row>
    <row r="15" spans="1:1024" s="29" customFormat="1" ht="23.25" customHeight="1" x14ac:dyDescent="0.25">
      <c r="A15" s="18">
        <v>43818</v>
      </c>
      <c r="B15" s="19"/>
      <c r="C15" s="20" t="s">
        <v>945</v>
      </c>
      <c r="D15" s="20" t="s">
        <v>115</v>
      </c>
      <c r="E15" s="20" t="s">
        <v>47</v>
      </c>
      <c r="F15" s="21">
        <v>574282</v>
      </c>
      <c r="G15" s="21" t="s">
        <v>1103</v>
      </c>
      <c r="H15" s="23"/>
      <c r="I15" s="23"/>
      <c r="J15" s="23">
        <v>275.45</v>
      </c>
      <c r="K15" s="23"/>
      <c r="L15" s="105"/>
      <c r="M15" s="25">
        <f t="shared" si="0"/>
        <v>275.45</v>
      </c>
      <c r="N15" s="25">
        <f t="shared" si="1"/>
        <v>0</v>
      </c>
      <c r="O15" s="25">
        <f t="shared" si="2"/>
        <v>0</v>
      </c>
      <c r="P15" s="25">
        <v>275.45</v>
      </c>
      <c r="Q15" s="26"/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>
        <f t="shared" si="3"/>
        <v>-275.45</v>
      </c>
      <c r="AG15" s="28">
        <f t="shared" si="4"/>
        <v>0</v>
      </c>
      <c r="AMJ15"/>
    </row>
    <row r="16" spans="1:1024" s="29" customFormat="1" ht="23.25" customHeight="1" x14ac:dyDescent="0.25">
      <c r="A16" s="18">
        <v>43818</v>
      </c>
      <c r="B16" s="19"/>
      <c r="C16" s="20" t="s">
        <v>945</v>
      </c>
      <c r="D16" s="20" t="s">
        <v>115</v>
      </c>
      <c r="E16" s="20" t="s">
        <v>47</v>
      </c>
      <c r="F16" s="21">
        <v>574282</v>
      </c>
      <c r="G16" s="21" t="s">
        <v>1104</v>
      </c>
      <c r="H16" s="23"/>
      <c r="I16" s="23"/>
      <c r="J16" s="23"/>
      <c r="K16" s="23">
        <f>1891.96+227.04</f>
        <v>2119</v>
      </c>
      <c r="L16" s="105"/>
      <c r="M16" s="25">
        <f t="shared" si="0"/>
        <v>1891.9642857142856</v>
      </c>
      <c r="N16" s="25">
        <f t="shared" si="1"/>
        <v>227.03571428571425</v>
      </c>
      <c r="O16" s="25">
        <f t="shared" si="2"/>
        <v>0</v>
      </c>
      <c r="P16" s="25">
        <v>1891.96</v>
      </c>
      <c r="Q16" s="26"/>
      <c r="R16" s="26"/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/>
      <c r="AE16" s="26"/>
      <c r="AF16" s="25">
        <f t="shared" si="3"/>
        <v>-2118.9957142857143</v>
      </c>
      <c r="AG16" s="28">
        <f t="shared" si="4"/>
        <v>4.2857142857428698E-3</v>
      </c>
      <c r="AMJ16"/>
    </row>
    <row r="17" spans="1:1024" s="29" customFormat="1" ht="23.25" customHeight="1" x14ac:dyDescent="0.25">
      <c r="A17" s="18">
        <v>43818</v>
      </c>
      <c r="B17" s="19"/>
      <c r="C17" s="20" t="s">
        <v>1105</v>
      </c>
      <c r="D17" s="20"/>
      <c r="E17" s="20"/>
      <c r="F17" s="21"/>
      <c r="G17" s="21" t="s">
        <v>1106</v>
      </c>
      <c r="H17" s="23">
        <v>500</v>
      </c>
      <c r="I17" s="23"/>
      <c r="J17" s="23"/>
      <c r="K17" s="23"/>
      <c r="L17" s="105"/>
      <c r="M17" s="25">
        <f t="shared" si="0"/>
        <v>500</v>
      </c>
      <c r="N17" s="25">
        <f t="shared" si="1"/>
        <v>0</v>
      </c>
      <c r="O17" s="25">
        <f t="shared" si="2"/>
        <v>0</v>
      </c>
      <c r="P17" s="25"/>
      <c r="Q17" s="26"/>
      <c r="R17" s="26"/>
      <c r="S17" s="27"/>
      <c r="T17" s="27"/>
      <c r="U17" s="27"/>
      <c r="V17" s="27"/>
      <c r="W17" s="27"/>
      <c r="X17" s="26"/>
      <c r="Y17" s="26"/>
      <c r="Z17" s="26"/>
      <c r="AA17" s="26"/>
      <c r="AB17" s="27"/>
      <c r="AC17" s="27"/>
      <c r="AD17" s="26">
        <v>500</v>
      </c>
      <c r="AE17" s="26"/>
      <c r="AF17" s="25">
        <f t="shared" si="3"/>
        <v>-500</v>
      </c>
      <c r="AG17" s="28">
        <f t="shared" si="4"/>
        <v>0</v>
      </c>
      <c r="AMJ17"/>
    </row>
    <row r="18" spans="1:1024" s="29" customFormat="1" ht="23.25" customHeight="1" x14ac:dyDescent="0.25">
      <c r="A18" s="18">
        <v>43818</v>
      </c>
      <c r="B18" s="19"/>
      <c r="C18" s="20" t="s">
        <v>37</v>
      </c>
      <c r="D18" s="20" t="s">
        <v>38</v>
      </c>
      <c r="E18" s="20" t="s">
        <v>39</v>
      </c>
      <c r="F18" s="21">
        <v>100436</v>
      </c>
      <c r="G18" s="21" t="s">
        <v>183</v>
      </c>
      <c r="H18" s="23"/>
      <c r="I18" s="23"/>
      <c r="J18" s="23"/>
      <c r="K18" s="23">
        <v>195</v>
      </c>
      <c r="L18" s="105"/>
      <c r="M18" s="25">
        <f t="shared" si="0"/>
        <v>174.10714285714283</v>
      </c>
      <c r="N18" s="25">
        <f t="shared" si="1"/>
        <v>20.892857142857139</v>
      </c>
      <c r="O18" s="25">
        <f t="shared" si="2"/>
        <v>0</v>
      </c>
      <c r="P18" s="25">
        <v>174.11</v>
      </c>
      <c r="Q18" s="26"/>
      <c r="R18" s="26"/>
      <c r="S18" s="27"/>
      <c r="T18" s="27"/>
      <c r="U18" s="27"/>
      <c r="V18" s="27"/>
      <c r="W18" s="27"/>
      <c r="X18" s="26"/>
      <c r="Y18" s="26"/>
      <c r="Z18" s="26"/>
      <c r="AA18" s="26"/>
      <c r="AB18" s="27"/>
      <c r="AC18" s="27"/>
      <c r="AD18" s="26"/>
      <c r="AE18" s="26"/>
      <c r="AF18" s="25">
        <f t="shared" si="3"/>
        <v>-195.00285714285715</v>
      </c>
      <c r="AG18" s="28">
        <f t="shared" si="4"/>
        <v>-2.8571428571524393E-3</v>
      </c>
      <c r="AMJ18"/>
    </row>
    <row r="19" spans="1:1024" s="29" customFormat="1" ht="23.25" customHeight="1" x14ac:dyDescent="0.25">
      <c r="A19" s="18">
        <v>43818</v>
      </c>
      <c r="B19" s="19"/>
      <c r="C19" s="20" t="s">
        <v>41</v>
      </c>
      <c r="D19" s="20" t="s">
        <v>42</v>
      </c>
      <c r="E19" s="20" t="s">
        <v>43</v>
      </c>
      <c r="F19" s="21">
        <v>205289</v>
      </c>
      <c r="G19" s="21" t="s">
        <v>44</v>
      </c>
      <c r="H19" s="23"/>
      <c r="I19" s="23"/>
      <c r="J19" s="23"/>
      <c r="K19" s="23">
        <v>180</v>
      </c>
      <c r="L19" s="105"/>
      <c r="M19" s="25">
        <f t="shared" si="0"/>
        <v>160.71428571428569</v>
      </c>
      <c r="N19" s="25">
        <f t="shared" si="1"/>
        <v>19.285714285714281</v>
      </c>
      <c r="O19" s="25">
        <f t="shared" si="2"/>
        <v>0</v>
      </c>
      <c r="P19" s="25"/>
      <c r="Q19" s="26">
        <v>160.71</v>
      </c>
      <c r="R19" s="26"/>
      <c r="S19" s="27"/>
      <c r="T19" s="27"/>
      <c r="U19" s="27"/>
      <c r="V19" s="27"/>
      <c r="W19" s="27"/>
      <c r="X19" s="26"/>
      <c r="Y19" s="26"/>
      <c r="Z19" s="26"/>
      <c r="AA19" s="26"/>
      <c r="AB19" s="27"/>
      <c r="AC19" s="27"/>
      <c r="AD19" s="26"/>
      <c r="AE19" s="26"/>
      <c r="AF19" s="25">
        <f t="shared" si="3"/>
        <v>-179.99571428571429</v>
      </c>
      <c r="AG19" s="28">
        <f t="shared" si="4"/>
        <v>4.2857142857144481E-3</v>
      </c>
      <c r="AMJ19"/>
    </row>
    <row r="20" spans="1:1024" s="29" customFormat="1" ht="23.25" customHeight="1" x14ac:dyDescent="0.25">
      <c r="A20" s="18">
        <v>43818</v>
      </c>
      <c r="B20" s="19"/>
      <c r="C20" s="20" t="s">
        <v>945</v>
      </c>
      <c r="D20" s="20" t="s">
        <v>115</v>
      </c>
      <c r="E20" s="20" t="s">
        <v>47</v>
      </c>
      <c r="F20" s="21">
        <v>900910</v>
      </c>
      <c r="G20" s="21" t="s">
        <v>426</v>
      </c>
      <c r="H20" s="23"/>
      <c r="I20" s="23"/>
      <c r="J20" s="23">
        <v>186.59</v>
      </c>
      <c r="K20" s="23"/>
      <c r="L20" s="105"/>
      <c r="M20" s="25">
        <f t="shared" si="0"/>
        <v>186.59</v>
      </c>
      <c r="N20" s="25">
        <f t="shared" si="1"/>
        <v>0</v>
      </c>
      <c r="O20" s="25">
        <f t="shared" si="2"/>
        <v>0</v>
      </c>
      <c r="P20" s="25">
        <v>186.59</v>
      </c>
      <c r="Q20" s="26"/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>
        <f t="shared" si="3"/>
        <v>-186.59</v>
      </c>
      <c r="AG20" s="28">
        <f t="shared" si="4"/>
        <v>0</v>
      </c>
      <c r="AMJ20"/>
    </row>
    <row r="21" spans="1:1024" s="29" customFormat="1" ht="23.25" customHeight="1" x14ac:dyDescent="0.25">
      <c r="A21" s="18">
        <v>43818</v>
      </c>
      <c r="B21" s="19"/>
      <c r="C21" s="20" t="s">
        <v>45</v>
      </c>
      <c r="D21" s="20" t="s">
        <v>847</v>
      </c>
      <c r="E21" s="20" t="s">
        <v>47</v>
      </c>
      <c r="F21" s="21">
        <v>217765</v>
      </c>
      <c r="G21" s="21" t="s">
        <v>1107</v>
      </c>
      <c r="H21" s="23"/>
      <c r="I21" s="23"/>
      <c r="J21" s="23"/>
      <c r="K21" s="23">
        <v>388.95</v>
      </c>
      <c r="L21" s="105"/>
      <c r="M21" s="25">
        <f t="shared" si="0"/>
        <v>347.27678571428567</v>
      </c>
      <c r="N21" s="25">
        <f t="shared" si="1"/>
        <v>41.67321428571428</v>
      </c>
      <c r="O21" s="25">
        <f t="shared" si="2"/>
        <v>0</v>
      </c>
      <c r="P21" s="25"/>
      <c r="Q21" s="26">
        <v>347.28</v>
      </c>
      <c r="R21" s="26"/>
      <c r="S21" s="27"/>
      <c r="T21" s="27"/>
      <c r="U21" s="27"/>
      <c r="V21" s="27"/>
      <c r="W21" s="27"/>
      <c r="X21" s="26"/>
      <c r="Y21" s="26"/>
      <c r="Z21" s="26"/>
      <c r="AA21" s="26"/>
      <c r="AB21" s="27"/>
      <c r="AC21" s="27"/>
      <c r="AD21" s="26"/>
      <c r="AE21" s="26"/>
      <c r="AF21" s="25">
        <f t="shared" si="3"/>
        <v>-388.95321428571424</v>
      </c>
      <c r="AG21" s="28">
        <f t="shared" si="4"/>
        <v>-3.214285714250309E-3</v>
      </c>
      <c r="AMJ21"/>
    </row>
    <row r="22" spans="1:1024" s="29" customFormat="1" ht="23.25" customHeight="1" x14ac:dyDescent="0.25">
      <c r="A22" s="18">
        <v>43818</v>
      </c>
      <c r="B22" s="19"/>
      <c r="C22" s="20" t="s">
        <v>185</v>
      </c>
      <c r="D22" s="20" t="s">
        <v>106</v>
      </c>
      <c r="E22" s="20" t="s">
        <v>39</v>
      </c>
      <c r="F22" s="21">
        <v>791535</v>
      </c>
      <c r="G22" s="21" t="s">
        <v>1108</v>
      </c>
      <c r="H22" s="23"/>
      <c r="I22" s="23"/>
      <c r="J22" s="23"/>
      <c r="K22" s="23">
        <v>260</v>
      </c>
      <c r="L22" s="105"/>
      <c r="M22" s="25">
        <f t="shared" si="0"/>
        <v>232.14285714285711</v>
      </c>
      <c r="N22" s="25">
        <f t="shared" si="1"/>
        <v>27.857142857142851</v>
      </c>
      <c r="O22" s="25">
        <f t="shared" si="2"/>
        <v>0</v>
      </c>
      <c r="P22" s="25"/>
      <c r="Q22" s="26"/>
      <c r="R22" s="26"/>
      <c r="S22" s="27"/>
      <c r="T22" s="27">
        <v>232.14</v>
      </c>
      <c r="U22" s="27"/>
      <c r="V22" s="27"/>
      <c r="W22" s="27"/>
      <c r="X22" s="26"/>
      <c r="Y22" s="26"/>
      <c r="Z22" s="26"/>
      <c r="AA22" s="26"/>
      <c r="AB22" s="27"/>
      <c r="AC22" s="27"/>
      <c r="AD22" s="26"/>
      <c r="AE22" s="26"/>
      <c r="AF22" s="25">
        <f t="shared" si="3"/>
        <v>-259.99714285714282</v>
      </c>
      <c r="AG22" s="28">
        <f t="shared" si="4"/>
        <v>2.857142857180861E-3</v>
      </c>
      <c r="AMJ22"/>
    </row>
    <row r="23" spans="1:1024" s="29" customFormat="1" ht="23.25" customHeight="1" x14ac:dyDescent="0.25">
      <c r="A23" s="18">
        <v>43818</v>
      </c>
      <c r="B23" s="19"/>
      <c r="C23" s="20" t="s">
        <v>45</v>
      </c>
      <c r="D23" s="20" t="s">
        <v>847</v>
      </c>
      <c r="E23" s="20" t="s">
        <v>47</v>
      </c>
      <c r="F23" s="21">
        <v>221562</v>
      </c>
      <c r="G23" s="21" t="s">
        <v>69</v>
      </c>
      <c r="H23" s="23"/>
      <c r="I23" s="23"/>
      <c r="J23" s="23">
        <v>233.95</v>
      </c>
      <c r="K23" s="23"/>
      <c r="L23" s="105"/>
      <c r="M23" s="25">
        <f t="shared" si="0"/>
        <v>233.95</v>
      </c>
      <c r="N23" s="25">
        <f t="shared" si="1"/>
        <v>0</v>
      </c>
      <c r="O23" s="25">
        <f t="shared" si="2"/>
        <v>0</v>
      </c>
      <c r="P23" s="25">
        <v>233.95</v>
      </c>
      <c r="Q23" s="26"/>
      <c r="R23" s="26"/>
      <c r="S23" s="27"/>
      <c r="T23" s="27"/>
      <c r="U23" s="27"/>
      <c r="V23" s="27"/>
      <c r="W23" s="27"/>
      <c r="X23" s="26"/>
      <c r="Y23" s="26"/>
      <c r="Z23" s="26"/>
      <c r="AA23" s="26"/>
      <c r="AB23" s="27"/>
      <c r="AC23" s="27"/>
      <c r="AD23" s="26"/>
      <c r="AE23" s="26"/>
      <c r="AF23" s="25">
        <f t="shared" si="3"/>
        <v>-233.95</v>
      </c>
      <c r="AG23" s="28">
        <f t="shared" si="4"/>
        <v>0</v>
      </c>
      <c r="AMJ23"/>
    </row>
    <row r="24" spans="1:1024" s="29" customFormat="1" ht="23.25" customHeight="1" x14ac:dyDescent="0.25">
      <c r="A24" s="18">
        <v>43818</v>
      </c>
      <c r="B24" s="19"/>
      <c r="C24" s="20" t="s">
        <v>45</v>
      </c>
      <c r="D24" s="20" t="s">
        <v>847</v>
      </c>
      <c r="E24" s="20" t="s">
        <v>47</v>
      </c>
      <c r="F24" s="21">
        <v>221562</v>
      </c>
      <c r="G24" s="21" t="s">
        <v>1109</v>
      </c>
      <c r="H24" s="23"/>
      <c r="I24" s="23"/>
      <c r="J24" s="23"/>
      <c r="K24" s="23">
        <f>571.56+68.59</f>
        <v>640.15</v>
      </c>
      <c r="L24" s="105"/>
      <c r="M24" s="25">
        <f t="shared" si="0"/>
        <v>571.56249999999989</v>
      </c>
      <c r="N24" s="25">
        <f t="shared" si="1"/>
        <v>68.587499999999977</v>
      </c>
      <c r="O24" s="25">
        <f t="shared" si="2"/>
        <v>0</v>
      </c>
      <c r="P24" s="25">
        <v>571.55999999999995</v>
      </c>
      <c r="Q24" s="26"/>
      <c r="R24" s="26"/>
      <c r="S24" s="27"/>
      <c r="T24" s="27"/>
      <c r="U24" s="27"/>
      <c r="V24" s="27"/>
      <c r="W24" s="27"/>
      <c r="X24" s="26"/>
      <c r="Y24" s="26"/>
      <c r="Z24" s="26"/>
      <c r="AA24" s="26"/>
      <c r="AB24" s="27"/>
      <c r="AC24" s="27"/>
      <c r="AD24" s="26"/>
      <c r="AE24" s="26"/>
      <c r="AF24" s="25">
        <f t="shared" si="3"/>
        <v>-640.14749999999992</v>
      </c>
      <c r="AG24" s="28">
        <f t="shared" si="4"/>
        <v>2.5000000000545697E-3</v>
      </c>
      <c r="AMJ24"/>
    </row>
    <row r="25" spans="1:1024" s="29" customFormat="1" ht="23.25" customHeight="1" x14ac:dyDescent="0.25">
      <c r="A25" s="18">
        <v>43818</v>
      </c>
      <c r="B25" s="19"/>
      <c r="C25" s="20" t="s">
        <v>62</v>
      </c>
      <c r="D25" s="20"/>
      <c r="E25" s="20"/>
      <c r="F25" s="21"/>
      <c r="G25" s="21" t="s">
        <v>1110</v>
      </c>
      <c r="H25" s="23">
        <v>128</v>
      </c>
      <c r="I25" s="23"/>
      <c r="J25" s="23"/>
      <c r="K25" s="23"/>
      <c r="L25" s="105"/>
      <c r="M25" s="25">
        <f t="shared" si="0"/>
        <v>128</v>
      </c>
      <c r="N25" s="25">
        <f t="shared" si="1"/>
        <v>0</v>
      </c>
      <c r="O25" s="25">
        <f t="shared" si="2"/>
        <v>0</v>
      </c>
      <c r="P25" s="25"/>
      <c r="Q25" s="26"/>
      <c r="R25" s="26"/>
      <c r="S25" s="27"/>
      <c r="T25" s="27"/>
      <c r="U25" s="27"/>
      <c r="V25" s="27"/>
      <c r="W25" s="27"/>
      <c r="X25" s="26"/>
      <c r="Y25" s="26"/>
      <c r="Z25" s="26"/>
      <c r="AA25" s="26">
        <v>128</v>
      </c>
      <c r="AB25" s="27"/>
      <c r="AC25" s="27"/>
      <c r="AD25" s="26"/>
      <c r="AE25" s="26"/>
      <c r="AF25" s="25">
        <f t="shared" si="3"/>
        <v>-128</v>
      </c>
      <c r="AG25" s="28">
        <f t="shared" si="4"/>
        <v>0</v>
      </c>
      <c r="AMJ25"/>
    </row>
    <row r="26" spans="1:1024" s="29" customFormat="1" ht="23.25" customHeight="1" x14ac:dyDescent="0.25">
      <c r="A26" s="18">
        <v>43820</v>
      </c>
      <c r="B26" s="19"/>
      <c r="C26" s="20" t="s">
        <v>1111</v>
      </c>
      <c r="D26" s="20" t="s">
        <v>322</v>
      </c>
      <c r="E26" s="20" t="s">
        <v>39</v>
      </c>
      <c r="F26" s="21">
        <v>114037</v>
      </c>
      <c r="G26" s="21" t="s">
        <v>44</v>
      </c>
      <c r="H26" s="23"/>
      <c r="I26" s="23"/>
      <c r="J26" s="23"/>
      <c r="K26" s="23">
        <v>40</v>
      </c>
      <c r="L26" s="105"/>
      <c r="M26" s="25">
        <f t="shared" si="0"/>
        <v>35.714285714285708</v>
      </c>
      <c r="N26" s="25">
        <f t="shared" si="1"/>
        <v>4.2857142857142847</v>
      </c>
      <c r="O26" s="25">
        <f t="shared" si="2"/>
        <v>0</v>
      </c>
      <c r="P26" s="25"/>
      <c r="Q26" s="26">
        <v>35.71</v>
      </c>
      <c r="R26" s="26"/>
      <c r="S26" s="27"/>
      <c r="T26" s="27"/>
      <c r="U26" s="27"/>
      <c r="V26" s="27"/>
      <c r="W26" s="27"/>
      <c r="X26" s="26"/>
      <c r="Y26" s="26"/>
      <c r="Z26" s="26"/>
      <c r="AA26" s="26"/>
      <c r="AB26" s="27"/>
      <c r="AC26" s="27"/>
      <c r="AD26" s="26"/>
      <c r="AE26" s="26"/>
      <c r="AF26" s="25">
        <f t="shared" si="3"/>
        <v>-39.995714285714286</v>
      </c>
      <c r="AG26" s="28">
        <f t="shared" si="4"/>
        <v>4.2857142857144481E-3</v>
      </c>
      <c r="AMJ26"/>
    </row>
    <row r="27" spans="1:1024" s="29" customFormat="1" ht="23.25" customHeight="1" x14ac:dyDescent="0.25">
      <c r="A27" s="18">
        <v>43820</v>
      </c>
      <c r="B27" s="19"/>
      <c r="C27" s="20" t="s">
        <v>45</v>
      </c>
      <c r="D27" s="20" t="s">
        <v>847</v>
      </c>
      <c r="E27" s="20" t="s">
        <v>47</v>
      </c>
      <c r="F27" s="21">
        <v>151518</v>
      </c>
      <c r="G27" s="21" t="s">
        <v>1112</v>
      </c>
      <c r="H27" s="23"/>
      <c r="I27" s="23"/>
      <c r="J27" s="23"/>
      <c r="K27" s="23">
        <v>2464.25</v>
      </c>
      <c r="L27" s="105"/>
      <c r="M27" s="25">
        <f t="shared" si="0"/>
        <v>2200.2232142857142</v>
      </c>
      <c r="N27" s="25">
        <f t="shared" si="1"/>
        <v>264.02678571428572</v>
      </c>
      <c r="O27" s="25">
        <f t="shared" si="2"/>
        <v>0</v>
      </c>
      <c r="P27" s="25">
        <v>2200.2199999999998</v>
      </c>
      <c r="Q27" s="26"/>
      <c r="R27" s="26"/>
      <c r="S27" s="27"/>
      <c r="T27" s="27"/>
      <c r="U27" s="27"/>
      <c r="V27" s="27"/>
      <c r="W27" s="27"/>
      <c r="X27" s="26"/>
      <c r="Y27" s="26"/>
      <c r="Z27" s="26"/>
      <c r="AA27" s="26"/>
      <c r="AB27" s="27"/>
      <c r="AC27" s="27"/>
      <c r="AD27" s="26"/>
      <c r="AE27" s="26"/>
      <c r="AF27" s="25">
        <f t="shared" si="3"/>
        <v>-2464.2467857142856</v>
      </c>
      <c r="AG27" s="28">
        <f t="shared" si="4"/>
        <v>3.2142857144208392E-3</v>
      </c>
      <c r="AMJ27"/>
    </row>
    <row r="28" spans="1:1024" s="29" customFormat="1" ht="23.25" customHeight="1" x14ac:dyDescent="0.25">
      <c r="A28" s="18">
        <v>43819</v>
      </c>
      <c r="B28" s="19"/>
      <c r="C28" s="20" t="s">
        <v>37</v>
      </c>
      <c r="D28" s="20" t="s">
        <v>38</v>
      </c>
      <c r="E28" s="20" t="s">
        <v>39</v>
      </c>
      <c r="F28" s="21">
        <v>138548</v>
      </c>
      <c r="G28" s="21" t="s">
        <v>1113</v>
      </c>
      <c r="H28" s="23"/>
      <c r="I28" s="23"/>
      <c r="J28" s="23"/>
      <c r="K28" s="23">
        <v>1294.68</v>
      </c>
      <c r="L28" s="105"/>
      <c r="M28" s="25">
        <f t="shared" si="0"/>
        <v>1155.9642857142856</v>
      </c>
      <c r="N28" s="25">
        <f t="shared" si="1"/>
        <v>138.71571428571426</v>
      </c>
      <c r="O28" s="25">
        <f t="shared" si="2"/>
        <v>0</v>
      </c>
      <c r="P28" s="25">
        <v>1155.96</v>
      </c>
      <c r="Q28" s="26"/>
      <c r="R28" s="26"/>
      <c r="S28" s="27"/>
      <c r="T28" s="27"/>
      <c r="U28" s="27"/>
      <c r="V28" s="27"/>
      <c r="W28" s="27"/>
      <c r="X28" s="26"/>
      <c r="Y28" s="26"/>
      <c r="Z28" s="26"/>
      <c r="AA28" s="26"/>
      <c r="AB28" s="27"/>
      <c r="AC28" s="27"/>
      <c r="AD28" s="26"/>
      <c r="AE28" s="26"/>
      <c r="AF28" s="25">
        <f t="shared" si="3"/>
        <v>-1294.6757142857143</v>
      </c>
      <c r="AG28" s="28">
        <f t="shared" si="4"/>
        <v>4.2857142857428698E-3</v>
      </c>
      <c r="AMJ28"/>
    </row>
    <row r="29" spans="1:1024" s="29" customFormat="1" ht="23.25" customHeight="1" x14ac:dyDescent="0.25">
      <c r="A29" s="18">
        <v>43819</v>
      </c>
      <c r="B29" s="19"/>
      <c r="C29" s="20" t="s">
        <v>58</v>
      </c>
      <c r="D29" s="20"/>
      <c r="E29" s="20"/>
      <c r="F29" s="21"/>
      <c r="G29" s="21" t="s">
        <v>1114</v>
      </c>
      <c r="H29" s="23"/>
      <c r="I29" s="23"/>
      <c r="J29" s="23">
        <v>150</v>
      </c>
      <c r="K29" s="23"/>
      <c r="L29" s="105"/>
      <c r="M29" s="25">
        <f t="shared" si="0"/>
        <v>150</v>
      </c>
      <c r="N29" s="25">
        <f t="shared" si="1"/>
        <v>0</v>
      </c>
      <c r="O29" s="25">
        <f t="shared" si="2"/>
        <v>0</v>
      </c>
      <c r="P29" s="25">
        <v>150</v>
      </c>
      <c r="Q29" s="26"/>
      <c r="R29" s="26"/>
      <c r="S29" s="27"/>
      <c r="T29" s="27"/>
      <c r="U29" s="27"/>
      <c r="V29" s="27"/>
      <c r="W29" s="27"/>
      <c r="X29" s="26"/>
      <c r="Y29" s="26"/>
      <c r="Z29" s="26"/>
      <c r="AA29" s="26"/>
      <c r="AB29" s="27"/>
      <c r="AC29" s="27"/>
      <c r="AD29" s="26"/>
      <c r="AE29" s="26"/>
      <c r="AF29" s="25">
        <f t="shared" si="3"/>
        <v>-150</v>
      </c>
      <c r="AG29" s="28">
        <f t="shared" si="4"/>
        <v>0</v>
      </c>
      <c r="AMJ29"/>
    </row>
    <row r="30" spans="1:1024" s="29" customFormat="1" ht="23.25" customHeight="1" x14ac:dyDescent="0.25">
      <c r="A30" s="18">
        <v>43819</v>
      </c>
      <c r="B30" s="19"/>
      <c r="C30" s="20" t="s">
        <v>45</v>
      </c>
      <c r="D30" s="20" t="s">
        <v>847</v>
      </c>
      <c r="E30" s="20" t="s">
        <v>47</v>
      </c>
      <c r="F30" s="21">
        <v>284454</v>
      </c>
      <c r="G30" s="21" t="s">
        <v>1115</v>
      </c>
      <c r="H30" s="23"/>
      <c r="I30" s="23"/>
      <c r="J30" s="23"/>
      <c r="K30" s="23">
        <f>760.63+91.28</f>
        <v>851.91</v>
      </c>
      <c r="L30" s="105"/>
      <c r="M30" s="25">
        <f t="shared" si="0"/>
        <v>760.63392857142844</v>
      </c>
      <c r="N30" s="25">
        <f t="shared" si="1"/>
        <v>91.276071428571413</v>
      </c>
      <c r="O30" s="25">
        <f t="shared" si="2"/>
        <v>0</v>
      </c>
      <c r="P30" s="25">
        <v>760.63</v>
      </c>
      <c r="Q30" s="26"/>
      <c r="R30" s="26"/>
      <c r="S30" s="27"/>
      <c r="T30" s="27"/>
      <c r="U30" s="27"/>
      <c r="V30" s="27"/>
      <c r="W30" s="27"/>
      <c r="X30" s="26"/>
      <c r="Y30" s="26"/>
      <c r="Z30" s="26"/>
      <c r="AA30" s="26"/>
      <c r="AB30" s="27"/>
      <c r="AC30" s="27"/>
      <c r="AD30" s="26"/>
      <c r="AE30" s="26"/>
      <c r="AF30" s="25">
        <f t="shared" si="3"/>
        <v>-851.90607142857141</v>
      </c>
      <c r="AG30" s="28">
        <f t="shared" si="4"/>
        <v>3.9285714285597351E-3</v>
      </c>
      <c r="AMJ30"/>
    </row>
    <row r="31" spans="1:1024" s="29" customFormat="1" ht="23.25" customHeight="1" x14ac:dyDescent="0.25">
      <c r="A31" s="18">
        <v>43819</v>
      </c>
      <c r="B31" s="19"/>
      <c r="C31" s="20" t="s">
        <v>45</v>
      </c>
      <c r="D31" s="20" t="s">
        <v>847</v>
      </c>
      <c r="E31" s="20" t="s">
        <v>47</v>
      </c>
      <c r="F31" s="21">
        <v>284454</v>
      </c>
      <c r="G31" s="21" t="s">
        <v>1116</v>
      </c>
      <c r="H31" s="23"/>
      <c r="I31" s="23"/>
      <c r="J31" s="23">
        <v>1013.15</v>
      </c>
      <c r="K31" s="23"/>
      <c r="L31" s="105"/>
      <c r="M31" s="25">
        <f t="shared" si="0"/>
        <v>1013.15</v>
      </c>
      <c r="N31" s="25">
        <f t="shared" si="1"/>
        <v>0</v>
      </c>
      <c r="O31" s="25">
        <f t="shared" si="2"/>
        <v>0</v>
      </c>
      <c r="P31" s="25">
        <v>1013.15</v>
      </c>
      <c r="Q31" s="26"/>
      <c r="R31" s="26"/>
      <c r="S31" s="27"/>
      <c r="T31" s="27"/>
      <c r="U31" s="27"/>
      <c r="V31" s="27"/>
      <c r="W31" s="27"/>
      <c r="X31" s="26"/>
      <c r="Y31" s="26"/>
      <c r="Z31" s="26"/>
      <c r="AA31" s="26"/>
      <c r="AB31" s="27"/>
      <c r="AC31" s="27"/>
      <c r="AD31" s="26"/>
      <c r="AE31" s="26"/>
      <c r="AF31" s="25">
        <f t="shared" si="3"/>
        <v>-1013.15</v>
      </c>
      <c r="AG31" s="28">
        <f t="shared" si="4"/>
        <v>0</v>
      </c>
      <c r="AMJ31"/>
    </row>
    <row r="32" spans="1:1024" s="29" customFormat="1" ht="23.25" customHeight="1" x14ac:dyDescent="0.25">
      <c r="A32" s="18">
        <v>43819</v>
      </c>
      <c r="B32" s="19"/>
      <c r="C32" s="20" t="s">
        <v>37</v>
      </c>
      <c r="D32" s="20" t="s">
        <v>38</v>
      </c>
      <c r="E32" s="20" t="s">
        <v>39</v>
      </c>
      <c r="F32" s="21">
        <v>138481</v>
      </c>
      <c r="G32" s="21" t="s">
        <v>567</v>
      </c>
      <c r="H32" s="23"/>
      <c r="I32" s="23"/>
      <c r="J32" s="23"/>
      <c r="K32" s="23">
        <v>240</v>
      </c>
      <c r="L32" s="105"/>
      <c r="M32" s="25">
        <f t="shared" si="0"/>
        <v>214.28571428571428</v>
      </c>
      <c r="N32" s="25">
        <f t="shared" si="1"/>
        <v>25.714285714285712</v>
      </c>
      <c r="O32" s="25">
        <f t="shared" si="2"/>
        <v>0</v>
      </c>
      <c r="P32" s="25">
        <v>214.29</v>
      </c>
      <c r="Q32" s="26"/>
      <c r="R32" s="26"/>
      <c r="S32" s="27"/>
      <c r="T32" s="27"/>
      <c r="U32" s="27"/>
      <c r="V32" s="27"/>
      <c r="W32" s="27"/>
      <c r="X32" s="26"/>
      <c r="Y32" s="26"/>
      <c r="Z32" s="26"/>
      <c r="AA32" s="26"/>
      <c r="AB32" s="27"/>
      <c r="AC32" s="27"/>
      <c r="AD32" s="26"/>
      <c r="AE32" s="26"/>
      <c r="AF32" s="25">
        <f t="shared" si="3"/>
        <v>-240.00428571428571</v>
      </c>
      <c r="AG32" s="28">
        <f t="shared" si="4"/>
        <v>-4.2857142857144481E-3</v>
      </c>
      <c r="AMJ32"/>
    </row>
    <row r="33" spans="1:1024" s="29" customFormat="1" ht="23.25" customHeight="1" x14ac:dyDescent="0.25">
      <c r="A33" s="18">
        <v>43819</v>
      </c>
      <c r="B33" s="19"/>
      <c r="C33" s="20" t="s">
        <v>45</v>
      </c>
      <c r="D33" s="20" t="s">
        <v>847</v>
      </c>
      <c r="E33" s="20" t="s">
        <v>47</v>
      </c>
      <c r="F33" s="21">
        <v>205484</v>
      </c>
      <c r="G33" s="21" t="s">
        <v>1117</v>
      </c>
      <c r="H33" s="23"/>
      <c r="I33" s="23"/>
      <c r="J33" s="23">
        <v>756.65</v>
      </c>
      <c r="K33" s="23"/>
      <c r="L33" s="105"/>
      <c r="M33" s="25">
        <f t="shared" si="0"/>
        <v>756.65</v>
      </c>
      <c r="N33" s="25">
        <f t="shared" si="1"/>
        <v>0</v>
      </c>
      <c r="O33" s="25">
        <f t="shared" si="2"/>
        <v>0</v>
      </c>
      <c r="P33" s="25">
        <v>756.65</v>
      </c>
      <c r="Q33" s="26"/>
      <c r="R33" s="26"/>
      <c r="S33" s="27"/>
      <c r="T33" s="27"/>
      <c r="U33" s="27"/>
      <c r="V33" s="27"/>
      <c r="W33" s="27"/>
      <c r="X33" s="26"/>
      <c r="Y33" s="26"/>
      <c r="Z33" s="26"/>
      <c r="AA33" s="26"/>
      <c r="AB33" s="27"/>
      <c r="AC33" s="27"/>
      <c r="AD33" s="26"/>
      <c r="AE33" s="26"/>
      <c r="AF33" s="25">
        <f t="shared" si="3"/>
        <v>-756.65</v>
      </c>
      <c r="AG33" s="28">
        <f t="shared" si="4"/>
        <v>0</v>
      </c>
      <c r="AMJ33"/>
    </row>
    <row r="34" spans="1:1024" s="29" customFormat="1" ht="23.25" customHeight="1" x14ac:dyDescent="0.25">
      <c r="A34" s="18">
        <v>43819</v>
      </c>
      <c r="B34" s="19"/>
      <c r="C34" s="20" t="s">
        <v>45</v>
      </c>
      <c r="D34" s="20" t="s">
        <v>847</v>
      </c>
      <c r="E34" s="20" t="s">
        <v>47</v>
      </c>
      <c r="F34" s="21">
        <v>205484</v>
      </c>
      <c r="G34" s="21" t="s">
        <v>1118</v>
      </c>
      <c r="H34" s="23"/>
      <c r="I34" s="23"/>
      <c r="J34" s="23"/>
      <c r="K34" s="23">
        <f>363.84+43.66</f>
        <v>407.5</v>
      </c>
      <c r="L34" s="105"/>
      <c r="M34" s="25">
        <f t="shared" si="0"/>
        <v>363.83928571428567</v>
      </c>
      <c r="N34" s="25">
        <f t="shared" si="1"/>
        <v>43.660714285714278</v>
      </c>
      <c r="O34" s="25">
        <f t="shared" si="2"/>
        <v>0</v>
      </c>
      <c r="P34" s="25">
        <v>363.84</v>
      </c>
      <c r="Q34" s="26"/>
      <c r="R34" s="26"/>
      <c r="S34" s="27"/>
      <c r="T34" s="27"/>
      <c r="U34" s="27"/>
      <c r="V34" s="27"/>
      <c r="W34" s="27"/>
      <c r="X34" s="26"/>
      <c r="Y34" s="26"/>
      <c r="Z34" s="26"/>
      <c r="AA34" s="26"/>
      <c r="AB34" s="27"/>
      <c r="AC34" s="27"/>
      <c r="AD34" s="26"/>
      <c r="AE34" s="26"/>
      <c r="AF34" s="25">
        <f t="shared" si="3"/>
        <v>-407.50071428571425</v>
      </c>
      <c r="AG34" s="28">
        <f t="shared" si="4"/>
        <v>-7.1428571425258269E-4</v>
      </c>
      <c r="AMJ34"/>
    </row>
    <row r="35" spans="1:1024" s="29" customFormat="1" ht="23.25" customHeight="1" x14ac:dyDescent="0.25">
      <c r="A35" s="18">
        <v>43819</v>
      </c>
      <c r="B35" s="19"/>
      <c r="C35" s="20" t="s">
        <v>41</v>
      </c>
      <c r="D35" s="20" t="s">
        <v>42</v>
      </c>
      <c r="E35" s="20" t="s">
        <v>43</v>
      </c>
      <c r="F35" s="21">
        <v>209496</v>
      </c>
      <c r="G35" s="21" t="s">
        <v>44</v>
      </c>
      <c r="H35" s="23"/>
      <c r="I35" s="23"/>
      <c r="J35" s="23"/>
      <c r="K35" s="23">
        <v>180</v>
      </c>
      <c r="L35" s="105"/>
      <c r="M35" s="25">
        <f t="shared" si="0"/>
        <v>160.71428571428569</v>
      </c>
      <c r="N35" s="25">
        <f t="shared" si="1"/>
        <v>19.285714285714281</v>
      </c>
      <c r="O35" s="25">
        <f t="shared" si="2"/>
        <v>0</v>
      </c>
      <c r="P35" s="25"/>
      <c r="Q35" s="26">
        <v>160.71</v>
      </c>
      <c r="R35" s="26"/>
      <c r="S35" s="27"/>
      <c r="T35" s="27"/>
      <c r="U35" s="27"/>
      <c r="V35" s="27"/>
      <c r="W35" s="27"/>
      <c r="X35" s="26"/>
      <c r="Y35" s="26"/>
      <c r="Z35" s="26"/>
      <c r="AA35" s="26"/>
      <c r="AB35" s="27"/>
      <c r="AC35" s="27"/>
      <c r="AD35" s="26"/>
      <c r="AE35" s="26"/>
      <c r="AF35" s="25">
        <f t="shared" si="3"/>
        <v>-179.99571428571429</v>
      </c>
      <c r="AG35" s="28">
        <f t="shared" si="4"/>
        <v>4.2857142857144481E-3</v>
      </c>
      <c r="AMJ35"/>
    </row>
    <row r="36" spans="1:1024" s="29" customFormat="1" ht="23.25" customHeight="1" x14ac:dyDescent="0.25">
      <c r="A36" s="18">
        <v>43822</v>
      </c>
      <c r="B36" s="19"/>
      <c r="C36" s="20" t="s">
        <v>41</v>
      </c>
      <c r="D36" s="20" t="s">
        <v>42</v>
      </c>
      <c r="E36" s="20" t="s">
        <v>43</v>
      </c>
      <c r="F36" s="21">
        <v>214641</v>
      </c>
      <c r="G36" s="21" t="s">
        <v>44</v>
      </c>
      <c r="H36" s="23"/>
      <c r="I36" s="23"/>
      <c r="J36" s="23"/>
      <c r="K36" s="23">
        <v>180</v>
      </c>
      <c r="L36" s="105"/>
      <c r="M36" s="25">
        <f t="shared" si="0"/>
        <v>160.71428571428569</v>
      </c>
      <c r="N36" s="25">
        <f t="shared" si="1"/>
        <v>19.285714285714281</v>
      </c>
      <c r="O36" s="25">
        <f t="shared" si="2"/>
        <v>0</v>
      </c>
      <c r="P36" s="25"/>
      <c r="Q36" s="26">
        <v>160.71</v>
      </c>
      <c r="R36" s="26"/>
      <c r="S36" s="27"/>
      <c r="T36" s="27"/>
      <c r="U36" s="27"/>
      <c r="V36" s="27"/>
      <c r="W36" s="27"/>
      <c r="X36" s="26"/>
      <c r="Y36" s="26"/>
      <c r="Z36" s="26"/>
      <c r="AA36" s="26"/>
      <c r="AB36" s="27"/>
      <c r="AC36" s="27"/>
      <c r="AD36" s="26"/>
      <c r="AE36" s="26"/>
      <c r="AF36" s="25">
        <f t="shared" si="3"/>
        <v>-179.99571428571429</v>
      </c>
      <c r="AG36" s="28">
        <f t="shared" si="4"/>
        <v>4.2857142857144481E-3</v>
      </c>
      <c r="AMJ36"/>
    </row>
    <row r="37" spans="1:1024" s="29" customFormat="1" ht="23.25" customHeight="1" x14ac:dyDescent="0.25">
      <c r="A37" s="18">
        <v>43825</v>
      </c>
      <c r="B37" s="19"/>
      <c r="C37" s="20" t="s">
        <v>54</v>
      </c>
      <c r="D37" s="20" t="s">
        <v>55</v>
      </c>
      <c r="E37" s="20" t="s">
        <v>56</v>
      </c>
      <c r="F37" s="21">
        <v>3385</v>
      </c>
      <c r="G37" s="22" t="s">
        <v>902</v>
      </c>
      <c r="H37" s="23"/>
      <c r="I37" s="23"/>
      <c r="J37" s="23">
        <v>459</v>
      </c>
      <c r="K37" s="23"/>
      <c r="L37" s="105"/>
      <c r="M37" s="25">
        <f t="shared" ref="M37:M53" si="5">SUM(H37:J37,K37/1.12)</f>
        <v>459</v>
      </c>
      <c r="N37" s="25">
        <f t="shared" ref="N37:N53" si="6">K37/1.12*0.12</f>
        <v>0</v>
      </c>
      <c r="O37" s="25">
        <f t="shared" ref="O37:O53" si="7">-SUM(I37:J37,K37/1.12)*L37</f>
        <v>0</v>
      </c>
      <c r="P37" s="26">
        <v>459</v>
      </c>
      <c r="Q37" s="26"/>
      <c r="R37" s="26"/>
      <c r="S37" s="27"/>
      <c r="T37" s="27"/>
      <c r="U37" s="27"/>
      <c r="V37" s="27"/>
      <c r="W37" s="27"/>
      <c r="X37" s="26"/>
      <c r="Y37" s="26"/>
      <c r="Z37" s="26"/>
      <c r="AA37" s="26"/>
      <c r="AB37" s="27"/>
      <c r="AC37" s="27"/>
      <c r="AD37" s="26"/>
      <c r="AE37" s="26"/>
      <c r="AF37" s="25">
        <f t="shared" ref="AF37:AF53" si="8">-SUM(N37:AE37)</f>
        <v>-459</v>
      </c>
      <c r="AG37" s="28">
        <f t="shared" ref="AG37:AG53" si="9">SUM(H37:K37)+AF37+O37</f>
        <v>0</v>
      </c>
      <c r="AMJ37"/>
    </row>
    <row r="38" spans="1:1024" s="29" customFormat="1" ht="23.25" customHeight="1" x14ac:dyDescent="0.25">
      <c r="A38" s="18">
        <v>43825</v>
      </c>
      <c r="B38" s="19"/>
      <c r="C38" s="20" t="s">
        <v>58</v>
      </c>
      <c r="D38" s="20"/>
      <c r="E38" s="20"/>
      <c r="F38" s="21"/>
      <c r="G38" s="22" t="s">
        <v>1119</v>
      </c>
      <c r="H38" s="23">
        <v>50</v>
      </c>
      <c r="I38" s="23"/>
      <c r="J38" s="23"/>
      <c r="K38" s="23"/>
      <c r="L38" s="105"/>
      <c r="M38" s="25">
        <f t="shared" si="5"/>
        <v>50</v>
      </c>
      <c r="N38" s="25">
        <f t="shared" si="6"/>
        <v>0</v>
      </c>
      <c r="O38" s="25">
        <f t="shared" si="7"/>
        <v>0</v>
      </c>
      <c r="P38" s="26"/>
      <c r="Q38" s="26"/>
      <c r="R38" s="26"/>
      <c r="S38" s="27"/>
      <c r="T38" s="27"/>
      <c r="U38" s="27"/>
      <c r="V38" s="27"/>
      <c r="W38" s="27"/>
      <c r="X38" s="26"/>
      <c r="Y38" s="26"/>
      <c r="Z38" s="26"/>
      <c r="AA38" s="26">
        <v>50</v>
      </c>
      <c r="AB38" s="27"/>
      <c r="AC38" s="27"/>
      <c r="AD38" s="26"/>
      <c r="AE38" s="26"/>
      <c r="AF38" s="25">
        <f t="shared" si="8"/>
        <v>-50</v>
      </c>
      <c r="AG38" s="28">
        <f t="shared" si="9"/>
        <v>0</v>
      </c>
      <c r="AMJ38"/>
    </row>
    <row r="39" spans="1:1024" s="29" customFormat="1" ht="23.25" customHeight="1" x14ac:dyDescent="0.25">
      <c r="A39" s="18">
        <v>43825</v>
      </c>
      <c r="B39" s="19"/>
      <c r="C39" s="20" t="s">
        <v>37</v>
      </c>
      <c r="D39" s="20" t="s">
        <v>38</v>
      </c>
      <c r="E39" s="20" t="s">
        <v>39</v>
      </c>
      <c r="F39" s="21">
        <v>100609</v>
      </c>
      <c r="G39" s="22" t="s">
        <v>367</v>
      </c>
      <c r="H39" s="23"/>
      <c r="I39" s="23"/>
      <c r="J39" s="23"/>
      <c r="K39" s="23">
        <v>396</v>
      </c>
      <c r="L39" s="105"/>
      <c r="M39" s="25">
        <f t="shared" si="5"/>
        <v>353.57142857142856</v>
      </c>
      <c r="N39" s="25">
        <f t="shared" si="6"/>
        <v>42.428571428571423</v>
      </c>
      <c r="O39" s="25">
        <f t="shared" si="7"/>
        <v>0</v>
      </c>
      <c r="P39" s="26">
        <v>353.57</v>
      </c>
      <c r="Q39" s="26"/>
      <c r="R39" s="26"/>
      <c r="S39" s="27"/>
      <c r="T39" s="27"/>
      <c r="U39" s="27"/>
      <c r="V39" s="27"/>
      <c r="W39" s="27"/>
      <c r="X39" s="26"/>
      <c r="Y39" s="26"/>
      <c r="Z39" s="26"/>
      <c r="AA39" s="26"/>
      <c r="AB39" s="27"/>
      <c r="AC39" s="27"/>
      <c r="AD39" s="26"/>
      <c r="AE39" s="26"/>
      <c r="AF39" s="25">
        <f t="shared" si="8"/>
        <v>-395.99857142857144</v>
      </c>
      <c r="AG39" s="28">
        <f t="shared" si="9"/>
        <v>1.4285714285620088E-3</v>
      </c>
      <c r="AMJ39"/>
    </row>
    <row r="40" spans="1:1024" s="29" customFormat="1" ht="23.25" customHeight="1" x14ac:dyDescent="0.25">
      <c r="A40" s="18">
        <v>43825</v>
      </c>
      <c r="B40" s="19"/>
      <c r="C40" s="20" t="s">
        <v>45</v>
      </c>
      <c r="D40" s="20" t="s">
        <v>847</v>
      </c>
      <c r="E40" s="20" t="s">
        <v>47</v>
      </c>
      <c r="F40" s="21">
        <v>184015</v>
      </c>
      <c r="G40" s="22" t="s">
        <v>1120</v>
      </c>
      <c r="H40" s="23"/>
      <c r="I40" s="23"/>
      <c r="J40" s="23"/>
      <c r="K40" s="23">
        <v>973.25</v>
      </c>
      <c r="L40" s="105"/>
      <c r="M40" s="25">
        <f t="shared" si="5"/>
        <v>868.97321428571422</v>
      </c>
      <c r="N40" s="25">
        <f t="shared" si="6"/>
        <v>104.27678571428571</v>
      </c>
      <c r="O40" s="25">
        <f t="shared" si="7"/>
        <v>0</v>
      </c>
      <c r="P40" s="26">
        <v>868.97</v>
      </c>
      <c r="Q40" s="26"/>
      <c r="R40" s="26"/>
      <c r="S40" s="27"/>
      <c r="T40" s="27"/>
      <c r="U40" s="27"/>
      <c r="V40" s="27"/>
      <c r="W40" s="27"/>
      <c r="X40" s="26"/>
      <c r="Y40" s="26"/>
      <c r="Z40" s="26"/>
      <c r="AA40" s="26"/>
      <c r="AB40" s="27"/>
      <c r="AC40" s="27"/>
      <c r="AD40" s="26"/>
      <c r="AE40" s="26"/>
      <c r="AF40" s="25">
        <f t="shared" si="8"/>
        <v>-973.24678571428569</v>
      </c>
      <c r="AG40" s="28">
        <f t="shared" si="9"/>
        <v>3.2142857143071524E-3</v>
      </c>
      <c r="AMJ40"/>
    </row>
    <row r="41" spans="1:1024" s="29" customFormat="1" ht="23.25" customHeight="1" x14ac:dyDescent="0.25">
      <c r="A41" s="18">
        <v>43825</v>
      </c>
      <c r="B41" s="19"/>
      <c r="C41" s="20" t="s">
        <v>152</v>
      </c>
      <c r="D41" s="20"/>
      <c r="E41" s="20"/>
      <c r="F41" s="21"/>
      <c r="G41" s="22" t="s">
        <v>153</v>
      </c>
      <c r="H41" s="23">
        <v>88.77</v>
      </c>
      <c r="I41" s="23"/>
      <c r="J41" s="23"/>
      <c r="K41" s="23"/>
      <c r="L41" s="105"/>
      <c r="M41" s="25">
        <f t="shared" si="5"/>
        <v>88.77</v>
      </c>
      <c r="N41" s="25">
        <f t="shared" si="6"/>
        <v>0</v>
      </c>
      <c r="O41" s="25">
        <f t="shared" si="7"/>
        <v>0</v>
      </c>
      <c r="P41" s="26"/>
      <c r="Q41" s="26"/>
      <c r="R41" s="26"/>
      <c r="S41" s="27"/>
      <c r="T41" s="27"/>
      <c r="U41" s="27"/>
      <c r="V41" s="27"/>
      <c r="W41" s="27"/>
      <c r="X41" s="26"/>
      <c r="Y41" s="26"/>
      <c r="Z41" s="26"/>
      <c r="AA41" s="26"/>
      <c r="AB41" s="27"/>
      <c r="AC41" s="27"/>
      <c r="AD41" s="26">
        <v>88.77</v>
      </c>
      <c r="AE41" s="26"/>
      <c r="AF41" s="25">
        <f t="shared" si="8"/>
        <v>-88.77</v>
      </c>
      <c r="AG41" s="28">
        <f t="shared" si="9"/>
        <v>0</v>
      </c>
      <c r="AMJ41"/>
    </row>
    <row r="42" spans="1:1024" s="29" customFormat="1" ht="23.25" customHeight="1" x14ac:dyDescent="0.25">
      <c r="A42" s="18">
        <v>43825</v>
      </c>
      <c r="B42" s="19"/>
      <c r="C42" s="20" t="s">
        <v>45</v>
      </c>
      <c r="D42" s="20" t="s">
        <v>847</v>
      </c>
      <c r="E42" s="20" t="s">
        <v>47</v>
      </c>
      <c r="F42" s="21">
        <v>243662</v>
      </c>
      <c r="G42" s="21" t="s">
        <v>1121</v>
      </c>
      <c r="H42" s="23"/>
      <c r="I42" s="23"/>
      <c r="J42" s="23"/>
      <c r="K42" s="23">
        <f>1012.23+121.47</f>
        <v>1133.7</v>
      </c>
      <c r="L42" s="105"/>
      <c r="M42" s="25">
        <f t="shared" si="5"/>
        <v>1012.2321428571428</v>
      </c>
      <c r="N42" s="25">
        <f t="shared" si="6"/>
        <v>121.46785714285713</v>
      </c>
      <c r="O42" s="25">
        <f t="shared" si="7"/>
        <v>0</v>
      </c>
      <c r="P42" s="25">
        <v>1012.23</v>
      </c>
      <c r="Q42" s="26"/>
      <c r="R42" s="26"/>
      <c r="S42" s="27"/>
      <c r="T42" s="27"/>
      <c r="U42" s="27"/>
      <c r="V42" s="27"/>
      <c r="W42" s="27"/>
      <c r="X42" s="26"/>
      <c r="Y42" s="26"/>
      <c r="Z42" s="26"/>
      <c r="AA42" s="26"/>
      <c r="AB42" s="27"/>
      <c r="AC42" s="27"/>
      <c r="AD42" s="26"/>
      <c r="AE42" s="26"/>
      <c r="AF42" s="25">
        <f t="shared" si="8"/>
        <v>-1133.6978571428572</v>
      </c>
      <c r="AG42" s="28">
        <f t="shared" si="9"/>
        <v>2.1428571428714349E-3</v>
      </c>
      <c r="AMJ42"/>
    </row>
    <row r="43" spans="1:1024" s="29" customFormat="1" ht="23.25" customHeight="1" x14ac:dyDescent="0.25">
      <c r="A43" s="18">
        <v>43825</v>
      </c>
      <c r="B43" s="19"/>
      <c r="C43" s="20" t="s">
        <v>45</v>
      </c>
      <c r="D43" s="20" t="s">
        <v>847</v>
      </c>
      <c r="E43" s="20" t="s">
        <v>47</v>
      </c>
      <c r="F43" s="21">
        <v>243662</v>
      </c>
      <c r="G43" s="22" t="s">
        <v>1122</v>
      </c>
      <c r="H43" s="23"/>
      <c r="I43" s="23"/>
      <c r="J43" s="23">
        <v>311.89999999999998</v>
      </c>
      <c r="K43" s="23"/>
      <c r="L43" s="105"/>
      <c r="M43" s="25">
        <f t="shared" si="5"/>
        <v>311.89999999999998</v>
      </c>
      <c r="N43" s="25">
        <f t="shared" si="6"/>
        <v>0</v>
      </c>
      <c r="O43" s="25">
        <f t="shared" si="7"/>
        <v>0</v>
      </c>
      <c r="P43" s="25">
        <v>311.89999999999998</v>
      </c>
      <c r="Q43" s="26"/>
      <c r="R43" s="26"/>
      <c r="S43" s="27"/>
      <c r="T43" s="27"/>
      <c r="U43" s="27"/>
      <c r="V43" s="27"/>
      <c r="W43" s="27"/>
      <c r="X43" s="26"/>
      <c r="Y43" s="26"/>
      <c r="Z43" s="26"/>
      <c r="AA43" s="26"/>
      <c r="AB43" s="27"/>
      <c r="AC43" s="27"/>
      <c r="AD43" s="26"/>
      <c r="AE43" s="26"/>
      <c r="AF43" s="25">
        <f t="shared" si="8"/>
        <v>-311.89999999999998</v>
      </c>
      <c r="AG43" s="28">
        <f t="shared" si="9"/>
        <v>0</v>
      </c>
      <c r="AMJ43"/>
    </row>
    <row r="44" spans="1:1024" s="41" customFormat="1" ht="23.25" customHeight="1" x14ac:dyDescent="0.25">
      <c r="A44" s="30">
        <v>43825</v>
      </c>
      <c r="B44" s="31"/>
      <c r="C44" s="32" t="s">
        <v>37</v>
      </c>
      <c r="D44" s="32" t="s">
        <v>38</v>
      </c>
      <c r="E44" s="32" t="s">
        <v>39</v>
      </c>
      <c r="F44" s="33">
        <v>100618</v>
      </c>
      <c r="G44" s="34" t="s">
        <v>183</v>
      </c>
      <c r="H44" s="35"/>
      <c r="I44" s="35"/>
      <c r="J44" s="35"/>
      <c r="K44" s="35">
        <v>273</v>
      </c>
      <c r="L44" s="124"/>
      <c r="M44" s="37">
        <f t="shared" si="5"/>
        <v>243.74999999999997</v>
      </c>
      <c r="N44" s="37">
        <f t="shared" si="6"/>
        <v>29.249999999999996</v>
      </c>
      <c r="O44" s="37">
        <f t="shared" si="7"/>
        <v>0</v>
      </c>
      <c r="P44" s="37">
        <v>243.75</v>
      </c>
      <c r="Q44" s="38"/>
      <c r="R44" s="38"/>
      <c r="S44" s="39"/>
      <c r="T44" s="39"/>
      <c r="U44" s="39"/>
      <c r="V44" s="39"/>
      <c r="W44" s="39"/>
      <c r="X44" s="38"/>
      <c r="Y44" s="38"/>
      <c r="Z44" s="38"/>
      <c r="AA44" s="38"/>
      <c r="AB44" s="39"/>
      <c r="AC44" s="39"/>
      <c r="AD44" s="38"/>
      <c r="AE44" s="38"/>
      <c r="AF44" s="37">
        <f t="shared" si="8"/>
        <v>-273</v>
      </c>
      <c r="AG44" s="40">
        <f t="shared" si="9"/>
        <v>0</v>
      </c>
      <c r="AMJ44"/>
    </row>
    <row r="45" spans="1:1024" s="29" customFormat="1" ht="23.25" hidden="1" customHeight="1" x14ac:dyDescent="0.25">
      <c r="A45" s="18"/>
      <c r="B45" s="19"/>
      <c r="C45" s="20"/>
      <c r="D45" s="20"/>
      <c r="E45" s="20"/>
      <c r="F45" s="21"/>
      <c r="G45" s="22"/>
      <c r="H45" s="23"/>
      <c r="I45" s="23"/>
      <c r="J45" s="23"/>
      <c r="K45" s="23"/>
      <c r="L45" s="105"/>
      <c r="M45" s="25">
        <f t="shared" si="5"/>
        <v>0</v>
      </c>
      <c r="N45" s="25">
        <f t="shared" si="6"/>
        <v>0</v>
      </c>
      <c r="O45" s="25">
        <f t="shared" si="7"/>
        <v>0</v>
      </c>
      <c r="P45" s="25"/>
      <c r="Q45" s="26"/>
      <c r="R45" s="26"/>
      <c r="S45" s="27"/>
      <c r="T45" s="27"/>
      <c r="U45" s="27"/>
      <c r="V45" s="27"/>
      <c r="W45" s="27"/>
      <c r="X45" s="26"/>
      <c r="Y45" s="26"/>
      <c r="Z45" s="26"/>
      <c r="AA45" s="26"/>
      <c r="AB45" s="27"/>
      <c r="AC45" s="27"/>
      <c r="AD45" s="26"/>
      <c r="AE45" s="26"/>
      <c r="AF45" s="25">
        <f t="shared" si="8"/>
        <v>0</v>
      </c>
      <c r="AG45" s="28">
        <f t="shared" si="9"/>
        <v>0</v>
      </c>
      <c r="AMJ45"/>
    </row>
    <row r="46" spans="1:1024" s="29" customFormat="1" ht="23.25" hidden="1" customHeight="1" x14ac:dyDescent="0.25">
      <c r="A46" s="18"/>
      <c r="B46" s="19"/>
      <c r="C46" s="20"/>
      <c r="D46" s="20"/>
      <c r="E46" s="20"/>
      <c r="F46" s="21"/>
      <c r="G46" s="21"/>
      <c r="H46" s="23"/>
      <c r="I46" s="23"/>
      <c r="J46" s="23"/>
      <c r="K46" s="23"/>
      <c r="L46" s="105"/>
      <c r="M46" s="25">
        <f t="shared" si="5"/>
        <v>0</v>
      </c>
      <c r="N46" s="25">
        <f t="shared" si="6"/>
        <v>0</v>
      </c>
      <c r="O46" s="25">
        <f t="shared" si="7"/>
        <v>0</v>
      </c>
      <c r="P46" s="26"/>
      <c r="Q46" s="26"/>
      <c r="R46" s="26"/>
      <c r="S46" s="27"/>
      <c r="T46" s="27"/>
      <c r="U46" s="27"/>
      <c r="V46" s="27"/>
      <c r="W46" s="27"/>
      <c r="X46" s="26"/>
      <c r="Y46" s="26"/>
      <c r="Z46" s="26"/>
      <c r="AA46" s="26"/>
      <c r="AB46" s="27"/>
      <c r="AC46" s="27"/>
      <c r="AD46" s="26"/>
      <c r="AE46" s="26"/>
      <c r="AF46" s="25">
        <f t="shared" si="8"/>
        <v>0</v>
      </c>
      <c r="AG46" s="28">
        <f t="shared" si="9"/>
        <v>0</v>
      </c>
      <c r="AMJ46"/>
    </row>
    <row r="47" spans="1:1024" s="29" customFormat="1" ht="23.25" customHeight="1" x14ac:dyDescent="0.25">
      <c r="A47" s="18">
        <v>43826</v>
      </c>
      <c r="B47" s="19"/>
      <c r="C47" s="20" t="s">
        <v>45</v>
      </c>
      <c r="D47" s="20" t="s">
        <v>847</v>
      </c>
      <c r="E47" s="20" t="s">
        <v>47</v>
      </c>
      <c r="F47" s="21">
        <v>224742</v>
      </c>
      <c r="G47" s="21" t="s">
        <v>1123</v>
      </c>
      <c r="H47" s="23"/>
      <c r="I47" s="23"/>
      <c r="J47" s="23"/>
      <c r="K47" s="23">
        <v>396.45</v>
      </c>
      <c r="L47" s="105"/>
      <c r="M47" s="25">
        <f t="shared" si="5"/>
        <v>353.97321428571422</v>
      </c>
      <c r="N47" s="25">
        <f t="shared" si="6"/>
        <v>42.476785714285704</v>
      </c>
      <c r="O47" s="25">
        <f t="shared" si="7"/>
        <v>0</v>
      </c>
      <c r="P47" s="25">
        <v>353.97</v>
      </c>
      <c r="Q47" s="26"/>
      <c r="R47" s="26"/>
      <c r="S47" s="27"/>
      <c r="T47" s="27"/>
      <c r="U47" s="27"/>
      <c r="V47" s="27"/>
      <c r="W47" s="27"/>
      <c r="X47" s="26"/>
      <c r="Y47" s="26"/>
      <c r="Z47" s="26"/>
      <c r="AA47" s="26"/>
      <c r="AB47" s="27"/>
      <c r="AC47" s="27"/>
      <c r="AD47" s="26"/>
      <c r="AE47" s="26"/>
      <c r="AF47" s="25">
        <f t="shared" si="8"/>
        <v>-396.44678571428574</v>
      </c>
      <c r="AG47" s="28">
        <f t="shared" si="9"/>
        <v>3.214285714250309E-3</v>
      </c>
      <c r="AMJ47"/>
    </row>
    <row r="48" spans="1:1024" s="29" customFormat="1" ht="23.25" customHeight="1" x14ac:dyDescent="0.25">
      <c r="A48" s="18">
        <v>43826</v>
      </c>
      <c r="B48" s="19"/>
      <c r="C48" s="20" t="s">
        <v>41</v>
      </c>
      <c r="D48" s="20" t="s">
        <v>42</v>
      </c>
      <c r="E48" s="20" t="s">
        <v>43</v>
      </c>
      <c r="F48" s="21">
        <v>214733</v>
      </c>
      <c r="G48" s="21" t="s">
        <v>44</v>
      </c>
      <c r="H48" s="23"/>
      <c r="I48" s="23"/>
      <c r="J48" s="23"/>
      <c r="K48" s="23">
        <v>180</v>
      </c>
      <c r="L48" s="105"/>
      <c r="M48" s="25">
        <f t="shared" si="5"/>
        <v>160.71428571428569</v>
      </c>
      <c r="N48" s="25">
        <f t="shared" si="6"/>
        <v>19.285714285714281</v>
      </c>
      <c r="O48" s="25">
        <f t="shared" si="7"/>
        <v>0</v>
      </c>
      <c r="P48" s="25"/>
      <c r="Q48" s="26">
        <v>160.71</v>
      </c>
      <c r="R48" s="26"/>
      <c r="S48" s="27"/>
      <c r="T48" s="27"/>
      <c r="U48" s="27"/>
      <c r="V48" s="27"/>
      <c r="W48" s="27"/>
      <c r="X48" s="26"/>
      <c r="Y48" s="26"/>
      <c r="Z48" s="26"/>
      <c r="AA48" s="26"/>
      <c r="AB48" s="27"/>
      <c r="AC48" s="27"/>
      <c r="AD48" s="26"/>
      <c r="AE48" s="26"/>
      <c r="AF48" s="25">
        <f t="shared" si="8"/>
        <v>-179.99571428571429</v>
      </c>
      <c r="AG48" s="28">
        <f t="shared" si="9"/>
        <v>4.2857142857144481E-3</v>
      </c>
      <c r="AMJ48"/>
    </row>
    <row r="49" spans="1:1024" s="29" customFormat="1" ht="23.25" customHeight="1" x14ac:dyDescent="0.25">
      <c r="A49" s="18">
        <v>43826</v>
      </c>
      <c r="B49" s="19"/>
      <c r="C49" s="20" t="s">
        <v>1124</v>
      </c>
      <c r="D49" s="20" t="s">
        <v>1125</v>
      </c>
      <c r="E49" s="20" t="s">
        <v>186</v>
      </c>
      <c r="F49" s="21">
        <v>398701</v>
      </c>
      <c r="G49" s="21" t="s">
        <v>359</v>
      </c>
      <c r="H49" s="23"/>
      <c r="I49" s="23"/>
      <c r="J49" s="23"/>
      <c r="K49" s="23">
        <v>130</v>
      </c>
      <c r="L49" s="105"/>
      <c r="M49" s="25">
        <f t="shared" si="5"/>
        <v>116.07142857142856</v>
      </c>
      <c r="N49" s="25">
        <f t="shared" si="6"/>
        <v>13.928571428571425</v>
      </c>
      <c r="O49" s="25">
        <f t="shared" si="7"/>
        <v>0</v>
      </c>
      <c r="P49" s="25">
        <v>116.07</v>
      </c>
      <c r="Q49" s="26"/>
      <c r="R49" s="26"/>
      <c r="S49" s="27"/>
      <c r="T49" s="27"/>
      <c r="U49" s="27"/>
      <c r="V49" s="27"/>
      <c r="W49" s="27"/>
      <c r="X49" s="26"/>
      <c r="Y49" s="26"/>
      <c r="Z49" s="26"/>
      <c r="AA49" s="26"/>
      <c r="AB49" s="27"/>
      <c r="AC49" s="27"/>
      <c r="AD49" s="26"/>
      <c r="AE49" s="26"/>
      <c r="AF49" s="25">
        <f t="shared" si="8"/>
        <v>-129.99857142857141</v>
      </c>
      <c r="AG49" s="28">
        <f t="shared" si="9"/>
        <v>1.4285714285904305E-3</v>
      </c>
      <c r="AMJ49"/>
    </row>
    <row r="50" spans="1:1024" s="29" customFormat="1" ht="23.25" customHeight="1" x14ac:dyDescent="0.25">
      <c r="A50" s="18">
        <v>43826</v>
      </c>
      <c r="B50" s="19"/>
      <c r="C50" s="20" t="s">
        <v>308</v>
      </c>
      <c r="D50" s="20" t="s">
        <v>309</v>
      </c>
      <c r="E50" s="20" t="s">
        <v>56</v>
      </c>
      <c r="F50" s="21">
        <v>10663</v>
      </c>
      <c r="G50" s="21" t="s">
        <v>626</v>
      </c>
      <c r="H50" s="23"/>
      <c r="I50" s="23"/>
      <c r="J50" s="23">
        <v>220</v>
      </c>
      <c r="K50" s="23"/>
      <c r="L50" s="105"/>
      <c r="M50" s="25">
        <f t="shared" si="5"/>
        <v>220</v>
      </c>
      <c r="N50" s="25">
        <f t="shared" si="6"/>
        <v>0</v>
      </c>
      <c r="O50" s="25">
        <f t="shared" si="7"/>
        <v>0</v>
      </c>
      <c r="P50" s="25">
        <v>220</v>
      </c>
      <c r="Q50" s="26"/>
      <c r="R50" s="26"/>
      <c r="S50" s="27"/>
      <c r="T50" s="27"/>
      <c r="U50" s="27"/>
      <c r="V50" s="27"/>
      <c r="W50" s="27"/>
      <c r="X50" s="26"/>
      <c r="Y50" s="26"/>
      <c r="Z50" s="26"/>
      <c r="AA50" s="26"/>
      <c r="AB50" s="27"/>
      <c r="AC50" s="27"/>
      <c r="AD50" s="26"/>
      <c r="AE50" s="26"/>
      <c r="AF50" s="25">
        <f t="shared" si="8"/>
        <v>-220</v>
      </c>
      <c r="AG50" s="28">
        <f t="shared" si="9"/>
        <v>0</v>
      </c>
      <c r="AMJ50"/>
    </row>
    <row r="51" spans="1:1024" s="29" customFormat="1" ht="23.25" customHeight="1" x14ac:dyDescent="0.25">
      <c r="A51" s="18">
        <v>43826</v>
      </c>
      <c r="B51" s="19"/>
      <c r="C51" s="20" t="s">
        <v>37</v>
      </c>
      <c r="D51" s="20" t="s">
        <v>38</v>
      </c>
      <c r="E51" s="20" t="s">
        <v>39</v>
      </c>
      <c r="F51" s="21">
        <v>90477</v>
      </c>
      <c r="G51" s="21" t="s">
        <v>1126</v>
      </c>
      <c r="H51" s="23"/>
      <c r="I51" s="23"/>
      <c r="J51" s="23"/>
      <c r="K51" s="23">
        <v>694.5</v>
      </c>
      <c r="L51" s="105"/>
      <c r="M51" s="25">
        <f t="shared" si="5"/>
        <v>620.08928571428567</v>
      </c>
      <c r="N51" s="25">
        <f t="shared" si="6"/>
        <v>74.410714285714278</v>
      </c>
      <c r="O51" s="25">
        <f t="shared" si="7"/>
        <v>0</v>
      </c>
      <c r="P51" s="25">
        <v>620.09</v>
      </c>
      <c r="Q51" s="26"/>
      <c r="R51" s="26"/>
      <c r="S51" s="27"/>
      <c r="T51" s="27"/>
      <c r="U51" s="27"/>
      <c r="V51" s="27"/>
      <c r="W51" s="27"/>
      <c r="X51" s="26"/>
      <c r="Y51" s="26"/>
      <c r="Z51" s="26"/>
      <c r="AA51" s="26"/>
      <c r="AB51" s="27"/>
      <c r="AC51" s="27"/>
      <c r="AD51" s="26"/>
      <c r="AE51" s="26"/>
      <c r="AF51" s="25">
        <f t="shared" si="8"/>
        <v>-694.50071428571437</v>
      </c>
      <c r="AG51" s="28">
        <f t="shared" si="9"/>
        <v>-7.1428571436626953E-4</v>
      </c>
      <c r="AMJ51"/>
    </row>
    <row r="52" spans="1:1024" s="29" customFormat="1" ht="23.25" customHeight="1" x14ac:dyDescent="0.25">
      <c r="A52" s="18">
        <v>43826</v>
      </c>
      <c r="B52" s="19"/>
      <c r="C52" s="20" t="s">
        <v>185</v>
      </c>
      <c r="D52" s="20" t="s">
        <v>106</v>
      </c>
      <c r="E52" s="20" t="s">
        <v>39</v>
      </c>
      <c r="F52" s="21">
        <v>745627</v>
      </c>
      <c r="G52" s="21" t="s">
        <v>231</v>
      </c>
      <c r="H52" s="23"/>
      <c r="I52" s="23"/>
      <c r="J52" s="23"/>
      <c r="K52" s="23">
        <v>48.5</v>
      </c>
      <c r="L52" s="105"/>
      <c r="M52" s="25">
        <f t="shared" si="5"/>
        <v>43.303571428571423</v>
      </c>
      <c r="N52" s="25">
        <f t="shared" si="6"/>
        <v>5.1964285714285703</v>
      </c>
      <c r="O52" s="25">
        <f t="shared" si="7"/>
        <v>0</v>
      </c>
      <c r="P52" s="25"/>
      <c r="Q52" s="26"/>
      <c r="R52" s="26"/>
      <c r="S52" s="27"/>
      <c r="T52" s="27">
        <v>43.3</v>
      </c>
      <c r="U52" s="27"/>
      <c r="V52" s="27"/>
      <c r="W52" s="27"/>
      <c r="X52" s="26"/>
      <c r="Y52" s="26"/>
      <c r="Z52" s="26"/>
      <c r="AA52" s="26"/>
      <c r="AB52" s="27"/>
      <c r="AC52" s="27"/>
      <c r="AD52" s="26"/>
      <c r="AE52" s="26"/>
      <c r="AF52" s="25">
        <f t="shared" si="8"/>
        <v>-48.496428571428567</v>
      </c>
      <c r="AG52" s="28">
        <f t="shared" si="9"/>
        <v>3.5714285714334437E-3</v>
      </c>
      <c r="AMJ52"/>
    </row>
    <row r="53" spans="1:1024" s="29" customFormat="1" ht="23.25" customHeight="1" x14ac:dyDescent="0.25">
      <c r="A53" s="18">
        <v>43826</v>
      </c>
      <c r="B53" s="19"/>
      <c r="C53" s="20" t="s">
        <v>945</v>
      </c>
      <c r="D53" s="20" t="s">
        <v>115</v>
      </c>
      <c r="E53" s="20" t="s">
        <v>47</v>
      </c>
      <c r="F53" s="21">
        <v>204658</v>
      </c>
      <c r="G53" s="21" t="s">
        <v>327</v>
      </c>
      <c r="H53" s="23"/>
      <c r="I53" s="23"/>
      <c r="J53" s="23"/>
      <c r="K53" s="23">
        <v>1256</v>
      </c>
      <c r="L53" s="105"/>
      <c r="M53" s="25">
        <f t="shared" si="5"/>
        <v>1121.4285714285713</v>
      </c>
      <c r="N53" s="25">
        <f t="shared" si="6"/>
        <v>134.57142857142856</v>
      </c>
      <c r="O53" s="25">
        <f t="shared" si="7"/>
        <v>0</v>
      </c>
      <c r="P53" s="25">
        <v>1121.43</v>
      </c>
      <c r="Q53" s="26"/>
      <c r="R53" s="26"/>
      <c r="S53" s="27"/>
      <c r="T53" s="27"/>
      <c r="U53" s="27"/>
      <c r="V53" s="27"/>
      <c r="W53" s="27"/>
      <c r="X53" s="26"/>
      <c r="Y53" s="26"/>
      <c r="Z53" s="26"/>
      <c r="AA53" s="26"/>
      <c r="AB53" s="27"/>
      <c r="AC53" s="27"/>
      <c r="AD53" s="26"/>
      <c r="AE53" s="26"/>
      <c r="AF53" s="25">
        <f t="shared" si="8"/>
        <v>-1256.0014285714287</v>
      </c>
      <c r="AG53" s="28">
        <f t="shared" si="9"/>
        <v>-1.4285714287325391E-3</v>
      </c>
      <c r="AMJ53"/>
    </row>
    <row r="54" spans="1:1024" s="29" customFormat="1" ht="23.25" customHeight="1" x14ac:dyDescent="0.25">
      <c r="A54" s="18"/>
      <c r="B54" s="19"/>
      <c r="C54" s="20"/>
      <c r="D54" s="20"/>
      <c r="E54" s="20"/>
      <c r="F54" s="21"/>
      <c r="G54" s="22"/>
      <c r="H54" s="23"/>
      <c r="I54" s="23"/>
      <c r="J54" s="23"/>
      <c r="K54" s="23"/>
      <c r="L54" s="105"/>
      <c r="M54" s="25"/>
      <c r="N54" s="25"/>
      <c r="O54" s="25"/>
      <c r="P54" s="26"/>
      <c r="Q54" s="26"/>
      <c r="R54" s="26"/>
      <c r="S54" s="27"/>
      <c r="T54" s="27"/>
      <c r="U54" s="27"/>
      <c r="V54" s="27"/>
      <c r="W54" s="27"/>
      <c r="X54" s="26"/>
      <c r="Y54" s="26"/>
      <c r="Z54" s="26"/>
      <c r="AA54" s="26"/>
      <c r="AB54" s="27"/>
      <c r="AC54" s="27"/>
      <c r="AD54" s="26"/>
      <c r="AE54" s="26"/>
      <c r="AF54" s="25"/>
      <c r="AG54" s="28"/>
      <c r="AMJ54"/>
    </row>
    <row r="55" spans="1:1024" s="29" customFormat="1" ht="23.25" customHeight="1" x14ac:dyDescent="0.25">
      <c r="A55" s="18"/>
      <c r="B55" s="19"/>
      <c r="C55" s="20"/>
      <c r="D55" s="20"/>
      <c r="E55" s="20"/>
      <c r="F55" s="21"/>
      <c r="G55" s="22"/>
      <c r="H55" s="23"/>
      <c r="I55" s="23"/>
      <c r="J55" s="23"/>
      <c r="K55" s="23"/>
      <c r="L55" s="105"/>
      <c r="M55" s="25">
        <f>SUM(H55:J55,K55/1.12)</f>
        <v>0</v>
      </c>
      <c r="N55" s="25">
        <f>K55/1.12*0.12</f>
        <v>0</v>
      </c>
      <c r="O55" s="25">
        <f>-SUM(I55:J55,K55/1.12)*L55</f>
        <v>0</v>
      </c>
      <c r="P55" s="25"/>
      <c r="Q55" s="26"/>
      <c r="R55" s="26"/>
      <c r="S55" s="27"/>
      <c r="T55" s="27"/>
      <c r="U55" s="27"/>
      <c r="V55" s="27"/>
      <c r="W55" s="27"/>
      <c r="X55" s="26"/>
      <c r="Y55" s="26"/>
      <c r="Z55" s="26"/>
      <c r="AA55" s="26"/>
      <c r="AB55" s="27"/>
      <c r="AC55" s="27"/>
      <c r="AD55" s="26"/>
      <c r="AE55" s="26"/>
      <c r="AF55" s="25">
        <f>-SUM(N55:AE55)</f>
        <v>0</v>
      </c>
      <c r="AG55" s="28">
        <f>SUM(H55:K55)+AF55+O55</f>
        <v>0</v>
      </c>
      <c r="AMJ55"/>
    </row>
    <row r="56" spans="1:1024" s="57" customFormat="1" ht="12" customHeight="1" x14ac:dyDescent="0.25">
      <c r="A56" s="49"/>
      <c r="B56" s="50"/>
      <c r="C56" s="51"/>
      <c r="D56" s="52"/>
      <c r="E56" s="52"/>
      <c r="F56" s="53"/>
      <c r="G56" s="51"/>
      <c r="H56" s="54">
        <f t="shared" ref="H56:AG56" si="10">SUM(H5:H55)</f>
        <v>916.77</v>
      </c>
      <c r="I56" s="54">
        <f t="shared" si="10"/>
        <v>0</v>
      </c>
      <c r="J56" s="54">
        <f t="shared" si="10"/>
        <v>5962.4899999999989</v>
      </c>
      <c r="K56" s="54">
        <f t="shared" si="10"/>
        <v>17010.04</v>
      </c>
      <c r="L56" s="54">
        <f t="shared" si="10"/>
        <v>0</v>
      </c>
      <c r="M56" s="54">
        <f t="shared" si="10"/>
        <v>22066.795714285712</v>
      </c>
      <c r="N56" s="54">
        <f t="shared" si="10"/>
        <v>1822.5042857142853</v>
      </c>
      <c r="O56" s="54">
        <f t="shared" si="10"/>
        <v>0</v>
      </c>
      <c r="P56" s="54">
        <f t="shared" si="10"/>
        <v>19527.29</v>
      </c>
      <c r="Q56" s="54">
        <f t="shared" si="10"/>
        <v>1347.25</v>
      </c>
      <c r="R56" s="54">
        <f t="shared" si="10"/>
        <v>0</v>
      </c>
      <c r="S56" s="54">
        <f t="shared" si="10"/>
        <v>0</v>
      </c>
      <c r="T56" s="54">
        <f t="shared" si="10"/>
        <v>275.44</v>
      </c>
      <c r="U56" s="54">
        <f t="shared" si="10"/>
        <v>0</v>
      </c>
      <c r="V56" s="54">
        <f t="shared" si="10"/>
        <v>0</v>
      </c>
      <c r="W56" s="54">
        <f t="shared" si="10"/>
        <v>0</v>
      </c>
      <c r="X56" s="54">
        <f t="shared" si="10"/>
        <v>0</v>
      </c>
      <c r="Y56" s="54">
        <f t="shared" si="10"/>
        <v>0</v>
      </c>
      <c r="Z56" s="54">
        <f t="shared" si="10"/>
        <v>0</v>
      </c>
      <c r="AA56" s="54">
        <f t="shared" si="10"/>
        <v>328</v>
      </c>
      <c r="AB56" s="54">
        <f t="shared" si="10"/>
        <v>0</v>
      </c>
      <c r="AC56" s="54">
        <f t="shared" si="10"/>
        <v>0</v>
      </c>
      <c r="AD56" s="54">
        <f t="shared" si="10"/>
        <v>588.77</v>
      </c>
      <c r="AE56" s="54">
        <f t="shared" si="10"/>
        <v>0</v>
      </c>
      <c r="AF56" s="54">
        <f t="shared" si="10"/>
        <v>-23889.25428571428</v>
      </c>
      <c r="AG56" s="54">
        <f t="shared" si="10"/>
        <v>4.5714285714495873E-2</v>
      </c>
      <c r="AMJ56"/>
    </row>
    <row r="57" spans="1:1024" ht="12" customHeight="1" x14ac:dyDescent="0.25"/>
    <row r="58" spans="1:1024" x14ac:dyDescent="0.25">
      <c r="J58" s="5" t="s">
        <v>1097</v>
      </c>
    </row>
    <row r="59" spans="1:1024" x14ac:dyDescent="0.25">
      <c r="Q59" s="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5</vt:i4>
      </vt:variant>
    </vt:vector>
  </HeadingPairs>
  <TitlesOfParts>
    <vt:vector size="28" baseType="lpstr">
      <vt:lpstr>2019-01</vt:lpstr>
      <vt:lpstr>2019-02</vt:lpstr>
      <vt:lpstr>2019-03</vt:lpstr>
      <vt:lpstr>2019-04 April</vt:lpstr>
      <vt:lpstr>2019-04 Food</vt:lpstr>
      <vt:lpstr>2019-04 Nonfood</vt:lpstr>
      <vt:lpstr>2019-05</vt:lpstr>
      <vt:lpstr>2019-06</vt:lpstr>
      <vt:lpstr>2019-07</vt:lpstr>
      <vt:lpstr>2K EM</vt:lpstr>
      <vt:lpstr>6k Budget (Uniform)</vt:lpstr>
      <vt:lpstr>Php5750 budget</vt:lpstr>
      <vt:lpstr>4KBudget</vt:lpstr>
      <vt:lpstr>4k(other expenses)</vt:lpstr>
      <vt:lpstr>Php838JFD</vt:lpstr>
      <vt:lpstr>20K(Bar &amp; Kitchen)</vt:lpstr>
      <vt:lpstr>10K(kitchen fund)</vt:lpstr>
      <vt:lpstr>15K(Raw mats)</vt:lpstr>
      <vt:lpstr>2019-11</vt:lpstr>
      <vt:lpstr>2019-Dec 2-5</vt:lpstr>
      <vt:lpstr>2019-Dec 5-12</vt:lpstr>
      <vt:lpstr>2019-Dec 12-17</vt:lpstr>
      <vt:lpstr>2019-Dec23-27</vt:lpstr>
      <vt:lpstr>'2019-04 April'!Print_Area</vt:lpstr>
      <vt:lpstr>'2019-Dec 12-17'!Print_Area</vt:lpstr>
      <vt:lpstr>'2019-Dec 5-12'!Print_Area</vt:lpstr>
      <vt:lpstr>'2019-Dec23-27'!Print_Area</vt:lpstr>
      <vt:lpstr>'2K EM'!Print_Area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Alvin</dc:creator>
  <dc:description/>
  <cp:lastModifiedBy>Ben</cp:lastModifiedBy>
  <cp:revision>4</cp:revision>
  <dcterms:created xsi:type="dcterms:W3CDTF">2022-03-06T11:51:47Z</dcterms:created>
  <dcterms:modified xsi:type="dcterms:W3CDTF">2022-03-06T09:14:26Z</dcterms:modified>
  <dc:language>en-PH</dc:language>
</cp:coreProperties>
</file>