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in\Documents\venv\jarvis\instance\uploads\"/>
    </mc:Choice>
  </mc:AlternateContent>
  <xr:revisionPtr revIDLastSave="0" documentId="13_ncr:1_{40447F57-13A6-4326-85D2-A671A8D72DD8}" xr6:coauthVersionLast="47" xr6:coauthVersionMax="47" xr10:uidLastSave="{00000000-0000-0000-0000-000000000000}"/>
  <bookViews>
    <workbookView xWindow="-108" yWindow="-108" windowWidth="23256" windowHeight="12576" tabRatio="734" firstSheet="31" activeTab="40" xr2:uid="{00000000-000D-0000-FFFF-FFFF00000000}"/>
  </bookViews>
  <sheets>
    <sheet name="2020-01" sheetId="1" r:id="rId1"/>
    <sheet name="2020-02" sheetId="2" r:id="rId2"/>
    <sheet name="2020-03" sheetId="3" r:id="rId3"/>
    <sheet name="2020-05" sheetId="4" r:id="rId4"/>
    <sheet name="2020-06" sheetId="5" r:id="rId5"/>
    <sheet name="2020-07" sheetId="6" r:id="rId6"/>
    <sheet name="July31-Aug6" sheetId="7" r:id="rId7"/>
    <sheet name="Aug 8-15" sheetId="8" r:id="rId8"/>
    <sheet name="Aug 14-20" sheetId="9" r:id="rId9"/>
    <sheet name="Sheet1" sheetId="10" r:id="rId10"/>
    <sheet name="Aug24-29" sheetId="11" r:id="rId11"/>
    <sheet name="2020-09" sheetId="12" r:id="rId12"/>
    <sheet name="2020-09_2" sheetId="13" r:id="rId13"/>
    <sheet name="Sept 28-Oct 5" sheetId="14" r:id="rId14"/>
    <sheet name="Oct. 5-10" sheetId="15" r:id="rId15"/>
    <sheet name="Oct 12-17" sheetId="16" r:id="rId16"/>
    <sheet name="Oct14" sheetId="17" r:id="rId17"/>
    <sheet name="Oct. 15-19" sheetId="18" r:id="rId18"/>
    <sheet name="Oct 20-24" sheetId="19" r:id="rId19"/>
    <sheet name="Oct 24-29" sheetId="20" r:id="rId20"/>
    <sheet name="Oct 23-30" sheetId="21" r:id="rId21"/>
    <sheet name="Oct 29-30" sheetId="22" r:id="rId22"/>
    <sheet name="Nov 5-6" sheetId="23" r:id="rId23"/>
    <sheet name="Nov 5-7" sheetId="24" r:id="rId24"/>
    <sheet name="Nov 10-14" sheetId="25" r:id="rId25"/>
    <sheet name="Nov13" sheetId="26" r:id="rId26"/>
    <sheet name="Nov 14-21" sheetId="27" r:id="rId27"/>
    <sheet name="Nov 19-21" sheetId="28" r:id="rId28"/>
    <sheet name="Nov 23" sheetId="29" r:id="rId29"/>
    <sheet name="Nov. 23-28" sheetId="30" r:id="rId30"/>
    <sheet name="Nov. 28-30" sheetId="31" r:id="rId31"/>
    <sheet name="Wine" sheetId="32" r:id="rId32"/>
    <sheet name="Nov 30-Dec 03" sheetId="33" r:id="rId33"/>
    <sheet name="Dec4-5" sheetId="34" r:id="rId34"/>
    <sheet name="Dec 07-12" sheetId="35" r:id="rId35"/>
    <sheet name="Dec 7-12 PCF2" sheetId="36" r:id="rId36"/>
    <sheet name="BEER" sheetId="37" r:id="rId37"/>
    <sheet name="Dec. 14-19" sheetId="38" r:id="rId38"/>
    <sheet name="De. 14-16" sheetId="39" r:id="rId39"/>
    <sheet name="Dec 14-19" sheetId="40" r:id="rId40"/>
    <sheet name="Dec 19-21(cash from Dec18sales)" sheetId="41" r:id="rId41"/>
    <sheet name="Dec 22-23 (10k Budget)" sheetId="42" r:id="rId42"/>
    <sheet name="Dec29" sheetId="43" r:id="rId43"/>
  </sheets>
  <externalReferences>
    <externalReference r:id="rId44"/>
    <externalReference r:id="rId45"/>
    <externalReference r:id="rId46"/>
    <externalReference r:id="rId47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  <definedName name="_xlnm.Print_Area" localSheetId="0">[4]summary!#REF!</definedName>
    <definedName name="_xlnm.Print_Area" localSheetId="1">[4]summary!#REF!</definedName>
    <definedName name="_xlnm.Print_Area" localSheetId="2">[4]summary!#REF!</definedName>
    <definedName name="_xlnm.Print_Area" localSheetId="4">[4]summary!#REF!</definedName>
    <definedName name="_xlnm.Print_Area" localSheetId="5">[4]summary!#REF!</definedName>
    <definedName name="_xlnm.Print_Area" localSheetId="11">'2020-09'!$F$2:$AF$28</definedName>
    <definedName name="_xlnm.Print_Area" localSheetId="12">'2020-09_2'!$F$2:$AF$98</definedName>
    <definedName name="_xlnm.Print_Area" localSheetId="8">'Aug 14-20'!$A$1:$AG$26</definedName>
    <definedName name="_xlnm.Print_Area" localSheetId="7">'Aug 8-15'!$A$1:$AG$16</definedName>
    <definedName name="_xlnm.Print_Area" localSheetId="40">'Dec 19-21(cash from Dec18sales)'!$1:$37</definedName>
    <definedName name="_xlnm.Print_Area" localSheetId="41">'Dec 22-23 (10k Budget)'!$1:$24</definedName>
    <definedName name="_xlnm.Print_Area" localSheetId="6">'July31-Aug6'!$A$1:$AG$21</definedName>
    <definedName name="_xlnm.Print_Area" localSheetId="15">'Oct 12-17'!$1:$14</definedName>
    <definedName name="_xlnm.Print_Area" localSheetId="20">'Oct 23-30'!$1:$16</definedName>
    <definedName name="_xlnm.Print_Area" localSheetId="19">'Oct 24-29'!$1:$26</definedName>
    <definedName name="_xlnm.Print_Area" localSheetId="16">'Oct14'!$1:$17</definedName>
    <definedName name="_xlnm.Print_Area" localSheetId="13">'Sept 28-Oct 5'!$1:$22</definedName>
    <definedName name="_xlnm.Print_Area" localSheetId="9">Sheet1!$A$1:$AG$16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D16" i="43" l="1"/>
  <c r="AC16" i="43"/>
  <c r="AB16" i="43"/>
  <c r="AA16" i="43"/>
  <c r="Z16" i="43"/>
  <c r="Y16" i="43"/>
  <c r="X16" i="43"/>
  <c r="W16" i="43"/>
  <c r="V16" i="43"/>
  <c r="U16" i="43"/>
  <c r="T16" i="43"/>
  <c r="S16" i="43"/>
  <c r="R16" i="43"/>
  <c r="Q16" i="43"/>
  <c r="P16" i="43"/>
  <c r="L16" i="43"/>
  <c r="K16" i="43"/>
  <c r="J16" i="43"/>
  <c r="I16" i="43"/>
  <c r="H16" i="43"/>
  <c r="O15" i="43"/>
  <c r="N15" i="43"/>
  <c r="M15" i="43"/>
  <c r="AE14" i="43"/>
  <c r="AF14" i="43" s="1"/>
  <c r="O14" i="43"/>
  <c r="N14" i="43"/>
  <c r="M14" i="43"/>
  <c r="O13" i="43"/>
  <c r="N13" i="43"/>
  <c r="AE13" i="43" s="1"/>
  <c r="AF13" i="43" s="1"/>
  <c r="M13" i="43"/>
  <c r="AE12" i="43"/>
  <c r="O12" i="43"/>
  <c r="N12" i="43"/>
  <c r="M12" i="43"/>
  <c r="O11" i="43"/>
  <c r="N11" i="43"/>
  <c r="AE11" i="43" s="1"/>
  <c r="AF11" i="43" s="1"/>
  <c r="M11" i="43"/>
  <c r="O10" i="43"/>
  <c r="AE10" i="43" s="1"/>
  <c r="N10" i="43"/>
  <c r="M10" i="43"/>
  <c r="O9" i="43"/>
  <c r="N9" i="43"/>
  <c r="M9" i="43"/>
  <c r="AE8" i="43"/>
  <c r="O8" i="43"/>
  <c r="N8" i="43"/>
  <c r="M8" i="43"/>
  <c r="O7" i="43"/>
  <c r="N7" i="43"/>
  <c r="AE7" i="43" s="1"/>
  <c r="AG7" i="43" s="1"/>
  <c r="M7" i="43"/>
  <c r="O6" i="43"/>
  <c r="AE6" i="43" s="1"/>
  <c r="N6" i="43"/>
  <c r="M6" i="43"/>
  <c r="O5" i="43"/>
  <c r="N5" i="43"/>
  <c r="AE5" i="43" s="1"/>
  <c r="M5" i="43"/>
  <c r="AE23" i="42"/>
  <c r="AD23" i="42"/>
  <c r="AC23" i="42"/>
  <c r="AB23" i="42"/>
  <c r="AA23" i="42"/>
  <c r="Z23" i="42"/>
  <c r="Y23" i="42"/>
  <c r="X23" i="42"/>
  <c r="W23" i="42"/>
  <c r="V23" i="42"/>
  <c r="U23" i="42"/>
  <c r="T23" i="42"/>
  <c r="S23" i="42"/>
  <c r="R23" i="42"/>
  <c r="Q23" i="42"/>
  <c r="P23" i="42"/>
  <c r="L23" i="42"/>
  <c r="J23" i="42"/>
  <c r="I23" i="42"/>
  <c r="H23" i="42"/>
  <c r="AG22" i="42"/>
  <c r="AF22" i="42"/>
  <c r="O22" i="42"/>
  <c r="N22" i="42"/>
  <c r="M22" i="42"/>
  <c r="O21" i="42"/>
  <c r="O23" i="42" s="1"/>
  <c r="N21" i="42"/>
  <c r="M21" i="42"/>
  <c r="AF20" i="42"/>
  <c r="O20" i="42"/>
  <c r="N20" i="42"/>
  <c r="M20" i="42"/>
  <c r="O19" i="42"/>
  <c r="N19" i="42"/>
  <c r="M19" i="42"/>
  <c r="K18" i="42"/>
  <c r="O17" i="42"/>
  <c r="AF17" i="42" s="1"/>
  <c r="N17" i="42"/>
  <c r="M17" i="42"/>
  <c r="O16" i="42"/>
  <c r="N16" i="42"/>
  <c r="M16" i="42"/>
  <c r="O15" i="42"/>
  <c r="AF15" i="42" s="1"/>
  <c r="N15" i="42"/>
  <c r="M15" i="42"/>
  <c r="AH14" i="42"/>
  <c r="AG14" i="42"/>
  <c r="O14" i="42"/>
  <c r="N14" i="42"/>
  <c r="AF14" i="42" s="1"/>
  <c r="M14" i="42"/>
  <c r="AG13" i="42"/>
  <c r="O13" i="42"/>
  <c r="AF13" i="42" s="1"/>
  <c r="AH13" i="42" s="1"/>
  <c r="N13" i="42"/>
  <c r="M13" i="42"/>
  <c r="O12" i="42"/>
  <c r="N12" i="42"/>
  <c r="AF12" i="42" s="1"/>
  <c r="M12" i="42"/>
  <c r="O11" i="42"/>
  <c r="AF11" i="42" s="1"/>
  <c r="N11" i="42"/>
  <c r="M11" i="42"/>
  <c r="AG10" i="42"/>
  <c r="O10" i="42"/>
  <c r="N10" i="42"/>
  <c r="AF10" i="42" s="1"/>
  <c r="AH10" i="42" s="1"/>
  <c r="M10" i="42"/>
  <c r="O9" i="42"/>
  <c r="K9" i="42"/>
  <c r="AF8" i="42"/>
  <c r="O8" i="42"/>
  <c r="N8" i="42"/>
  <c r="M8" i="42"/>
  <c r="O7" i="42"/>
  <c r="N7" i="42"/>
  <c r="AF7" i="42" s="1"/>
  <c r="M7" i="42"/>
  <c r="K6" i="42"/>
  <c r="O5" i="42"/>
  <c r="N5" i="42"/>
  <c r="M5" i="42"/>
  <c r="AD36" i="41"/>
  <c r="AC36" i="41"/>
  <c r="AB36" i="41"/>
  <c r="AA36" i="41"/>
  <c r="Z36" i="41"/>
  <c r="Y36" i="41"/>
  <c r="X36" i="41"/>
  <c r="W36" i="41"/>
  <c r="V36" i="41"/>
  <c r="U36" i="41"/>
  <c r="T36" i="41"/>
  <c r="S36" i="41"/>
  <c r="R36" i="41"/>
  <c r="Q36" i="41"/>
  <c r="P36" i="41"/>
  <c r="M36" i="41"/>
  <c r="L36" i="41"/>
  <c r="K36" i="41"/>
  <c r="J36" i="41"/>
  <c r="I36" i="41"/>
  <c r="H36" i="41"/>
  <c r="O35" i="41"/>
  <c r="O36" i="41" s="1"/>
  <c r="N35" i="41"/>
  <c r="M35" i="41"/>
  <c r="AE34" i="41"/>
  <c r="AF34" i="41" s="1"/>
  <c r="O34" i="41"/>
  <c r="N34" i="41"/>
  <c r="M34" i="41"/>
  <c r="AF33" i="41"/>
  <c r="O33" i="41"/>
  <c r="N33" i="41"/>
  <c r="AE33" i="41" s="1"/>
  <c r="M33" i="41"/>
  <c r="AE32" i="41"/>
  <c r="AF32" i="41" s="1"/>
  <c r="O32" i="41"/>
  <c r="N32" i="41"/>
  <c r="M32" i="41"/>
  <c r="AE31" i="41"/>
  <c r="AF31" i="41" s="1"/>
  <c r="O31" i="41"/>
  <c r="N31" i="41"/>
  <c r="M31" i="41"/>
  <c r="O30" i="41"/>
  <c r="N30" i="41"/>
  <c r="AE30" i="41" s="1"/>
  <c r="AF30" i="41" s="1"/>
  <c r="M30" i="41"/>
  <c r="O29" i="41"/>
  <c r="AE29" i="41" s="1"/>
  <c r="N29" i="41"/>
  <c r="M29" i="41"/>
  <c r="O28" i="41"/>
  <c r="N28" i="41"/>
  <c r="M28" i="41"/>
  <c r="O27" i="41"/>
  <c r="AE27" i="41" s="1"/>
  <c r="N27" i="41"/>
  <c r="M27" i="41"/>
  <c r="AG26" i="41"/>
  <c r="AF26" i="41"/>
  <c r="O26" i="41"/>
  <c r="N26" i="41"/>
  <c r="AE26" i="41" s="1"/>
  <c r="M26" i="41"/>
  <c r="AF25" i="41"/>
  <c r="O25" i="41"/>
  <c r="AE25" i="41" s="1"/>
  <c r="AG25" i="41" s="1"/>
  <c r="N25" i="41"/>
  <c r="M25" i="41"/>
  <c r="O24" i="41"/>
  <c r="N24" i="41"/>
  <c r="AE24" i="41" s="1"/>
  <c r="M24" i="41"/>
  <c r="O23" i="41"/>
  <c r="AE23" i="41" s="1"/>
  <c r="N23" i="41"/>
  <c r="M23" i="41"/>
  <c r="AF22" i="41"/>
  <c r="O22" i="41"/>
  <c r="N22" i="41"/>
  <c r="AE22" i="41" s="1"/>
  <c r="AG22" i="41" s="1"/>
  <c r="M22" i="41"/>
  <c r="AE21" i="41"/>
  <c r="AG21" i="41" s="1"/>
  <c r="O21" i="41"/>
  <c r="N21" i="41"/>
  <c r="M21" i="41"/>
  <c r="AG20" i="41"/>
  <c r="O20" i="41"/>
  <c r="N20" i="41"/>
  <c r="AE20" i="41" s="1"/>
  <c r="AF20" i="41" s="1"/>
  <c r="M20" i="41"/>
  <c r="AE19" i="41"/>
  <c r="O19" i="41"/>
  <c r="N19" i="41"/>
  <c r="M19" i="41"/>
  <c r="O18" i="41"/>
  <c r="N18" i="41"/>
  <c r="AE18" i="41" s="1"/>
  <c r="M18" i="41"/>
  <c r="O17" i="41"/>
  <c r="AE17" i="41" s="1"/>
  <c r="N17" i="41"/>
  <c r="M17" i="41"/>
  <c r="O16" i="41"/>
  <c r="N16" i="41"/>
  <c r="M16" i="41"/>
  <c r="AE15" i="41"/>
  <c r="O15" i="41"/>
  <c r="N15" i="41"/>
  <c r="M15" i="41"/>
  <c r="AG14" i="41"/>
  <c r="O14" i="41"/>
  <c r="N14" i="41"/>
  <c r="AE14" i="41" s="1"/>
  <c r="AF14" i="41" s="1"/>
  <c r="M14" i="41"/>
  <c r="O13" i="41"/>
  <c r="AE13" i="41" s="1"/>
  <c r="N13" i="41"/>
  <c r="M13" i="41"/>
  <c r="O12" i="41"/>
  <c r="N12" i="41"/>
  <c r="M12" i="41"/>
  <c r="AE11" i="41"/>
  <c r="O11" i="41"/>
  <c r="N11" i="41"/>
  <c r="M11" i="41"/>
  <c r="AG10" i="41"/>
  <c r="AF10" i="41"/>
  <c r="O10" i="41"/>
  <c r="N10" i="41"/>
  <c r="AE10" i="41" s="1"/>
  <c r="M10" i="41"/>
  <c r="AF9" i="41"/>
  <c r="AE9" i="41"/>
  <c r="AG9" i="41" s="1"/>
  <c r="O9" i="41"/>
  <c r="N9" i="41"/>
  <c r="M9" i="41"/>
  <c r="O8" i="41"/>
  <c r="N8" i="41"/>
  <c r="M8" i="41"/>
  <c r="O7" i="41"/>
  <c r="AE7" i="41" s="1"/>
  <c r="N7" i="41"/>
  <c r="M7" i="41"/>
  <c r="AG6" i="41"/>
  <c r="AF6" i="41"/>
  <c r="O6" i="41"/>
  <c r="N6" i="41"/>
  <c r="AE6" i="41" s="1"/>
  <c r="M6" i="41"/>
  <c r="AE5" i="41"/>
  <c r="O5" i="41"/>
  <c r="N5" i="41"/>
  <c r="M5" i="41"/>
  <c r="AE20" i="40"/>
  <c r="AD20" i="40"/>
  <c r="AC20" i="40"/>
  <c r="AB20" i="40"/>
  <c r="AA20" i="40"/>
  <c r="Z20" i="40"/>
  <c r="Y20" i="40"/>
  <c r="X20" i="40"/>
  <c r="W20" i="40"/>
  <c r="V20" i="40"/>
  <c r="U20" i="40"/>
  <c r="T20" i="40"/>
  <c r="S20" i="40"/>
  <c r="R20" i="40"/>
  <c r="Q20" i="40"/>
  <c r="P20" i="40"/>
  <c r="L20" i="40"/>
  <c r="K20" i="40"/>
  <c r="J20" i="40"/>
  <c r="I20" i="40"/>
  <c r="H20" i="40"/>
  <c r="O19" i="40"/>
  <c r="N19" i="40"/>
  <c r="AF19" i="40" s="1"/>
  <c r="AG19" i="40" s="1"/>
  <c r="M19" i="40"/>
  <c r="O18" i="40"/>
  <c r="O20" i="40" s="1"/>
  <c r="N18" i="40"/>
  <c r="M18" i="40"/>
  <c r="AG17" i="40"/>
  <c r="AF17" i="40"/>
  <c r="N17" i="40"/>
  <c r="M17" i="40"/>
  <c r="O16" i="40"/>
  <c r="N16" i="40"/>
  <c r="AF16" i="40" s="1"/>
  <c r="AG16" i="40" s="1"/>
  <c r="M16" i="40"/>
  <c r="O15" i="40"/>
  <c r="N15" i="40"/>
  <c r="AF15" i="40" s="1"/>
  <c r="AG15" i="40" s="1"/>
  <c r="M15" i="40"/>
  <c r="O14" i="40"/>
  <c r="AF14" i="40" s="1"/>
  <c r="N14" i="40"/>
  <c r="M14" i="40"/>
  <c r="AH13" i="40"/>
  <c r="AG13" i="40"/>
  <c r="O13" i="40"/>
  <c r="N13" i="40"/>
  <c r="AF13" i="40" s="1"/>
  <c r="M13" i="40"/>
  <c r="AF12" i="40"/>
  <c r="O12" i="40"/>
  <c r="N12" i="40"/>
  <c r="M12" i="40"/>
  <c r="AH11" i="40"/>
  <c r="O11" i="40"/>
  <c r="N11" i="40"/>
  <c r="AF11" i="40" s="1"/>
  <c r="AG11" i="40" s="1"/>
  <c r="M11" i="40"/>
  <c r="O10" i="40"/>
  <c r="AF10" i="40" s="1"/>
  <c r="N10" i="40"/>
  <c r="M10" i="40"/>
  <c r="O9" i="40"/>
  <c r="N9" i="40"/>
  <c r="M9" i="40"/>
  <c r="O8" i="40"/>
  <c r="AF8" i="40" s="1"/>
  <c r="N8" i="40"/>
  <c r="M8" i="40"/>
  <c r="AH7" i="40"/>
  <c r="AG7" i="40"/>
  <c r="O7" i="40"/>
  <c r="N7" i="40"/>
  <c r="AF7" i="40" s="1"/>
  <c r="M7" i="40"/>
  <c r="O6" i="40"/>
  <c r="AF6" i="40" s="1"/>
  <c r="N6" i="40"/>
  <c r="M6" i="40"/>
  <c r="O5" i="40"/>
  <c r="N5" i="40"/>
  <c r="M5" i="40"/>
  <c r="AD20" i="39"/>
  <c r="AC20" i="39"/>
  <c r="AB20" i="39"/>
  <c r="AA20" i="39"/>
  <c r="Z20" i="39"/>
  <c r="Y20" i="39"/>
  <c r="X20" i="39"/>
  <c r="W20" i="39"/>
  <c r="V20" i="39"/>
  <c r="U20" i="39"/>
  <c r="T20" i="39"/>
  <c r="S20" i="39"/>
  <c r="R20" i="39"/>
  <c r="Q20" i="39"/>
  <c r="P20" i="39"/>
  <c r="L20" i="39"/>
  <c r="K20" i="39"/>
  <c r="J20" i="39"/>
  <c r="I20" i="39"/>
  <c r="H20" i="39"/>
  <c r="AE19" i="39"/>
  <c r="AF19" i="39" s="1"/>
  <c r="O19" i="39"/>
  <c r="N19" i="39"/>
  <c r="M19" i="39"/>
  <c r="AF18" i="39"/>
  <c r="AE18" i="39"/>
  <c r="O18" i="39"/>
  <c r="O20" i="39" s="1"/>
  <c r="N18" i="39"/>
  <c r="M18" i="39"/>
  <c r="N17" i="39"/>
  <c r="AE17" i="39" s="1"/>
  <c r="M17" i="39"/>
  <c r="AE16" i="39"/>
  <c r="O16" i="39"/>
  <c r="N16" i="39"/>
  <c r="M16" i="39"/>
  <c r="O15" i="39"/>
  <c r="N15" i="39"/>
  <c r="AE15" i="39" s="1"/>
  <c r="M15" i="39"/>
  <c r="O14" i="39"/>
  <c r="AE14" i="39" s="1"/>
  <c r="N14" i="39"/>
  <c r="M14" i="39"/>
  <c r="O13" i="39"/>
  <c r="N13" i="39"/>
  <c r="M13" i="39"/>
  <c r="AE12" i="39"/>
  <c r="O12" i="39"/>
  <c r="N12" i="39"/>
  <c r="M12" i="39"/>
  <c r="AG11" i="39"/>
  <c r="O11" i="39"/>
  <c r="N11" i="39"/>
  <c r="AE11" i="39" s="1"/>
  <c r="AF11" i="39" s="1"/>
  <c r="M11" i="39"/>
  <c r="O10" i="39"/>
  <c r="AE10" i="39" s="1"/>
  <c r="N10" i="39"/>
  <c r="M10" i="39"/>
  <c r="O9" i="39"/>
  <c r="N9" i="39"/>
  <c r="M9" i="39"/>
  <c r="O8" i="39"/>
  <c r="AE8" i="39" s="1"/>
  <c r="N8" i="39"/>
  <c r="M8" i="39"/>
  <c r="AG7" i="39"/>
  <c r="AF7" i="39"/>
  <c r="O7" i="39"/>
  <c r="N7" i="39"/>
  <c r="AE7" i="39" s="1"/>
  <c r="M7" i="39"/>
  <c r="AF6" i="39"/>
  <c r="AE6" i="39"/>
  <c r="AG6" i="39" s="1"/>
  <c r="O6" i="39"/>
  <c r="N6" i="39"/>
  <c r="M6" i="39"/>
  <c r="O5" i="39"/>
  <c r="N5" i="39"/>
  <c r="M5" i="39"/>
  <c r="AD15" i="38"/>
  <c r="AC15" i="38"/>
  <c r="AB15" i="38"/>
  <c r="AA15" i="38"/>
  <c r="Z15" i="38"/>
  <c r="Y15" i="38"/>
  <c r="X15" i="38"/>
  <c r="W15" i="38"/>
  <c r="V15" i="38"/>
  <c r="U15" i="38"/>
  <c r="T15" i="38"/>
  <c r="S15" i="38"/>
  <c r="R15" i="38"/>
  <c r="Q15" i="38"/>
  <c r="P15" i="38"/>
  <c r="L15" i="38"/>
  <c r="I15" i="38"/>
  <c r="H15" i="38"/>
  <c r="O14" i="38"/>
  <c r="N14" i="38"/>
  <c r="AE14" i="38" s="1"/>
  <c r="AF14" i="38" s="1"/>
  <c r="M14" i="38"/>
  <c r="O13" i="38"/>
  <c r="N13" i="38"/>
  <c r="AE13" i="38" s="1"/>
  <c r="AF13" i="38" s="1"/>
  <c r="M13" i="38"/>
  <c r="O12" i="38"/>
  <c r="N12" i="38"/>
  <c r="M12" i="38"/>
  <c r="O11" i="38"/>
  <c r="N11" i="38"/>
  <c r="AE11" i="38" s="1"/>
  <c r="AF11" i="38" s="1"/>
  <c r="M11" i="38"/>
  <c r="O10" i="38"/>
  <c r="AE10" i="38" s="1"/>
  <c r="AF10" i="38" s="1"/>
  <c r="N10" i="38"/>
  <c r="M10" i="38"/>
  <c r="O9" i="38"/>
  <c r="N9" i="38"/>
  <c r="AE9" i="38" s="1"/>
  <c r="AF9" i="38" s="1"/>
  <c r="M9" i="38"/>
  <c r="O8" i="38"/>
  <c r="N8" i="38"/>
  <c r="M8" i="38"/>
  <c r="O7" i="38"/>
  <c r="N7" i="38"/>
  <c r="M7" i="38"/>
  <c r="N6" i="38"/>
  <c r="J6" i="38"/>
  <c r="J15" i="38" s="1"/>
  <c r="M5" i="38"/>
  <c r="K5" i="38"/>
  <c r="O5" i="38" s="1"/>
  <c r="AD13" i="37"/>
  <c r="AC13" i="37"/>
  <c r="AB13" i="37"/>
  <c r="AA13" i="37"/>
  <c r="Z13" i="37"/>
  <c r="Y13" i="37"/>
  <c r="X13" i="37"/>
  <c r="W13" i="37"/>
  <c r="V13" i="37"/>
  <c r="U13" i="37"/>
  <c r="T13" i="37"/>
  <c r="S13" i="37"/>
  <c r="R13" i="37"/>
  <c r="Q13" i="37"/>
  <c r="P13" i="37"/>
  <c r="L13" i="37"/>
  <c r="K13" i="37"/>
  <c r="J13" i="37"/>
  <c r="I13" i="37"/>
  <c r="H13" i="37"/>
  <c r="O12" i="37"/>
  <c r="AE12" i="37" s="1"/>
  <c r="AF12" i="37" s="1"/>
  <c r="N12" i="37"/>
  <c r="M12" i="37"/>
  <c r="O11" i="37"/>
  <c r="O13" i="37" s="1"/>
  <c r="N11" i="37"/>
  <c r="M11" i="37"/>
  <c r="O10" i="37"/>
  <c r="N10" i="37"/>
  <c r="M10" i="37"/>
  <c r="AE9" i="37"/>
  <c r="AG9" i="37" s="1"/>
  <c r="O9" i="37"/>
  <c r="N9" i="37"/>
  <c r="M9" i="37"/>
  <c r="O8" i="37"/>
  <c r="N8" i="37"/>
  <c r="M8" i="37"/>
  <c r="O7" i="37"/>
  <c r="AE7" i="37" s="1"/>
  <c r="AG7" i="37" s="1"/>
  <c r="N7" i="37"/>
  <c r="M7" i="37"/>
  <c r="O6" i="37"/>
  <c r="N6" i="37"/>
  <c r="M6" i="37"/>
  <c r="N5" i="37"/>
  <c r="AE5" i="37" s="1"/>
  <c r="M5" i="37"/>
  <c r="AF22" i="36"/>
  <c r="AD22" i="36"/>
  <c r="AC22" i="36"/>
  <c r="AB22" i="36"/>
  <c r="AA22" i="36"/>
  <c r="Z22" i="36"/>
  <c r="Y22" i="36"/>
  <c r="X22" i="36"/>
  <c r="W22" i="36"/>
  <c r="V22" i="36"/>
  <c r="U22" i="36"/>
  <c r="T22" i="36"/>
  <c r="S22" i="36"/>
  <c r="R22" i="36"/>
  <c r="Q22" i="36"/>
  <c r="P22" i="36"/>
  <c r="O22" i="36"/>
  <c r="L22" i="36"/>
  <c r="K22" i="36"/>
  <c r="J22" i="36"/>
  <c r="I22" i="36"/>
  <c r="H22" i="36"/>
  <c r="AE21" i="36"/>
  <c r="AF21" i="36" s="1"/>
  <c r="O21" i="36"/>
  <c r="N21" i="36"/>
  <c r="M21" i="36"/>
  <c r="AF20" i="36"/>
  <c r="AE20" i="36"/>
  <c r="N20" i="36"/>
  <c r="M20" i="36"/>
  <c r="AF19" i="36"/>
  <c r="N19" i="36"/>
  <c r="AE19" i="36" s="1"/>
  <c r="M19" i="36"/>
  <c r="AF18" i="36"/>
  <c r="AE18" i="36"/>
  <c r="N18" i="36"/>
  <c r="M18" i="36"/>
  <c r="O17" i="36"/>
  <c r="N17" i="36"/>
  <c r="M17" i="36"/>
  <c r="O16" i="36"/>
  <c r="N16" i="36"/>
  <c r="AE16" i="36" s="1"/>
  <c r="AF16" i="36" s="1"/>
  <c r="M16" i="36"/>
  <c r="AE15" i="36"/>
  <c r="AF15" i="36" s="1"/>
  <c r="O15" i="36"/>
  <c r="N15" i="36"/>
  <c r="M15" i="36"/>
  <c r="AE14" i="36"/>
  <c r="AF14" i="36" s="1"/>
  <c r="O14" i="36"/>
  <c r="N14" i="36"/>
  <c r="M14" i="36"/>
  <c r="AF13" i="36"/>
  <c r="O13" i="36"/>
  <c r="N13" i="36"/>
  <c r="AE13" i="36" s="1"/>
  <c r="M13" i="36"/>
  <c r="AE12" i="36"/>
  <c r="AF12" i="36" s="1"/>
  <c r="O12" i="36"/>
  <c r="N12" i="36"/>
  <c r="M12" i="36"/>
  <c r="AE11" i="36"/>
  <c r="AF11" i="36" s="1"/>
  <c r="O11" i="36"/>
  <c r="N11" i="36"/>
  <c r="M11" i="36"/>
  <c r="AF10" i="36"/>
  <c r="AE10" i="36"/>
  <c r="O10" i="36"/>
  <c r="N10" i="36"/>
  <c r="M10" i="36"/>
  <c r="O9" i="36"/>
  <c r="N9" i="36"/>
  <c r="AE9" i="36" s="1"/>
  <c r="AF9" i="36" s="1"/>
  <c r="M9" i="36"/>
  <c r="O8" i="36"/>
  <c r="N8" i="36"/>
  <c r="AE8" i="36" s="1"/>
  <c r="AF8" i="36" s="1"/>
  <c r="M8" i="36"/>
  <c r="AF7" i="36"/>
  <c r="AE7" i="36"/>
  <c r="O7" i="36"/>
  <c r="N7" i="36"/>
  <c r="M7" i="36"/>
  <c r="O6" i="36"/>
  <c r="N6" i="36"/>
  <c r="AE6" i="36" s="1"/>
  <c r="AF6" i="36" s="1"/>
  <c r="M6" i="36"/>
  <c r="O5" i="36"/>
  <c r="N5" i="36"/>
  <c r="M5" i="36"/>
  <c r="AE15" i="35"/>
  <c r="AD15" i="35"/>
  <c r="AC15" i="35"/>
  <c r="AB15" i="35"/>
  <c r="AA15" i="35"/>
  <c r="Z15" i="35"/>
  <c r="Y15" i="35"/>
  <c r="X15" i="35"/>
  <c r="W15" i="35"/>
  <c r="V15" i="35"/>
  <c r="U15" i="35"/>
  <c r="T15" i="35"/>
  <c r="S15" i="35"/>
  <c r="R15" i="35"/>
  <c r="Q15" i="35"/>
  <c r="P15" i="35"/>
  <c r="L15" i="35"/>
  <c r="K15" i="35"/>
  <c r="J15" i="35"/>
  <c r="I15" i="35"/>
  <c r="H15" i="35"/>
  <c r="O14" i="35"/>
  <c r="N14" i="35"/>
  <c r="AF14" i="35" s="1"/>
  <c r="AG14" i="35" s="1"/>
  <c r="M14" i="35"/>
  <c r="O13" i="35"/>
  <c r="O15" i="35" s="1"/>
  <c r="N13" i="35"/>
  <c r="M13" i="35"/>
  <c r="O12" i="35"/>
  <c r="N12" i="35"/>
  <c r="M12" i="35"/>
  <c r="O11" i="35"/>
  <c r="N11" i="35"/>
  <c r="AF11" i="35" s="1"/>
  <c r="M11" i="35"/>
  <c r="O10" i="35"/>
  <c r="N10" i="35"/>
  <c r="M10" i="35"/>
  <c r="O9" i="35"/>
  <c r="N9" i="35"/>
  <c r="AF9" i="35" s="1"/>
  <c r="M9" i="35"/>
  <c r="O8" i="35"/>
  <c r="N8" i="35"/>
  <c r="AF8" i="35" s="1"/>
  <c r="M8" i="35"/>
  <c r="O7" i="35"/>
  <c r="N7" i="35"/>
  <c r="AF7" i="35" s="1"/>
  <c r="AH7" i="35" s="1"/>
  <c r="M7" i="35"/>
  <c r="AH6" i="35"/>
  <c r="O6" i="35"/>
  <c r="N6" i="35"/>
  <c r="AF6" i="35" s="1"/>
  <c r="AG6" i="35" s="1"/>
  <c r="M6" i="35"/>
  <c r="O5" i="35"/>
  <c r="N5" i="35"/>
  <c r="M5" i="35"/>
  <c r="AE20" i="34"/>
  <c r="AD20" i="34"/>
  <c r="AC20" i="34"/>
  <c r="AB20" i="34"/>
  <c r="AA20" i="34"/>
  <c r="Z20" i="34"/>
  <c r="Y20" i="34"/>
  <c r="X20" i="34"/>
  <c r="W20" i="34"/>
  <c r="V20" i="34"/>
  <c r="U20" i="34"/>
  <c r="T20" i="34"/>
  <c r="S20" i="34"/>
  <c r="R20" i="34"/>
  <c r="Q20" i="34"/>
  <c r="P20" i="34"/>
  <c r="L20" i="34"/>
  <c r="J20" i="34"/>
  <c r="I20" i="34"/>
  <c r="H20" i="34"/>
  <c r="O19" i="34"/>
  <c r="N19" i="34"/>
  <c r="M19" i="34"/>
  <c r="O18" i="34"/>
  <c r="N18" i="34"/>
  <c r="M18" i="34"/>
  <c r="O17" i="34"/>
  <c r="N17" i="34"/>
  <c r="AF17" i="34" s="1"/>
  <c r="AG17" i="34" s="1"/>
  <c r="M17" i="34"/>
  <c r="O16" i="34"/>
  <c r="N16" i="34"/>
  <c r="M16" i="34"/>
  <c r="O15" i="34"/>
  <c r="N15" i="34"/>
  <c r="M15" i="34"/>
  <c r="O14" i="34"/>
  <c r="N14" i="34"/>
  <c r="M14" i="34"/>
  <c r="O13" i="34"/>
  <c r="N13" i="34"/>
  <c r="AF13" i="34" s="1"/>
  <c r="M13" i="34"/>
  <c r="O12" i="34"/>
  <c r="N12" i="34"/>
  <c r="M12" i="34"/>
  <c r="O11" i="34"/>
  <c r="N11" i="34"/>
  <c r="M11" i="34"/>
  <c r="K10" i="34"/>
  <c r="M10" i="34" s="1"/>
  <c r="O9" i="34"/>
  <c r="N9" i="34"/>
  <c r="M9" i="34"/>
  <c r="O8" i="34"/>
  <c r="N8" i="34"/>
  <c r="AF8" i="34" s="1"/>
  <c r="M8" i="34"/>
  <c r="O7" i="34"/>
  <c r="N7" i="34"/>
  <c r="M7" i="34"/>
  <c r="O6" i="34"/>
  <c r="N6" i="34"/>
  <c r="M6" i="34"/>
  <c r="O5" i="34"/>
  <c r="N5" i="34"/>
  <c r="M5" i="34"/>
  <c r="AE23" i="33"/>
  <c r="AD23" i="33"/>
  <c r="AC23" i="33"/>
  <c r="AB23" i="33"/>
  <c r="AA23" i="33"/>
  <c r="Z23" i="33"/>
  <c r="Y23" i="33"/>
  <c r="X23" i="33"/>
  <c r="W23" i="33"/>
  <c r="V23" i="33"/>
  <c r="U23" i="33"/>
  <c r="T23" i="33"/>
  <c r="S23" i="33"/>
  <c r="R23" i="33"/>
  <c r="Q23" i="33"/>
  <c r="P23" i="33"/>
  <c r="L23" i="33"/>
  <c r="K23" i="33"/>
  <c r="J23" i="33"/>
  <c r="I23" i="33"/>
  <c r="H23" i="33"/>
  <c r="K24" i="33" s="1"/>
  <c r="K25" i="33" s="1"/>
  <c r="O22" i="33"/>
  <c r="O23" i="33" s="1"/>
  <c r="N22" i="33"/>
  <c r="AF22" i="33" s="1"/>
  <c r="AG22" i="33" s="1"/>
  <c r="AG23" i="33" s="1"/>
  <c r="M22" i="33"/>
  <c r="O21" i="33"/>
  <c r="AF21" i="33" s="1"/>
  <c r="AG21" i="33" s="1"/>
  <c r="N21" i="33"/>
  <c r="M21" i="33"/>
  <c r="O20" i="33"/>
  <c r="N20" i="33"/>
  <c r="AF20" i="33" s="1"/>
  <c r="AG20" i="33" s="1"/>
  <c r="M20" i="33"/>
  <c r="O19" i="33"/>
  <c r="N19" i="33"/>
  <c r="M19" i="33"/>
  <c r="O18" i="33"/>
  <c r="N18" i="33"/>
  <c r="AF18" i="33" s="1"/>
  <c r="AG18" i="33" s="1"/>
  <c r="M18" i="33"/>
  <c r="O17" i="33"/>
  <c r="N17" i="33"/>
  <c r="M17" i="33"/>
  <c r="AH16" i="33"/>
  <c r="O16" i="33"/>
  <c r="N16" i="33"/>
  <c r="AF16" i="33" s="1"/>
  <c r="AG16" i="33" s="1"/>
  <c r="M16" i="33"/>
  <c r="O15" i="33"/>
  <c r="AF15" i="33" s="1"/>
  <c r="AH15" i="33" s="1"/>
  <c r="N15" i="33"/>
  <c r="M15" i="33"/>
  <c r="O14" i="33"/>
  <c r="N14" i="33"/>
  <c r="AF14" i="33" s="1"/>
  <c r="M14" i="33"/>
  <c r="O13" i="33"/>
  <c r="AF13" i="33" s="1"/>
  <c r="N13" i="33"/>
  <c r="M13" i="33"/>
  <c r="O12" i="33"/>
  <c r="N12" i="33"/>
  <c r="M12" i="33"/>
  <c r="O11" i="33"/>
  <c r="N11" i="33"/>
  <c r="AF11" i="33" s="1"/>
  <c r="AH11" i="33" s="1"/>
  <c r="M11" i="33"/>
  <c r="O10" i="33"/>
  <c r="N10" i="33"/>
  <c r="M10" i="33"/>
  <c r="O9" i="33"/>
  <c r="N9" i="33"/>
  <c r="AF9" i="33" s="1"/>
  <c r="M9" i="33"/>
  <c r="O8" i="33"/>
  <c r="N8" i="33"/>
  <c r="AF8" i="33" s="1"/>
  <c r="M8" i="33"/>
  <c r="O7" i="33"/>
  <c r="AF7" i="33" s="1"/>
  <c r="N7" i="33"/>
  <c r="M7" i="33"/>
  <c r="O6" i="33"/>
  <c r="N6" i="33"/>
  <c r="M6" i="33"/>
  <c r="AF5" i="33"/>
  <c r="O5" i="33"/>
  <c r="N5" i="33"/>
  <c r="M5" i="33"/>
  <c r="M23" i="33" s="1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L13" i="32"/>
  <c r="K13" i="32"/>
  <c r="J13" i="32"/>
  <c r="I13" i="32"/>
  <c r="H13" i="32"/>
  <c r="O12" i="32"/>
  <c r="O13" i="32" s="1"/>
  <c r="N12" i="32"/>
  <c r="M12" i="32"/>
  <c r="O11" i="32"/>
  <c r="AE11" i="32" s="1"/>
  <c r="AF11" i="32" s="1"/>
  <c r="N11" i="32"/>
  <c r="M11" i="32"/>
  <c r="O10" i="32"/>
  <c r="N10" i="32"/>
  <c r="AE10" i="32" s="1"/>
  <c r="AF10" i="32" s="1"/>
  <c r="M10" i="32"/>
  <c r="O9" i="32"/>
  <c r="AE9" i="32" s="1"/>
  <c r="N9" i="32"/>
  <c r="M9" i="32"/>
  <c r="O8" i="32"/>
  <c r="N8" i="32"/>
  <c r="M8" i="32"/>
  <c r="O7" i="32"/>
  <c r="N7" i="32"/>
  <c r="AE7" i="32" s="1"/>
  <c r="AF7" i="32" s="1"/>
  <c r="M7" i="32"/>
  <c r="O6" i="32"/>
  <c r="N6" i="32"/>
  <c r="AE6" i="32" s="1"/>
  <c r="M6" i="32"/>
  <c r="O5" i="32"/>
  <c r="N5" i="32"/>
  <c r="M5" i="32"/>
  <c r="AE23" i="31"/>
  <c r="AD23" i="31"/>
  <c r="AC23" i="31"/>
  <c r="AB23" i="31"/>
  <c r="AA23" i="31"/>
  <c r="Z23" i="31"/>
  <c r="Y23" i="31"/>
  <c r="X23" i="31"/>
  <c r="W23" i="31"/>
  <c r="V23" i="31"/>
  <c r="U23" i="31"/>
  <c r="T23" i="31"/>
  <c r="S23" i="31"/>
  <c r="R23" i="31"/>
  <c r="Q23" i="31"/>
  <c r="P23" i="31"/>
  <c r="O23" i="31"/>
  <c r="L23" i="31"/>
  <c r="I23" i="31"/>
  <c r="H23" i="31"/>
  <c r="O22" i="31"/>
  <c r="N22" i="31"/>
  <c r="M22" i="31"/>
  <c r="O21" i="31"/>
  <c r="N21" i="31"/>
  <c r="M21" i="31"/>
  <c r="O20" i="31"/>
  <c r="AF20" i="31" s="1"/>
  <c r="AG20" i="31" s="1"/>
  <c r="N20" i="31"/>
  <c r="M20" i="31"/>
  <c r="O19" i="31"/>
  <c r="N19" i="31"/>
  <c r="M19" i="31"/>
  <c r="O18" i="31"/>
  <c r="N18" i="31"/>
  <c r="AF18" i="31" s="1"/>
  <c r="AG18" i="31" s="1"/>
  <c r="M18" i="31"/>
  <c r="O17" i="31"/>
  <c r="N17" i="31"/>
  <c r="AF17" i="31" s="1"/>
  <c r="AG17" i="31" s="1"/>
  <c r="M17" i="31"/>
  <c r="O16" i="31"/>
  <c r="N16" i="31"/>
  <c r="AF16" i="31" s="1"/>
  <c r="M16" i="31"/>
  <c r="O15" i="31"/>
  <c r="N15" i="31"/>
  <c r="M15" i="31"/>
  <c r="AF14" i="31"/>
  <c r="AH14" i="31" s="1"/>
  <c r="O14" i="31"/>
  <c r="N14" i="31"/>
  <c r="M14" i="31"/>
  <c r="O13" i="31"/>
  <c r="N13" i="31"/>
  <c r="M13" i="31"/>
  <c r="O12" i="31"/>
  <c r="N12" i="31"/>
  <c r="AF12" i="31" s="1"/>
  <c r="AH12" i="31" s="1"/>
  <c r="M12" i="31"/>
  <c r="O11" i="31"/>
  <c r="N11" i="31"/>
  <c r="M11" i="31"/>
  <c r="AF10" i="31"/>
  <c r="AH10" i="31" s="1"/>
  <c r="O10" i="31"/>
  <c r="N10" i="31"/>
  <c r="M10" i="31"/>
  <c r="O9" i="31"/>
  <c r="N9" i="31"/>
  <c r="AF9" i="31" s="1"/>
  <c r="M9" i="31"/>
  <c r="O8" i="31"/>
  <c r="N8" i="31"/>
  <c r="AF8" i="31" s="1"/>
  <c r="M8" i="31"/>
  <c r="N7" i="31"/>
  <c r="J7" i="31"/>
  <c r="O7" i="31" s="1"/>
  <c r="K6" i="31"/>
  <c r="O6" i="31" s="1"/>
  <c r="AF5" i="31"/>
  <c r="AG5" i="31" s="1"/>
  <c r="O5" i="31"/>
  <c r="N5" i="31"/>
  <c r="M5" i="31"/>
  <c r="AE22" i="30"/>
  <c r="AD22" i="30"/>
  <c r="AC22" i="30"/>
  <c r="AB22" i="30"/>
  <c r="AA22" i="30"/>
  <c r="Z22" i="30"/>
  <c r="Y22" i="30"/>
  <c r="X22" i="30"/>
  <c r="W22" i="30"/>
  <c r="V22" i="30"/>
  <c r="U22" i="30"/>
  <c r="T22" i="30"/>
  <c r="S22" i="30"/>
  <c r="R22" i="30"/>
  <c r="Q22" i="30"/>
  <c r="P22" i="30"/>
  <c r="L22" i="30"/>
  <c r="K22" i="30"/>
  <c r="J22" i="30"/>
  <c r="I22" i="30"/>
  <c r="H22" i="30"/>
  <c r="O21" i="30"/>
  <c r="O22" i="30" s="1"/>
  <c r="N21" i="30"/>
  <c r="AF21" i="30" s="1"/>
  <c r="AG21" i="30" s="1"/>
  <c r="AG22" i="30" s="1"/>
  <c r="M21" i="30"/>
  <c r="O20" i="30"/>
  <c r="N20" i="30"/>
  <c r="M20" i="30"/>
  <c r="O19" i="30"/>
  <c r="N19" i="30"/>
  <c r="M19" i="30"/>
  <c r="O18" i="30"/>
  <c r="N18" i="30"/>
  <c r="AF18" i="30" s="1"/>
  <c r="M18" i="30"/>
  <c r="O17" i="30"/>
  <c r="N17" i="30"/>
  <c r="AF17" i="30" s="1"/>
  <c r="M17" i="30"/>
  <c r="O16" i="30"/>
  <c r="N16" i="30"/>
  <c r="AF16" i="30" s="1"/>
  <c r="M16" i="30"/>
  <c r="O15" i="30"/>
  <c r="N15" i="30"/>
  <c r="AF15" i="30" s="1"/>
  <c r="AG15" i="30" s="1"/>
  <c r="M15" i="30"/>
  <c r="O14" i="30"/>
  <c r="N14" i="30"/>
  <c r="AF14" i="30" s="1"/>
  <c r="M14" i="30"/>
  <c r="O13" i="30"/>
  <c r="N13" i="30"/>
  <c r="M13" i="30"/>
  <c r="AF12" i="30"/>
  <c r="O12" i="30"/>
  <c r="N12" i="30"/>
  <c r="M12" i="30"/>
  <c r="O11" i="30"/>
  <c r="N11" i="30"/>
  <c r="AF11" i="30" s="1"/>
  <c r="AG11" i="30" s="1"/>
  <c r="M11" i="30"/>
  <c r="O10" i="30"/>
  <c r="N10" i="30"/>
  <c r="AF10" i="30" s="1"/>
  <c r="M10" i="30"/>
  <c r="O9" i="30"/>
  <c r="N9" i="30"/>
  <c r="AF9" i="30" s="1"/>
  <c r="AG9" i="30" s="1"/>
  <c r="M9" i="30"/>
  <c r="AF8" i="30"/>
  <c r="O8" i="30"/>
  <c r="N8" i="30"/>
  <c r="M8" i="30"/>
  <c r="O7" i="30"/>
  <c r="N7" i="30"/>
  <c r="M7" i="30"/>
  <c r="O6" i="30"/>
  <c r="AF6" i="30" s="1"/>
  <c r="AH6" i="30" s="1"/>
  <c r="N6" i="30"/>
  <c r="M6" i="30"/>
  <c r="O5" i="30"/>
  <c r="N5" i="30"/>
  <c r="AF5" i="30" s="1"/>
  <c r="M5" i="30"/>
  <c r="AE10" i="29"/>
  <c r="AD10" i="29"/>
  <c r="AC10" i="29"/>
  <c r="AB10" i="29"/>
  <c r="AA10" i="29"/>
  <c r="Z10" i="29"/>
  <c r="Y10" i="29"/>
  <c r="X10" i="29"/>
  <c r="W10" i="29"/>
  <c r="V10" i="29"/>
  <c r="U10" i="29"/>
  <c r="T10" i="29"/>
  <c r="S10" i="29"/>
  <c r="R10" i="29"/>
  <c r="Q10" i="29"/>
  <c r="P10" i="29"/>
  <c r="L10" i="29"/>
  <c r="K10" i="29"/>
  <c r="J10" i="29"/>
  <c r="I10" i="29"/>
  <c r="H10" i="29"/>
  <c r="O9" i="29"/>
  <c r="N9" i="29"/>
  <c r="M9" i="29"/>
  <c r="O8" i="29"/>
  <c r="N8" i="29"/>
  <c r="AF8" i="29" s="1"/>
  <c r="AG8" i="29" s="1"/>
  <c r="M8" i="29"/>
  <c r="O7" i="29"/>
  <c r="N7" i="29"/>
  <c r="M7" i="29"/>
  <c r="O6" i="29"/>
  <c r="N6" i="29"/>
  <c r="M6" i="29"/>
  <c r="O5" i="29"/>
  <c r="N5" i="29"/>
  <c r="M5" i="29"/>
  <c r="AE19" i="28"/>
  <c r="AD19" i="28"/>
  <c r="AC19" i="28"/>
  <c r="AB19" i="28"/>
  <c r="AA19" i="28"/>
  <c r="Z19" i="28"/>
  <c r="Y19" i="28"/>
  <c r="X19" i="28"/>
  <c r="W19" i="28"/>
  <c r="V19" i="28"/>
  <c r="U19" i="28"/>
  <c r="T19" i="28"/>
  <c r="S19" i="28"/>
  <c r="R19" i="28"/>
  <c r="Q19" i="28"/>
  <c r="P19" i="28"/>
  <c r="L19" i="28"/>
  <c r="K19" i="28"/>
  <c r="J19" i="28"/>
  <c r="I19" i="28"/>
  <c r="H19" i="28"/>
  <c r="O18" i="28"/>
  <c r="O19" i="28" s="1"/>
  <c r="N18" i="28"/>
  <c r="AF18" i="28" s="1"/>
  <c r="AG18" i="28" s="1"/>
  <c r="AG19" i="28" s="1"/>
  <c r="M18" i="28"/>
  <c r="O17" i="28"/>
  <c r="N17" i="28"/>
  <c r="AF17" i="28" s="1"/>
  <c r="AG17" i="28" s="1"/>
  <c r="M17" i="28"/>
  <c r="O16" i="28"/>
  <c r="N16" i="28"/>
  <c r="M16" i="28"/>
  <c r="O15" i="28"/>
  <c r="N15" i="28"/>
  <c r="AF15" i="28" s="1"/>
  <c r="AG15" i="28" s="1"/>
  <c r="M15" i="28"/>
  <c r="O14" i="28"/>
  <c r="N14" i="28"/>
  <c r="M14" i="28"/>
  <c r="O13" i="28"/>
  <c r="N13" i="28"/>
  <c r="AF13" i="28" s="1"/>
  <c r="AG13" i="28" s="1"/>
  <c r="M13" i="28"/>
  <c r="O12" i="28"/>
  <c r="N12" i="28"/>
  <c r="M12" i="28"/>
  <c r="O11" i="28"/>
  <c r="N11" i="28"/>
  <c r="AF11" i="28" s="1"/>
  <c r="AH11" i="28" s="1"/>
  <c r="M11" i="28"/>
  <c r="O10" i="28"/>
  <c r="N10" i="28"/>
  <c r="M10" i="28"/>
  <c r="O9" i="28"/>
  <c r="N9" i="28"/>
  <c r="AF9" i="28" s="1"/>
  <c r="M9" i="28"/>
  <c r="O8" i="28"/>
  <c r="N8" i="28"/>
  <c r="M8" i="28"/>
  <c r="O7" i="28"/>
  <c r="N7" i="28"/>
  <c r="AF7" i="28" s="1"/>
  <c r="M7" i="28"/>
  <c r="O6" i="28"/>
  <c r="N6" i="28"/>
  <c r="M6" i="28"/>
  <c r="O5" i="28"/>
  <c r="N5" i="28"/>
  <c r="AF5" i="28" s="1"/>
  <c r="M5" i="28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L27" i="27"/>
  <c r="J27" i="27"/>
  <c r="I27" i="27"/>
  <c r="H27" i="27"/>
  <c r="O26" i="27"/>
  <c r="N26" i="27"/>
  <c r="M26" i="27"/>
  <c r="O25" i="27"/>
  <c r="O27" i="27" s="1"/>
  <c r="N25" i="27"/>
  <c r="M25" i="27"/>
  <c r="O24" i="27"/>
  <c r="N24" i="27"/>
  <c r="M24" i="27"/>
  <c r="O23" i="27"/>
  <c r="N23" i="27"/>
  <c r="AE23" i="27" s="1"/>
  <c r="M23" i="27"/>
  <c r="O22" i="27"/>
  <c r="N22" i="27"/>
  <c r="AE22" i="27" s="1"/>
  <c r="AG22" i="27" s="1"/>
  <c r="M22" i="27"/>
  <c r="O21" i="27"/>
  <c r="N21" i="27"/>
  <c r="AE21" i="27" s="1"/>
  <c r="AG21" i="27" s="1"/>
  <c r="M21" i="27"/>
  <c r="O20" i="27"/>
  <c r="N20" i="27"/>
  <c r="M20" i="27"/>
  <c r="O19" i="27"/>
  <c r="N19" i="27"/>
  <c r="M19" i="27"/>
  <c r="O18" i="27"/>
  <c r="N18" i="27"/>
  <c r="AE18" i="27" s="1"/>
  <c r="AG18" i="27" s="1"/>
  <c r="M18" i="27"/>
  <c r="O17" i="27"/>
  <c r="N17" i="27"/>
  <c r="M17" i="27"/>
  <c r="O16" i="27"/>
  <c r="N16" i="27"/>
  <c r="M16" i="27"/>
  <c r="O15" i="27"/>
  <c r="N15" i="27"/>
  <c r="M15" i="27"/>
  <c r="O14" i="27"/>
  <c r="N14" i="27"/>
  <c r="O13" i="27"/>
  <c r="N13" i="27"/>
  <c r="M13" i="27"/>
  <c r="K12" i="27"/>
  <c r="M12" i="27" s="1"/>
  <c r="O11" i="27"/>
  <c r="N11" i="27"/>
  <c r="M11" i="27"/>
  <c r="O10" i="27"/>
  <c r="N10" i="27"/>
  <c r="M10" i="27"/>
  <c r="O9" i="27"/>
  <c r="N9" i="27"/>
  <c r="M9" i="27"/>
  <c r="O8" i="27"/>
  <c r="N8" i="27"/>
  <c r="M8" i="27"/>
  <c r="O7" i="27"/>
  <c r="N7" i="27"/>
  <c r="AE7" i="27" s="1"/>
  <c r="AG7" i="27" s="1"/>
  <c r="M7" i="27"/>
  <c r="K6" i="27"/>
  <c r="M6" i="27" s="1"/>
  <c r="K5" i="27"/>
  <c r="N5" i="27" s="1"/>
  <c r="AE14" i="26"/>
  <c r="AD14" i="26"/>
  <c r="AC14" i="26"/>
  <c r="AB14" i="26"/>
  <c r="AA14" i="26"/>
  <c r="Z14" i="26"/>
  <c r="Y14" i="26"/>
  <c r="X14" i="26"/>
  <c r="W14" i="26"/>
  <c r="V14" i="26"/>
  <c r="U14" i="26"/>
  <c r="T14" i="26"/>
  <c r="S14" i="26"/>
  <c r="R14" i="26"/>
  <c r="Q14" i="26"/>
  <c r="P14" i="26"/>
  <c r="L14" i="26"/>
  <c r="K14" i="26"/>
  <c r="J14" i="26"/>
  <c r="I14" i="26"/>
  <c r="H14" i="26"/>
  <c r="O13" i="26"/>
  <c r="N13" i="26"/>
  <c r="M13" i="26"/>
  <c r="O12" i="26"/>
  <c r="O14" i="26" s="1"/>
  <c r="N12" i="26"/>
  <c r="AF12" i="26" s="1"/>
  <c r="AG12" i="26" s="1"/>
  <c r="M12" i="26"/>
  <c r="O11" i="26"/>
  <c r="AF11" i="26" s="1"/>
  <c r="N11" i="26"/>
  <c r="M11" i="26"/>
  <c r="O10" i="26"/>
  <c r="N10" i="26"/>
  <c r="AF10" i="26" s="1"/>
  <c r="M10" i="26"/>
  <c r="O9" i="26"/>
  <c r="N9" i="26"/>
  <c r="M9" i="26"/>
  <c r="O8" i="26"/>
  <c r="N8" i="26"/>
  <c r="M8" i="26"/>
  <c r="O7" i="26"/>
  <c r="AF7" i="26" s="1"/>
  <c r="N7" i="26"/>
  <c r="M7" i="26"/>
  <c r="O6" i="26"/>
  <c r="N6" i="26"/>
  <c r="AF6" i="26" s="1"/>
  <c r="M6" i="26"/>
  <c r="O5" i="26"/>
  <c r="N5" i="26"/>
  <c r="M5" i="26"/>
  <c r="AE24" i="25"/>
  <c r="AD24" i="25"/>
  <c r="AC24" i="25"/>
  <c r="AB24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L24" i="25"/>
  <c r="J24" i="25"/>
  <c r="I24" i="25"/>
  <c r="H24" i="25"/>
  <c r="O23" i="25"/>
  <c r="AF23" i="25" s="1"/>
  <c r="AG23" i="25" s="1"/>
  <c r="N23" i="25"/>
  <c r="M23" i="25"/>
  <c r="O22" i="25"/>
  <c r="N22" i="25"/>
  <c r="M22" i="25"/>
  <c r="O21" i="25"/>
  <c r="N21" i="25"/>
  <c r="M21" i="25"/>
  <c r="O20" i="25"/>
  <c r="AF20" i="25" s="1"/>
  <c r="N20" i="25"/>
  <c r="M20" i="25"/>
  <c r="O19" i="25"/>
  <c r="N19" i="25"/>
  <c r="M19" i="25"/>
  <c r="O18" i="25"/>
  <c r="N18" i="25"/>
  <c r="M18" i="25"/>
  <c r="O17" i="25"/>
  <c r="N17" i="25"/>
  <c r="M17" i="25"/>
  <c r="O16" i="25"/>
  <c r="N16" i="25"/>
  <c r="AF16" i="25" s="1"/>
  <c r="AG16" i="25" s="1"/>
  <c r="M16" i="25"/>
  <c r="O15" i="25"/>
  <c r="N15" i="25"/>
  <c r="M15" i="25"/>
  <c r="K14" i="25"/>
  <c r="O13" i="25"/>
  <c r="N13" i="25"/>
  <c r="AF13" i="25" s="1"/>
  <c r="M13" i="25"/>
  <c r="O12" i="25"/>
  <c r="N12" i="25"/>
  <c r="AF12" i="25" s="1"/>
  <c r="M12" i="25"/>
  <c r="O11" i="25"/>
  <c r="N11" i="25"/>
  <c r="AF11" i="25" s="1"/>
  <c r="M11" i="25"/>
  <c r="O10" i="25"/>
  <c r="N10" i="25"/>
  <c r="AF10" i="25" s="1"/>
  <c r="M10" i="25"/>
  <c r="O9" i="25"/>
  <c r="AF9" i="25" s="1"/>
  <c r="N9" i="25"/>
  <c r="M9" i="25"/>
  <c r="O8" i="25"/>
  <c r="N8" i="25"/>
  <c r="M8" i="25"/>
  <c r="AF7" i="25"/>
  <c r="O7" i="25"/>
  <c r="N7" i="25"/>
  <c r="M7" i="25"/>
  <c r="O6" i="25"/>
  <c r="N6" i="25"/>
  <c r="M6" i="25"/>
  <c r="O5" i="25"/>
  <c r="N5" i="25"/>
  <c r="AF5" i="25" s="1"/>
  <c r="M5" i="25"/>
  <c r="AE23" i="24"/>
  <c r="AD23" i="24"/>
  <c r="AC23" i="24"/>
  <c r="AB23" i="24"/>
  <c r="AA23" i="24"/>
  <c r="Z23" i="24"/>
  <c r="Y23" i="24"/>
  <c r="X23" i="24"/>
  <c r="W23" i="24"/>
  <c r="V23" i="24"/>
  <c r="U23" i="24"/>
  <c r="T23" i="24"/>
  <c r="S23" i="24"/>
  <c r="R23" i="24"/>
  <c r="Q23" i="24"/>
  <c r="P23" i="24"/>
  <c r="L23" i="24"/>
  <c r="J23" i="24"/>
  <c r="I23" i="24"/>
  <c r="H23" i="24"/>
  <c r="O22" i="24"/>
  <c r="N22" i="24"/>
  <c r="M22" i="24"/>
  <c r="O21" i="24"/>
  <c r="O23" i="24" s="1"/>
  <c r="N21" i="24"/>
  <c r="AF21" i="24" s="1"/>
  <c r="AG21" i="24" s="1"/>
  <c r="M21" i="24"/>
  <c r="AF20" i="24"/>
  <c r="AG20" i="24" s="1"/>
  <c r="O20" i="24"/>
  <c r="N20" i="24"/>
  <c r="M20" i="24"/>
  <c r="O19" i="24"/>
  <c r="N19" i="24"/>
  <c r="M19" i="24"/>
  <c r="AF18" i="24"/>
  <c r="AH18" i="24" s="1"/>
  <c r="O18" i="24"/>
  <c r="N18" i="24"/>
  <c r="M18" i="24"/>
  <c r="O17" i="24"/>
  <c r="N17" i="24"/>
  <c r="AF17" i="24" s="1"/>
  <c r="M17" i="24"/>
  <c r="AF16" i="24"/>
  <c r="AH16" i="24" s="1"/>
  <c r="O16" i="24"/>
  <c r="N16" i="24"/>
  <c r="M16" i="24"/>
  <c r="O15" i="24"/>
  <c r="N15" i="24"/>
  <c r="M15" i="24"/>
  <c r="O14" i="24"/>
  <c r="N14" i="24"/>
  <c r="AF14" i="24" s="1"/>
  <c r="M14" i="24"/>
  <c r="O13" i="24"/>
  <c r="N13" i="24"/>
  <c r="M13" i="24"/>
  <c r="AF12" i="24"/>
  <c r="O12" i="24"/>
  <c r="N12" i="24"/>
  <c r="M12" i="24"/>
  <c r="O11" i="24"/>
  <c r="N11" i="24"/>
  <c r="M11" i="24"/>
  <c r="K10" i="24"/>
  <c r="AF9" i="24"/>
  <c r="O9" i="24"/>
  <c r="N9" i="24"/>
  <c r="M9" i="24"/>
  <c r="O8" i="24"/>
  <c r="N8" i="24"/>
  <c r="AF8" i="24" s="1"/>
  <c r="M8" i="24"/>
  <c r="O7" i="24"/>
  <c r="N7" i="24"/>
  <c r="AF7" i="24" s="1"/>
  <c r="M7" i="24"/>
  <c r="O6" i="24"/>
  <c r="N6" i="24"/>
  <c r="M6" i="24"/>
  <c r="O5" i="24"/>
  <c r="N5" i="24"/>
  <c r="M5" i="24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L16" i="23"/>
  <c r="J16" i="23"/>
  <c r="I16" i="23"/>
  <c r="H16" i="23"/>
  <c r="O15" i="23"/>
  <c r="N15" i="23"/>
  <c r="M15" i="23"/>
  <c r="O14" i="23"/>
  <c r="O16" i="23" s="1"/>
  <c r="N14" i="23"/>
  <c r="M14" i="23"/>
  <c r="O13" i="23"/>
  <c r="N13" i="23"/>
  <c r="AF13" i="23" s="1"/>
  <c r="AG13" i="23" s="1"/>
  <c r="M13" i="23"/>
  <c r="O12" i="23"/>
  <c r="N12" i="23"/>
  <c r="M12" i="23"/>
  <c r="O11" i="23"/>
  <c r="N11" i="23"/>
  <c r="AF11" i="23" s="1"/>
  <c r="M11" i="23"/>
  <c r="O10" i="23"/>
  <c r="N10" i="23"/>
  <c r="AF10" i="23" s="1"/>
  <c r="M10" i="23"/>
  <c r="K9" i="23"/>
  <c r="K16" i="23" s="1"/>
  <c r="O8" i="23"/>
  <c r="AF8" i="23" s="1"/>
  <c r="N8" i="23"/>
  <c r="M8" i="23"/>
  <c r="O7" i="23"/>
  <c r="N7" i="23"/>
  <c r="AF7" i="23" s="1"/>
  <c r="AH7" i="23" s="1"/>
  <c r="M7" i="23"/>
  <c r="O6" i="23"/>
  <c r="N6" i="23"/>
  <c r="M6" i="23"/>
  <c r="O5" i="23"/>
  <c r="AF5" i="23" s="1"/>
  <c r="N5" i="23"/>
  <c r="M5" i="23"/>
  <c r="AE13" i="22"/>
  <c r="AD13" i="22"/>
  <c r="AC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L13" i="22"/>
  <c r="K13" i="22"/>
  <c r="J13" i="22"/>
  <c r="I13" i="22"/>
  <c r="H13" i="22"/>
  <c r="O12" i="22"/>
  <c r="N12" i="22"/>
  <c r="M12" i="22"/>
  <c r="O11" i="22"/>
  <c r="N11" i="22"/>
  <c r="AF11" i="22" s="1"/>
  <c r="AG11" i="22" s="1"/>
  <c r="M11" i="22"/>
  <c r="O10" i="22"/>
  <c r="N10" i="22"/>
  <c r="AF10" i="22" s="1"/>
  <c r="AG10" i="22" s="1"/>
  <c r="M10" i="22"/>
  <c r="O9" i="22"/>
  <c r="N9" i="22"/>
  <c r="AF9" i="22" s="1"/>
  <c r="AG9" i="22" s="1"/>
  <c r="M9" i="22"/>
  <c r="O8" i="22"/>
  <c r="N8" i="22"/>
  <c r="M8" i="22"/>
  <c r="O7" i="22"/>
  <c r="N7" i="22"/>
  <c r="AF7" i="22" s="1"/>
  <c r="AG7" i="22" s="1"/>
  <c r="M7" i="22"/>
  <c r="O6" i="22"/>
  <c r="N6" i="22"/>
  <c r="M6" i="22"/>
  <c r="O5" i="22"/>
  <c r="N5" i="22"/>
  <c r="M5" i="22"/>
  <c r="M13" i="22" s="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L13" i="21"/>
  <c r="K13" i="21"/>
  <c r="J13" i="21"/>
  <c r="I13" i="21"/>
  <c r="H13" i="21"/>
  <c r="AF12" i="21"/>
  <c r="AG12" i="21" s="1"/>
  <c r="O12" i="21"/>
  <c r="O13" i="21" s="1"/>
  <c r="N12" i="21"/>
  <c r="M12" i="21"/>
  <c r="O11" i="21"/>
  <c r="N11" i="21"/>
  <c r="M11" i="21"/>
  <c r="O10" i="21"/>
  <c r="N10" i="21"/>
  <c r="AF10" i="21" s="1"/>
  <c r="AG10" i="21" s="1"/>
  <c r="M10" i="21"/>
  <c r="O9" i="21"/>
  <c r="AF9" i="21" s="1"/>
  <c r="AG9" i="21" s="1"/>
  <c r="N9" i="21"/>
  <c r="M9" i="21"/>
  <c r="O8" i="21"/>
  <c r="N8" i="21"/>
  <c r="AF8" i="21" s="1"/>
  <c r="AG8" i="21" s="1"/>
  <c r="M8" i="21"/>
  <c r="AG7" i="21"/>
  <c r="O7" i="21"/>
  <c r="N7" i="21"/>
  <c r="AF7" i="21" s="1"/>
  <c r="M7" i="21"/>
  <c r="O6" i="21"/>
  <c r="N6" i="21"/>
  <c r="AF6" i="21" s="1"/>
  <c r="AG6" i="21" s="1"/>
  <c r="M6" i="21"/>
  <c r="AF5" i="21"/>
  <c r="O5" i="21"/>
  <c r="N5" i="21"/>
  <c r="N13" i="21" s="1"/>
  <c r="M5" i="21"/>
  <c r="M13" i="21" s="1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L24" i="20"/>
  <c r="J24" i="20"/>
  <c r="I24" i="20"/>
  <c r="H24" i="20"/>
  <c r="O23" i="20"/>
  <c r="N23" i="20"/>
  <c r="M23" i="20"/>
  <c r="O22" i="20"/>
  <c r="N22" i="20"/>
  <c r="M22" i="20"/>
  <c r="O21" i="20"/>
  <c r="N21" i="20"/>
  <c r="M21" i="20"/>
  <c r="O20" i="20"/>
  <c r="N20" i="20"/>
  <c r="M20" i="20"/>
  <c r="O19" i="20"/>
  <c r="AF19" i="20" s="1"/>
  <c r="N19" i="20"/>
  <c r="M19" i="20"/>
  <c r="AF18" i="20"/>
  <c r="AG18" i="20" s="1"/>
  <c r="O18" i="20"/>
  <c r="N18" i="20"/>
  <c r="M18" i="20"/>
  <c r="O17" i="20"/>
  <c r="AF17" i="20" s="1"/>
  <c r="N17" i="20"/>
  <c r="M17" i="20"/>
  <c r="AG16" i="20"/>
  <c r="O16" i="20"/>
  <c r="N16" i="20"/>
  <c r="AF16" i="20" s="1"/>
  <c r="M16" i="20"/>
  <c r="O15" i="20"/>
  <c r="AF15" i="20" s="1"/>
  <c r="AG15" i="20" s="1"/>
  <c r="N15" i="20"/>
  <c r="M15" i="20"/>
  <c r="AF14" i="20"/>
  <c r="AG14" i="20" s="1"/>
  <c r="O14" i="20"/>
  <c r="N14" i="20"/>
  <c r="M14" i="20"/>
  <c r="AF13" i="20"/>
  <c r="AG13" i="20" s="1"/>
  <c r="O13" i="20"/>
  <c r="N13" i="20"/>
  <c r="M13" i="20"/>
  <c r="O12" i="20"/>
  <c r="N12" i="20"/>
  <c r="M12" i="20"/>
  <c r="O11" i="20"/>
  <c r="N11" i="20"/>
  <c r="M11" i="20"/>
  <c r="K10" i="20"/>
  <c r="O10" i="20" s="1"/>
  <c r="O9" i="20"/>
  <c r="N9" i="20"/>
  <c r="M9" i="20"/>
  <c r="O8" i="20"/>
  <c r="N8" i="20"/>
  <c r="M8" i="20"/>
  <c r="O7" i="20"/>
  <c r="N7" i="20"/>
  <c r="M7" i="20"/>
  <c r="O6" i="20"/>
  <c r="N6" i="20"/>
  <c r="AF6" i="20" s="1"/>
  <c r="AG6" i="20" s="1"/>
  <c r="M6" i="20"/>
  <c r="O5" i="20"/>
  <c r="N5" i="20"/>
  <c r="M5" i="20"/>
  <c r="AE24" i="19"/>
  <c r="AD24" i="19"/>
  <c r="AC24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L24" i="19"/>
  <c r="J24" i="19"/>
  <c r="I24" i="19"/>
  <c r="H24" i="19"/>
  <c r="O23" i="19"/>
  <c r="N23" i="19"/>
  <c r="M23" i="19"/>
  <c r="O22" i="19"/>
  <c r="N22" i="19"/>
  <c r="M22" i="19"/>
  <c r="O21" i="19"/>
  <c r="N21" i="19"/>
  <c r="M21" i="19"/>
  <c r="O20" i="19"/>
  <c r="N20" i="19"/>
  <c r="M20" i="19"/>
  <c r="O19" i="19"/>
  <c r="N19" i="19"/>
  <c r="AF19" i="19" s="1"/>
  <c r="M19" i="19"/>
  <c r="O18" i="19"/>
  <c r="N18" i="19"/>
  <c r="AF18" i="19" s="1"/>
  <c r="AG18" i="19" s="1"/>
  <c r="M18" i="19"/>
  <c r="O17" i="19"/>
  <c r="N17" i="19"/>
  <c r="AF17" i="19" s="1"/>
  <c r="M17" i="19"/>
  <c r="O16" i="19"/>
  <c r="N16" i="19"/>
  <c r="AF16" i="19" s="1"/>
  <c r="M16" i="19"/>
  <c r="O15" i="19"/>
  <c r="N15" i="19"/>
  <c r="AF15" i="19" s="1"/>
  <c r="AG15" i="19" s="1"/>
  <c r="M15" i="19"/>
  <c r="O14" i="19"/>
  <c r="N14" i="19"/>
  <c r="AF14" i="19" s="1"/>
  <c r="AG14" i="19" s="1"/>
  <c r="M14" i="19"/>
  <c r="O13" i="19"/>
  <c r="N13" i="19"/>
  <c r="M13" i="19"/>
  <c r="O12" i="19"/>
  <c r="AF12" i="19" s="1"/>
  <c r="AG12" i="19" s="1"/>
  <c r="N12" i="19"/>
  <c r="M12" i="19"/>
  <c r="AF11" i="19"/>
  <c r="AG11" i="19" s="1"/>
  <c r="O11" i="19"/>
  <c r="N11" i="19"/>
  <c r="M11" i="19"/>
  <c r="O10" i="19"/>
  <c r="N10" i="19"/>
  <c r="M10" i="19"/>
  <c r="O9" i="19"/>
  <c r="AF9" i="19" s="1"/>
  <c r="AG9" i="19" s="1"/>
  <c r="N9" i="19"/>
  <c r="M9" i="19"/>
  <c r="O8" i="19"/>
  <c r="N8" i="19"/>
  <c r="AF8" i="19" s="1"/>
  <c r="AG8" i="19" s="1"/>
  <c r="M8" i="19"/>
  <c r="K7" i="19"/>
  <c r="M7" i="19" s="1"/>
  <c r="O6" i="19"/>
  <c r="AF6" i="19" s="1"/>
  <c r="AG6" i="19" s="1"/>
  <c r="N6" i="19"/>
  <c r="M6" i="19"/>
  <c r="O5" i="19"/>
  <c r="AF5" i="19" s="1"/>
  <c r="M5" i="19"/>
  <c r="K5" i="19"/>
  <c r="N5" i="19" s="1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L22" i="18"/>
  <c r="I22" i="18"/>
  <c r="H22" i="18"/>
  <c r="O21" i="18"/>
  <c r="N21" i="18"/>
  <c r="M21" i="18"/>
  <c r="O20" i="18"/>
  <c r="N20" i="18"/>
  <c r="M20" i="18"/>
  <c r="O19" i="18"/>
  <c r="AF19" i="18" s="1"/>
  <c r="N19" i="18"/>
  <c r="M19" i="18"/>
  <c r="O18" i="18"/>
  <c r="N18" i="18"/>
  <c r="M18" i="18"/>
  <c r="O17" i="18"/>
  <c r="AF17" i="18" s="1"/>
  <c r="N17" i="18"/>
  <c r="M17" i="18"/>
  <c r="O16" i="18"/>
  <c r="N16" i="18"/>
  <c r="AF16" i="18" s="1"/>
  <c r="AG16" i="18" s="1"/>
  <c r="M16" i="18"/>
  <c r="O15" i="18"/>
  <c r="AF15" i="18" s="1"/>
  <c r="N15" i="18"/>
  <c r="M15" i="18"/>
  <c r="O14" i="18"/>
  <c r="N14" i="18"/>
  <c r="AF14" i="18" s="1"/>
  <c r="M14" i="18"/>
  <c r="O13" i="18"/>
  <c r="AF13" i="18" s="1"/>
  <c r="N13" i="18"/>
  <c r="M13" i="18"/>
  <c r="O12" i="18"/>
  <c r="N12" i="18"/>
  <c r="M12" i="18"/>
  <c r="O11" i="18"/>
  <c r="N11" i="18"/>
  <c r="M11" i="18"/>
  <c r="O10" i="18"/>
  <c r="AF10" i="18" s="1"/>
  <c r="AG10" i="18" s="1"/>
  <c r="N10" i="18"/>
  <c r="M10" i="18"/>
  <c r="K9" i="18"/>
  <c r="M9" i="18" s="1"/>
  <c r="O8" i="18"/>
  <c r="N8" i="18"/>
  <c r="M8" i="18"/>
  <c r="O7" i="18"/>
  <c r="AF7" i="18" s="1"/>
  <c r="AG7" i="18" s="1"/>
  <c r="N7" i="18"/>
  <c r="J7" i="18"/>
  <c r="M7" i="18" s="1"/>
  <c r="K6" i="18"/>
  <c r="O6" i="18" s="1"/>
  <c r="O5" i="18"/>
  <c r="AF5" i="18" s="1"/>
  <c r="AG5" i="18" s="1"/>
  <c r="N5" i="18"/>
  <c r="M5" i="18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L16" i="17"/>
  <c r="K16" i="17"/>
  <c r="J16" i="17"/>
  <c r="I16" i="17"/>
  <c r="H16" i="17"/>
  <c r="U15" i="17"/>
  <c r="O15" i="17"/>
  <c r="N15" i="17"/>
  <c r="M15" i="17"/>
  <c r="O14" i="17"/>
  <c r="AF14" i="17" s="1"/>
  <c r="AG14" i="17" s="1"/>
  <c r="N14" i="17"/>
  <c r="M14" i="17"/>
  <c r="O13" i="17"/>
  <c r="N13" i="17"/>
  <c r="AF13" i="17" s="1"/>
  <c r="AG13" i="17" s="1"/>
  <c r="M13" i="17"/>
  <c r="O12" i="17"/>
  <c r="M12" i="17"/>
  <c r="K12" i="17"/>
  <c r="N12" i="17" s="1"/>
  <c r="AF12" i="17" s="1"/>
  <c r="AG12" i="17" s="1"/>
  <c r="O11" i="17"/>
  <c r="N11" i="17"/>
  <c r="M11" i="17"/>
  <c r="O10" i="17"/>
  <c r="AF10" i="17" s="1"/>
  <c r="AG10" i="17" s="1"/>
  <c r="N10" i="17"/>
  <c r="M10" i="17"/>
  <c r="O9" i="17"/>
  <c r="N9" i="17"/>
  <c r="AF9" i="17" s="1"/>
  <c r="AG9" i="17" s="1"/>
  <c r="M9" i="17"/>
  <c r="O8" i="17"/>
  <c r="AF8" i="17" s="1"/>
  <c r="AG8" i="17" s="1"/>
  <c r="N8" i="17"/>
  <c r="M8" i="17"/>
  <c r="AF7" i="17"/>
  <c r="AG7" i="17" s="1"/>
  <c r="O7" i="17"/>
  <c r="N7" i="17"/>
  <c r="M7" i="17"/>
  <c r="O6" i="17"/>
  <c r="N6" i="17"/>
  <c r="M6" i="17"/>
  <c r="O5" i="17"/>
  <c r="N5" i="17"/>
  <c r="M5" i="17"/>
  <c r="AE14" i="16"/>
  <c r="AD14" i="16"/>
  <c r="AC14" i="16"/>
  <c r="AB14" i="16"/>
  <c r="AA14" i="16"/>
  <c r="Z14" i="16"/>
  <c r="Y14" i="16"/>
  <c r="X14" i="16"/>
  <c r="W14" i="16"/>
  <c r="V14" i="16"/>
  <c r="T14" i="16"/>
  <c r="S14" i="16"/>
  <c r="R14" i="16"/>
  <c r="Q14" i="16"/>
  <c r="P14" i="16"/>
  <c r="L14" i="16"/>
  <c r="J14" i="16"/>
  <c r="I14" i="16"/>
  <c r="H14" i="16"/>
  <c r="U13" i="16"/>
  <c r="U14" i="16" s="1"/>
  <c r="O13" i="16"/>
  <c r="N13" i="16"/>
  <c r="M13" i="16"/>
  <c r="O12" i="16"/>
  <c r="N12" i="16"/>
  <c r="M12" i="16"/>
  <c r="O11" i="16"/>
  <c r="N11" i="16"/>
  <c r="M11" i="16"/>
  <c r="K10" i="16"/>
  <c r="O9" i="16"/>
  <c r="N9" i="16"/>
  <c r="M9" i="16"/>
  <c r="O8" i="16"/>
  <c r="N8" i="16"/>
  <c r="M8" i="16"/>
  <c r="O7" i="16"/>
  <c r="N7" i="16"/>
  <c r="M7" i="16"/>
  <c r="O6" i="16"/>
  <c r="N6" i="16"/>
  <c r="M6" i="16"/>
  <c r="O5" i="16"/>
  <c r="N5" i="16"/>
  <c r="AF5" i="16" s="1"/>
  <c r="M5" i="16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L23" i="15"/>
  <c r="K23" i="15"/>
  <c r="J23" i="15"/>
  <c r="I23" i="15"/>
  <c r="H23" i="15"/>
  <c r="O22" i="15"/>
  <c r="N22" i="15"/>
  <c r="AE22" i="15" s="1"/>
  <c r="AF22" i="15" s="1"/>
  <c r="M22" i="15"/>
  <c r="O21" i="15"/>
  <c r="AE21" i="15" s="1"/>
  <c r="AF21" i="15" s="1"/>
  <c r="N21" i="15"/>
  <c r="M21" i="15"/>
  <c r="O20" i="15"/>
  <c r="N20" i="15"/>
  <c r="M20" i="15"/>
  <c r="O19" i="15"/>
  <c r="N19" i="15"/>
  <c r="M19" i="15"/>
  <c r="O18" i="15"/>
  <c r="N18" i="15"/>
  <c r="M18" i="15"/>
  <c r="O17" i="15"/>
  <c r="N17" i="15"/>
  <c r="AE17" i="15" s="1"/>
  <c r="AF17" i="15" s="1"/>
  <c r="M17" i="15"/>
  <c r="O16" i="15"/>
  <c r="N16" i="15"/>
  <c r="AE16" i="15" s="1"/>
  <c r="AF16" i="15" s="1"/>
  <c r="M16" i="15"/>
  <c r="O15" i="15"/>
  <c r="N15" i="15"/>
  <c r="AE15" i="15" s="1"/>
  <c r="AF15" i="15" s="1"/>
  <c r="M15" i="15"/>
  <c r="O14" i="15"/>
  <c r="N14" i="15"/>
  <c r="M14" i="15"/>
  <c r="O13" i="15"/>
  <c r="AE13" i="15" s="1"/>
  <c r="AF13" i="15" s="1"/>
  <c r="N13" i="15"/>
  <c r="M13" i="15"/>
  <c r="O12" i="15"/>
  <c r="N12" i="15"/>
  <c r="M12" i="15"/>
  <c r="O11" i="15"/>
  <c r="N11" i="15"/>
  <c r="M11" i="15"/>
  <c r="O10" i="15"/>
  <c r="AE10" i="15" s="1"/>
  <c r="AF10" i="15" s="1"/>
  <c r="N10" i="15"/>
  <c r="M10" i="15"/>
  <c r="O9" i="15"/>
  <c r="N9" i="15"/>
  <c r="AE9" i="15" s="1"/>
  <c r="AF9" i="15" s="1"/>
  <c r="M9" i="15"/>
  <c r="O8" i="15"/>
  <c r="N8" i="15"/>
  <c r="M8" i="15"/>
  <c r="O7" i="15"/>
  <c r="N7" i="15"/>
  <c r="M7" i="15"/>
  <c r="O6" i="15"/>
  <c r="N6" i="15"/>
  <c r="AE6" i="15" s="1"/>
  <c r="AF6" i="15" s="1"/>
  <c r="M6" i="15"/>
  <c r="O5" i="15"/>
  <c r="N5" i="15"/>
  <c r="M5" i="15"/>
  <c r="M23" i="15" s="1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L22" i="14"/>
  <c r="J22" i="14"/>
  <c r="I22" i="14"/>
  <c r="H22" i="14"/>
  <c r="O21" i="14"/>
  <c r="N21" i="14"/>
  <c r="M21" i="14"/>
  <c r="O20" i="14"/>
  <c r="N20" i="14"/>
  <c r="M20" i="14"/>
  <c r="O19" i="14"/>
  <c r="N19" i="14"/>
  <c r="AF19" i="14" s="1"/>
  <c r="AG19" i="14" s="1"/>
  <c r="M19" i="14"/>
  <c r="O18" i="14"/>
  <c r="N18" i="14"/>
  <c r="AF18" i="14" s="1"/>
  <c r="AG18" i="14" s="1"/>
  <c r="M18" i="14"/>
  <c r="O17" i="14"/>
  <c r="N17" i="14"/>
  <c r="M17" i="14"/>
  <c r="O16" i="14"/>
  <c r="N16" i="14"/>
  <c r="M16" i="14"/>
  <c r="O15" i="14"/>
  <c r="AF15" i="14" s="1"/>
  <c r="AG15" i="14" s="1"/>
  <c r="N15" i="14"/>
  <c r="M15" i="14"/>
  <c r="K14" i="14"/>
  <c r="O13" i="14"/>
  <c r="AF13" i="14" s="1"/>
  <c r="AG13" i="14" s="1"/>
  <c r="N13" i="14"/>
  <c r="M13" i="14"/>
  <c r="K12" i="14"/>
  <c r="O11" i="14"/>
  <c r="N11" i="14"/>
  <c r="AF11" i="14" s="1"/>
  <c r="AG11" i="14" s="1"/>
  <c r="M11" i="14"/>
  <c r="O10" i="14"/>
  <c r="AF10" i="14" s="1"/>
  <c r="AG10" i="14" s="1"/>
  <c r="N10" i="14"/>
  <c r="M10" i="14"/>
  <c r="O9" i="14"/>
  <c r="N9" i="14"/>
  <c r="AF9" i="14" s="1"/>
  <c r="AG9" i="14" s="1"/>
  <c r="M9" i="14"/>
  <c r="O8" i="14"/>
  <c r="N8" i="14"/>
  <c r="M8" i="14"/>
  <c r="O7" i="14"/>
  <c r="N7" i="14"/>
  <c r="M7" i="14"/>
  <c r="O6" i="14"/>
  <c r="N6" i="14"/>
  <c r="AF6" i="14" s="1"/>
  <c r="AG6" i="14" s="1"/>
  <c r="M6" i="14"/>
  <c r="O5" i="14"/>
  <c r="N5" i="14"/>
  <c r="AF5" i="14" s="1"/>
  <c r="AG5" i="14" s="1"/>
  <c r="M5" i="14"/>
  <c r="AD98" i="13"/>
  <c r="AC98" i="13"/>
  <c r="AB98" i="13"/>
  <c r="AA98" i="13"/>
  <c r="Z98" i="13"/>
  <c r="Y98" i="13"/>
  <c r="X98" i="13"/>
  <c r="W98" i="13"/>
  <c r="V98" i="13"/>
  <c r="U98" i="13"/>
  <c r="T98" i="13"/>
  <c r="S98" i="13"/>
  <c r="R98" i="13"/>
  <c r="Q98" i="13"/>
  <c r="P98" i="13"/>
  <c r="L98" i="13"/>
  <c r="J98" i="13"/>
  <c r="I98" i="13"/>
  <c r="H98" i="13"/>
  <c r="O97" i="13"/>
  <c r="N97" i="13"/>
  <c r="AE97" i="13" s="1"/>
  <c r="AF97" i="13" s="1"/>
  <c r="M97" i="13"/>
  <c r="O96" i="13"/>
  <c r="N96" i="13"/>
  <c r="M96" i="13"/>
  <c r="O95" i="13"/>
  <c r="N95" i="13"/>
  <c r="M95" i="13"/>
  <c r="O94" i="13"/>
  <c r="N94" i="13"/>
  <c r="M94" i="13"/>
  <c r="O93" i="13"/>
  <c r="N93" i="13"/>
  <c r="AE93" i="13" s="1"/>
  <c r="AF93" i="13" s="1"/>
  <c r="M93" i="13"/>
  <c r="O92" i="13"/>
  <c r="N92" i="13"/>
  <c r="M92" i="13"/>
  <c r="O91" i="13"/>
  <c r="N91" i="13"/>
  <c r="M91" i="13"/>
  <c r="O90" i="13"/>
  <c r="N90" i="13"/>
  <c r="M90" i="13"/>
  <c r="M89" i="13"/>
  <c r="K89" i="13"/>
  <c r="O88" i="13"/>
  <c r="N88" i="13"/>
  <c r="M88" i="13"/>
  <c r="K87" i="13"/>
  <c r="O86" i="13"/>
  <c r="N86" i="13"/>
  <c r="M86" i="13"/>
  <c r="O85" i="13"/>
  <c r="N85" i="13"/>
  <c r="M85" i="13"/>
  <c r="O84" i="13"/>
  <c r="N84" i="13"/>
  <c r="AE84" i="13" s="1"/>
  <c r="M84" i="13"/>
  <c r="O83" i="13"/>
  <c r="N83" i="13"/>
  <c r="M83" i="13"/>
  <c r="O82" i="13"/>
  <c r="N82" i="13"/>
  <c r="M82" i="13"/>
  <c r="O81" i="13"/>
  <c r="N81" i="13"/>
  <c r="M81" i="13"/>
  <c r="O80" i="13"/>
  <c r="N80" i="13"/>
  <c r="AE80" i="13" s="1"/>
  <c r="M80" i="13"/>
  <c r="O79" i="13"/>
  <c r="N79" i="13"/>
  <c r="M79" i="13"/>
  <c r="O78" i="13"/>
  <c r="N78" i="13"/>
  <c r="M78" i="13"/>
  <c r="O77" i="13"/>
  <c r="N77" i="13"/>
  <c r="M77" i="13"/>
  <c r="O76" i="13"/>
  <c r="N76" i="13"/>
  <c r="AE76" i="13" s="1"/>
  <c r="M76" i="13"/>
  <c r="O75" i="13"/>
  <c r="N75" i="13"/>
  <c r="M75" i="13"/>
  <c r="O74" i="13"/>
  <c r="N74" i="13"/>
  <c r="M74" i="13"/>
  <c r="O73" i="13"/>
  <c r="N73" i="13"/>
  <c r="M73" i="13"/>
  <c r="O72" i="13"/>
  <c r="N72" i="13"/>
  <c r="AE72" i="13" s="1"/>
  <c r="M72" i="13"/>
  <c r="AE71" i="13"/>
  <c r="O71" i="13"/>
  <c r="N71" i="13"/>
  <c r="AF71" i="13" s="1"/>
  <c r="M71" i="13"/>
  <c r="O70" i="13"/>
  <c r="N70" i="13"/>
  <c r="M70" i="13"/>
  <c r="O69" i="13"/>
  <c r="N69" i="13"/>
  <c r="M69" i="13"/>
  <c r="O68" i="13"/>
  <c r="N68" i="13"/>
  <c r="AE68" i="13" s="1"/>
  <c r="M68" i="13"/>
  <c r="AE67" i="13"/>
  <c r="O67" i="13"/>
  <c r="N67" i="13"/>
  <c r="AF67" i="13" s="1"/>
  <c r="M67" i="13"/>
  <c r="O66" i="13"/>
  <c r="N66" i="13"/>
  <c r="M66" i="13"/>
  <c r="O65" i="13"/>
  <c r="N65" i="13"/>
  <c r="M65" i="13"/>
  <c r="O64" i="13"/>
  <c r="N64" i="13"/>
  <c r="AE64" i="13" s="1"/>
  <c r="M64" i="13"/>
  <c r="AE63" i="13"/>
  <c r="O63" i="13"/>
  <c r="N63" i="13"/>
  <c r="AF63" i="13" s="1"/>
  <c r="M63" i="13"/>
  <c r="O62" i="13"/>
  <c r="N62" i="13"/>
  <c r="M62" i="13"/>
  <c r="O61" i="13"/>
  <c r="N61" i="13"/>
  <c r="M61" i="13"/>
  <c r="O60" i="13"/>
  <c r="N60" i="13"/>
  <c r="AE60" i="13" s="1"/>
  <c r="M60" i="13"/>
  <c r="AE59" i="13"/>
  <c r="O59" i="13"/>
  <c r="N59" i="13"/>
  <c r="AF59" i="13" s="1"/>
  <c r="M59" i="13"/>
  <c r="O58" i="13"/>
  <c r="N58" i="13"/>
  <c r="M58" i="13"/>
  <c r="O57" i="13"/>
  <c r="N57" i="13"/>
  <c r="M57" i="13"/>
  <c r="O56" i="13"/>
  <c r="N56" i="13"/>
  <c r="AE56" i="13" s="1"/>
  <c r="M56" i="13"/>
  <c r="AE55" i="13"/>
  <c r="O55" i="13"/>
  <c r="N55" i="13"/>
  <c r="AF55" i="13" s="1"/>
  <c r="M55" i="13"/>
  <c r="N54" i="13"/>
  <c r="M54" i="13"/>
  <c r="K54" i="13"/>
  <c r="O54" i="13" s="1"/>
  <c r="O53" i="13"/>
  <c r="N53" i="13"/>
  <c r="AE53" i="13" s="1"/>
  <c r="M53" i="13"/>
  <c r="O52" i="13"/>
  <c r="AE52" i="13" s="1"/>
  <c r="N52" i="13"/>
  <c r="AF52" i="13" s="1"/>
  <c r="M52" i="13"/>
  <c r="O51" i="13"/>
  <c r="N51" i="13"/>
  <c r="M51" i="13"/>
  <c r="O50" i="13"/>
  <c r="N50" i="13"/>
  <c r="M50" i="13"/>
  <c r="AE49" i="13"/>
  <c r="O49" i="13"/>
  <c r="N49" i="13"/>
  <c r="M49" i="13"/>
  <c r="O48" i="13"/>
  <c r="N48" i="13"/>
  <c r="M48" i="13"/>
  <c r="O47" i="13"/>
  <c r="N47" i="13"/>
  <c r="M47" i="13"/>
  <c r="O46" i="13"/>
  <c r="N46" i="13"/>
  <c r="M46" i="13"/>
  <c r="AE45" i="13"/>
  <c r="O45" i="13"/>
  <c r="N45" i="13"/>
  <c r="M45" i="13"/>
  <c r="O44" i="13"/>
  <c r="N44" i="13"/>
  <c r="M44" i="13"/>
  <c r="O43" i="13"/>
  <c r="N43" i="13"/>
  <c r="M43" i="13"/>
  <c r="O42" i="13"/>
  <c r="N42" i="13"/>
  <c r="M42" i="13"/>
  <c r="O41" i="13"/>
  <c r="AE41" i="13" s="1"/>
  <c r="N41" i="13"/>
  <c r="M41" i="13"/>
  <c r="O40" i="13"/>
  <c r="AE40" i="13" s="1"/>
  <c r="AF40" i="13" s="1"/>
  <c r="N40" i="13"/>
  <c r="M40" i="13"/>
  <c r="O39" i="13"/>
  <c r="N39" i="13"/>
  <c r="M39" i="13"/>
  <c r="O38" i="13"/>
  <c r="K38" i="13"/>
  <c r="M38" i="13" s="1"/>
  <c r="O37" i="13"/>
  <c r="AE37" i="13" s="1"/>
  <c r="N37" i="13"/>
  <c r="AF37" i="13" s="1"/>
  <c r="M37" i="13"/>
  <c r="O36" i="13"/>
  <c r="N36" i="13"/>
  <c r="M36" i="13"/>
  <c r="O35" i="13"/>
  <c r="N35" i="13"/>
  <c r="M35" i="13"/>
  <c r="AE34" i="13"/>
  <c r="O34" i="13"/>
  <c r="N34" i="13"/>
  <c r="M34" i="13"/>
  <c r="O33" i="13"/>
  <c r="N33" i="13"/>
  <c r="M33" i="13"/>
  <c r="O32" i="13"/>
  <c r="N32" i="13"/>
  <c r="M32" i="13"/>
  <c r="O31" i="13"/>
  <c r="N31" i="13"/>
  <c r="M31" i="13"/>
  <c r="AE30" i="13"/>
  <c r="O30" i="13"/>
  <c r="N30" i="13"/>
  <c r="M30" i="13"/>
  <c r="O29" i="13"/>
  <c r="N29" i="13"/>
  <c r="M29" i="13"/>
  <c r="O28" i="13"/>
  <c r="N28" i="13"/>
  <c r="M28" i="13"/>
  <c r="O27" i="13"/>
  <c r="N27" i="13"/>
  <c r="M27" i="13"/>
  <c r="O26" i="13"/>
  <c r="AE26" i="13" s="1"/>
  <c r="N26" i="13"/>
  <c r="M26" i="13"/>
  <c r="O25" i="13"/>
  <c r="AE25" i="13" s="1"/>
  <c r="AF25" i="13" s="1"/>
  <c r="N25" i="13"/>
  <c r="M25" i="13"/>
  <c r="O24" i="13"/>
  <c r="N24" i="13"/>
  <c r="M24" i="13"/>
  <c r="O23" i="13"/>
  <c r="N23" i="13"/>
  <c r="M23" i="13"/>
  <c r="O22" i="13"/>
  <c r="N22" i="13"/>
  <c r="AE22" i="13" s="1"/>
  <c r="M22" i="13"/>
  <c r="AE21" i="13"/>
  <c r="O21" i="13"/>
  <c r="N21" i="13"/>
  <c r="AF21" i="13" s="1"/>
  <c r="M21" i="13"/>
  <c r="O20" i="13"/>
  <c r="N20" i="13"/>
  <c r="M20" i="13"/>
  <c r="O19" i="13"/>
  <c r="N19" i="13"/>
  <c r="M19" i="13"/>
  <c r="O18" i="13"/>
  <c r="N18" i="13"/>
  <c r="AE18" i="13" s="1"/>
  <c r="M18" i="13"/>
  <c r="O17" i="13"/>
  <c r="AF17" i="13" s="1"/>
  <c r="N17" i="13"/>
  <c r="AE17" i="13" s="1"/>
  <c r="M17" i="13"/>
  <c r="O16" i="13"/>
  <c r="N16" i="13"/>
  <c r="M16" i="13"/>
  <c r="O15" i="13"/>
  <c r="N15" i="13"/>
  <c r="M15" i="13"/>
  <c r="O14" i="13"/>
  <c r="AE14" i="13" s="1"/>
  <c r="N14" i="13"/>
  <c r="M14" i="13"/>
  <c r="O13" i="13"/>
  <c r="N13" i="13"/>
  <c r="AE13" i="13" s="1"/>
  <c r="AF13" i="13" s="1"/>
  <c r="M13" i="13"/>
  <c r="O12" i="13"/>
  <c r="N12" i="13"/>
  <c r="M12" i="13"/>
  <c r="O11" i="13"/>
  <c r="N11" i="13"/>
  <c r="M11" i="13"/>
  <c r="AE10" i="13"/>
  <c r="O10" i="13"/>
  <c r="N10" i="13"/>
  <c r="M10" i="13"/>
  <c r="AE9" i="13"/>
  <c r="AF9" i="13" s="1"/>
  <c r="O9" i="13"/>
  <c r="N9" i="13"/>
  <c r="M9" i="13"/>
  <c r="O8" i="13"/>
  <c r="N8" i="13"/>
  <c r="M8" i="13"/>
  <c r="O7" i="13"/>
  <c r="N7" i="13"/>
  <c r="M7" i="13"/>
  <c r="O6" i="13"/>
  <c r="N6" i="13"/>
  <c r="AE6" i="13" s="1"/>
  <c r="AF6" i="13" s="1"/>
  <c r="M6" i="13"/>
  <c r="K5" i="13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L27" i="12"/>
  <c r="K27" i="12"/>
  <c r="J27" i="12"/>
  <c r="I27" i="12"/>
  <c r="H27" i="12"/>
  <c r="O26" i="12"/>
  <c r="AE26" i="12" s="1"/>
  <c r="AF26" i="12" s="1"/>
  <c r="N26" i="12"/>
  <c r="M26" i="12"/>
  <c r="AE25" i="12"/>
  <c r="AF25" i="12" s="1"/>
  <c r="O25" i="12"/>
  <c r="N25" i="12"/>
  <c r="M25" i="12"/>
  <c r="AE24" i="12"/>
  <c r="O24" i="12"/>
  <c r="N24" i="12"/>
  <c r="M24" i="12"/>
  <c r="AF23" i="12"/>
  <c r="O23" i="12"/>
  <c r="N23" i="12"/>
  <c r="AE23" i="12" s="1"/>
  <c r="M23" i="12"/>
  <c r="O22" i="12"/>
  <c r="N22" i="12"/>
  <c r="M22" i="12"/>
  <c r="O21" i="12"/>
  <c r="AE21" i="12" s="1"/>
  <c r="AF21" i="12" s="1"/>
  <c r="N21" i="12"/>
  <c r="M21" i="12"/>
  <c r="AE20" i="12"/>
  <c r="AF20" i="12" s="1"/>
  <c r="O20" i="12"/>
  <c r="N20" i="12"/>
  <c r="M20" i="12"/>
  <c r="AF19" i="12"/>
  <c r="O19" i="12"/>
  <c r="N19" i="12"/>
  <c r="AE19" i="12" s="1"/>
  <c r="M19" i="12"/>
  <c r="O18" i="12"/>
  <c r="AE18" i="12" s="1"/>
  <c r="AF18" i="12" s="1"/>
  <c r="N18" i="12"/>
  <c r="M18" i="12"/>
  <c r="O17" i="12"/>
  <c r="AE17" i="12" s="1"/>
  <c r="AF17" i="12" s="1"/>
  <c r="N17" i="12"/>
  <c r="M17" i="12"/>
  <c r="AE16" i="12"/>
  <c r="AF16" i="12" s="1"/>
  <c r="O16" i="12"/>
  <c r="N16" i="12"/>
  <c r="M16" i="12"/>
  <c r="O15" i="12"/>
  <c r="N15" i="12"/>
  <c r="M15" i="12"/>
  <c r="O14" i="12"/>
  <c r="N14" i="12"/>
  <c r="M14" i="12"/>
  <c r="AE13" i="12"/>
  <c r="AF13" i="12" s="1"/>
  <c r="O13" i="12"/>
  <c r="N13" i="12"/>
  <c r="M13" i="12"/>
  <c r="AF12" i="12"/>
  <c r="O12" i="12"/>
  <c r="N12" i="12"/>
  <c r="AE12" i="12" s="1"/>
  <c r="M12" i="12"/>
  <c r="O11" i="12"/>
  <c r="N11" i="12"/>
  <c r="AE11" i="12" s="1"/>
  <c r="AF11" i="12" s="1"/>
  <c r="M11" i="12"/>
  <c r="O10" i="12"/>
  <c r="N10" i="12"/>
  <c r="AE10" i="12" s="1"/>
  <c r="AF10" i="12" s="1"/>
  <c r="M10" i="12"/>
  <c r="AE9" i="12"/>
  <c r="AF9" i="12" s="1"/>
  <c r="O9" i="12"/>
  <c r="N9" i="12"/>
  <c r="M9" i="12"/>
  <c r="M27" i="12" s="1"/>
  <c r="AE8" i="12"/>
  <c r="AF8" i="12" s="1"/>
  <c r="O8" i="12"/>
  <c r="N8" i="12"/>
  <c r="M8" i="12"/>
  <c r="O7" i="12"/>
  <c r="N7" i="12"/>
  <c r="AE7" i="12" s="1"/>
  <c r="AF7" i="12" s="1"/>
  <c r="M7" i="12"/>
  <c r="O6" i="12"/>
  <c r="N6" i="12"/>
  <c r="AE6" i="12" s="1"/>
  <c r="AF6" i="12" s="1"/>
  <c r="M6" i="12"/>
  <c r="O5" i="12"/>
  <c r="N5" i="12"/>
  <c r="M5" i="12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L22" i="11"/>
  <c r="I22" i="11"/>
  <c r="H22" i="11"/>
  <c r="O21" i="11"/>
  <c r="N21" i="11"/>
  <c r="AE21" i="11" s="1"/>
  <c r="AF21" i="11" s="1"/>
  <c r="M21" i="11"/>
  <c r="O20" i="11"/>
  <c r="N20" i="11"/>
  <c r="M20" i="11"/>
  <c r="O19" i="11"/>
  <c r="N19" i="11"/>
  <c r="M19" i="11"/>
  <c r="O18" i="11"/>
  <c r="N18" i="11"/>
  <c r="M18" i="11"/>
  <c r="O17" i="11"/>
  <c r="AE17" i="11" s="1"/>
  <c r="AF17" i="11" s="1"/>
  <c r="N17" i="11"/>
  <c r="M17" i="11"/>
  <c r="O16" i="11"/>
  <c r="AE16" i="11" s="1"/>
  <c r="AF16" i="11" s="1"/>
  <c r="N16" i="11"/>
  <c r="M16" i="11"/>
  <c r="N15" i="11"/>
  <c r="M15" i="11"/>
  <c r="J15" i="11"/>
  <c r="O15" i="11" s="1"/>
  <c r="O14" i="11"/>
  <c r="AE14" i="11" s="1"/>
  <c r="AF14" i="11" s="1"/>
  <c r="N14" i="11"/>
  <c r="M14" i="11"/>
  <c r="O13" i="11"/>
  <c r="N13" i="11"/>
  <c r="AE13" i="11" s="1"/>
  <c r="AF13" i="11" s="1"/>
  <c r="M13" i="11"/>
  <c r="O12" i="11"/>
  <c r="N12" i="11"/>
  <c r="AE12" i="11" s="1"/>
  <c r="AF12" i="11" s="1"/>
  <c r="M12" i="11"/>
  <c r="O11" i="11"/>
  <c r="N11" i="11"/>
  <c r="M11" i="11"/>
  <c r="O10" i="11"/>
  <c r="AE10" i="11" s="1"/>
  <c r="AF10" i="11" s="1"/>
  <c r="N10" i="11"/>
  <c r="M10" i="11"/>
  <c r="O9" i="11"/>
  <c r="AE9" i="11" s="1"/>
  <c r="AF9" i="11" s="1"/>
  <c r="N9" i="11"/>
  <c r="M9" i="11"/>
  <c r="O8" i="11"/>
  <c r="N8" i="11"/>
  <c r="M8" i="11"/>
  <c r="O7" i="11"/>
  <c r="N7" i="11"/>
  <c r="AE7" i="11" s="1"/>
  <c r="AF7" i="11" s="1"/>
  <c r="M7" i="11"/>
  <c r="N6" i="11"/>
  <c r="J6" i="11"/>
  <c r="J22" i="11" s="1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L16" i="10"/>
  <c r="K16" i="10"/>
  <c r="J16" i="10"/>
  <c r="I16" i="10"/>
  <c r="H16" i="10"/>
  <c r="O15" i="10"/>
  <c r="N15" i="10"/>
  <c r="AE15" i="10" s="1"/>
  <c r="AF15" i="10" s="1"/>
  <c r="M15" i="10"/>
  <c r="O14" i="10"/>
  <c r="N14" i="10"/>
  <c r="M14" i="10"/>
  <c r="O13" i="10"/>
  <c r="N13" i="10"/>
  <c r="AE13" i="10" s="1"/>
  <c r="AF13" i="10" s="1"/>
  <c r="M13" i="10"/>
  <c r="AE12" i="10"/>
  <c r="AF12" i="10" s="1"/>
  <c r="O12" i="10"/>
  <c r="N12" i="10"/>
  <c r="M12" i="10"/>
  <c r="O11" i="10"/>
  <c r="N11" i="10"/>
  <c r="AE11" i="10" s="1"/>
  <c r="AF11" i="10" s="1"/>
  <c r="M11" i="10"/>
  <c r="O10" i="10"/>
  <c r="N10" i="10"/>
  <c r="AE10" i="10" s="1"/>
  <c r="AF10" i="10" s="1"/>
  <c r="M10" i="10"/>
  <c r="O9" i="10"/>
  <c r="AE9" i="10" s="1"/>
  <c r="AF9" i="10" s="1"/>
  <c r="N9" i="10"/>
  <c r="M9" i="10"/>
  <c r="O8" i="10"/>
  <c r="AE8" i="10" s="1"/>
  <c r="AF8" i="10" s="1"/>
  <c r="N8" i="10"/>
  <c r="M8" i="10"/>
  <c r="O7" i="10"/>
  <c r="N7" i="10"/>
  <c r="M7" i="10"/>
  <c r="O6" i="10"/>
  <c r="N6" i="10"/>
  <c r="M6" i="10"/>
  <c r="O5" i="10"/>
  <c r="AE5" i="10" s="1"/>
  <c r="AF5" i="10" s="1"/>
  <c r="N5" i="10"/>
  <c r="M5" i="10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L26" i="9"/>
  <c r="J26" i="9"/>
  <c r="I26" i="9"/>
  <c r="H26" i="9"/>
  <c r="O25" i="9"/>
  <c r="N25" i="9"/>
  <c r="M25" i="9"/>
  <c r="O24" i="9"/>
  <c r="N24" i="9"/>
  <c r="M24" i="9"/>
  <c r="O23" i="9"/>
  <c r="N23" i="9"/>
  <c r="AF23" i="9" s="1"/>
  <c r="AG23" i="9" s="1"/>
  <c r="M23" i="9"/>
  <c r="O22" i="9"/>
  <c r="N22" i="9"/>
  <c r="M22" i="9"/>
  <c r="O21" i="9"/>
  <c r="N21" i="9"/>
  <c r="M21" i="9"/>
  <c r="N20" i="9"/>
  <c r="M20" i="9"/>
  <c r="K20" i="9"/>
  <c r="O20" i="9" s="1"/>
  <c r="O19" i="9"/>
  <c r="AF19" i="9" s="1"/>
  <c r="AG19" i="9" s="1"/>
  <c r="N19" i="9"/>
  <c r="M19" i="9"/>
  <c r="O18" i="9"/>
  <c r="N18" i="9"/>
  <c r="M18" i="9"/>
  <c r="O17" i="9"/>
  <c r="AF17" i="9" s="1"/>
  <c r="AG17" i="9" s="1"/>
  <c r="N17" i="9"/>
  <c r="M17" i="9"/>
  <c r="O16" i="9"/>
  <c r="N16" i="9"/>
  <c r="AF16" i="9" s="1"/>
  <c r="AG16" i="9" s="1"/>
  <c r="M16" i="9"/>
  <c r="AF15" i="9"/>
  <c r="AG15" i="9" s="1"/>
  <c r="O15" i="9"/>
  <c r="N15" i="9"/>
  <c r="M15" i="9"/>
  <c r="O14" i="9"/>
  <c r="N14" i="9"/>
  <c r="M14" i="9"/>
  <c r="O13" i="9"/>
  <c r="N13" i="9"/>
  <c r="M13" i="9"/>
  <c r="O12" i="9"/>
  <c r="N12" i="9"/>
  <c r="AF12" i="9" s="1"/>
  <c r="AG12" i="9" s="1"/>
  <c r="M12" i="9"/>
  <c r="O11" i="9"/>
  <c r="N11" i="9"/>
  <c r="AF11" i="9" s="1"/>
  <c r="AG11" i="9" s="1"/>
  <c r="M11" i="9"/>
  <c r="O10" i="9"/>
  <c r="N10" i="9"/>
  <c r="M10" i="9"/>
  <c r="O9" i="9"/>
  <c r="N9" i="9"/>
  <c r="M9" i="9"/>
  <c r="O8" i="9"/>
  <c r="AF8" i="9" s="1"/>
  <c r="AG8" i="9" s="1"/>
  <c r="N8" i="9"/>
  <c r="M8" i="9"/>
  <c r="O7" i="9"/>
  <c r="N7" i="9"/>
  <c r="AF7" i="9" s="1"/>
  <c r="AG7" i="9" s="1"/>
  <c r="M7" i="9"/>
  <c r="O6" i="9"/>
  <c r="N6" i="9"/>
  <c r="M6" i="9"/>
  <c r="O5" i="9"/>
  <c r="N5" i="9"/>
  <c r="M5" i="9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L16" i="8"/>
  <c r="K16" i="8"/>
  <c r="J16" i="8"/>
  <c r="I16" i="8"/>
  <c r="H16" i="8"/>
  <c r="O15" i="8"/>
  <c r="N15" i="8"/>
  <c r="M15" i="8"/>
  <c r="O14" i="8"/>
  <c r="N14" i="8"/>
  <c r="M14" i="8"/>
  <c r="O13" i="8"/>
  <c r="N13" i="8"/>
  <c r="M13" i="8"/>
  <c r="O12" i="8"/>
  <c r="N12" i="8"/>
  <c r="AF12" i="8" s="1"/>
  <c r="AG12" i="8" s="1"/>
  <c r="M12" i="8"/>
  <c r="O11" i="8"/>
  <c r="N11" i="8"/>
  <c r="M11" i="8"/>
  <c r="O10" i="8"/>
  <c r="N10" i="8"/>
  <c r="M10" i="8"/>
  <c r="O9" i="8"/>
  <c r="N9" i="8"/>
  <c r="M9" i="8"/>
  <c r="O8" i="8"/>
  <c r="N8" i="8"/>
  <c r="M8" i="8"/>
  <c r="O7" i="8"/>
  <c r="N7" i="8"/>
  <c r="M7" i="8"/>
  <c r="O6" i="8"/>
  <c r="N6" i="8"/>
  <c r="M6" i="8"/>
  <c r="O5" i="8"/>
  <c r="N5" i="8"/>
  <c r="M5" i="8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L21" i="7"/>
  <c r="K21" i="7"/>
  <c r="J21" i="7"/>
  <c r="I21" i="7"/>
  <c r="H21" i="7"/>
  <c r="O20" i="7"/>
  <c r="N20" i="7"/>
  <c r="AF20" i="7" s="1"/>
  <c r="AG20" i="7" s="1"/>
  <c r="M20" i="7"/>
  <c r="O19" i="7"/>
  <c r="N19" i="7"/>
  <c r="M19" i="7"/>
  <c r="O18" i="7"/>
  <c r="N18" i="7"/>
  <c r="M18" i="7"/>
  <c r="O17" i="7"/>
  <c r="AF17" i="7" s="1"/>
  <c r="AG17" i="7" s="1"/>
  <c r="N17" i="7"/>
  <c r="M17" i="7"/>
  <c r="O16" i="7"/>
  <c r="AF16" i="7" s="1"/>
  <c r="AG16" i="7" s="1"/>
  <c r="N16" i="7"/>
  <c r="M16" i="7"/>
  <c r="O15" i="7"/>
  <c r="N15" i="7"/>
  <c r="AF15" i="7" s="1"/>
  <c r="AG15" i="7" s="1"/>
  <c r="M15" i="7"/>
  <c r="O14" i="7"/>
  <c r="N14" i="7"/>
  <c r="M14" i="7"/>
  <c r="O13" i="7"/>
  <c r="N13" i="7"/>
  <c r="M13" i="7"/>
  <c r="O12" i="7"/>
  <c r="N12" i="7"/>
  <c r="M12" i="7"/>
  <c r="AF11" i="7"/>
  <c r="AG11" i="7" s="1"/>
  <c r="O11" i="7"/>
  <c r="N11" i="7"/>
  <c r="M11" i="7"/>
  <c r="O10" i="7"/>
  <c r="N10" i="7"/>
  <c r="AF10" i="7" s="1"/>
  <c r="AG10" i="7" s="1"/>
  <c r="M10" i="7"/>
  <c r="AF9" i="7"/>
  <c r="AG9" i="7" s="1"/>
  <c r="O9" i="7"/>
  <c r="N9" i="7"/>
  <c r="M9" i="7"/>
  <c r="AF8" i="7"/>
  <c r="AG8" i="7" s="1"/>
  <c r="O8" i="7"/>
  <c r="N8" i="7"/>
  <c r="M8" i="7"/>
  <c r="O7" i="7"/>
  <c r="N7" i="7"/>
  <c r="M7" i="7"/>
  <c r="O6" i="7"/>
  <c r="N6" i="7"/>
  <c r="AF6" i="7" s="1"/>
  <c r="AG6" i="7" s="1"/>
  <c r="M6" i="7"/>
  <c r="O5" i="7"/>
  <c r="N5" i="7"/>
  <c r="M5" i="7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L57" i="6"/>
  <c r="J57" i="6"/>
  <c r="I57" i="6"/>
  <c r="H57" i="6"/>
  <c r="O56" i="6"/>
  <c r="N56" i="6"/>
  <c r="AF56" i="6" s="1"/>
  <c r="AG56" i="6" s="1"/>
  <c r="M56" i="6"/>
  <c r="O54" i="6"/>
  <c r="N54" i="6"/>
  <c r="AF54" i="6" s="1"/>
  <c r="AG54" i="6" s="1"/>
  <c r="M54" i="6"/>
  <c r="O53" i="6"/>
  <c r="N53" i="6"/>
  <c r="M53" i="6"/>
  <c r="O52" i="6"/>
  <c r="N52" i="6"/>
  <c r="M52" i="6"/>
  <c r="O51" i="6"/>
  <c r="AF51" i="6" s="1"/>
  <c r="AG51" i="6" s="1"/>
  <c r="N51" i="6"/>
  <c r="M51" i="6"/>
  <c r="O50" i="6"/>
  <c r="N50" i="6"/>
  <c r="AF50" i="6" s="1"/>
  <c r="AG50" i="6" s="1"/>
  <c r="M50" i="6"/>
  <c r="O49" i="6"/>
  <c r="N49" i="6"/>
  <c r="AF49" i="6" s="1"/>
  <c r="AG49" i="6" s="1"/>
  <c r="M49" i="6"/>
  <c r="O48" i="6"/>
  <c r="N48" i="6"/>
  <c r="M48" i="6"/>
  <c r="O47" i="6"/>
  <c r="N47" i="6"/>
  <c r="M47" i="6"/>
  <c r="AF46" i="6"/>
  <c r="AG46" i="6" s="1"/>
  <c r="O46" i="6"/>
  <c r="N46" i="6"/>
  <c r="M46" i="6"/>
  <c r="O45" i="6"/>
  <c r="N45" i="6"/>
  <c r="M45" i="6"/>
  <c r="AF44" i="6"/>
  <c r="AG44" i="6" s="1"/>
  <c r="O44" i="6"/>
  <c r="N44" i="6"/>
  <c r="M44" i="6"/>
  <c r="O43" i="6"/>
  <c r="N43" i="6"/>
  <c r="M43" i="6"/>
  <c r="O42" i="6"/>
  <c r="N42" i="6"/>
  <c r="AF42" i="6" s="1"/>
  <c r="AG42" i="6" s="1"/>
  <c r="M42" i="6"/>
  <c r="O41" i="6"/>
  <c r="N41" i="6"/>
  <c r="AF41" i="6" s="1"/>
  <c r="AG41" i="6" s="1"/>
  <c r="M41" i="6"/>
  <c r="O40" i="6"/>
  <c r="N40" i="6"/>
  <c r="AF40" i="6" s="1"/>
  <c r="AG40" i="6" s="1"/>
  <c r="M40" i="6"/>
  <c r="O39" i="6"/>
  <c r="N39" i="6"/>
  <c r="AF39" i="6" s="1"/>
  <c r="AG39" i="6" s="1"/>
  <c r="M39" i="6"/>
  <c r="O38" i="6"/>
  <c r="N38" i="6"/>
  <c r="AF38" i="6" s="1"/>
  <c r="AG38" i="6" s="1"/>
  <c r="M38" i="6"/>
  <c r="O37" i="6"/>
  <c r="N37" i="6"/>
  <c r="M37" i="6"/>
  <c r="N36" i="6"/>
  <c r="AF36" i="6" s="1"/>
  <c r="AG36" i="6" s="1"/>
  <c r="M36" i="6"/>
  <c r="M35" i="6"/>
  <c r="K35" i="6"/>
  <c r="O35" i="6" s="1"/>
  <c r="O34" i="6"/>
  <c r="N34" i="6"/>
  <c r="AF34" i="6" s="1"/>
  <c r="AG34" i="6" s="1"/>
  <c r="M34" i="6"/>
  <c r="O33" i="6"/>
  <c r="N33" i="6"/>
  <c r="AF33" i="6" s="1"/>
  <c r="AG33" i="6" s="1"/>
  <c r="M33" i="6"/>
  <c r="O32" i="6"/>
  <c r="N32" i="6"/>
  <c r="AF32" i="6" s="1"/>
  <c r="AG32" i="6" s="1"/>
  <c r="M32" i="6"/>
  <c r="O31" i="6"/>
  <c r="N31" i="6"/>
  <c r="AF31" i="6" s="1"/>
  <c r="AG31" i="6" s="1"/>
  <c r="M31" i="6"/>
  <c r="O30" i="6"/>
  <c r="N30" i="6"/>
  <c r="AF30" i="6" s="1"/>
  <c r="AG30" i="6" s="1"/>
  <c r="M30" i="6"/>
  <c r="O29" i="6"/>
  <c r="N29" i="6"/>
  <c r="M29" i="6"/>
  <c r="O28" i="6"/>
  <c r="AF28" i="6" s="1"/>
  <c r="AG28" i="6" s="1"/>
  <c r="N28" i="6"/>
  <c r="M28" i="6"/>
  <c r="O27" i="6"/>
  <c r="N27" i="6"/>
  <c r="AF27" i="6" s="1"/>
  <c r="AG27" i="6" s="1"/>
  <c r="M27" i="6"/>
  <c r="O26" i="6"/>
  <c r="N26" i="6"/>
  <c r="M26" i="6"/>
  <c r="O25" i="6"/>
  <c r="N25" i="6"/>
  <c r="AF25" i="6" s="1"/>
  <c r="AG25" i="6" s="1"/>
  <c r="M25" i="6"/>
  <c r="K24" i="6"/>
  <c r="O23" i="6"/>
  <c r="N23" i="6"/>
  <c r="M23" i="6"/>
  <c r="O22" i="6"/>
  <c r="N22" i="6"/>
  <c r="M22" i="6"/>
  <c r="O21" i="6"/>
  <c r="AF21" i="6" s="1"/>
  <c r="AG21" i="6" s="1"/>
  <c r="N21" i="6"/>
  <c r="M21" i="6"/>
  <c r="AF20" i="6"/>
  <c r="AG20" i="6" s="1"/>
  <c r="O20" i="6"/>
  <c r="N20" i="6"/>
  <c r="M20" i="6"/>
  <c r="O19" i="6"/>
  <c r="N19" i="6"/>
  <c r="M19" i="6"/>
  <c r="O18" i="6"/>
  <c r="N18" i="6"/>
  <c r="M18" i="6"/>
  <c r="O17" i="6"/>
  <c r="AF17" i="6" s="1"/>
  <c r="AG17" i="6" s="1"/>
  <c r="N17" i="6"/>
  <c r="M17" i="6"/>
  <c r="O16" i="6"/>
  <c r="N16" i="6"/>
  <c r="AF16" i="6" s="1"/>
  <c r="AG16" i="6" s="1"/>
  <c r="M16" i="6"/>
  <c r="O15" i="6"/>
  <c r="N15" i="6"/>
  <c r="M15" i="6"/>
  <c r="O14" i="6"/>
  <c r="N14" i="6"/>
  <c r="M14" i="6"/>
  <c r="O13" i="6"/>
  <c r="AF13" i="6" s="1"/>
  <c r="AG13" i="6" s="1"/>
  <c r="N13" i="6"/>
  <c r="M13" i="6"/>
  <c r="O12" i="6"/>
  <c r="N12" i="6"/>
  <c r="AF12" i="6" s="1"/>
  <c r="AG12" i="6" s="1"/>
  <c r="M12" i="6"/>
  <c r="K11" i="6"/>
  <c r="O11" i="6" s="1"/>
  <c r="O10" i="6"/>
  <c r="AF10" i="6" s="1"/>
  <c r="AG10" i="6" s="1"/>
  <c r="N10" i="6"/>
  <c r="M10" i="6"/>
  <c r="O9" i="6"/>
  <c r="N9" i="6"/>
  <c r="AF9" i="6" s="1"/>
  <c r="AG9" i="6" s="1"/>
  <c r="M9" i="6"/>
  <c r="O8" i="6"/>
  <c r="N8" i="6"/>
  <c r="M8" i="6"/>
  <c r="O7" i="6"/>
  <c r="N7" i="6"/>
  <c r="M7" i="6"/>
  <c r="AF6" i="6"/>
  <c r="AG6" i="6" s="1"/>
  <c r="O6" i="6"/>
  <c r="N6" i="6"/>
  <c r="M6" i="6"/>
  <c r="AG5" i="6"/>
  <c r="AF5" i="6"/>
  <c r="O5" i="6"/>
  <c r="N5" i="6"/>
  <c r="M5" i="6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L86" i="5"/>
  <c r="K86" i="5"/>
  <c r="J86" i="5"/>
  <c r="I86" i="5"/>
  <c r="H86" i="5"/>
  <c r="O85" i="5"/>
  <c r="N85" i="5"/>
  <c r="M85" i="5"/>
  <c r="O84" i="5"/>
  <c r="N84" i="5"/>
  <c r="M84" i="5"/>
  <c r="AF83" i="5"/>
  <c r="AG83" i="5" s="1"/>
  <c r="O83" i="5"/>
  <c r="N83" i="5"/>
  <c r="M83" i="5"/>
  <c r="O82" i="5"/>
  <c r="N82" i="5"/>
  <c r="AF82" i="5" s="1"/>
  <c r="AG82" i="5" s="1"/>
  <c r="M82" i="5"/>
  <c r="O81" i="5"/>
  <c r="AF81" i="5" s="1"/>
  <c r="N81" i="5"/>
  <c r="M81" i="5"/>
  <c r="O80" i="5"/>
  <c r="N80" i="5"/>
  <c r="M80" i="5"/>
  <c r="O79" i="5"/>
  <c r="AF79" i="5" s="1"/>
  <c r="N79" i="5"/>
  <c r="M79" i="5"/>
  <c r="O78" i="5"/>
  <c r="N78" i="5"/>
  <c r="M78" i="5"/>
  <c r="O77" i="5"/>
  <c r="AF77" i="5" s="1"/>
  <c r="N77" i="5"/>
  <c r="M77" i="5"/>
  <c r="O76" i="5"/>
  <c r="N76" i="5"/>
  <c r="M76" i="5"/>
  <c r="O75" i="5"/>
  <c r="N75" i="5"/>
  <c r="AF75" i="5" s="1"/>
  <c r="M75" i="5"/>
  <c r="O74" i="5"/>
  <c r="N74" i="5"/>
  <c r="M74" i="5"/>
  <c r="O73" i="5"/>
  <c r="AF73" i="5" s="1"/>
  <c r="N73" i="5"/>
  <c r="M73" i="5"/>
  <c r="O72" i="5"/>
  <c r="N72" i="5"/>
  <c r="AF72" i="5" s="1"/>
  <c r="M72" i="5"/>
  <c r="O71" i="5"/>
  <c r="AF71" i="5" s="1"/>
  <c r="N71" i="5"/>
  <c r="M71" i="5"/>
  <c r="AG70" i="5"/>
  <c r="O70" i="5"/>
  <c r="N70" i="5"/>
  <c r="AF70" i="5" s="1"/>
  <c r="AH70" i="5" s="1"/>
  <c r="M70" i="5"/>
  <c r="O69" i="5"/>
  <c r="N69" i="5"/>
  <c r="AF69" i="5" s="1"/>
  <c r="M69" i="5"/>
  <c r="O68" i="5"/>
  <c r="N68" i="5"/>
  <c r="M68" i="5"/>
  <c r="O67" i="5"/>
  <c r="AF67" i="5" s="1"/>
  <c r="N67" i="5"/>
  <c r="M67" i="5"/>
  <c r="O66" i="5"/>
  <c r="N66" i="5"/>
  <c r="AF66" i="5" s="1"/>
  <c r="AG66" i="5" s="1"/>
  <c r="M66" i="5"/>
  <c r="O65" i="5"/>
  <c r="AF65" i="5" s="1"/>
  <c r="N65" i="5"/>
  <c r="M65" i="5"/>
  <c r="O64" i="5"/>
  <c r="N64" i="5"/>
  <c r="AF64" i="5" s="1"/>
  <c r="M64" i="5"/>
  <c r="O63" i="5"/>
  <c r="AF63" i="5" s="1"/>
  <c r="N63" i="5"/>
  <c r="M63" i="5"/>
  <c r="O62" i="5"/>
  <c r="N62" i="5"/>
  <c r="AF62" i="5" s="1"/>
  <c r="AH62" i="5" s="1"/>
  <c r="M62" i="5"/>
  <c r="O61" i="5"/>
  <c r="AF61" i="5" s="1"/>
  <c r="N61" i="5"/>
  <c r="M61" i="5"/>
  <c r="O60" i="5"/>
  <c r="N60" i="5"/>
  <c r="AF60" i="5" s="1"/>
  <c r="AH60" i="5" s="1"/>
  <c r="M60" i="5"/>
  <c r="AF59" i="5"/>
  <c r="O59" i="5"/>
  <c r="N59" i="5"/>
  <c r="M59" i="5"/>
  <c r="O58" i="5"/>
  <c r="N58" i="5"/>
  <c r="AF58" i="5" s="1"/>
  <c r="AG58" i="5" s="1"/>
  <c r="M58" i="5"/>
  <c r="O57" i="5"/>
  <c r="AF57" i="5" s="1"/>
  <c r="N57" i="5"/>
  <c r="M57" i="5"/>
  <c r="O56" i="5"/>
  <c r="N56" i="5"/>
  <c r="AF56" i="5" s="1"/>
  <c r="M56" i="5"/>
  <c r="O55" i="5"/>
  <c r="AF55" i="5" s="1"/>
  <c r="N55" i="5"/>
  <c r="M55" i="5"/>
  <c r="O54" i="5"/>
  <c r="N54" i="5"/>
  <c r="AF54" i="5" s="1"/>
  <c r="AH54" i="5" s="1"/>
  <c r="M54" i="5"/>
  <c r="O53" i="5"/>
  <c r="AF53" i="5" s="1"/>
  <c r="N53" i="5"/>
  <c r="M53" i="5"/>
  <c r="O52" i="5"/>
  <c r="N52" i="5"/>
  <c r="AF52" i="5" s="1"/>
  <c r="AH52" i="5" s="1"/>
  <c r="M52" i="5"/>
  <c r="AF51" i="5"/>
  <c r="O51" i="5"/>
  <c r="N51" i="5"/>
  <c r="M51" i="5"/>
  <c r="O50" i="5"/>
  <c r="N50" i="5"/>
  <c r="M50" i="5"/>
  <c r="O49" i="5"/>
  <c r="N49" i="5"/>
  <c r="M49" i="5"/>
  <c r="O48" i="5"/>
  <c r="N48" i="5"/>
  <c r="M48" i="5"/>
  <c r="O47" i="5"/>
  <c r="N47" i="5"/>
  <c r="M47" i="5"/>
  <c r="O46" i="5"/>
  <c r="N46" i="5"/>
  <c r="M46" i="5"/>
  <c r="O45" i="5"/>
  <c r="N45" i="5"/>
  <c r="M45" i="5"/>
  <c r="O44" i="5"/>
  <c r="N44" i="5"/>
  <c r="M44" i="5"/>
  <c r="O43" i="5"/>
  <c r="AF43" i="5" s="1"/>
  <c r="N43" i="5"/>
  <c r="M43" i="5"/>
  <c r="O42" i="5"/>
  <c r="N42" i="5"/>
  <c r="M42" i="5"/>
  <c r="O41" i="5"/>
  <c r="N41" i="5"/>
  <c r="M41" i="5"/>
  <c r="O40" i="5"/>
  <c r="N40" i="5"/>
  <c r="M40" i="5"/>
  <c r="O39" i="5"/>
  <c r="N39" i="5"/>
  <c r="M39" i="5"/>
  <c r="O38" i="5"/>
  <c r="N38" i="5"/>
  <c r="M38" i="5"/>
  <c r="O37" i="5"/>
  <c r="N37" i="5"/>
  <c r="M37" i="5"/>
  <c r="O36" i="5"/>
  <c r="N36" i="5"/>
  <c r="M36" i="5"/>
  <c r="O35" i="5"/>
  <c r="N35" i="5"/>
  <c r="AF35" i="5" s="1"/>
  <c r="M35" i="5"/>
  <c r="O34" i="5"/>
  <c r="N34" i="5"/>
  <c r="M34" i="5"/>
  <c r="O33" i="5"/>
  <c r="N33" i="5"/>
  <c r="M33" i="5"/>
  <c r="O32" i="5"/>
  <c r="N32" i="5"/>
  <c r="M32" i="5"/>
  <c r="O31" i="5"/>
  <c r="N31" i="5"/>
  <c r="M31" i="5"/>
  <c r="O30" i="5"/>
  <c r="N30" i="5"/>
  <c r="M30" i="5"/>
  <c r="O29" i="5"/>
  <c r="N29" i="5"/>
  <c r="M29" i="5"/>
  <c r="O28" i="5"/>
  <c r="N28" i="5"/>
  <c r="M28" i="5"/>
  <c r="O27" i="5"/>
  <c r="N27" i="5"/>
  <c r="AF27" i="5" s="1"/>
  <c r="M27" i="5"/>
  <c r="O26" i="5"/>
  <c r="N26" i="5"/>
  <c r="M26" i="5"/>
  <c r="O25" i="5"/>
  <c r="N25" i="5"/>
  <c r="M25" i="5"/>
  <c r="O24" i="5"/>
  <c r="N24" i="5"/>
  <c r="M24" i="5"/>
  <c r="O23" i="5"/>
  <c r="N23" i="5"/>
  <c r="M23" i="5"/>
  <c r="O22" i="5"/>
  <c r="N22" i="5"/>
  <c r="M22" i="5"/>
  <c r="O21" i="5"/>
  <c r="N21" i="5"/>
  <c r="M21" i="5"/>
  <c r="O20" i="5"/>
  <c r="N20" i="5"/>
  <c r="M20" i="5"/>
  <c r="O19" i="5"/>
  <c r="AF19" i="5" s="1"/>
  <c r="N19" i="5"/>
  <c r="M19" i="5"/>
  <c r="O18" i="5"/>
  <c r="N18" i="5"/>
  <c r="M18" i="5"/>
  <c r="O17" i="5"/>
  <c r="N17" i="5"/>
  <c r="M17" i="5"/>
  <c r="O16" i="5"/>
  <c r="N16" i="5"/>
  <c r="M16" i="5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AF11" i="5" s="1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AF5" i="5" s="1"/>
  <c r="M5" i="5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L26" i="4"/>
  <c r="K26" i="4"/>
  <c r="J26" i="4"/>
  <c r="I26" i="4"/>
  <c r="H26" i="4"/>
  <c r="O25" i="4"/>
  <c r="AF25" i="4" s="1"/>
  <c r="AG25" i="4" s="1"/>
  <c r="N25" i="4"/>
  <c r="M25" i="4"/>
  <c r="O24" i="4"/>
  <c r="N24" i="4"/>
  <c r="AF24" i="4" s="1"/>
  <c r="AG24" i="4" s="1"/>
  <c r="M24" i="4"/>
  <c r="O23" i="4"/>
  <c r="N23" i="4"/>
  <c r="M23" i="4"/>
  <c r="O22" i="4"/>
  <c r="AF22" i="4" s="1"/>
  <c r="N22" i="4"/>
  <c r="M22" i="4"/>
  <c r="O21" i="4"/>
  <c r="N21" i="4"/>
  <c r="M21" i="4"/>
  <c r="O20" i="4"/>
  <c r="N20" i="4"/>
  <c r="AF20" i="4" s="1"/>
  <c r="M20" i="4"/>
  <c r="O19" i="4"/>
  <c r="N19" i="4"/>
  <c r="M19" i="4"/>
  <c r="O18" i="4"/>
  <c r="N18" i="4"/>
  <c r="M18" i="4"/>
  <c r="O17" i="4"/>
  <c r="N17" i="4"/>
  <c r="AF17" i="4" s="1"/>
  <c r="M17" i="4"/>
  <c r="O16" i="4"/>
  <c r="N16" i="4"/>
  <c r="AF16" i="4" s="1"/>
  <c r="M16" i="4"/>
  <c r="O15" i="4"/>
  <c r="N15" i="4"/>
  <c r="AF15" i="4" s="1"/>
  <c r="AI15" i="4" s="1"/>
  <c r="M15" i="4"/>
  <c r="O14" i="4"/>
  <c r="AF14" i="4" s="1"/>
  <c r="AI14" i="4" s="1"/>
  <c r="N14" i="4"/>
  <c r="M14" i="4"/>
  <c r="O13" i="4"/>
  <c r="N13" i="4"/>
  <c r="M13" i="4"/>
  <c r="AF12" i="4"/>
  <c r="AI12" i="4" s="1"/>
  <c r="O12" i="4"/>
  <c r="N12" i="4"/>
  <c r="M12" i="4"/>
  <c r="O11" i="4"/>
  <c r="N11" i="4"/>
  <c r="M11" i="4"/>
  <c r="O10" i="4"/>
  <c r="AF10" i="4" s="1"/>
  <c r="N10" i="4"/>
  <c r="M10" i="4"/>
  <c r="O9" i="4"/>
  <c r="N9" i="4"/>
  <c r="AF9" i="4" s="1"/>
  <c r="AG9" i="4" s="1"/>
  <c r="M9" i="4"/>
  <c r="AF8" i="4"/>
  <c r="AI8" i="4" s="1"/>
  <c r="O8" i="4"/>
  <c r="N8" i="4"/>
  <c r="M8" i="4"/>
  <c r="O7" i="4"/>
  <c r="N7" i="4"/>
  <c r="M7" i="4"/>
  <c r="O6" i="4"/>
  <c r="AF6" i="4" s="1"/>
  <c r="N6" i="4"/>
  <c r="M6" i="4"/>
  <c r="O5" i="4"/>
  <c r="N5" i="4"/>
  <c r="M5" i="4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L69" i="3"/>
  <c r="J69" i="3"/>
  <c r="I69" i="3"/>
  <c r="H69" i="3"/>
  <c r="O68" i="3"/>
  <c r="N68" i="3"/>
  <c r="M68" i="3"/>
  <c r="K66" i="3"/>
  <c r="O65" i="3"/>
  <c r="N65" i="3"/>
  <c r="M65" i="3"/>
  <c r="O64" i="3"/>
  <c r="N64" i="3"/>
  <c r="M64" i="3"/>
  <c r="O63" i="3"/>
  <c r="N63" i="3"/>
  <c r="AF63" i="3" s="1"/>
  <c r="AG63" i="3" s="1"/>
  <c r="M63" i="3"/>
  <c r="O62" i="3"/>
  <c r="N62" i="3"/>
  <c r="M62" i="3"/>
  <c r="O61" i="3"/>
  <c r="N61" i="3"/>
  <c r="M61" i="3"/>
  <c r="AF60" i="3"/>
  <c r="AG60" i="3" s="1"/>
  <c r="O60" i="3"/>
  <c r="N60" i="3"/>
  <c r="M60" i="3"/>
  <c r="O59" i="3"/>
  <c r="AF59" i="3" s="1"/>
  <c r="AG59" i="3" s="1"/>
  <c r="N59" i="3"/>
  <c r="M59" i="3"/>
  <c r="O58" i="3"/>
  <c r="N58" i="3"/>
  <c r="AF58" i="3" s="1"/>
  <c r="AG58" i="3" s="1"/>
  <c r="M58" i="3"/>
  <c r="N57" i="3"/>
  <c r="M57" i="3"/>
  <c r="K57" i="3"/>
  <c r="O57" i="3" s="1"/>
  <c r="O56" i="3"/>
  <c r="N56" i="3"/>
  <c r="M56" i="3"/>
  <c r="AG55" i="3"/>
  <c r="O55" i="3"/>
  <c r="N55" i="3"/>
  <c r="AF55" i="3" s="1"/>
  <c r="M55" i="3"/>
  <c r="O54" i="3"/>
  <c r="N54" i="3"/>
  <c r="M54" i="3"/>
  <c r="O53" i="3"/>
  <c r="AF53" i="3" s="1"/>
  <c r="AG53" i="3" s="1"/>
  <c r="N53" i="3"/>
  <c r="M53" i="3"/>
  <c r="O52" i="3"/>
  <c r="AF52" i="3" s="1"/>
  <c r="AG52" i="3" s="1"/>
  <c r="N52" i="3"/>
  <c r="M52" i="3"/>
  <c r="O51" i="3"/>
  <c r="N51" i="3"/>
  <c r="AF51" i="3" s="1"/>
  <c r="AG51" i="3" s="1"/>
  <c r="M51" i="3"/>
  <c r="O50" i="3"/>
  <c r="N50" i="3"/>
  <c r="M50" i="3"/>
  <c r="K49" i="3"/>
  <c r="O48" i="3"/>
  <c r="N48" i="3"/>
  <c r="AF48" i="3" s="1"/>
  <c r="AG48" i="3" s="1"/>
  <c r="M48" i="3"/>
  <c r="O47" i="3"/>
  <c r="N47" i="3"/>
  <c r="M47" i="3"/>
  <c r="O46" i="3"/>
  <c r="AF46" i="3" s="1"/>
  <c r="AG46" i="3" s="1"/>
  <c r="N46" i="3"/>
  <c r="M46" i="3"/>
  <c r="AF45" i="3"/>
  <c r="AG45" i="3" s="1"/>
  <c r="O45" i="3"/>
  <c r="N45" i="3"/>
  <c r="M45" i="3"/>
  <c r="O44" i="3"/>
  <c r="N44" i="3"/>
  <c r="M44" i="3"/>
  <c r="O43" i="3"/>
  <c r="N43" i="3"/>
  <c r="M43" i="3"/>
  <c r="AF42" i="3"/>
  <c r="AG42" i="3" s="1"/>
  <c r="O42" i="3"/>
  <c r="N42" i="3"/>
  <c r="M42" i="3"/>
  <c r="AG41" i="3"/>
  <c r="AF41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O35" i="3"/>
  <c r="N35" i="3"/>
  <c r="M35" i="3"/>
  <c r="O34" i="3"/>
  <c r="N34" i="3"/>
  <c r="AF34" i="3" s="1"/>
  <c r="AG34" i="3" s="1"/>
  <c r="M34" i="3"/>
  <c r="O33" i="3"/>
  <c r="N33" i="3"/>
  <c r="AF33" i="3" s="1"/>
  <c r="AG33" i="3" s="1"/>
  <c r="M33" i="3"/>
  <c r="K32" i="3"/>
  <c r="O32" i="3" s="1"/>
  <c r="AF31" i="3"/>
  <c r="AG31" i="3" s="1"/>
  <c r="O31" i="3"/>
  <c r="N31" i="3"/>
  <c r="M31" i="3"/>
  <c r="K30" i="3"/>
  <c r="O29" i="3"/>
  <c r="N29" i="3"/>
  <c r="AF29" i="3" s="1"/>
  <c r="AG29" i="3" s="1"/>
  <c r="M29" i="3"/>
  <c r="O28" i="3"/>
  <c r="N28" i="3"/>
  <c r="AF28" i="3" s="1"/>
  <c r="AG28" i="3" s="1"/>
  <c r="M28" i="3"/>
  <c r="O27" i="3"/>
  <c r="AF27" i="3" s="1"/>
  <c r="AG27" i="3" s="1"/>
  <c r="N27" i="3"/>
  <c r="M27" i="3"/>
  <c r="M26" i="3"/>
  <c r="K26" i="3"/>
  <c r="N26" i="3" s="1"/>
  <c r="O25" i="3"/>
  <c r="N25" i="3"/>
  <c r="AF25" i="3" s="1"/>
  <c r="AG25" i="3" s="1"/>
  <c r="M25" i="3"/>
  <c r="AF24" i="3"/>
  <c r="AG24" i="3" s="1"/>
  <c r="O24" i="3"/>
  <c r="N24" i="3"/>
  <c r="M24" i="3"/>
  <c r="O23" i="3"/>
  <c r="N23" i="3"/>
  <c r="AF23" i="3" s="1"/>
  <c r="AG23" i="3" s="1"/>
  <c r="M23" i="3"/>
  <c r="O22" i="3"/>
  <c r="N22" i="3"/>
  <c r="M22" i="3"/>
  <c r="O21" i="3"/>
  <c r="AF21" i="3" s="1"/>
  <c r="AG21" i="3" s="1"/>
  <c r="N21" i="3"/>
  <c r="M21" i="3"/>
  <c r="AF20" i="3"/>
  <c r="AG20" i="3" s="1"/>
  <c r="O20" i="3"/>
  <c r="N20" i="3"/>
  <c r="M20" i="3"/>
  <c r="AG19" i="3"/>
  <c r="O19" i="3"/>
  <c r="N19" i="3"/>
  <c r="AF19" i="3" s="1"/>
  <c r="M19" i="3"/>
  <c r="O18" i="3"/>
  <c r="N18" i="3"/>
  <c r="M18" i="3"/>
  <c r="AF17" i="3"/>
  <c r="AG17" i="3" s="1"/>
  <c r="O17" i="3"/>
  <c r="N17" i="3"/>
  <c r="M17" i="3"/>
  <c r="AG16" i="3"/>
  <c r="AF16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AF8" i="3" s="1"/>
  <c r="AG8" i="3" s="1"/>
  <c r="M8" i="3"/>
  <c r="O7" i="3"/>
  <c r="N7" i="3"/>
  <c r="AF7" i="3" s="1"/>
  <c r="AG7" i="3" s="1"/>
  <c r="M7" i="3"/>
  <c r="O6" i="3"/>
  <c r="N6" i="3"/>
  <c r="M6" i="3"/>
  <c r="O5" i="3"/>
  <c r="AF5" i="3" s="1"/>
  <c r="N5" i="3"/>
  <c r="M5" i="3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L166" i="2"/>
  <c r="J166" i="2"/>
  <c r="I166" i="2"/>
  <c r="H166" i="2"/>
  <c r="O165" i="2"/>
  <c r="N165" i="2"/>
  <c r="AF165" i="2" s="1"/>
  <c r="AG165" i="2" s="1"/>
  <c r="M165" i="2"/>
  <c r="AF163" i="2"/>
  <c r="AG163" i="2" s="1"/>
  <c r="O163" i="2"/>
  <c r="N163" i="2"/>
  <c r="M163" i="2"/>
  <c r="O162" i="2"/>
  <c r="N162" i="2"/>
  <c r="M162" i="2"/>
  <c r="O161" i="2"/>
  <c r="N161" i="2"/>
  <c r="M161" i="2"/>
  <c r="O160" i="2"/>
  <c r="N160" i="2"/>
  <c r="M160" i="2"/>
  <c r="O159" i="2"/>
  <c r="N159" i="2"/>
  <c r="AF159" i="2" s="1"/>
  <c r="AG159" i="2" s="1"/>
  <c r="M159" i="2"/>
  <c r="O158" i="2"/>
  <c r="N158" i="2"/>
  <c r="M158" i="2"/>
  <c r="O157" i="2"/>
  <c r="N157" i="2"/>
  <c r="M157" i="2"/>
  <c r="O156" i="2"/>
  <c r="AF156" i="2" s="1"/>
  <c r="AG156" i="2" s="1"/>
  <c r="N156" i="2"/>
  <c r="M156" i="2"/>
  <c r="O155" i="2"/>
  <c r="N155" i="2"/>
  <c r="M155" i="2"/>
  <c r="O154" i="2"/>
  <c r="N154" i="2"/>
  <c r="AF154" i="2" s="1"/>
  <c r="AG154" i="2" s="1"/>
  <c r="M154" i="2"/>
  <c r="K153" i="2"/>
  <c r="O152" i="2"/>
  <c r="AF152" i="2" s="1"/>
  <c r="AG152" i="2" s="1"/>
  <c r="N152" i="2"/>
  <c r="M152" i="2"/>
  <c r="O151" i="2"/>
  <c r="N151" i="2"/>
  <c r="M151" i="2"/>
  <c r="AF150" i="2"/>
  <c r="AG150" i="2" s="1"/>
  <c r="O150" i="2"/>
  <c r="N150" i="2"/>
  <c r="M150" i="2"/>
  <c r="O149" i="2"/>
  <c r="AF149" i="2" s="1"/>
  <c r="AG149" i="2" s="1"/>
  <c r="N149" i="2"/>
  <c r="M149" i="2"/>
  <c r="AG148" i="2"/>
  <c r="O148" i="2"/>
  <c r="N148" i="2"/>
  <c r="AF148" i="2" s="1"/>
  <c r="M148" i="2"/>
  <c r="O147" i="2"/>
  <c r="N147" i="2"/>
  <c r="M147" i="2"/>
  <c r="AF146" i="2"/>
  <c r="AG146" i="2" s="1"/>
  <c r="O146" i="2"/>
  <c r="N146" i="2"/>
  <c r="M146" i="2"/>
  <c r="AF145" i="2"/>
  <c r="AG145" i="2" s="1"/>
  <c r="O145" i="2"/>
  <c r="N145" i="2"/>
  <c r="M145" i="2"/>
  <c r="O144" i="2"/>
  <c r="N144" i="2"/>
  <c r="M144" i="2"/>
  <c r="O143" i="2"/>
  <c r="N143" i="2"/>
  <c r="AF143" i="2" s="1"/>
  <c r="AG143" i="2" s="1"/>
  <c r="M143" i="2"/>
  <c r="O142" i="2"/>
  <c r="N142" i="2"/>
  <c r="M142" i="2"/>
  <c r="O141" i="2"/>
  <c r="AF141" i="2" s="1"/>
  <c r="AG141" i="2" s="1"/>
  <c r="N141" i="2"/>
  <c r="M141" i="2"/>
  <c r="O140" i="2"/>
  <c r="N140" i="2"/>
  <c r="M140" i="2"/>
  <c r="O139" i="2"/>
  <c r="N139" i="2"/>
  <c r="M139" i="2"/>
  <c r="O138" i="2"/>
  <c r="N138" i="2"/>
  <c r="AF138" i="2" s="1"/>
  <c r="AG138" i="2" s="1"/>
  <c r="M138" i="2"/>
  <c r="O137" i="2"/>
  <c r="N137" i="2"/>
  <c r="AF137" i="2" s="1"/>
  <c r="AG137" i="2" s="1"/>
  <c r="M137" i="2"/>
  <c r="O136" i="2"/>
  <c r="N136" i="2"/>
  <c r="AF136" i="2" s="1"/>
  <c r="AG136" i="2" s="1"/>
  <c r="M136" i="2"/>
  <c r="O135" i="2"/>
  <c r="N135" i="2"/>
  <c r="M135" i="2"/>
  <c r="O134" i="2"/>
  <c r="N134" i="2"/>
  <c r="M134" i="2"/>
  <c r="AF133" i="2"/>
  <c r="AG133" i="2" s="1"/>
  <c r="O133" i="2"/>
  <c r="N133" i="2"/>
  <c r="M133" i="2"/>
  <c r="O132" i="2"/>
  <c r="N132" i="2"/>
  <c r="M132" i="2"/>
  <c r="AG131" i="2"/>
  <c r="O131" i="2"/>
  <c r="N131" i="2"/>
  <c r="AF131" i="2" s="1"/>
  <c r="M131" i="2"/>
  <c r="O130" i="2"/>
  <c r="N130" i="2"/>
  <c r="AF130" i="2" s="1"/>
  <c r="AG130" i="2" s="1"/>
  <c r="M130" i="2"/>
  <c r="O129" i="2"/>
  <c r="N129" i="2"/>
  <c r="AF129" i="2" s="1"/>
  <c r="AG129" i="2" s="1"/>
  <c r="M129" i="2"/>
  <c r="O128" i="2"/>
  <c r="N128" i="2"/>
  <c r="M128" i="2"/>
  <c r="O127" i="2"/>
  <c r="N127" i="2"/>
  <c r="M127" i="2"/>
  <c r="O126" i="2"/>
  <c r="AF126" i="2" s="1"/>
  <c r="AG126" i="2" s="1"/>
  <c r="N126" i="2"/>
  <c r="M126" i="2"/>
  <c r="O125" i="2"/>
  <c r="N125" i="2"/>
  <c r="M125" i="2"/>
  <c r="O124" i="2"/>
  <c r="N124" i="2"/>
  <c r="AF124" i="2" s="1"/>
  <c r="AG124" i="2" s="1"/>
  <c r="M124" i="2"/>
  <c r="O123" i="2"/>
  <c r="N123" i="2"/>
  <c r="AF123" i="2" s="1"/>
  <c r="AG123" i="2" s="1"/>
  <c r="M123" i="2"/>
  <c r="O122" i="2"/>
  <c r="N122" i="2"/>
  <c r="M122" i="2"/>
  <c r="K121" i="2"/>
  <c r="M121" i="2" s="1"/>
  <c r="O120" i="2"/>
  <c r="N120" i="2"/>
  <c r="AF120" i="2" s="1"/>
  <c r="AG120" i="2" s="1"/>
  <c r="M120" i="2"/>
  <c r="O119" i="2"/>
  <c r="N119" i="2"/>
  <c r="AF119" i="2" s="1"/>
  <c r="AG119" i="2" s="1"/>
  <c r="M119" i="2"/>
  <c r="O118" i="2"/>
  <c r="AF118" i="2" s="1"/>
  <c r="AG118" i="2" s="1"/>
  <c r="N118" i="2"/>
  <c r="M118" i="2"/>
  <c r="O117" i="2"/>
  <c r="N117" i="2"/>
  <c r="AF117" i="2" s="1"/>
  <c r="AG117" i="2" s="1"/>
  <c r="M117" i="2"/>
  <c r="O116" i="2"/>
  <c r="N116" i="2"/>
  <c r="M116" i="2"/>
  <c r="O115" i="2"/>
  <c r="AF115" i="2" s="1"/>
  <c r="AG115" i="2" s="1"/>
  <c r="N115" i="2"/>
  <c r="M115" i="2"/>
  <c r="AF114" i="2"/>
  <c r="AG114" i="2" s="1"/>
  <c r="O114" i="2"/>
  <c r="N114" i="2"/>
  <c r="M114" i="2"/>
  <c r="O113" i="2"/>
  <c r="N113" i="2"/>
  <c r="M113" i="2"/>
  <c r="AG112" i="2"/>
  <c r="O112" i="2"/>
  <c r="N112" i="2"/>
  <c r="AF112" i="2" s="1"/>
  <c r="M112" i="2"/>
  <c r="O111" i="2"/>
  <c r="N111" i="2"/>
  <c r="AF111" i="2" s="1"/>
  <c r="AG111" i="2" s="1"/>
  <c r="M111" i="2"/>
  <c r="K110" i="2"/>
  <c r="O109" i="2"/>
  <c r="N109" i="2"/>
  <c r="AF109" i="2" s="1"/>
  <c r="AG109" i="2" s="1"/>
  <c r="M109" i="2"/>
  <c r="O108" i="2"/>
  <c r="N108" i="2"/>
  <c r="AF108" i="2" s="1"/>
  <c r="AG108" i="2" s="1"/>
  <c r="M108" i="2"/>
  <c r="O107" i="2"/>
  <c r="AF107" i="2" s="1"/>
  <c r="AG107" i="2" s="1"/>
  <c r="N107" i="2"/>
  <c r="M107" i="2"/>
  <c r="O106" i="2"/>
  <c r="N106" i="2"/>
  <c r="AF106" i="2" s="1"/>
  <c r="AG106" i="2" s="1"/>
  <c r="M106" i="2"/>
  <c r="O105" i="2"/>
  <c r="N105" i="2"/>
  <c r="AF105" i="2" s="1"/>
  <c r="AG105" i="2" s="1"/>
  <c r="M105" i="2"/>
  <c r="O104" i="2"/>
  <c r="N104" i="2"/>
  <c r="M104" i="2"/>
  <c r="O103" i="2"/>
  <c r="N103" i="2"/>
  <c r="M103" i="2"/>
  <c r="O102" i="2"/>
  <c r="N102" i="2"/>
  <c r="AF102" i="2" s="1"/>
  <c r="AG102" i="2" s="1"/>
  <c r="M102" i="2"/>
  <c r="O101" i="2"/>
  <c r="N101" i="2"/>
  <c r="M101" i="2"/>
  <c r="O100" i="2"/>
  <c r="N100" i="2"/>
  <c r="M100" i="2"/>
  <c r="AF99" i="2"/>
  <c r="AG99" i="2" s="1"/>
  <c r="O99" i="2"/>
  <c r="N99" i="2"/>
  <c r="M99" i="2"/>
  <c r="O98" i="2"/>
  <c r="AF98" i="2" s="1"/>
  <c r="AG98" i="2" s="1"/>
  <c r="N98" i="2"/>
  <c r="M98" i="2"/>
  <c r="O97" i="2"/>
  <c r="N97" i="2"/>
  <c r="M97" i="2"/>
  <c r="O96" i="2"/>
  <c r="N96" i="2"/>
  <c r="M96" i="2"/>
  <c r="K95" i="2"/>
  <c r="N95" i="2" s="1"/>
  <c r="O94" i="2"/>
  <c r="N94" i="2"/>
  <c r="M94" i="2"/>
  <c r="O93" i="2"/>
  <c r="AF93" i="2" s="1"/>
  <c r="AG93" i="2" s="1"/>
  <c r="N93" i="2"/>
  <c r="M93" i="2"/>
  <c r="AF92" i="2"/>
  <c r="AG92" i="2" s="1"/>
  <c r="O92" i="2"/>
  <c r="N92" i="2"/>
  <c r="M92" i="2"/>
  <c r="O91" i="2"/>
  <c r="N91" i="2"/>
  <c r="M91" i="2"/>
  <c r="AG90" i="2"/>
  <c r="N90" i="2"/>
  <c r="AF90" i="2" s="1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AF84" i="2" s="1"/>
  <c r="AG84" i="2" s="1"/>
  <c r="N84" i="2"/>
  <c r="M84" i="2"/>
  <c r="O83" i="2"/>
  <c r="N83" i="2"/>
  <c r="AF83" i="2" s="1"/>
  <c r="AG83" i="2" s="1"/>
  <c r="M83" i="2"/>
  <c r="O82" i="2"/>
  <c r="N82" i="2"/>
  <c r="M82" i="2"/>
  <c r="O81" i="2"/>
  <c r="N81" i="2"/>
  <c r="AF81" i="2" s="1"/>
  <c r="AG81" i="2" s="1"/>
  <c r="M81" i="2"/>
  <c r="O80" i="2"/>
  <c r="N80" i="2"/>
  <c r="AF80" i="2" s="1"/>
  <c r="AG80" i="2" s="1"/>
  <c r="M80" i="2"/>
  <c r="O79" i="2"/>
  <c r="AF79" i="2" s="1"/>
  <c r="AG79" i="2" s="1"/>
  <c r="N79" i="2"/>
  <c r="M79" i="2"/>
  <c r="O78" i="2"/>
  <c r="N78" i="2"/>
  <c r="M78" i="2"/>
  <c r="O77" i="2"/>
  <c r="N77" i="2"/>
  <c r="M77" i="2"/>
  <c r="O76" i="2"/>
  <c r="N76" i="2"/>
  <c r="AF76" i="2" s="1"/>
  <c r="AG76" i="2" s="1"/>
  <c r="M76" i="2"/>
  <c r="O75" i="2"/>
  <c r="N75" i="2"/>
  <c r="AF75" i="2" s="1"/>
  <c r="AG75" i="2" s="1"/>
  <c r="M75" i="2"/>
  <c r="O74" i="2"/>
  <c r="N74" i="2"/>
  <c r="AF74" i="2" s="1"/>
  <c r="AG74" i="2" s="1"/>
  <c r="M74" i="2"/>
  <c r="O73" i="2"/>
  <c r="N73" i="2"/>
  <c r="AF73" i="2" s="1"/>
  <c r="AG73" i="2" s="1"/>
  <c r="M73" i="2"/>
  <c r="O72" i="2"/>
  <c r="N72" i="2"/>
  <c r="AF72" i="2" s="1"/>
  <c r="AG72" i="2" s="1"/>
  <c r="M72" i="2"/>
  <c r="O71" i="2"/>
  <c r="N71" i="2"/>
  <c r="M71" i="2"/>
  <c r="AF70" i="2"/>
  <c r="AG70" i="2" s="1"/>
  <c r="O70" i="2"/>
  <c r="N70" i="2"/>
  <c r="M70" i="2"/>
  <c r="O69" i="2"/>
  <c r="N69" i="2"/>
  <c r="M69" i="2"/>
  <c r="AF68" i="2"/>
  <c r="AG68" i="2" s="1"/>
  <c r="O68" i="2"/>
  <c r="N68" i="2"/>
  <c r="M68" i="2"/>
  <c r="K67" i="2"/>
  <c r="O66" i="2"/>
  <c r="N66" i="2"/>
  <c r="M66" i="2"/>
  <c r="O65" i="2"/>
  <c r="N65" i="2"/>
  <c r="M65" i="2"/>
  <c r="O64" i="2"/>
  <c r="N64" i="2"/>
  <c r="M64" i="2"/>
  <c r="O63" i="2"/>
  <c r="N63" i="2"/>
  <c r="AF63" i="2" s="1"/>
  <c r="AG63" i="2" s="1"/>
  <c r="M63" i="2"/>
  <c r="O62" i="2"/>
  <c r="N62" i="2"/>
  <c r="M62" i="2"/>
  <c r="AF61" i="2"/>
  <c r="AG61" i="2" s="1"/>
  <c r="O61" i="2"/>
  <c r="N61" i="2"/>
  <c r="M61" i="2"/>
  <c r="O60" i="2"/>
  <c r="N60" i="2"/>
  <c r="AF60" i="2" s="1"/>
  <c r="AG60" i="2" s="1"/>
  <c r="M60" i="2"/>
  <c r="K59" i="2"/>
  <c r="O58" i="2"/>
  <c r="N58" i="2"/>
  <c r="AF58" i="2" s="1"/>
  <c r="AG58" i="2" s="1"/>
  <c r="M58" i="2"/>
  <c r="O57" i="2"/>
  <c r="N57" i="2"/>
  <c r="M57" i="2"/>
  <c r="O56" i="2"/>
  <c r="AF56" i="2" s="1"/>
  <c r="AG56" i="2" s="1"/>
  <c r="N56" i="2"/>
  <c r="M56" i="2"/>
  <c r="O55" i="2"/>
  <c r="N55" i="2"/>
  <c r="M55" i="2"/>
  <c r="O54" i="2"/>
  <c r="N54" i="2"/>
  <c r="M54" i="2"/>
  <c r="O53" i="2"/>
  <c r="N53" i="2"/>
  <c r="AF53" i="2" s="1"/>
  <c r="AG53" i="2" s="1"/>
  <c r="M53" i="2"/>
  <c r="N52" i="2"/>
  <c r="AF52" i="2" s="1"/>
  <c r="AG52" i="2" s="1"/>
  <c r="M52" i="2"/>
  <c r="O51" i="2"/>
  <c r="N51" i="2"/>
  <c r="AF51" i="2" s="1"/>
  <c r="AG51" i="2" s="1"/>
  <c r="M51" i="2"/>
  <c r="O50" i="2"/>
  <c r="N50" i="2"/>
  <c r="M50" i="2"/>
  <c r="O49" i="2"/>
  <c r="N49" i="2"/>
  <c r="M49" i="2"/>
  <c r="O48" i="2"/>
  <c r="AF48" i="2" s="1"/>
  <c r="AG48" i="2" s="1"/>
  <c r="N48" i="2"/>
  <c r="M48" i="2"/>
  <c r="O47" i="2"/>
  <c r="N47" i="2"/>
  <c r="AF47" i="2" s="1"/>
  <c r="AG47" i="2" s="1"/>
  <c r="M47" i="2"/>
  <c r="N46" i="2"/>
  <c r="K46" i="2"/>
  <c r="O46" i="2" s="1"/>
  <c r="O45" i="2"/>
  <c r="AF45" i="2" s="1"/>
  <c r="AG45" i="2" s="1"/>
  <c r="N45" i="2"/>
  <c r="M45" i="2"/>
  <c r="O44" i="2"/>
  <c r="N44" i="2"/>
  <c r="M44" i="2"/>
  <c r="O43" i="2"/>
  <c r="N43" i="2"/>
  <c r="AF43" i="2" s="1"/>
  <c r="AG43" i="2" s="1"/>
  <c r="M43" i="2"/>
  <c r="O42" i="2"/>
  <c r="N42" i="2"/>
  <c r="AF42" i="2" s="1"/>
  <c r="AG42" i="2" s="1"/>
  <c r="M42" i="2"/>
  <c r="O41" i="2"/>
  <c r="N41" i="2"/>
  <c r="M41" i="2"/>
  <c r="O40" i="2"/>
  <c r="AF40" i="2" s="1"/>
  <c r="AG40" i="2" s="1"/>
  <c r="N40" i="2"/>
  <c r="M40" i="2"/>
  <c r="AG39" i="2"/>
  <c r="O39" i="2"/>
  <c r="N39" i="2"/>
  <c r="AF39" i="2" s="1"/>
  <c r="M39" i="2"/>
  <c r="O38" i="2"/>
  <c r="AF38" i="2" s="1"/>
  <c r="AG38" i="2" s="1"/>
  <c r="N38" i="2"/>
  <c r="M38" i="2"/>
  <c r="O37" i="2"/>
  <c r="AF37" i="2" s="1"/>
  <c r="AG37" i="2" s="1"/>
  <c r="N37" i="2"/>
  <c r="M37" i="2"/>
  <c r="O36" i="2"/>
  <c r="N36" i="2"/>
  <c r="AF36" i="2" s="1"/>
  <c r="AG36" i="2" s="1"/>
  <c r="M36" i="2"/>
  <c r="O35" i="2"/>
  <c r="N35" i="2"/>
  <c r="AF35" i="2" s="1"/>
  <c r="AG35" i="2" s="1"/>
  <c r="M35" i="2"/>
  <c r="O34" i="2"/>
  <c r="N34" i="2"/>
  <c r="M34" i="2"/>
  <c r="O33" i="2"/>
  <c r="N33" i="2"/>
  <c r="M33" i="2"/>
  <c r="O32" i="2"/>
  <c r="AF32" i="2" s="1"/>
  <c r="AG32" i="2" s="1"/>
  <c r="N32" i="2"/>
  <c r="M32" i="2"/>
  <c r="O31" i="2"/>
  <c r="N31" i="2"/>
  <c r="M31" i="2"/>
  <c r="O30" i="2"/>
  <c r="N30" i="2"/>
  <c r="AF30" i="2" s="1"/>
  <c r="AG30" i="2" s="1"/>
  <c r="M30" i="2"/>
  <c r="O29" i="2"/>
  <c r="N29" i="2"/>
  <c r="AF29" i="2" s="1"/>
  <c r="AG29" i="2" s="1"/>
  <c r="M29" i="2"/>
  <c r="O28" i="2"/>
  <c r="N28" i="2"/>
  <c r="AF28" i="2" s="1"/>
  <c r="AG28" i="2" s="1"/>
  <c r="M28" i="2"/>
  <c r="O27" i="2"/>
  <c r="N27" i="2"/>
  <c r="M27" i="2"/>
  <c r="O26" i="2"/>
  <c r="N26" i="2"/>
  <c r="M26" i="2"/>
  <c r="O25" i="2"/>
  <c r="AF25" i="2" s="1"/>
  <c r="AG25" i="2" s="1"/>
  <c r="N25" i="2"/>
  <c r="M25" i="2"/>
  <c r="O24" i="2"/>
  <c r="N24" i="2"/>
  <c r="AF24" i="2" s="1"/>
  <c r="AG24" i="2" s="1"/>
  <c r="M24" i="2"/>
  <c r="O23" i="2"/>
  <c r="N23" i="2"/>
  <c r="M23" i="2"/>
  <c r="O22" i="2"/>
  <c r="N22" i="2"/>
  <c r="AF22" i="2" s="1"/>
  <c r="AG22" i="2" s="1"/>
  <c r="M22" i="2"/>
  <c r="O21" i="2"/>
  <c r="N21" i="2"/>
  <c r="M21" i="2"/>
  <c r="O20" i="2"/>
  <c r="N20" i="2"/>
  <c r="AF20" i="2" s="1"/>
  <c r="AG20" i="2" s="1"/>
  <c r="M20" i="2"/>
  <c r="O19" i="2"/>
  <c r="N19" i="2"/>
  <c r="M19" i="2"/>
  <c r="O18" i="2"/>
  <c r="N18" i="2"/>
  <c r="M18" i="2"/>
  <c r="O17" i="2"/>
  <c r="N17" i="2"/>
  <c r="AF17" i="2" s="1"/>
  <c r="AG17" i="2" s="1"/>
  <c r="M17" i="2"/>
  <c r="AF16" i="2"/>
  <c r="AG16" i="2" s="1"/>
  <c r="O16" i="2"/>
  <c r="N16" i="2"/>
  <c r="M16" i="2"/>
  <c r="O15" i="2"/>
  <c r="N15" i="2"/>
  <c r="M15" i="2"/>
  <c r="O14" i="2"/>
  <c r="AF14" i="2" s="1"/>
  <c r="AG14" i="2" s="1"/>
  <c r="N14" i="2"/>
  <c r="M14" i="2"/>
  <c r="O13" i="2"/>
  <c r="AF13" i="2" s="1"/>
  <c r="AG13" i="2" s="1"/>
  <c r="N13" i="2"/>
  <c r="M13" i="2"/>
  <c r="O12" i="2"/>
  <c r="N12" i="2"/>
  <c r="M12" i="2"/>
  <c r="O11" i="2"/>
  <c r="N11" i="2"/>
  <c r="M11" i="2"/>
  <c r="K10" i="2"/>
  <c r="O9" i="2"/>
  <c r="N9" i="2"/>
  <c r="AF9" i="2" s="1"/>
  <c r="AG9" i="2" s="1"/>
  <c r="M9" i="2"/>
  <c r="O8" i="2"/>
  <c r="N8" i="2"/>
  <c r="AF8" i="2" s="1"/>
  <c r="AG8" i="2" s="1"/>
  <c r="M8" i="2"/>
  <c r="O7" i="2"/>
  <c r="AF7" i="2" s="1"/>
  <c r="AG7" i="2" s="1"/>
  <c r="N7" i="2"/>
  <c r="M7" i="2"/>
  <c r="O6" i="2"/>
  <c r="N6" i="2"/>
  <c r="AF6" i="2" s="1"/>
  <c r="AG6" i="2" s="1"/>
  <c r="M6" i="2"/>
  <c r="O5" i="2"/>
  <c r="N5" i="2"/>
  <c r="AF5" i="2" s="1"/>
  <c r="M5" i="2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L131" i="1"/>
  <c r="J131" i="1"/>
  <c r="I131" i="1"/>
  <c r="H131" i="1"/>
  <c r="O130" i="1"/>
  <c r="N130" i="1"/>
  <c r="AF130" i="1" s="1"/>
  <c r="M130" i="1"/>
  <c r="O129" i="1"/>
  <c r="N129" i="1"/>
  <c r="M129" i="1"/>
  <c r="O128" i="1"/>
  <c r="AF128" i="1" s="1"/>
  <c r="N128" i="1"/>
  <c r="M128" i="1"/>
  <c r="O127" i="1"/>
  <c r="N127" i="1"/>
  <c r="M127" i="1"/>
  <c r="AF126" i="1"/>
  <c r="AH126" i="1" s="1"/>
  <c r="O126" i="1"/>
  <c r="N126" i="1"/>
  <c r="M126" i="1"/>
  <c r="O125" i="1"/>
  <c r="N125" i="1"/>
  <c r="M125" i="1"/>
  <c r="O124" i="1"/>
  <c r="AF124" i="1" s="1"/>
  <c r="AH124" i="1" s="1"/>
  <c r="N124" i="1"/>
  <c r="M124" i="1"/>
  <c r="O123" i="1"/>
  <c r="N123" i="1"/>
  <c r="M123" i="1"/>
  <c r="O122" i="1"/>
  <c r="AF122" i="1" s="1"/>
  <c r="N122" i="1"/>
  <c r="M122" i="1"/>
  <c r="O121" i="1"/>
  <c r="N121" i="1"/>
  <c r="AF121" i="1" s="1"/>
  <c r="AG121" i="1" s="1"/>
  <c r="M121" i="1"/>
  <c r="O120" i="1"/>
  <c r="N120" i="1"/>
  <c r="AF120" i="1" s="1"/>
  <c r="AH120" i="1" s="1"/>
  <c r="M120" i="1"/>
  <c r="O119" i="1"/>
  <c r="N119" i="1"/>
  <c r="M119" i="1"/>
  <c r="O118" i="1"/>
  <c r="N118" i="1"/>
  <c r="AF118" i="1" s="1"/>
  <c r="AH118" i="1" s="1"/>
  <c r="M118" i="1"/>
  <c r="O117" i="1"/>
  <c r="N117" i="1"/>
  <c r="M117" i="1"/>
  <c r="AF116" i="1"/>
  <c r="AH116" i="1" s="1"/>
  <c r="O116" i="1"/>
  <c r="N116" i="1"/>
  <c r="M116" i="1"/>
  <c r="AH115" i="1"/>
  <c r="O115" i="1"/>
  <c r="N115" i="1"/>
  <c r="AF115" i="1" s="1"/>
  <c r="AG115" i="1" s="1"/>
  <c r="M115" i="1"/>
  <c r="O114" i="1"/>
  <c r="N114" i="1"/>
  <c r="AF114" i="1" s="1"/>
  <c r="M114" i="1"/>
  <c r="O113" i="1"/>
  <c r="N113" i="1"/>
  <c r="AF113" i="1" s="1"/>
  <c r="AG113" i="1" s="1"/>
  <c r="M113" i="1"/>
  <c r="O112" i="1"/>
  <c r="N112" i="1"/>
  <c r="AF112" i="1" s="1"/>
  <c r="M112" i="1"/>
  <c r="O111" i="1"/>
  <c r="N111" i="1"/>
  <c r="AF111" i="1" s="1"/>
  <c r="AG111" i="1" s="1"/>
  <c r="M111" i="1"/>
  <c r="AF110" i="1"/>
  <c r="AH110" i="1" s="1"/>
  <c r="O110" i="1"/>
  <c r="N110" i="1"/>
  <c r="M110" i="1"/>
  <c r="O109" i="1"/>
  <c r="K109" i="1"/>
  <c r="M109" i="1" s="1"/>
  <c r="O108" i="1"/>
  <c r="N108" i="1"/>
  <c r="M108" i="1"/>
  <c r="AF107" i="1"/>
  <c r="O107" i="1"/>
  <c r="N107" i="1"/>
  <c r="M107" i="1"/>
  <c r="O106" i="1"/>
  <c r="N106" i="1"/>
  <c r="M106" i="1"/>
  <c r="AF105" i="1"/>
  <c r="O105" i="1"/>
  <c r="N105" i="1"/>
  <c r="M105" i="1"/>
  <c r="O104" i="1"/>
  <c r="N104" i="1"/>
  <c r="M104" i="1"/>
  <c r="O103" i="1"/>
  <c r="N103" i="1"/>
  <c r="M103" i="1"/>
  <c r="AG102" i="1"/>
  <c r="O102" i="1"/>
  <c r="N102" i="1"/>
  <c r="AF102" i="1" s="1"/>
  <c r="AH102" i="1" s="1"/>
  <c r="M102" i="1"/>
  <c r="O101" i="1"/>
  <c r="N101" i="1"/>
  <c r="M101" i="1"/>
  <c r="AG100" i="1"/>
  <c r="O100" i="1"/>
  <c r="N100" i="1"/>
  <c r="AF100" i="1" s="1"/>
  <c r="AH100" i="1" s="1"/>
  <c r="M100" i="1"/>
  <c r="O99" i="1"/>
  <c r="N99" i="1"/>
  <c r="AF99" i="1" s="1"/>
  <c r="M99" i="1"/>
  <c r="AH98" i="1"/>
  <c r="O98" i="1"/>
  <c r="N98" i="1"/>
  <c r="AF98" i="1" s="1"/>
  <c r="AG98" i="1" s="1"/>
  <c r="M98" i="1"/>
  <c r="O97" i="1"/>
  <c r="N97" i="1"/>
  <c r="M97" i="1"/>
  <c r="O96" i="1"/>
  <c r="N96" i="1"/>
  <c r="AF96" i="1" s="1"/>
  <c r="AH96" i="1" s="1"/>
  <c r="M96" i="1"/>
  <c r="O95" i="1"/>
  <c r="AF95" i="1" s="1"/>
  <c r="N95" i="1"/>
  <c r="M95" i="1"/>
  <c r="AH94" i="1"/>
  <c r="AG94" i="1"/>
  <c r="O94" i="1"/>
  <c r="N94" i="1"/>
  <c r="AF94" i="1" s="1"/>
  <c r="M94" i="1"/>
  <c r="AF93" i="1"/>
  <c r="O93" i="1"/>
  <c r="N93" i="1"/>
  <c r="M93" i="1"/>
  <c r="AH92" i="1"/>
  <c r="O92" i="1"/>
  <c r="N92" i="1"/>
  <c r="AF92" i="1" s="1"/>
  <c r="AG92" i="1" s="1"/>
  <c r="M92" i="1"/>
  <c r="O91" i="1"/>
  <c r="AF91" i="1" s="1"/>
  <c r="N91" i="1"/>
  <c r="M91" i="1"/>
  <c r="O90" i="1"/>
  <c r="N90" i="1"/>
  <c r="M90" i="1"/>
  <c r="O89" i="1"/>
  <c r="AF89" i="1" s="1"/>
  <c r="N89" i="1"/>
  <c r="M89" i="1"/>
  <c r="O88" i="1"/>
  <c r="N88" i="1"/>
  <c r="AF88" i="1" s="1"/>
  <c r="AH88" i="1" s="1"/>
  <c r="M88" i="1"/>
  <c r="O87" i="1"/>
  <c r="AF87" i="1" s="1"/>
  <c r="N87" i="1"/>
  <c r="M87" i="1"/>
  <c r="O86" i="1"/>
  <c r="N86" i="1"/>
  <c r="AF86" i="1" s="1"/>
  <c r="AH86" i="1" s="1"/>
  <c r="M86" i="1"/>
  <c r="O85" i="1"/>
  <c r="AF85" i="1" s="1"/>
  <c r="N85" i="1"/>
  <c r="M85" i="1"/>
  <c r="AG84" i="1"/>
  <c r="O84" i="1"/>
  <c r="N84" i="1"/>
  <c r="AF84" i="1" s="1"/>
  <c r="AH84" i="1" s="1"/>
  <c r="M84" i="1"/>
  <c r="AF83" i="1"/>
  <c r="AH83" i="1" s="1"/>
  <c r="O83" i="1"/>
  <c r="N83" i="1"/>
  <c r="M83" i="1"/>
  <c r="AH82" i="1"/>
  <c r="O82" i="1"/>
  <c r="N82" i="1"/>
  <c r="AF82" i="1" s="1"/>
  <c r="AG82" i="1" s="1"/>
  <c r="M82" i="1"/>
  <c r="AF81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AF77" i="1" s="1"/>
  <c r="M77" i="1"/>
  <c r="O76" i="1"/>
  <c r="N76" i="1"/>
  <c r="M76" i="1"/>
  <c r="O75" i="1"/>
  <c r="N75" i="1"/>
  <c r="M75" i="1"/>
  <c r="O74" i="1"/>
  <c r="M74" i="1"/>
  <c r="K74" i="1"/>
  <c r="N74" i="1" s="1"/>
  <c r="O73" i="1"/>
  <c r="N73" i="1"/>
  <c r="M73" i="1"/>
  <c r="O72" i="1"/>
  <c r="N72" i="1"/>
  <c r="AF72" i="1" s="1"/>
  <c r="AG72" i="1" s="1"/>
  <c r="M72" i="1"/>
  <c r="AF71" i="1"/>
  <c r="AH71" i="1" s="1"/>
  <c r="O71" i="1"/>
  <c r="N71" i="1"/>
  <c r="M71" i="1"/>
  <c r="O70" i="1"/>
  <c r="N70" i="1"/>
  <c r="AF70" i="1" s="1"/>
  <c r="AG70" i="1" s="1"/>
  <c r="M70" i="1"/>
  <c r="O69" i="1"/>
  <c r="N69" i="1"/>
  <c r="M69" i="1"/>
  <c r="O68" i="1"/>
  <c r="N68" i="1"/>
  <c r="M68" i="1"/>
  <c r="AF67" i="1"/>
  <c r="AH67" i="1" s="1"/>
  <c r="O67" i="1"/>
  <c r="N67" i="1"/>
  <c r="M67" i="1"/>
  <c r="AF66" i="1"/>
  <c r="AG66" i="1" s="1"/>
  <c r="O66" i="1"/>
  <c r="N66" i="1"/>
  <c r="M66" i="1"/>
  <c r="O65" i="1"/>
  <c r="N65" i="1"/>
  <c r="M65" i="1"/>
  <c r="O64" i="1"/>
  <c r="N64" i="1"/>
  <c r="AF64" i="1" s="1"/>
  <c r="AG64" i="1" s="1"/>
  <c r="M64" i="1"/>
  <c r="O63" i="1"/>
  <c r="N63" i="1"/>
  <c r="AF63" i="1" s="1"/>
  <c r="AH63" i="1" s="1"/>
  <c r="M63" i="1"/>
  <c r="AF62" i="1"/>
  <c r="AG62" i="1" s="1"/>
  <c r="O62" i="1"/>
  <c r="N62" i="1"/>
  <c r="M62" i="1"/>
  <c r="O61" i="1"/>
  <c r="N61" i="1"/>
  <c r="AF61" i="1" s="1"/>
  <c r="M61" i="1"/>
  <c r="O60" i="1"/>
  <c r="N60" i="1"/>
  <c r="AF60" i="1" s="1"/>
  <c r="AG60" i="1" s="1"/>
  <c r="M60" i="1"/>
  <c r="AF59" i="1"/>
  <c r="AH59" i="1" s="1"/>
  <c r="O59" i="1"/>
  <c r="N59" i="1"/>
  <c r="M59" i="1"/>
  <c r="AF58" i="1"/>
  <c r="AG58" i="1" s="1"/>
  <c r="O58" i="1"/>
  <c r="N58" i="1"/>
  <c r="M58" i="1"/>
  <c r="O57" i="1"/>
  <c r="N57" i="1"/>
  <c r="M57" i="1"/>
  <c r="O56" i="1"/>
  <c r="N56" i="1"/>
  <c r="AF56" i="1" s="1"/>
  <c r="AG56" i="1" s="1"/>
  <c r="M56" i="1"/>
  <c r="AF55" i="1"/>
  <c r="AH55" i="1" s="1"/>
  <c r="O55" i="1"/>
  <c r="N55" i="1"/>
  <c r="M55" i="1"/>
  <c r="O54" i="1"/>
  <c r="N54" i="1"/>
  <c r="AF54" i="1" s="1"/>
  <c r="AG54" i="1" s="1"/>
  <c r="M54" i="1"/>
  <c r="O53" i="1"/>
  <c r="N53" i="1"/>
  <c r="M53" i="1"/>
  <c r="O52" i="1"/>
  <c r="N52" i="1"/>
  <c r="M52" i="1"/>
  <c r="AF51" i="1"/>
  <c r="AH51" i="1" s="1"/>
  <c r="O51" i="1"/>
  <c r="N51" i="1"/>
  <c r="M51" i="1"/>
  <c r="AF50" i="1"/>
  <c r="AG50" i="1" s="1"/>
  <c r="O50" i="1"/>
  <c r="N50" i="1"/>
  <c r="M50" i="1"/>
  <c r="O49" i="1"/>
  <c r="N49" i="1"/>
  <c r="M49" i="1"/>
  <c r="O48" i="1"/>
  <c r="N48" i="1"/>
  <c r="AF48" i="1" s="1"/>
  <c r="AG48" i="1" s="1"/>
  <c r="M48" i="1"/>
  <c r="O47" i="1"/>
  <c r="N47" i="1"/>
  <c r="AF47" i="1" s="1"/>
  <c r="AH47" i="1" s="1"/>
  <c r="M47" i="1"/>
  <c r="AF46" i="1"/>
  <c r="AG46" i="1" s="1"/>
  <c r="O46" i="1"/>
  <c r="N46" i="1"/>
  <c r="M46" i="1"/>
  <c r="O45" i="1"/>
  <c r="N45" i="1"/>
  <c r="AF45" i="1" s="1"/>
  <c r="M45" i="1"/>
  <c r="O44" i="1"/>
  <c r="N44" i="1"/>
  <c r="AF44" i="1" s="1"/>
  <c r="AG44" i="1" s="1"/>
  <c r="M44" i="1"/>
  <c r="AF43" i="1"/>
  <c r="AH43" i="1" s="1"/>
  <c r="O43" i="1"/>
  <c r="N43" i="1"/>
  <c r="M43" i="1"/>
  <c r="AF42" i="1"/>
  <c r="AG42" i="1" s="1"/>
  <c r="O42" i="1"/>
  <c r="N42" i="1"/>
  <c r="M42" i="1"/>
  <c r="O41" i="1"/>
  <c r="N41" i="1"/>
  <c r="M41" i="1"/>
  <c r="K40" i="1"/>
  <c r="N40" i="1" s="1"/>
  <c r="O39" i="1"/>
  <c r="N39" i="1"/>
  <c r="M39" i="1"/>
  <c r="O38" i="1"/>
  <c r="N38" i="1"/>
  <c r="M38" i="1"/>
  <c r="O37" i="1"/>
  <c r="N37" i="1"/>
  <c r="M37" i="1"/>
  <c r="O36" i="1"/>
  <c r="N36" i="1"/>
  <c r="AF36" i="1" s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AF31" i="1" s="1"/>
  <c r="AH31" i="1" s="1"/>
  <c r="M31" i="1"/>
  <c r="O30" i="1"/>
  <c r="N30" i="1"/>
  <c r="M30" i="1"/>
  <c r="K29" i="1"/>
  <c r="O29" i="1" s="1"/>
  <c r="AF28" i="1"/>
  <c r="AH28" i="1" s="1"/>
  <c r="O28" i="1"/>
  <c r="N28" i="1"/>
  <c r="M28" i="1"/>
  <c r="O27" i="1"/>
  <c r="N27" i="1"/>
  <c r="M27" i="1"/>
  <c r="AH26" i="1"/>
  <c r="AF26" i="1"/>
  <c r="AG26" i="1" s="1"/>
  <c r="O26" i="1"/>
  <c r="N26" i="1"/>
  <c r="M26" i="1"/>
  <c r="O25" i="1"/>
  <c r="N25" i="1"/>
  <c r="M25" i="1"/>
  <c r="O24" i="1"/>
  <c r="AF24" i="1" s="1"/>
  <c r="AH24" i="1" s="1"/>
  <c r="N24" i="1"/>
  <c r="M24" i="1"/>
  <c r="O23" i="1"/>
  <c r="N23" i="1"/>
  <c r="M23" i="1"/>
  <c r="O22" i="1"/>
  <c r="AF22" i="1" s="1"/>
  <c r="N22" i="1"/>
  <c r="M22" i="1"/>
  <c r="K21" i="1"/>
  <c r="M21" i="1" s="1"/>
  <c r="O20" i="1"/>
  <c r="N20" i="1"/>
  <c r="M20" i="1"/>
  <c r="O19" i="1"/>
  <c r="AF19" i="1" s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AF15" i="1" s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AF10" i="1" s="1"/>
  <c r="AH10" i="1" s="1"/>
  <c r="M10" i="1"/>
  <c r="K10" i="1"/>
  <c r="AF9" i="1"/>
  <c r="AH9" i="1" s="1"/>
  <c r="O9" i="1"/>
  <c r="N9" i="1"/>
  <c r="M9" i="1"/>
  <c r="O8" i="1"/>
  <c r="N8" i="1"/>
  <c r="AF8" i="1" s="1"/>
  <c r="AG8" i="1" s="1"/>
  <c r="M8" i="1"/>
  <c r="O7" i="1"/>
  <c r="N7" i="1"/>
  <c r="M7" i="1"/>
  <c r="O6" i="1"/>
  <c r="N6" i="1"/>
  <c r="M6" i="1"/>
  <c r="AF5" i="1"/>
  <c r="AG5" i="1" s="1"/>
  <c r="O5" i="1"/>
  <c r="N5" i="1"/>
  <c r="M5" i="1"/>
  <c r="AF11" i="34" l="1"/>
  <c r="N16" i="43"/>
  <c r="AE15" i="43"/>
  <c r="AF15" i="43" s="1"/>
  <c r="AE9" i="43"/>
  <c r="AG11" i="43"/>
  <c r="AF6" i="34"/>
  <c r="AF9" i="34"/>
  <c r="AH9" i="34" s="1"/>
  <c r="AF7" i="43"/>
  <c r="AF15" i="34"/>
  <c r="M20" i="34"/>
  <c r="AE13" i="27"/>
  <c r="AG13" i="27" s="1"/>
  <c r="M5" i="27"/>
  <c r="AE8" i="27"/>
  <c r="AE17" i="27"/>
  <c r="O5" i="27"/>
  <c r="AE11" i="27"/>
  <c r="AF11" i="27" s="1"/>
  <c r="AE20" i="27"/>
  <c r="AG20" i="27" s="1"/>
  <c r="AE15" i="27"/>
  <c r="AG15" i="27" s="1"/>
  <c r="AF15" i="38"/>
  <c r="O15" i="38"/>
  <c r="O6" i="38"/>
  <c r="AE6" i="38" s="1"/>
  <c r="AF6" i="38" s="1"/>
  <c r="K15" i="38"/>
  <c r="AE12" i="38"/>
  <c r="AF12" i="38" s="1"/>
  <c r="N5" i="38"/>
  <c r="AE8" i="38"/>
  <c r="AF8" i="38" s="1"/>
  <c r="AF9" i="37"/>
  <c r="AE8" i="37"/>
  <c r="AF8" i="37" s="1"/>
  <c r="AF10" i="35"/>
  <c r="AH15" i="34"/>
  <c r="AG15" i="34"/>
  <c r="AG11" i="34"/>
  <c r="AH11" i="34"/>
  <c r="N10" i="34"/>
  <c r="AF14" i="34"/>
  <c r="K20" i="34"/>
  <c r="O10" i="34"/>
  <c r="AF19" i="34"/>
  <c r="AG19" i="34" s="1"/>
  <c r="AF7" i="34"/>
  <c r="AG9" i="34"/>
  <c r="AF19" i="33"/>
  <c r="AG19" i="33" s="1"/>
  <c r="AG15" i="33"/>
  <c r="AF17" i="33"/>
  <c r="AG17" i="33" s="1"/>
  <c r="AF10" i="33"/>
  <c r="AF12" i="33"/>
  <c r="N13" i="32"/>
  <c r="AE5" i="32"/>
  <c r="AF5" i="32" s="1"/>
  <c r="M13" i="32"/>
  <c r="AE12" i="32"/>
  <c r="AF12" i="32" s="1"/>
  <c r="AF13" i="32" s="1"/>
  <c r="AE8" i="32"/>
  <c r="K23" i="31"/>
  <c r="AH5" i="31"/>
  <c r="M6" i="31"/>
  <c r="AG10" i="31"/>
  <c r="AG14" i="31"/>
  <c r="AF19" i="31"/>
  <c r="AG19" i="31" s="1"/>
  <c r="N6" i="31"/>
  <c r="N23" i="31" s="1"/>
  <c r="AF22" i="31"/>
  <c r="AG22" i="31" s="1"/>
  <c r="AG23" i="31" s="1"/>
  <c r="AH10" i="30"/>
  <c r="AG10" i="30"/>
  <c r="AG18" i="30"/>
  <c r="AH18" i="30"/>
  <c r="AF7" i="30"/>
  <c r="AG7" i="30" s="1"/>
  <c r="AH15" i="30"/>
  <c r="AH11" i="30"/>
  <c r="N22" i="30"/>
  <c r="M10" i="29"/>
  <c r="AF6" i="29"/>
  <c r="AH5" i="28"/>
  <c r="AG5" i="28"/>
  <c r="AH9" i="28"/>
  <c r="AG9" i="28"/>
  <c r="M19" i="28"/>
  <c r="AF14" i="28"/>
  <c r="AG14" i="28" s="1"/>
  <c r="AF16" i="28"/>
  <c r="AG16" i="28" s="1"/>
  <c r="AE10" i="27"/>
  <c r="AE16" i="27"/>
  <c r="AE24" i="27"/>
  <c r="AE26" i="27"/>
  <c r="AF26" i="27" s="1"/>
  <c r="M27" i="27"/>
  <c r="AE14" i="27"/>
  <c r="AG14" i="27" s="1"/>
  <c r="AG11" i="27"/>
  <c r="AE19" i="27"/>
  <c r="AE25" i="27"/>
  <c r="AH7" i="26"/>
  <c r="AG7" i="26"/>
  <c r="AG10" i="26"/>
  <c r="AH10" i="26"/>
  <c r="AF13" i="26"/>
  <c r="AG13" i="26" s="1"/>
  <c r="AF9" i="26"/>
  <c r="AF8" i="25"/>
  <c r="AF19" i="25"/>
  <c r="AG16" i="24"/>
  <c r="AG18" i="24"/>
  <c r="AF5" i="24"/>
  <c r="AF6" i="24"/>
  <c r="AG5" i="23"/>
  <c r="AH5" i="23"/>
  <c r="O9" i="23"/>
  <c r="AF12" i="23"/>
  <c r="AF8" i="22"/>
  <c r="AG8" i="22" s="1"/>
  <c r="N13" i="22"/>
  <c r="AF20" i="20"/>
  <c r="AF23" i="20"/>
  <c r="AG23" i="20" s="1"/>
  <c r="AF7" i="20"/>
  <c r="AG7" i="20" s="1"/>
  <c r="AF21" i="20"/>
  <c r="AF22" i="20"/>
  <c r="AG22" i="20" s="1"/>
  <c r="AF10" i="19"/>
  <c r="AG10" i="19" s="1"/>
  <c r="AF13" i="19"/>
  <c r="AG13" i="19" s="1"/>
  <c r="K24" i="19"/>
  <c r="AF20" i="19"/>
  <c r="AF8" i="18"/>
  <c r="AG8" i="18" s="1"/>
  <c r="AF11" i="18"/>
  <c r="AG11" i="18" s="1"/>
  <c r="AF20" i="18"/>
  <c r="AG20" i="18" s="1"/>
  <c r="M6" i="18"/>
  <c r="M22" i="18" s="1"/>
  <c r="N6" i="18"/>
  <c r="AF12" i="18"/>
  <c r="AG12" i="18" s="1"/>
  <c r="AF18" i="18"/>
  <c r="AF21" i="18"/>
  <c r="AG21" i="18" s="1"/>
  <c r="J22" i="18"/>
  <c r="AF11" i="17"/>
  <c r="AG11" i="17" s="1"/>
  <c r="AF7" i="16"/>
  <c r="AG7" i="16" s="1"/>
  <c r="AE11" i="15"/>
  <c r="AF11" i="15" s="1"/>
  <c r="AE18" i="15"/>
  <c r="AF18" i="15" s="1"/>
  <c r="AE14" i="15"/>
  <c r="AF14" i="15" s="1"/>
  <c r="AE8" i="15"/>
  <c r="AF8" i="15" s="1"/>
  <c r="M14" i="14"/>
  <c r="AF20" i="14"/>
  <c r="AG20" i="14" s="1"/>
  <c r="N14" i="14"/>
  <c r="AF7" i="14"/>
  <c r="AG7" i="14" s="1"/>
  <c r="O14" i="14"/>
  <c r="AF16" i="14"/>
  <c r="AG16" i="14" s="1"/>
  <c r="AF8" i="14"/>
  <c r="AG8" i="14" s="1"/>
  <c r="AF29" i="13"/>
  <c r="AF82" i="13"/>
  <c r="AF83" i="13"/>
  <c r="AF92" i="13"/>
  <c r="AF79" i="13"/>
  <c r="AE33" i="13"/>
  <c r="AF33" i="13" s="1"/>
  <c r="AE48" i="13"/>
  <c r="AF48" i="13" s="1"/>
  <c r="K98" i="13"/>
  <c r="AE90" i="13"/>
  <c r="AE95" i="13"/>
  <c r="AE29" i="13"/>
  <c r="AE44" i="13"/>
  <c r="AF44" i="13" s="1"/>
  <c r="N38" i="13"/>
  <c r="AE38" i="13" s="1"/>
  <c r="AF38" i="13" s="1"/>
  <c r="AE75" i="13"/>
  <c r="AF75" i="13" s="1"/>
  <c r="AE79" i="13"/>
  <c r="AE83" i="13"/>
  <c r="AF90" i="13"/>
  <c r="AE58" i="13"/>
  <c r="AF58" i="13" s="1"/>
  <c r="AE62" i="13"/>
  <c r="AF62" i="13" s="1"/>
  <c r="AE66" i="13"/>
  <c r="AF66" i="13" s="1"/>
  <c r="AE70" i="13"/>
  <c r="AF70" i="13" s="1"/>
  <c r="AE74" i="13"/>
  <c r="AF74" i="13" s="1"/>
  <c r="AE78" i="13"/>
  <c r="AF78" i="13" s="1"/>
  <c r="AE82" i="13"/>
  <c r="AE86" i="13"/>
  <c r="AF86" i="13" s="1"/>
  <c r="AE92" i="13"/>
  <c r="AE20" i="11"/>
  <c r="AF20" i="11" s="1"/>
  <c r="O6" i="11"/>
  <c r="AE6" i="11" s="1"/>
  <c r="AF6" i="11" s="1"/>
  <c r="AE11" i="11"/>
  <c r="AF11" i="11" s="1"/>
  <c r="O16" i="10"/>
  <c r="AE16" i="10"/>
  <c r="AE6" i="10"/>
  <c r="AF6" i="10" s="1"/>
  <c r="AE7" i="10"/>
  <c r="AF7" i="10" s="1"/>
  <c r="AE14" i="10"/>
  <c r="AF14" i="10" s="1"/>
  <c r="AF9" i="9"/>
  <c r="AG9" i="9" s="1"/>
  <c r="AF22" i="9"/>
  <c r="AG22" i="9" s="1"/>
  <c r="K26" i="9"/>
  <c r="N26" i="9" s="1"/>
  <c r="AF14" i="9"/>
  <c r="AG14" i="9" s="1"/>
  <c r="AF18" i="9"/>
  <c r="AG18" i="9" s="1"/>
  <c r="AF20" i="9"/>
  <c r="AG20" i="9" s="1"/>
  <c r="AF10" i="9"/>
  <c r="AG10" i="9" s="1"/>
  <c r="AF25" i="9"/>
  <c r="AG25" i="9" s="1"/>
  <c r="M26" i="9"/>
  <c r="AF21" i="9"/>
  <c r="AG21" i="9" s="1"/>
  <c r="AF10" i="8"/>
  <c r="AG10" i="8" s="1"/>
  <c r="AF13" i="8"/>
  <c r="AG13" i="8" s="1"/>
  <c r="AF8" i="8"/>
  <c r="AG8" i="8" s="1"/>
  <c r="AF9" i="8"/>
  <c r="AG9" i="8" s="1"/>
  <c r="M16" i="8"/>
  <c r="AF15" i="8"/>
  <c r="AG15" i="8" s="1"/>
  <c r="AF6" i="8"/>
  <c r="AG6" i="8" s="1"/>
  <c r="AF11" i="8"/>
  <c r="AG11" i="8" s="1"/>
  <c r="AF13" i="7"/>
  <c r="AG13" i="7" s="1"/>
  <c r="AF18" i="7"/>
  <c r="AG18" i="7" s="1"/>
  <c r="N21" i="7"/>
  <c r="AF19" i="7"/>
  <c r="AG19" i="7" s="1"/>
  <c r="AF12" i="7"/>
  <c r="AG12" i="7" s="1"/>
  <c r="AF8" i="6"/>
  <c r="AG8" i="6" s="1"/>
  <c r="AF19" i="6"/>
  <c r="AG19" i="6" s="1"/>
  <c r="AF29" i="6"/>
  <c r="AG29" i="6" s="1"/>
  <c r="N35" i="6"/>
  <c r="K57" i="6"/>
  <c r="AF52" i="6"/>
  <c r="AG52" i="6" s="1"/>
  <c r="AF15" i="6"/>
  <c r="AG15" i="6" s="1"/>
  <c r="AF43" i="6"/>
  <c r="AG43" i="6" s="1"/>
  <c r="AF47" i="6"/>
  <c r="AG47" i="6" s="1"/>
  <c r="M11" i="6"/>
  <c r="AF37" i="6"/>
  <c r="AG37" i="6" s="1"/>
  <c r="AF48" i="6"/>
  <c r="AG48" i="6" s="1"/>
  <c r="AF53" i="6"/>
  <c r="AG53" i="6" s="1"/>
  <c r="AF7" i="6"/>
  <c r="AG7" i="6" s="1"/>
  <c r="N11" i="6"/>
  <c r="AF23" i="6"/>
  <c r="AG23" i="6" s="1"/>
  <c r="AF26" i="6"/>
  <c r="AG26" i="6" s="1"/>
  <c r="AF17" i="5"/>
  <c r="AF21" i="5"/>
  <c r="AG21" i="5" s="1"/>
  <c r="AF23" i="5"/>
  <c r="AF26" i="5"/>
  <c r="AF28" i="5"/>
  <c r="AF30" i="5"/>
  <c r="AF32" i="5"/>
  <c r="AF49" i="5"/>
  <c r="AH49" i="5" s="1"/>
  <c r="AH58" i="5"/>
  <c r="AG60" i="5"/>
  <c r="AG62" i="5"/>
  <c r="AF84" i="5"/>
  <c r="AG84" i="5" s="1"/>
  <c r="AF9" i="5"/>
  <c r="AF13" i="5"/>
  <c r="AF15" i="5"/>
  <c r="AF18" i="5"/>
  <c r="AF20" i="5"/>
  <c r="AF22" i="5"/>
  <c r="AF24" i="5"/>
  <c r="AF41" i="5"/>
  <c r="AF45" i="5"/>
  <c r="AF47" i="5"/>
  <c r="AF50" i="5"/>
  <c r="AG50" i="5" s="1"/>
  <c r="AG52" i="5"/>
  <c r="AG54" i="5"/>
  <c r="AF74" i="5"/>
  <c r="AF76" i="5"/>
  <c r="AF78" i="5"/>
  <c r="AF80" i="5"/>
  <c r="AH82" i="5"/>
  <c r="AF7" i="5"/>
  <c r="AF10" i="5"/>
  <c r="AF12" i="5"/>
  <c r="AF14" i="5"/>
  <c r="AF16" i="5"/>
  <c r="AF33" i="5"/>
  <c r="AF37" i="5"/>
  <c r="AH37" i="5" s="1"/>
  <c r="AF39" i="5"/>
  <c r="AF42" i="5"/>
  <c r="AF44" i="5"/>
  <c r="AF46" i="5"/>
  <c r="AF48" i="5"/>
  <c r="AH48" i="5" s="1"/>
  <c r="AF68" i="5"/>
  <c r="AF85" i="5"/>
  <c r="AG85" i="5" s="1"/>
  <c r="AF6" i="5"/>
  <c r="AF8" i="5"/>
  <c r="AF25" i="5"/>
  <c r="AF29" i="5"/>
  <c r="AH29" i="5" s="1"/>
  <c r="AF31" i="5"/>
  <c r="AF34" i="5"/>
  <c r="AF36" i="5"/>
  <c r="AF38" i="5"/>
  <c r="AF40" i="5"/>
  <c r="AH40" i="5" s="1"/>
  <c r="AG8" i="4"/>
  <c r="AF13" i="4"/>
  <c r="AI13" i="4" s="1"/>
  <c r="AG15" i="4"/>
  <c r="M26" i="4"/>
  <c r="AI9" i="4"/>
  <c r="AF18" i="4"/>
  <c r="AF19" i="4"/>
  <c r="AF12" i="3"/>
  <c r="AG12" i="3" s="1"/>
  <c r="AF15" i="3"/>
  <c r="AG15" i="3" s="1"/>
  <c r="N32" i="3"/>
  <c r="AF37" i="3"/>
  <c r="AG37" i="3" s="1"/>
  <c r="AF40" i="3"/>
  <c r="AG40" i="3" s="1"/>
  <c r="AF44" i="3"/>
  <c r="AG44" i="3" s="1"/>
  <c r="AF56" i="3"/>
  <c r="AG56" i="3" s="1"/>
  <c r="AF61" i="3"/>
  <c r="AG61" i="3" s="1"/>
  <c r="AF32" i="3"/>
  <c r="AG32" i="3" s="1"/>
  <c r="AF10" i="3"/>
  <c r="AG10" i="3" s="1"/>
  <c r="AF35" i="3"/>
  <c r="AG35" i="3" s="1"/>
  <c r="M32" i="3"/>
  <c r="AF13" i="3"/>
  <c r="AG13" i="3" s="1"/>
  <c r="AF38" i="3"/>
  <c r="AG38" i="3" s="1"/>
  <c r="AF50" i="3"/>
  <c r="AG50" i="3" s="1"/>
  <c r="AF57" i="3"/>
  <c r="AG57" i="3" s="1"/>
  <c r="AF62" i="3"/>
  <c r="AG62" i="3" s="1"/>
  <c r="AF68" i="3"/>
  <c r="AG68" i="3" s="1"/>
  <c r="AF11" i="3"/>
  <c r="AG11" i="3" s="1"/>
  <c r="AF18" i="3"/>
  <c r="AG18" i="3" s="1"/>
  <c r="AF36" i="3"/>
  <c r="AG36" i="3" s="1"/>
  <c r="AF43" i="3"/>
  <c r="AG43" i="3" s="1"/>
  <c r="AF64" i="3"/>
  <c r="AG64" i="3" s="1"/>
  <c r="AF14" i="3"/>
  <c r="AG14" i="3" s="1"/>
  <c r="AF39" i="3"/>
  <c r="AG39" i="3" s="1"/>
  <c r="AF161" i="2"/>
  <c r="AG161" i="2" s="1"/>
  <c r="AF11" i="2"/>
  <c r="AG11" i="2" s="1"/>
  <c r="AF50" i="2"/>
  <c r="AG50" i="2" s="1"/>
  <c r="AF54" i="2"/>
  <c r="AG54" i="2" s="1"/>
  <c r="AF64" i="2"/>
  <c r="AG64" i="2" s="1"/>
  <c r="AF86" i="2"/>
  <c r="AG86" i="2" s="1"/>
  <c r="AF88" i="2"/>
  <c r="AG88" i="2" s="1"/>
  <c r="AF91" i="2"/>
  <c r="AG91" i="2" s="1"/>
  <c r="AF96" i="2"/>
  <c r="AG96" i="2" s="1"/>
  <c r="AF113" i="2"/>
  <c r="AG113" i="2" s="1"/>
  <c r="AF125" i="2"/>
  <c r="AG125" i="2" s="1"/>
  <c r="AF128" i="2"/>
  <c r="AG128" i="2" s="1"/>
  <c r="AF132" i="2"/>
  <c r="AG132" i="2" s="1"/>
  <c r="AF33" i="2"/>
  <c r="AG33" i="2" s="1"/>
  <c r="AF144" i="2"/>
  <c r="AG144" i="2" s="1"/>
  <c r="AF155" i="2"/>
  <c r="AG155" i="2" s="1"/>
  <c r="AF71" i="2"/>
  <c r="AG71" i="2" s="1"/>
  <c r="AF12" i="2"/>
  <c r="AG12" i="2" s="1"/>
  <c r="AF18" i="2"/>
  <c r="AG18" i="2" s="1"/>
  <c r="AF23" i="2"/>
  <c r="AG23" i="2" s="1"/>
  <c r="AF41" i="2"/>
  <c r="AG41" i="2" s="1"/>
  <c r="AF44" i="2"/>
  <c r="AG44" i="2" s="1"/>
  <c r="M46" i="2"/>
  <c r="AF57" i="2"/>
  <c r="AG57" i="2" s="1"/>
  <c r="AF65" i="2"/>
  <c r="AG65" i="2" s="1"/>
  <c r="AF77" i="2"/>
  <c r="AG77" i="2" s="1"/>
  <c r="AF82" i="2"/>
  <c r="AG82" i="2" s="1"/>
  <c r="AF89" i="2"/>
  <c r="AG89" i="2" s="1"/>
  <c r="AF104" i="2"/>
  <c r="AG104" i="2" s="1"/>
  <c r="AF134" i="2"/>
  <c r="AG134" i="2" s="1"/>
  <c r="AF157" i="2"/>
  <c r="AG157" i="2" s="1"/>
  <c r="AF103" i="2"/>
  <c r="AG103" i="2" s="1"/>
  <c r="AF21" i="2"/>
  <c r="AG21" i="2" s="1"/>
  <c r="AF142" i="2"/>
  <c r="AG142" i="2" s="1"/>
  <c r="AF160" i="2"/>
  <c r="AG160" i="2" s="1"/>
  <c r="AF19" i="2"/>
  <c r="AG19" i="2" s="1"/>
  <c r="AF26" i="2"/>
  <c r="AG26" i="2" s="1"/>
  <c r="AF49" i="2"/>
  <c r="AG49" i="2" s="1"/>
  <c r="AF66" i="2"/>
  <c r="AG66" i="2" s="1"/>
  <c r="AF69" i="2"/>
  <c r="AG69" i="2" s="1"/>
  <c r="AF78" i="2"/>
  <c r="AG78" i="2" s="1"/>
  <c r="AF87" i="2"/>
  <c r="AG87" i="2" s="1"/>
  <c r="AF100" i="2"/>
  <c r="AG100" i="2" s="1"/>
  <c r="AF127" i="2"/>
  <c r="AG127" i="2" s="1"/>
  <c r="AF140" i="2"/>
  <c r="AG140" i="2" s="1"/>
  <c r="AF147" i="2"/>
  <c r="AG147" i="2" s="1"/>
  <c r="AG22" i="1"/>
  <c r="AH22" i="1"/>
  <c r="AH128" i="1"/>
  <c r="AG128" i="1"/>
  <c r="AH114" i="1"/>
  <c r="AG114" i="1"/>
  <c r="AH112" i="1"/>
  <c r="AG112" i="1"/>
  <c r="AH122" i="1"/>
  <c r="AG122" i="1"/>
  <c r="AH130" i="1"/>
  <c r="AG130" i="1"/>
  <c r="AF6" i="1"/>
  <c r="AG6" i="1" s="1"/>
  <c r="N21" i="1"/>
  <c r="AF25" i="1"/>
  <c r="AG25" i="1" s="1"/>
  <c r="AF27" i="1"/>
  <c r="M29" i="1"/>
  <c r="M131" i="1" s="1"/>
  <c r="AF52" i="1"/>
  <c r="AG52" i="1" s="1"/>
  <c r="AF68" i="1"/>
  <c r="AG68" i="1" s="1"/>
  <c r="AG88" i="1"/>
  <c r="AF97" i="1"/>
  <c r="AF101" i="1"/>
  <c r="AF106" i="1"/>
  <c r="AF108" i="1"/>
  <c r="AF127" i="1"/>
  <c r="AG127" i="1" s="1"/>
  <c r="AF129" i="1"/>
  <c r="AG129" i="1" s="1"/>
  <c r="AF103" i="1"/>
  <c r="AG10" i="1"/>
  <c r="O21" i="1"/>
  <c r="N29" i="1"/>
  <c r="AF29" i="1" s="1"/>
  <c r="AH29" i="1" s="1"/>
  <c r="AG31" i="1"/>
  <c r="AF41" i="1"/>
  <c r="AH41" i="1" s="1"/>
  <c r="AF57" i="1"/>
  <c r="AF73" i="1"/>
  <c r="AF75" i="1"/>
  <c r="AF80" i="1"/>
  <c r="AH80" i="1" s="1"/>
  <c r="AF104" i="1"/>
  <c r="AH104" i="1" s="1"/>
  <c r="AF7" i="1"/>
  <c r="AF13" i="1"/>
  <c r="AH13" i="1" s="1"/>
  <c r="AF17" i="1"/>
  <c r="AH17" i="1" s="1"/>
  <c r="AF20" i="1"/>
  <c r="AF34" i="1"/>
  <c r="AF38" i="1"/>
  <c r="AG38" i="1" s="1"/>
  <c r="AF53" i="1"/>
  <c r="AF69" i="1"/>
  <c r="AF76" i="1"/>
  <c r="AF119" i="1"/>
  <c r="AG119" i="1" s="1"/>
  <c r="AF79" i="1"/>
  <c r="AH79" i="1" s="1"/>
  <c r="AF11" i="1"/>
  <c r="AF14" i="1"/>
  <c r="AF16" i="1"/>
  <c r="AF18" i="1"/>
  <c r="AH18" i="1" s="1"/>
  <c r="AF30" i="1"/>
  <c r="AG30" i="1" s="1"/>
  <c r="AF32" i="1"/>
  <c r="AF35" i="1"/>
  <c r="AF37" i="1"/>
  <c r="AF39" i="1"/>
  <c r="AH39" i="1" s="1"/>
  <c r="AF49" i="1"/>
  <c r="AF65" i="1"/>
  <c r="N109" i="1"/>
  <c r="AH21" i="5"/>
  <c r="AH53" i="5"/>
  <c r="AG53" i="5"/>
  <c r="AH103" i="1"/>
  <c r="AG103" i="1"/>
  <c r="AH57" i="1"/>
  <c r="AG57" i="1"/>
  <c r="AG5" i="3"/>
  <c r="AH91" i="1"/>
  <c r="AG91" i="1"/>
  <c r="AH95" i="1"/>
  <c r="AG95" i="1"/>
  <c r="AH85" i="1"/>
  <c r="AG85" i="1"/>
  <c r="AH45" i="1"/>
  <c r="AG45" i="1"/>
  <c r="AH101" i="1"/>
  <c r="AG101" i="1"/>
  <c r="AH7" i="1"/>
  <c r="AG7" i="1"/>
  <c r="AH34" i="1"/>
  <c r="AG34" i="1"/>
  <c r="AH53" i="1"/>
  <c r="AG53" i="1"/>
  <c r="AH69" i="1"/>
  <c r="AG69" i="1"/>
  <c r="AH61" i="1"/>
  <c r="AG61" i="1"/>
  <c r="AH73" i="1"/>
  <c r="AG73" i="1"/>
  <c r="AG13" i="1"/>
  <c r="AH38" i="1"/>
  <c r="AH87" i="1"/>
  <c r="AG87" i="1"/>
  <c r="AH89" i="1"/>
  <c r="AG89" i="1"/>
  <c r="AH97" i="1"/>
  <c r="AG97" i="1"/>
  <c r="AH19" i="1"/>
  <c r="AG19" i="1"/>
  <c r="AH75" i="1"/>
  <c r="AG75" i="1"/>
  <c r="AH11" i="1"/>
  <c r="AG11" i="1"/>
  <c r="AH30" i="1"/>
  <c r="AH32" i="1"/>
  <c r="AG32" i="1"/>
  <c r="AH49" i="1"/>
  <c r="AG49" i="1"/>
  <c r="AH65" i="1"/>
  <c r="AG65" i="1"/>
  <c r="AH93" i="1"/>
  <c r="AG93" i="1"/>
  <c r="AH16" i="5"/>
  <c r="AG16" i="5"/>
  <c r="AH81" i="5"/>
  <c r="AG81" i="5"/>
  <c r="AH46" i="1"/>
  <c r="AH62" i="1"/>
  <c r="AG83" i="1"/>
  <c r="AG13" i="4"/>
  <c r="AH35" i="5"/>
  <c r="AG35" i="5"/>
  <c r="K22" i="14"/>
  <c r="O12" i="14"/>
  <c r="N12" i="14"/>
  <c r="AG5" i="19"/>
  <c r="AG8" i="43"/>
  <c r="AF8" i="43"/>
  <c r="AG51" i="1"/>
  <c r="AG59" i="1"/>
  <c r="AG67" i="1"/>
  <c r="AG80" i="1"/>
  <c r="AG104" i="1"/>
  <c r="AH111" i="1"/>
  <c r="AG118" i="1"/>
  <c r="AH127" i="1"/>
  <c r="AG5" i="2"/>
  <c r="O30" i="3"/>
  <c r="N30" i="3"/>
  <c r="AF30" i="3" s="1"/>
  <c r="AG30" i="3" s="1"/>
  <c r="M30" i="3"/>
  <c r="AH8" i="5"/>
  <c r="AG8" i="5"/>
  <c r="AH39" i="5"/>
  <c r="AG39" i="5"/>
  <c r="AG48" i="5"/>
  <c r="AH50" i="5"/>
  <c r="AH73" i="5"/>
  <c r="AG73" i="5"/>
  <c r="AH75" i="5"/>
  <c r="AG75" i="5"/>
  <c r="AH77" i="5"/>
  <c r="AG77" i="5"/>
  <c r="AH79" i="5"/>
  <c r="AG79" i="5"/>
  <c r="M12" i="14"/>
  <c r="AG8" i="39"/>
  <c r="AF8" i="39"/>
  <c r="AH6" i="40"/>
  <c r="AG6" i="40"/>
  <c r="M40" i="1"/>
  <c r="K131" i="1"/>
  <c r="AH107" i="1"/>
  <c r="AG107" i="1"/>
  <c r="AH41" i="5"/>
  <c r="AG41" i="5"/>
  <c r="AH47" i="5"/>
  <c r="AG47" i="5"/>
  <c r="AG28" i="1"/>
  <c r="AH54" i="1"/>
  <c r="AH70" i="1"/>
  <c r="AG116" i="1"/>
  <c r="AF7" i="4"/>
  <c r="N26" i="4"/>
  <c r="AG17" i="4"/>
  <c r="AI17" i="4"/>
  <c r="AH33" i="5"/>
  <c r="AG33" i="5"/>
  <c r="AH56" i="5"/>
  <c r="AG56" i="5"/>
  <c r="AG9" i="1"/>
  <c r="O40" i="1"/>
  <c r="O131" i="1" s="1"/>
  <c r="AG43" i="1"/>
  <c r="AH6" i="1"/>
  <c r="AH48" i="1"/>
  <c r="AH56" i="1"/>
  <c r="AH64" i="1"/>
  <c r="AH72" i="1"/>
  <c r="AF74" i="1"/>
  <c r="AH113" i="1"/>
  <c r="AF117" i="1"/>
  <c r="AG120" i="1"/>
  <c r="AH129" i="1"/>
  <c r="AF34" i="2"/>
  <c r="AG34" i="2" s="1"/>
  <c r="O59" i="2"/>
  <c r="N59" i="2"/>
  <c r="M59" i="2"/>
  <c r="AF139" i="2"/>
  <c r="AG139" i="2" s="1"/>
  <c r="O26" i="4"/>
  <c r="AH25" i="5"/>
  <c r="AG25" i="5"/>
  <c r="AH27" i="5"/>
  <c r="AG27" i="5"/>
  <c r="AH31" i="5"/>
  <c r="AG31" i="5"/>
  <c r="AH65" i="5"/>
  <c r="AG65" i="5"/>
  <c r="AH67" i="5"/>
  <c r="AG67" i="5"/>
  <c r="AE24" i="13"/>
  <c r="AF24" i="13"/>
  <c r="AE39" i="13"/>
  <c r="AF39" i="13"/>
  <c r="AG8" i="23"/>
  <c r="AH8" i="23"/>
  <c r="AH7" i="5"/>
  <c r="AG7" i="5"/>
  <c r="AH45" i="5"/>
  <c r="AG45" i="5"/>
  <c r="AH77" i="1"/>
  <c r="AG77" i="1"/>
  <c r="AI22" i="4"/>
  <c r="AG22" i="4"/>
  <c r="AH17" i="5"/>
  <c r="AG17" i="5"/>
  <c r="AH19" i="5"/>
  <c r="AG19" i="5"/>
  <c r="AH69" i="5"/>
  <c r="AG69" i="5"/>
  <c r="AH71" i="5"/>
  <c r="AG71" i="5"/>
  <c r="AH80" i="5"/>
  <c r="AG80" i="5"/>
  <c r="AE20" i="13"/>
  <c r="AF20" i="13" s="1"/>
  <c r="AF24" i="27"/>
  <c r="AG24" i="27"/>
  <c r="AH5" i="5"/>
  <c r="AG5" i="5"/>
  <c r="AH43" i="5"/>
  <c r="AG43" i="5"/>
  <c r="AH99" i="1"/>
  <c r="AG99" i="1"/>
  <c r="K166" i="2"/>
  <c r="O10" i="2"/>
  <c r="N10" i="2"/>
  <c r="AH8" i="1"/>
  <c r="AG24" i="1"/>
  <c r="AH42" i="1"/>
  <c r="AH50" i="1"/>
  <c r="AH66" i="1"/>
  <c r="AG124" i="1"/>
  <c r="M10" i="2"/>
  <c r="N67" i="2"/>
  <c r="O67" i="2"/>
  <c r="AI18" i="4"/>
  <c r="AG18" i="4"/>
  <c r="AI20" i="4"/>
  <c r="AG20" i="4"/>
  <c r="AH23" i="5"/>
  <c r="AG23" i="5"/>
  <c r="AH32" i="5"/>
  <c r="AG32" i="5"/>
  <c r="AH57" i="5"/>
  <c r="AG57" i="5"/>
  <c r="AH59" i="5"/>
  <c r="AG59" i="5"/>
  <c r="AH61" i="5"/>
  <c r="AG61" i="5"/>
  <c r="AH63" i="5"/>
  <c r="AG63" i="5"/>
  <c r="O10" i="29"/>
  <c r="AF9" i="29"/>
  <c r="AG9" i="29" s="1"/>
  <c r="AG10" i="29" s="1"/>
  <c r="AH15" i="1"/>
  <c r="AG15" i="1"/>
  <c r="AH36" i="1"/>
  <c r="AG36" i="1"/>
  <c r="AH58" i="1"/>
  <c r="AG18" i="1"/>
  <c r="AF23" i="1"/>
  <c r="AG29" i="1"/>
  <c r="AG39" i="1"/>
  <c r="AG47" i="1"/>
  <c r="AG55" i="1"/>
  <c r="AG63" i="1"/>
  <c r="AG71" i="1"/>
  <c r="AF78" i="1"/>
  <c r="AG86" i="1"/>
  <c r="AG96" i="1"/>
  <c r="AG110" i="1"/>
  <c r="AF123" i="1"/>
  <c r="AG126" i="1"/>
  <c r="N131" i="1"/>
  <c r="M67" i="2"/>
  <c r="AF162" i="2"/>
  <c r="AG162" i="2" s="1"/>
  <c r="AG14" i="4"/>
  <c r="AF23" i="4"/>
  <c r="AG23" i="4" s="1"/>
  <c r="AH9" i="5"/>
  <c r="AG9" i="5"/>
  <c r="AH11" i="5"/>
  <c r="AG11" i="5"/>
  <c r="AH13" i="5"/>
  <c r="AG13" i="5"/>
  <c r="AH15" i="5"/>
  <c r="AG15" i="5"/>
  <c r="AG49" i="5"/>
  <c r="AH51" i="5"/>
  <c r="AG51" i="5"/>
  <c r="AH72" i="5"/>
  <c r="AG72" i="5"/>
  <c r="N87" i="13"/>
  <c r="M87" i="13"/>
  <c r="O87" i="13"/>
  <c r="M22" i="14"/>
  <c r="O24" i="19"/>
  <c r="AH5" i="1"/>
  <c r="AF12" i="1"/>
  <c r="AF33" i="1"/>
  <c r="AH44" i="1"/>
  <c r="AH52" i="1"/>
  <c r="AH60" i="1"/>
  <c r="AH68" i="1"/>
  <c r="AH81" i="1"/>
  <c r="AG81" i="1"/>
  <c r="AF90" i="1"/>
  <c r="AH105" i="1"/>
  <c r="AG105" i="1"/>
  <c r="AF109" i="1"/>
  <c r="AH121" i="1"/>
  <c r="AF125" i="1"/>
  <c r="AF27" i="2"/>
  <c r="AG27" i="2" s="1"/>
  <c r="AF101" i="2"/>
  <c r="AG101" i="2" s="1"/>
  <c r="AF122" i="2"/>
  <c r="AG122" i="2" s="1"/>
  <c r="AF9" i="3"/>
  <c r="AG9" i="3" s="1"/>
  <c r="AI6" i="4"/>
  <c r="AG6" i="4"/>
  <c r="AI10" i="4"/>
  <c r="AG10" i="4"/>
  <c r="AI16" i="4"/>
  <c r="AG16" i="4"/>
  <c r="O86" i="5"/>
  <c r="AH24" i="5"/>
  <c r="AG24" i="5"/>
  <c r="AH55" i="5"/>
  <c r="AG55" i="5"/>
  <c r="AH64" i="5"/>
  <c r="AG64" i="5"/>
  <c r="AH66" i="5"/>
  <c r="AF7" i="7"/>
  <c r="AG7" i="7" s="1"/>
  <c r="O16" i="8"/>
  <c r="AF5" i="8"/>
  <c r="AF16" i="10"/>
  <c r="AE8" i="13"/>
  <c r="AF8" i="13" s="1"/>
  <c r="AG20" i="25"/>
  <c r="AH20" i="25"/>
  <c r="N49" i="3"/>
  <c r="M49" i="3"/>
  <c r="O66" i="3"/>
  <c r="N66" i="3"/>
  <c r="AF66" i="3" s="1"/>
  <c r="AG66" i="3" s="1"/>
  <c r="AF35" i="6"/>
  <c r="AG35" i="6" s="1"/>
  <c r="O21" i="7"/>
  <c r="N27" i="12"/>
  <c r="O5" i="13"/>
  <c r="N5" i="13"/>
  <c r="M5" i="13"/>
  <c r="AE16" i="13"/>
  <c r="AF16" i="13"/>
  <c r="AF19" i="27"/>
  <c r="AG19" i="27"/>
  <c r="AH8" i="33"/>
  <c r="AG8" i="33"/>
  <c r="AF5" i="35"/>
  <c r="N15" i="35"/>
  <c r="AF5" i="37"/>
  <c r="N153" i="2"/>
  <c r="M153" i="2"/>
  <c r="AF46" i="2"/>
  <c r="AG46" i="2" s="1"/>
  <c r="AF55" i="2"/>
  <c r="AG55" i="2" s="1"/>
  <c r="AF62" i="2"/>
  <c r="AG62" i="2" s="1"/>
  <c r="AF94" i="2"/>
  <c r="AG94" i="2" s="1"/>
  <c r="O121" i="2"/>
  <c r="N121" i="2"/>
  <c r="AF151" i="2"/>
  <c r="AG151" i="2" s="1"/>
  <c r="O153" i="2"/>
  <c r="AF6" i="3"/>
  <c r="AG6" i="3" s="1"/>
  <c r="AF47" i="3"/>
  <c r="AG47" i="3" s="1"/>
  <c r="O49" i="3"/>
  <c r="M66" i="3"/>
  <c r="AF5" i="4"/>
  <c r="AF11" i="6"/>
  <c r="AG11" i="6" s="1"/>
  <c r="AF5" i="7"/>
  <c r="AE18" i="11"/>
  <c r="AF18" i="11" s="1"/>
  <c r="AE22" i="12"/>
  <c r="AF22" i="12" s="1"/>
  <c r="AE12" i="13"/>
  <c r="AF12" i="13"/>
  <c r="AF56" i="13"/>
  <c r="AF64" i="13"/>
  <c r="AF72" i="13"/>
  <c r="AF80" i="13"/>
  <c r="AE94" i="13"/>
  <c r="AF94" i="13" s="1"/>
  <c r="AG6" i="26"/>
  <c r="AH6" i="26"/>
  <c r="AG23" i="27"/>
  <c r="AF23" i="27"/>
  <c r="N24" i="6"/>
  <c r="M24" i="6"/>
  <c r="M57" i="6" s="1"/>
  <c r="O27" i="12"/>
  <c r="AE5" i="12"/>
  <c r="AE36" i="13"/>
  <c r="AF36" i="13" s="1"/>
  <c r="AE51" i="13"/>
  <c r="AF51" i="13" s="1"/>
  <c r="O10" i="24"/>
  <c r="N10" i="24"/>
  <c r="K23" i="24"/>
  <c r="M10" i="24"/>
  <c r="M23" i="24" s="1"/>
  <c r="AG14" i="39"/>
  <c r="AF14" i="39"/>
  <c r="AF5" i="40"/>
  <c r="N20" i="40"/>
  <c r="O110" i="2"/>
  <c r="N110" i="2"/>
  <c r="AF15" i="2"/>
  <c r="AG15" i="2" s="1"/>
  <c r="AF31" i="2"/>
  <c r="AG31" i="2" s="1"/>
  <c r="M95" i="2"/>
  <c r="M110" i="2"/>
  <c r="M86" i="5"/>
  <c r="O24" i="6"/>
  <c r="O57" i="6" s="1"/>
  <c r="AE32" i="13"/>
  <c r="AF32" i="13" s="1"/>
  <c r="AE47" i="13"/>
  <c r="AF47" i="13" s="1"/>
  <c r="AE88" i="13"/>
  <c r="AF88" i="13" s="1"/>
  <c r="M16" i="17"/>
  <c r="AG7" i="23"/>
  <c r="AG12" i="23"/>
  <c r="AH12" i="23"/>
  <c r="AH5" i="24"/>
  <c r="AG5" i="24"/>
  <c r="AH12" i="24"/>
  <c r="AG12" i="24"/>
  <c r="AH7" i="25"/>
  <c r="AG7" i="25"/>
  <c r="AG12" i="25"/>
  <c r="AH12" i="25"/>
  <c r="AH16" i="25"/>
  <c r="AG10" i="27"/>
  <c r="AF10" i="27"/>
  <c r="AF85" i="2"/>
  <c r="AG85" i="2" s="1"/>
  <c r="O95" i="2"/>
  <c r="AF95" i="2" s="1"/>
  <c r="AG95" i="2" s="1"/>
  <c r="AF97" i="2"/>
  <c r="AG97" i="2" s="1"/>
  <c r="AF116" i="2"/>
  <c r="AG116" i="2" s="1"/>
  <c r="AF135" i="2"/>
  <c r="AG135" i="2" s="1"/>
  <c r="AF158" i="2"/>
  <c r="AG158" i="2" s="1"/>
  <c r="AF22" i="3"/>
  <c r="AG22" i="3" s="1"/>
  <c r="K69" i="3"/>
  <c r="AF54" i="3"/>
  <c r="AG54" i="3" s="1"/>
  <c r="AF65" i="3"/>
  <c r="AG65" i="3" s="1"/>
  <c r="AF11" i="4"/>
  <c r="AG12" i="4"/>
  <c r="AF21" i="4"/>
  <c r="N86" i="5"/>
  <c r="AF14" i="6"/>
  <c r="AG14" i="6" s="1"/>
  <c r="AF18" i="6"/>
  <c r="AG18" i="6" s="1"/>
  <c r="AF22" i="6"/>
  <c r="AG22" i="6" s="1"/>
  <c r="AF5" i="9"/>
  <c r="AE28" i="13"/>
  <c r="AF28" i="13" s="1"/>
  <c r="AE43" i="13"/>
  <c r="AF43" i="13" s="1"/>
  <c r="AE91" i="13"/>
  <c r="AF91" i="13" s="1"/>
  <c r="N23" i="15"/>
  <c r="AE7" i="15"/>
  <c r="AF7" i="15" s="1"/>
  <c r="AE19" i="15"/>
  <c r="AF19" i="15" s="1"/>
  <c r="AF6" i="16"/>
  <c r="AG6" i="16" s="1"/>
  <c r="AG8" i="24"/>
  <c r="AH8" i="24"/>
  <c r="AF15" i="24"/>
  <c r="AG17" i="24"/>
  <c r="AH17" i="24"/>
  <c r="AH10" i="25"/>
  <c r="AG10" i="25"/>
  <c r="O26" i="3"/>
  <c r="AF26" i="3" s="1"/>
  <c r="AG26" i="3" s="1"/>
  <c r="AF14" i="7"/>
  <c r="AG14" i="7" s="1"/>
  <c r="AF13" i="9"/>
  <c r="AG13" i="9" s="1"/>
  <c r="AF24" i="9"/>
  <c r="AG24" i="9" s="1"/>
  <c r="M16" i="10"/>
  <c r="AE15" i="12"/>
  <c r="AF15" i="12" s="1"/>
  <c r="AE7" i="13"/>
  <c r="AF7" i="13" s="1"/>
  <c r="AF11" i="13"/>
  <c r="AE11" i="13"/>
  <c r="AE15" i="13"/>
  <c r="AF15" i="13" s="1"/>
  <c r="AE19" i="13"/>
  <c r="AF19" i="13" s="1"/>
  <c r="AE23" i="13"/>
  <c r="AF23" i="13" s="1"/>
  <c r="AF27" i="13"/>
  <c r="AE27" i="13"/>
  <c r="AF31" i="13"/>
  <c r="AE31" i="13"/>
  <c r="AF35" i="13"/>
  <c r="AE35" i="13"/>
  <c r="AF41" i="13"/>
  <c r="AF49" i="13"/>
  <c r="AF22" i="19"/>
  <c r="AG22" i="19" s="1"/>
  <c r="AG24" i="19" s="1"/>
  <c r="AH10" i="23"/>
  <c r="AG10" i="23"/>
  <c r="AH13" i="25"/>
  <c r="AG13" i="25"/>
  <c r="AG14" i="26"/>
  <c r="AH6" i="29"/>
  <c r="AG6" i="29"/>
  <c r="AH8" i="31"/>
  <c r="AG8" i="31"/>
  <c r="AH16" i="31"/>
  <c r="AG16" i="31"/>
  <c r="M21" i="7"/>
  <c r="AF6" i="9"/>
  <c r="AG6" i="9" s="1"/>
  <c r="N16" i="10"/>
  <c r="AF45" i="13"/>
  <c r="AF53" i="13"/>
  <c r="AF57" i="13"/>
  <c r="AE57" i="13"/>
  <c r="AE61" i="13"/>
  <c r="AF61" i="13" s="1"/>
  <c r="AE65" i="13"/>
  <c r="AF65" i="13" s="1"/>
  <c r="AE69" i="13"/>
  <c r="AF69" i="13" s="1"/>
  <c r="AF73" i="13"/>
  <c r="AE73" i="13"/>
  <c r="AE77" i="13"/>
  <c r="AF77" i="13" s="1"/>
  <c r="AF81" i="13"/>
  <c r="AE81" i="13"/>
  <c r="AF85" i="13"/>
  <c r="AE85" i="13"/>
  <c r="AE96" i="13"/>
  <c r="AF96" i="13" s="1"/>
  <c r="AE20" i="15"/>
  <c r="AF20" i="15" s="1"/>
  <c r="AF13" i="16"/>
  <c r="AG13" i="16" s="1"/>
  <c r="O16" i="17"/>
  <c r="AF15" i="17"/>
  <c r="AG15" i="17" s="1"/>
  <c r="AG16" i="17" s="1"/>
  <c r="M24" i="19"/>
  <c r="O24" i="20"/>
  <c r="AH9" i="24"/>
  <c r="AG9" i="24"/>
  <c r="AH5" i="25"/>
  <c r="AG5" i="25"/>
  <c r="AH9" i="25"/>
  <c r="AG9" i="25"/>
  <c r="K24" i="25"/>
  <c r="O14" i="25"/>
  <c r="N14" i="25"/>
  <c r="AF14" i="25" s="1"/>
  <c r="M14" i="25"/>
  <c r="M24" i="25" s="1"/>
  <c r="M14" i="26"/>
  <c r="AF8" i="28"/>
  <c r="N19" i="28"/>
  <c r="AF14" i="8"/>
  <c r="AG14" i="8" s="1"/>
  <c r="O26" i="9"/>
  <c r="K5" i="11"/>
  <c r="M6" i="11"/>
  <c r="AF14" i="13"/>
  <c r="AF22" i="13"/>
  <c r="AF30" i="13"/>
  <c r="AE42" i="13"/>
  <c r="AF42" i="13" s="1"/>
  <c r="AF46" i="13"/>
  <c r="AE46" i="13"/>
  <c r="AE50" i="13"/>
  <c r="AF50" i="13" s="1"/>
  <c r="N22" i="14"/>
  <c r="O23" i="15"/>
  <c r="AE5" i="15"/>
  <c r="AG5" i="16"/>
  <c r="K14" i="16"/>
  <c r="M10" i="16"/>
  <c r="M14" i="16" s="1"/>
  <c r="O10" i="16"/>
  <c r="O14" i="16" s="1"/>
  <c r="N10" i="16"/>
  <c r="AG5" i="21"/>
  <c r="O13" i="22"/>
  <c r="AF12" i="22"/>
  <c r="AG12" i="22" s="1"/>
  <c r="AG13" i="22" s="1"/>
  <c r="AH6" i="24"/>
  <c r="AG6" i="24"/>
  <c r="AH14" i="24"/>
  <c r="AG14" i="24"/>
  <c r="AF17" i="27"/>
  <c r="AG17" i="27"/>
  <c r="AG7" i="34"/>
  <c r="AH7" i="34"/>
  <c r="AH15" i="42"/>
  <c r="AG15" i="42"/>
  <c r="O18" i="42"/>
  <c r="N18" i="42"/>
  <c r="AF18" i="42" s="1"/>
  <c r="M18" i="42"/>
  <c r="AF45" i="6"/>
  <c r="AG45" i="6" s="1"/>
  <c r="N16" i="8"/>
  <c r="AF7" i="8"/>
  <c r="AG7" i="8" s="1"/>
  <c r="AE8" i="11"/>
  <c r="AF8" i="11" s="1"/>
  <c r="AE15" i="11"/>
  <c r="AF15" i="11" s="1"/>
  <c r="AE19" i="11"/>
  <c r="AE14" i="12"/>
  <c r="AF14" i="12" s="1"/>
  <c r="AF10" i="13"/>
  <c r="AF18" i="13"/>
  <c r="AF26" i="13"/>
  <c r="AF34" i="13"/>
  <c r="AE54" i="13"/>
  <c r="AF54" i="13" s="1"/>
  <c r="AF60" i="13"/>
  <c r="AF68" i="13"/>
  <c r="AF76" i="13"/>
  <c r="AF84" i="13"/>
  <c r="O89" i="13"/>
  <c r="N89" i="13"/>
  <c r="AF17" i="14"/>
  <c r="AG17" i="14" s="1"/>
  <c r="AF21" i="14"/>
  <c r="AG21" i="14" s="1"/>
  <c r="AE12" i="15"/>
  <c r="AF12" i="15" s="1"/>
  <c r="AF21" i="19"/>
  <c r="AF8" i="20"/>
  <c r="AG8" i="20" s="1"/>
  <c r="K24" i="24"/>
  <c r="AH9" i="26"/>
  <c r="AG9" i="26"/>
  <c r="AH10" i="40"/>
  <c r="AG10" i="40"/>
  <c r="AH12" i="40"/>
  <c r="AG12" i="40"/>
  <c r="AH14" i="40"/>
  <c r="AG14" i="40"/>
  <c r="AG18" i="41"/>
  <c r="AF18" i="41"/>
  <c r="AF8" i="16"/>
  <c r="AG8" i="16" s="1"/>
  <c r="AF5" i="17"/>
  <c r="N16" i="17"/>
  <c r="N10" i="20"/>
  <c r="AF10" i="20" s="1"/>
  <c r="AG10" i="20" s="1"/>
  <c r="M10" i="20"/>
  <c r="M24" i="20" s="1"/>
  <c r="K24" i="20"/>
  <c r="AF12" i="20"/>
  <c r="AG12" i="20" s="1"/>
  <c r="AF6" i="23"/>
  <c r="AF15" i="23"/>
  <c r="AG15" i="23" s="1"/>
  <c r="AF19" i="24"/>
  <c r="AF6" i="25"/>
  <c r="AF15" i="25"/>
  <c r="AF8" i="26"/>
  <c r="AF12" i="28"/>
  <c r="AG12" i="28" s="1"/>
  <c r="AF9" i="32"/>
  <c r="AG9" i="32"/>
  <c r="AG10" i="39"/>
  <c r="AF10" i="39"/>
  <c r="AG12" i="39"/>
  <c r="AF12" i="39"/>
  <c r="AF17" i="39"/>
  <c r="AG17" i="39"/>
  <c r="M16" i="43"/>
  <c r="AF12" i="16"/>
  <c r="AG12" i="16" s="1"/>
  <c r="AF6" i="18"/>
  <c r="AF11" i="21"/>
  <c r="AG11" i="21" s="1"/>
  <c r="AG13" i="21" s="1"/>
  <c r="AF5" i="22"/>
  <c r="AH11" i="23"/>
  <c r="AG11" i="23"/>
  <c r="AH11" i="25"/>
  <c r="AG11" i="25"/>
  <c r="AF21" i="25"/>
  <c r="AG21" i="25" s="1"/>
  <c r="AE5" i="27"/>
  <c r="AH12" i="30"/>
  <c r="AG12" i="30"/>
  <c r="AH14" i="30"/>
  <c r="AG14" i="30"/>
  <c r="AH11" i="35"/>
  <c r="AG11" i="35"/>
  <c r="AE16" i="43"/>
  <c r="AF5" i="43"/>
  <c r="AG5" i="43"/>
  <c r="AF9" i="16"/>
  <c r="AG9" i="16" s="1"/>
  <c r="AF6" i="17"/>
  <c r="AG6" i="17" s="1"/>
  <c r="O9" i="18"/>
  <c r="O22" i="18" s="1"/>
  <c r="N9" i="18"/>
  <c r="AF9" i="18" s="1"/>
  <c r="AG9" i="18" s="1"/>
  <c r="O7" i="19"/>
  <c r="N7" i="19"/>
  <c r="AF7" i="19" s="1"/>
  <c r="AG7" i="19" s="1"/>
  <c r="AF5" i="20"/>
  <c r="AF6" i="22"/>
  <c r="AG6" i="22" s="1"/>
  <c r="AF11" i="24"/>
  <c r="N14" i="26"/>
  <c r="AF5" i="26"/>
  <c r="AG11" i="41"/>
  <c r="AF11" i="41"/>
  <c r="AH11" i="42"/>
  <c r="AG11" i="42"/>
  <c r="AF11" i="16"/>
  <c r="AG11" i="16" s="1"/>
  <c r="AF23" i="19"/>
  <c r="AG23" i="19" s="1"/>
  <c r="AF9" i="20"/>
  <c r="AG9" i="20" s="1"/>
  <c r="AF11" i="20"/>
  <c r="AG11" i="20" s="1"/>
  <c r="AG24" i="20" s="1"/>
  <c r="N9" i="23"/>
  <c r="AF9" i="23" s="1"/>
  <c r="M9" i="23"/>
  <c r="M16" i="23" s="1"/>
  <c r="AF14" i="23"/>
  <c r="AG14" i="23" s="1"/>
  <c r="AG16" i="23" s="1"/>
  <c r="AH7" i="24"/>
  <c r="AG7" i="24"/>
  <c r="AF13" i="24"/>
  <c r="AF22" i="24"/>
  <c r="AG22" i="24" s="1"/>
  <c r="AG23" i="24" s="1"/>
  <c r="AF18" i="25"/>
  <c r="O24" i="25"/>
  <c r="AF22" i="25"/>
  <c r="AG22" i="25" s="1"/>
  <c r="AG24" i="25" s="1"/>
  <c r="AH11" i="26"/>
  <c r="AG11" i="26"/>
  <c r="AH7" i="28"/>
  <c r="AG7" i="28"/>
  <c r="AG5" i="30"/>
  <c r="AH5" i="30"/>
  <c r="AH17" i="30"/>
  <c r="AG17" i="30"/>
  <c r="AG8" i="35"/>
  <c r="AH8" i="35"/>
  <c r="AE8" i="41"/>
  <c r="AE36" i="41" s="1"/>
  <c r="N36" i="41"/>
  <c r="AG27" i="41"/>
  <c r="AF27" i="41"/>
  <c r="AH7" i="42"/>
  <c r="AG7" i="42"/>
  <c r="AG9" i="31"/>
  <c r="AH9" i="31"/>
  <c r="AE13" i="32"/>
  <c r="AG5" i="32"/>
  <c r="M20" i="39"/>
  <c r="AG15" i="39"/>
  <c r="AF15" i="39"/>
  <c r="AH20" i="42"/>
  <c r="AG20" i="42"/>
  <c r="AG9" i="43"/>
  <c r="AF9" i="43"/>
  <c r="K22" i="18"/>
  <c r="AF17" i="25"/>
  <c r="AF6" i="28"/>
  <c r="AG6" i="30"/>
  <c r="AH8" i="30"/>
  <c r="AG8" i="30"/>
  <c r="AF13" i="31"/>
  <c r="AH13" i="34"/>
  <c r="AG13" i="34"/>
  <c r="AH9" i="35"/>
  <c r="AG9" i="35"/>
  <c r="AE7" i="38"/>
  <c r="AF7" i="38" s="1"/>
  <c r="AE5" i="39"/>
  <c r="N20" i="39"/>
  <c r="AG29" i="41"/>
  <c r="AF29" i="41"/>
  <c r="AE35" i="41"/>
  <c r="AF35" i="41" s="1"/>
  <c r="AF36" i="41" s="1"/>
  <c r="AF5" i="42"/>
  <c r="N23" i="42"/>
  <c r="AH12" i="42"/>
  <c r="AG12" i="42"/>
  <c r="AF5" i="29"/>
  <c r="N10" i="29"/>
  <c r="AH16" i="30"/>
  <c r="AG16" i="30"/>
  <c r="AH13" i="33"/>
  <c r="AG13" i="33"/>
  <c r="AG14" i="34"/>
  <c r="AH14" i="34"/>
  <c r="AE5" i="38"/>
  <c r="N15" i="38"/>
  <c r="AH8" i="40"/>
  <c r="AG8" i="40"/>
  <c r="AG23" i="41"/>
  <c r="AF23" i="41"/>
  <c r="M6" i="42"/>
  <c r="M23" i="42" s="1"/>
  <c r="K23" i="42"/>
  <c r="O6" i="42"/>
  <c r="N6" i="27"/>
  <c r="AF7" i="27"/>
  <c r="AE9" i="27"/>
  <c r="N12" i="27"/>
  <c r="AF13" i="27"/>
  <c r="AF18" i="27"/>
  <c r="AG11" i="28"/>
  <c r="AF7" i="29"/>
  <c r="AF13" i="30"/>
  <c r="AG6" i="32"/>
  <c r="AF6" i="32"/>
  <c r="AH5" i="33"/>
  <c r="AG5" i="33"/>
  <c r="AH7" i="33"/>
  <c r="AG7" i="33"/>
  <c r="AG11" i="33"/>
  <c r="AH6" i="34"/>
  <c r="AG6" i="34"/>
  <c r="AH8" i="34"/>
  <c r="AG8" i="34"/>
  <c r="AG7" i="35"/>
  <c r="AF12" i="35"/>
  <c r="AG12" i="35" s="1"/>
  <c r="AF20" i="39"/>
  <c r="M20" i="40"/>
  <c r="AG13" i="41"/>
  <c r="AF13" i="41"/>
  <c r="AG15" i="41"/>
  <c r="AF15" i="41"/>
  <c r="AG17" i="41"/>
  <c r="AF17" i="41"/>
  <c r="AF21" i="41"/>
  <c r="N6" i="42"/>
  <c r="AF6" i="42" s="1"/>
  <c r="AG8" i="42"/>
  <c r="AH8" i="42"/>
  <c r="AF21" i="42"/>
  <c r="AG10" i="43"/>
  <c r="AF10" i="43"/>
  <c r="AG12" i="43"/>
  <c r="AF12" i="43"/>
  <c r="AF16" i="43"/>
  <c r="K27" i="27"/>
  <c r="O6" i="27"/>
  <c r="O12" i="27"/>
  <c r="AF10" i="28"/>
  <c r="AH7" i="30"/>
  <c r="AH9" i="30"/>
  <c r="AH14" i="33"/>
  <c r="AG14" i="33"/>
  <c r="O20" i="34"/>
  <c r="AF18" i="34"/>
  <c r="AG18" i="34" s="1"/>
  <c r="AG20" i="34" s="1"/>
  <c r="AE5" i="36"/>
  <c r="N22" i="36"/>
  <c r="N13" i="37"/>
  <c r="AG5" i="41"/>
  <c r="AF5" i="41"/>
  <c r="AG7" i="41"/>
  <c r="AF7" i="41"/>
  <c r="AG24" i="41"/>
  <c r="AF24" i="41"/>
  <c r="AG30" i="41"/>
  <c r="AH17" i="42"/>
  <c r="AG17" i="42"/>
  <c r="AG6" i="43"/>
  <c r="AF6" i="43"/>
  <c r="M7" i="31"/>
  <c r="M23" i="31" s="1"/>
  <c r="J23" i="31"/>
  <c r="N23" i="33"/>
  <c r="M13" i="37"/>
  <c r="AF19" i="30"/>
  <c r="AG19" i="30" s="1"/>
  <c r="AF7" i="31"/>
  <c r="AF15" i="31"/>
  <c r="AF12" i="34"/>
  <c r="M15" i="35"/>
  <c r="AF13" i="35"/>
  <c r="AG13" i="35" s="1"/>
  <c r="AG15" i="35" s="1"/>
  <c r="M22" i="36"/>
  <c r="AE10" i="37"/>
  <c r="AF10" i="37" s="1"/>
  <c r="M6" i="38"/>
  <c r="M15" i="38" s="1"/>
  <c r="AE9" i="39"/>
  <c r="AF18" i="40"/>
  <c r="AG18" i="40" s="1"/>
  <c r="AG20" i="40" s="1"/>
  <c r="AE12" i="41"/>
  <c r="O16" i="43"/>
  <c r="AG12" i="31"/>
  <c r="AF21" i="31"/>
  <c r="AG21" i="31" s="1"/>
  <c r="AF6" i="33"/>
  <c r="AF7" i="37"/>
  <c r="AE11" i="37"/>
  <c r="AF11" i="37" s="1"/>
  <c r="AF13" i="37" s="1"/>
  <c r="AE13" i="39"/>
  <c r="AE16" i="41"/>
  <c r="N9" i="42"/>
  <c r="AF9" i="42" s="1"/>
  <c r="M9" i="42"/>
  <c r="AF19" i="42"/>
  <c r="M22" i="30"/>
  <c r="AF20" i="30"/>
  <c r="AG20" i="30" s="1"/>
  <c r="AF6" i="31"/>
  <c r="AF11" i="31"/>
  <c r="AG7" i="32"/>
  <c r="AH9" i="33"/>
  <c r="AG9" i="33"/>
  <c r="AF5" i="34"/>
  <c r="N20" i="34"/>
  <c r="AF16" i="34"/>
  <c r="AE17" i="36"/>
  <c r="AF17" i="36" s="1"/>
  <c r="AE6" i="37"/>
  <c r="AG16" i="39"/>
  <c r="AF16" i="39"/>
  <c r="AF9" i="40"/>
  <c r="AG19" i="41"/>
  <c r="AF19" i="41"/>
  <c r="AE28" i="41"/>
  <c r="AF16" i="42"/>
  <c r="AF10" i="34" l="1"/>
  <c r="AF20" i="27"/>
  <c r="AE12" i="27"/>
  <c r="AF15" i="27"/>
  <c r="AF8" i="27"/>
  <c r="AG8" i="27"/>
  <c r="AG8" i="37"/>
  <c r="AE13" i="37"/>
  <c r="AG10" i="35"/>
  <c r="AH10" i="35"/>
  <c r="AH12" i="33"/>
  <c r="AG12" i="33"/>
  <c r="AG10" i="33"/>
  <c r="AH10" i="33"/>
  <c r="AG8" i="32"/>
  <c r="AF8" i="32"/>
  <c r="AG25" i="27"/>
  <c r="AF25" i="27"/>
  <c r="AF27" i="27" s="1"/>
  <c r="AG16" i="27"/>
  <c r="AF16" i="27"/>
  <c r="AG19" i="25"/>
  <c r="AH19" i="25"/>
  <c r="AH8" i="25"/>
  <c r="AG8" i="25"/>
  <c r="AF10" i="24"/>
  <c r="AF23" i="24" s="1"/>
  <c r="AG22" i="18"/>
  <c r="N22" i="18"/>
  <c r="AF10" i="16"/>
  <c r="AG10" i="16" s="1"/>
  <c r="AG14" i="16" s="1"/>
  <c r="AF14" i="16"/>
  <c r="AF14" i="14"/>
  <c r="AG14" i="14" s="1"/>
  <c r="O22" i="14"/>
  <c r="M98" i="13"/>
  <c r="O98" i="13"/>
  <c r="AG10" i="5"/>
  <c r="AH10" i="5"/>
  <c r="AG40" i="5"/>
  <c r="AG42" i="5"/>
  <c r="AH42" i="5"/>
  <c r="AG44" i="5"/>
  <c r="AH44" i="5"/>
  <c r="AG18" i="5"/>
  <c r="AG86" i="5" s="1"/>
  <c r="AH18" i="5"/>
  <c r="AH30" i="5"/>
  <c r="AG30" i="5"/>
  <c r="AG29" i="5"/>
  <c r="AH6" i="5"/>
  <c r="AG6" i="5"/>
  <c r="AH28" i="5"/>
  <c r="AG28" i="5"/>
  <c r="AG37" i="5"/>
  <c r="AH38" i="5"/>
  <c r="AG38" i="5"/>
  <c r="AH78" i="5"/>
  <c r="AG78" i="5"/>
  <c r="AG26" i="5"/>
  <c r="AH26" i="5"/>
  <c r="AF86" i="5"/>
  <c r="AH36" i="5"/>
  <c r="AG36" i="5"/>
  <c r="AG68" i="5"/>
  <c r="AH68" i="5"/>
  <c r="AH76" i="5"/>
  <c r="AG76" i="5"/>
  <c r="AG34" i="5"/>
  <c r="AH34" i="5"/>
  <c r="AG14" i="5"/>
  <c r="AH14" i="5"/>
  <c r="AG74" i="5"/>
  <c r="AH74" i="5"/>
  <c r="AH22" i="5"/>
  <c r="AG22" i="5"/>
  <c r="AG46" i="5"/>
  <c r="AH46" i="5"/>
  <c r="AG12" i="5"/>
  <c r="AH12" i="5"/>
  <c r="AH20" i="5"/>
  <c r="AG20" i="5"/>
  <c r="AG19" i="4"/>
  <c r="AI19" i="4"/>
  <c r="N69" i="3"/>
  <c r="M69" i="3"/>
  <c r="O166" i="2"/>
  <c r="AF121" i="2"/>
  <c r="AG121" i="2" s="1"/>
  <c r="M166" i="2"/>
  <c r="AG37" i="1"/>
  <c r="AH37" i="1"/>
  <c r="AH108" i="1"/>
  <c r="AG108" i="1"/>
  <c r="AG35" i="1"/>
  <c r="AH35" i="1"/>
  <c r="AG76" i="1"/>
  <c r="AH76" i="1"/>
  <c r="AF21" i="1"/>
  <c r="AH119" i="1"/>
  <c r="AG41" i="1"/>
  <c r="AH25" i="1"/>
  <c r="AG27" i="1"/>
  <c r="AH27" i="1"/>
  <c r="AG16" i="1"/>
  <c r="AH16" i="1"/>
  <c r="AG106" i="1"/>
  <c r="AH106" i="1"/>
  <c r="AG17" i="1"/>
  <c r="AG79" i="1"/>
  <c r="AG14" i="1"/>
  <c r="AH14" i="1"/>
  <c r="AG20" i="1"/>
  <c r="AH20" i="1"/>
  <c r="AF5" i="36"/>
  <c r="AE22" i="36"/>
  <c r="AG12" i="27"/>
  <c r="AF12" i="27"/>
  <c r="AH9" i="23"/>
  <c r="AG9" i="23"/>
  <c r="AF5" i="27"/>
  <c r="AG5" i="27"/>
  <c r="AG16" i="34"/>
  <c r="AH16" i="34"/>
  <c r="AF22" i="30"/>
  <c r="AH5" i="26"/>
  <c r="AF14" i="26"/>
  <c r="AG5" i="26"/>
  <c r="N27" i="27"/>
  <c r="N24" i="25"/>
  <c r="AF13" i="21"/>
  <c r="AE23" i="15"/>
  <c r="AF5" i="15"/>
  <c r="AF23" i="15" s="1"/>
  <c r="N5" i="11"/>
  <c r="M5" i="11"/>
  <c r="M22" i="11" s="1"/>
  <c r="O5" i="11"/>
  <c r="O22" i="11" s="1"/>
  <c r="K22" i="11"/>
  <c r="AF110" i="2"/>
  <c r="AG110" i="2" s="1"/>
  <c r="AF21" i="7"/>
  <c r="AG5" i="7"/>
  <c r="AG21" i="7" s="1"/>
  <c r="AG23" i="1"/>
  <c r="AH23" i="1"/>
  <c r="AF59" i="2"/>
  <c r="AG59" i="2" s="1"/>
  <c r="AH74" i="1"/>
  <c r="AG74" i="1"/>
  <c r="AI7" i="4"/>
  <c r="AG7" i="4"/>
  <c r="N24" i="19"/>
  <c r="AG6" i="25"/>
  <c r="AH6" i="25"/>
  <c r="AG125" i="1"/>
  <c r="AH125" i="1"/>
  <c r="AG78" i="1"/>
  <c r="AH78" i="1"/>
  <c r="O69" i="3"/>
  <c r="AG19" i="42"/>
  <c r="AH19" i="42"/>
  <c r="AE6" i="27"/>
  <c r="AE27" i="27" s="1"/>
  <c r="N14" i="16"/>
  <c r="AG21" i="4"/>
  <c r="AI21" i="4"/>
  <c r="AF153" i="2"/>
  <c r="AG153" i="2" s="1"/>
  <c r="AG28" i="41"/>
  <c r="AF28" i="41"/>
  <c r="AG12" i="41"/>
  <c r="AF12" i="41"/>
  <c r="AH14" i="25"/>
  <c r="AG14" i="25"/>
  <c r="N16" i="23"/>
  <c r="AG21" i="42"/>
  <c r="AG23" i="42" s="1"/>
  <c r="AH21" i="42"/>
  <c r="AF23" i="33"/>
  <c r="AH6" i="33"/>
  <c r="AG6" i="33"/>
  <c r="AE27" i="12"/>
  <c r="AF5" i="12"/>
  <c r="AF27" i="12" s="1"/>
  <c r="AF40" i="1"/>
  <c r="AG6" i="42"/>
  <c r="AH6" i="42"/>
  <c r="AG7" i="29"/>
  <c r="AH7" i="29"/>
  <c r="AE15" i="38"/>
  <c r="AF5" i="38"/>
  <c r="AG6" i="28"/>
  <c r="AH6" i="28"/>
  <c r="AF19" i="28"/>
  <c r="AF16" i="17"/>
  <c r="AG5" i="17"/>
  <c r="N23" i="24"/>
  <c r="AF20" i="40"/>
  <c r="AH5" i="40"/>
  <c r="AG5" i="40"/>
  <c r="AG5" i="4"/>
  <c r="AF26" i="4"/>
  <c r="AI5" i="4"/>
  <c r="AG109" i="1"/>
  <c r="AH109" i="1"/>
  <c r="AF67" i="2"/>
  <c r="AG67" i="2" s="1"/>
  <c r="AF10" i="2"/>
  <c r="N166" i="2"/>
  <c r="AF24" i="19"/>
  <c r="AF10" i="29"/>
  <c r="AG5" i="29"/>
  <c r="AH5" i="29"/>
  <c r="AG15" i="31"/>
  <c r="AH15" i="31"/>
  <c r="AF23" i="42"/>
  <c r="AH5" i="42"/>
  <c r="AG5" i="42"/>
  <c r="AH9" i="42"/>
  <c r="AG9" i="42"/>
  <c r="AH17" i="25"/>
  <c r="AG17" i="25"/>
  <c r="AG6" i="23"/>
  <c r="AH6" i="23"/>
  <c r="AF16" i="23"/>
  <c r="AG8" i="28"/>
  <c r="AH8" i="28"/>
  <c r="AI11" i="4"/>
  <c r="AG11" i="4"/>
  <c r="AF24" i="6"/>
  <c r="AG24" i="6" s="1"/>
  <c r="AG57" i="6" s="1"/>
  <c r="N57" i="6"/>
  <c r="AF16" i="8"/>
  <c r="AG5" i="8"/>
  <c r="AG16" i="8" s="1"/>
  <c r="AG123" i="1"/>
  <c r="AH123" i="1"/>
  <c r="AG12" i="34"/>
  <c r="AH12" i="34"/>
  <c r="AE89" i="13"/>
  <c r="AF89" i="13" s="1"/>
  <c r="AE87" i="13"/>
  <c r="AF87" i="13" s="1"/>
  <c r="AF22" i="18"/>
  <c r="AG6" i="18"/>
  <c r="AH9" i="40"/>
  <c r="AG9" i="40"/>
  <c r="AF20" i="34"/>
  <c r="AH5" i="34"/>
  <c r="AG5" i="34"/>
  <c r="AG7" i="31"/>
  <c r="AH7" i="31"/>
  <c r="AG13" i="30"/>
  <c r="AH13" i="30"/>
  <c r="AG13" i="24"/>
  <c r="AH13" i="24"/>
  <c r="AG11" i="24"/>
  <c r="AH11" i="24"/>
  <c r="AG19" i="24"/>
  <c r="AH19" i="24"/>
  <c r="AG18" i="42"/>
  <c r="AH18" i="42"/>
  <c r="N24" i="20"/>
  <c r="AF24" i="25"/>
  <c r="AG5" i="9"/>
  <c r="AG26" i="9" s="1"/>
  <c r="AF26" i="9"/>
  <c r="AH33" i="1"/>
  <c r="AG33" i="1"/>
  <c r="AH6" i="31"/>
  <c r="AG6" i="31"/>
  <c r="AG15" i="25"/>
  <c r="AH15" i="25"/>
  <c r="AG9" i="27"/>
  <c r="AF9" i="27"/>
  <c r="AE20" i="39"/>
  <c r="AG5" i="39"/>
  <c r="AF5" i="39"/>
  <c r="AH18" i="25"/>
  <c r="AG18" i="25"/>
  <c r="AG9" i="39"/>
  <c r="AF9" i="39"/>
  <c r="AG8" i="41"/>
  <c r="AF8" i="41"/>
  <c r="AF6" i="37"/>
  <c r="AG6" i="37"/>
  <c r="AG16" i="41"/>
  <c r="AF16" i="41"/>
  <c r="AH16" i="42"/>
  <c r="AG16" i="42"/>
  <c r="AG11" i="31"/>
  <c r="AH11" i="31"/>
  <c r="AG13" i="39"/>
  <c r="AF13" i="39"/>
  <c r="AF23" i="31"/>
  <c r="AG10" i="28"/>
  <c r="AH10" i="28"/>
  <c r="AG13" i="31"/>
  <c r="AH13" i="31"/>
  <c r="AG5" i="20"/>
  <c r="AF24" i="20"/>
  <c r="AG5" i="22"/>
  <c r="AF13" i="22"/>
  <c r="AH8" i="26"/>
  <c r="AG8" i="26"/>
  <c r="AG15" i="24"/>
  <c r="AH15" i="24"/>
  <c r="AH5" i="35"/>
  <c r="AG5" i="35"/>
  <c r="AF15" i="35"/>
  <c r="N98" i="13"/>
  <c r="AE5" i="13"/>
  <c r="AF49" i="3"/>
  <c r="AG49" i="3" s="1"/>
  <c r="AG69" i="3" s="1"/>
  <c r="AH90" i="1"/>
  <c r="AG90" i="1"/>
  <c r="AG12" i="1"/>
  <c r="AH12" i="1"/>
  <c r="AG117" i="1"/>
  <c r="AH117" i="1"/>
  <c r="AF12" i="14"/>
  <c r="AH10" i="34" l="1"/>
  <c r="AG10" i="34"/>
  <c r="AG10" i="24"/>
  <c r="AH10" i="24"/>
  <c r="AG21" i="1"/>
  <c r="AG131" i="1" s="1"/>
  <c r="AH21" i="1"/>
  <c r="AG40" i="1"/>
  <c r="AH40" i="1"/>
  <c r="AF131" i="1"/>
  <c r="AF57" i="6"/>
  <c r="AE5" i="11"/>
  <c r="N22" i="11"/>
  <c r="AG12" i="14"/>
  <c r="AG22" i="14" s="1"/>
  <c r="AF22" i="14"/>
  <c r="AE98" i="13"/>
  <c r="AF5" i="13"/>
  <c r="AF98" i="13" s="1"/>
  <c r="AG10" i="2"/>
  <c r="AG166" i="2" s="1"/>
  <c r="AF166" i="2"/>
  <c r="AG6" i="27"/>
  <c r="AF6" i="27"/>
  <c r="AG26" i="4"/>
  <c r="AF69" i="3"/>
  <c r="AE22" i="11" l="1"/>
  <c r="AF5" i="11"/>
  <c r="AF22" i="11" s="1"/>
</calcChain>
</file>

<file path=xl/sharedStrings.xml><?xml version="1.0" encoding="utf-8"?>
<sst xmlns="http://schemas.openxmlformats.org/spreadsheetml/2006/main" count="4522" uniqueCount="1016">
  <si>
    <t>CO. NAME: TOSHCO INC</t>
  </si>
  <si>
    <t xml:space="preserve">Petty Cash </t>
  </si>
  <si>
    <t>For the Month Ended:  January 2020</t>
  </si>
  <si>
    <t>6223-2</t>
  </si>
  <si>
    <t>6102-3</t>
  </si>
  <si>
    <t>Date</t>
  </si>
  <si>
    <t>PCV Number</t>
  </si>
  <si>
    <t>Payee</t>
  </si>
  <si>
    <t>TIN</t>
  </si>
  <si>
    <t>Address</t>
  </si>
  <si>
    <t>Invoice Number</t>
  </si>
  <si>
    <t>Particulars</t>
  </si>
  <si>
    <t>Invalid</t>
  </si>
  <si>
    <t>VAT Zero-Rated</t>
  </si>
  <si>
    <t>VAT Exempt</t>
  </si>
  <si>
    <t>VAT 12%</t>
  </si>
  <si>
    <t>EWT Rate</t>
  </si>
  <si>
    <t>Net of VAT</t>
  </si>
  <si>
    <t>Input VAT</t>
  </si>
  <si>
    <t>EWT</t>
  </si>
  <si>
    <t>RAW MATS FOOD</t>
  </si>
  <si>
    <t>RAW MATS BEVERAGES</t>
  </si>
  <si>
    <t xml:space="preserve">CLEANING </t>
  </si>
  <si>
    <t>PACKAGING</t>
  </si>
  <si>
    <t>OFFICE SUPPLIES</t>
  </si>
  <si>
    <t>GUEST SUPPLIES</t>
  </si>
  <si>
    <t>DECORS</t>
  </si>
  <si>
    <t>MEDICAL SUPPLIES</t>
  </si>
  <si>
    <t>WARES AND UTENSILS</t>
  </si>
  <si>
    <t>REPAIRS AND MAINTENANCE</t>
  </si>
  <si>
    <t>PHOTOCOPY</t>
  </si>
  <si>
    <t>TRANSPO</t>
  </si>
  <si>
    <t>SALARIES AND WAGES</t>
  </si>
  <si>
    <t>MARKETING</t>
  </si>
  <si>
    <t>MISC</t>
  </si>
  <si>
    <t>EMP MEAL</t>
  </si>
  <si>
    <t>Petty Cash</t>
  </si>
  <si>
    <t>Lalamove</t>
  </si>
  <si>
    <t>Cake Delivery Charged</t>
  </si>
  <si>
    <t>Rustans Supercenters Inc</t>
  </si>
  <si>
    <t>201-160-401-002</t>
  </si>
  <si>
    <t>Valero St Makati City</t>
  </si>
  <si>
    <t>Rice</t>
  </si>
  <si>
    <t>Ketchup</t>
  </si>
  <si>
    <t>Iodized Salt, All Purpose Cream,Butter</t>
  </si>
  <si>
    <t>Angelo Sanchez</t>
  </si>
  <si>
    <t>Transpo purchased kitchen stocks</t>
  </si>
  <si>
    <t>The Landmark Corporation</t>
  </si>
  <si>
    <t>000-148-295-000</t>
  </si>
  <si>
    <t>Makati City</t>
  </si>
  <si>
    <t>Flour</t>
  </si>
  <si>
    <t>Tomato,Tanglad</t>
  </si>
  <si>
    <t xml:space="preserve"> Super Shopping Market Inc</t>
  </si>
  <si>
    <t>209-609-185-000</t>
  </si>
  <si>
    <t>Beef Brisket,Organic Bacon,APC,Macaroni,Carrots,Lychee</t>
  </si>
  <si>
    <t>ASC Enterprises Inc</t>
  </si>
  <si>
    <t>000-080-595-000</t>
  </si>
  <si>
    <t>Sta Mesa Manila</t>
  </si>
  <si>
    <t>Tube Ice</t>
  </si>
  <si>
    <t>Spaghetti,Macaroni,Spinach,Carrots</t>
  </si>
  <si>
    <t>Glenn Biarcal</t>
  </si>
  <si>
    <t>Transpo going to KCC Office</t>
  </si>
  <si>
    <t>Ruel Hayagan</t>
  </si>
  <si>
    <t>Sili Finger</t>
  </si>
  <si>
    <t>Transpo going to Foodzone</t>
  </si>
  <si>
    <t>Evarlies Meatshop</t>
  </si>
  <si>
    <t>139-599-310-000</t>
  </si>
  <si>
    <t>Marikina City</t>
  </si>
  <si>
    <t>French Fries</t>
  </si>
  <si>
    <t>Transpo purchased kitchen stocks in Marikina</t>
  </si>
  <si>
    <t>AAB Baking Goods &amp; Supplies</t>
  </si>
  <si>
    <t>008-196-741-001</t>
  </si>
  <si>
    <t>Quezon City</t>
  </si>
  <si>
    <t>Corn Meal, Dark Chocolate</t>
  </si>
  <si>
    <t>Pineapple Juice.Honey Mustard</t>
  </si>
  <si>
    <t>Sili Sigang,Cherry Tomato</t>
  </si>
  <si>
    <t>Beef Brisket,DM Seasoning,Atsuete</t>
  </si>
  <si>
    <t>Bacon Bits,Pork Ribs,Fries</t>
  </si>
  <si>
    <t>Almas Cold Cuts Meat Store</t>
  </si>
  <si>
    <t>235-048-461-000</t>
  </si>
  <si>
    <t>Hungarian Sausage</t>
  </si>
  <si>
    <t>Cooks Exchange Inc</t>
  </si>
  <si>
    <t>001-925-221-002</t>
  </si>
  <si>
    <t>Wax Paper</t>
  </si>
  <si>
    <t>Arugula</t>
  </si>
  <si>
    <t>Jalapeno &amp; Calamares</t>
  </si>
  <si>
    <t>Harry's Liquor Mart</t>
  </si>
  <si>
    <t>101-703-221-000</t>
  </si>
  <si>
    <t>Pasay City</t>
  </si>
  <si>
    <t>White &amp; Red Wine, Grenadine</t>
  </si>
  <si>
    <t>Transpo purchased Wine</t>
  </si>
  <si>
    <t>Pagiling of Shortplate c/oo Palengke</t>
  </si>
  <si>
    <t>Baguette Bread &amp; Burger Bun, Anchovies</t>
  </si>
  <si>
    <t>Sili Finger (purchased @ wet market)</t>
  </si>
  <si>
    <t>San  Miguel Brewery Inc</t>
  </si>
  <si>
    <t>006-807-251-028</t>
  </si>
  <si>
    <t>Sta Ana Manila</t>
  </si>
  <si>
    <t>Empty Bottle charged</t>
  </si>
  <si>
    <t>Sweet Corn (purchased @ wet market)</t>
  </si>
  <si>
    <t>Cake Delivery</t>
  </si>
  <si>
    <t>Hotcake Mix</t>
  </si>
  <si>
    <t>Basil Leave</t>
  </si>
  <si>
    <t>Transpo going to Katipunan returned cake tray</t>
  </si>
  <si>
    <t>Chef Agui</t>
  </si>
  <si>
    <t>Microgreen</t>
  </si>
  <si>
    <t>LED Bulb</t>
  </si>
  <si>
    <t>Office Warehouse Inc</t>
  </si>
  <si>
    <t>200-492-462-008</t>
  </si>
  <si>
    <t>POS Ribbon, scotch tape</t>
  </si>
  <si>
    <t>Curry Powder &amp; Cheese Powder</t>
  </si>
  <si>
    <t xml:space="preserve"> Supervalue Inc.</t>
  </si>
  <si>
    <t>000-144-976-005</t>
  </si>
  <si>
    <t>Macaroni,Linguine,Sardines,Cheddar Cheese</t>
  </si>
  <si>
    <t>Transpo going to KCC office for check signing</t>
  </si>
  <si>
    <t>Vinch Win Gen Merch.</t>
  </si>
  <si>
    <t>261-001-022-000</t>
  </si>
  <si>
    <t>Tabora St.Binondo Manila</t>
  </si>
  <si>
    <t>Walis Tambo</t>
  </si>
  <si>
    <t>Correction Tape &amp; Pen</t>
  </si>
  <si>
    <t xml:space="preserve">Baguette Bread </t>
  </si>
  <si>
    <t>Teddy (Electrician)</t>
  </si>
  <si>
    <t>Electrical Check up</t>
  </si>
  <si>
    <t>Fries &amp; Bacon Bits</t>
  </si>
  <si>
    <t>Judith Meat Products</t>
  </si>
  <si>
    <t>241-803-874-000</t>
  </si>
  <si>
    <t>Brown Sugar Sachet,Strawberry &amp; Blueberries,Eggs</t>
  </si>
  <si>
    <t>Energizer Battery</t>
  </si>
  <si>
    <t>Bellpeppers &amp; Carrots</t>
  </si>
  <si>
    <t>HP Ink (Colored)</t>
  </si>
  <si>
    <t>Photocopy of Cahiers Report</t>
  </si>
  <si>
    <t>HP Ink Black &amp; Bond Paper</t>
  </si>
  <si>
    <t>Newtech Pest Control Trading</t>
  </si>
  <si>
    <t>230-463-792-000</t>
  </si>
  <si>
    <t>Taguig City</t>
  </si>
  <si>
    <t>Pest Control Service</t>
  </si>
  <si>
    <t>Tokwa (purchased@wet market)</t>
  </si>
  <si>
    <t>Macaroni,Brown Sugar,Cumin,Cheese Powder,Ground Oregano</t>
  </si>
  <si>
    <t>French Beans,Laurel,Sweet Corn</t>
  </si>
  <si>
    <t>Baguette Bread</t>
  </si>
  <si>
    <t>Condura Express Service Makati</t>
  </si>
  <si>
    <t>002-284-007-000</t>
  </si>
  <si>
    <t>Evangelista St Makati City</t>
  </si>
  <si>
    <t>ACU Cleaning (Function &amp; Lower Ground Floor Area)</t>
  </si>
  <si>
    <t>Pan De Manila Food Co., Inc</t>
  </si>
  <si>
    <t>203-120-687-108</t>
  </si>
  <si>
    <t>Sardines</t>
  </si>
  <si>
    <t>Ramiken</t>
  </si>
  <si>
    <t>Reinan Ref &amp; Aircon Services</t>
  </si>
  <si>
    <t>San Rafael Pasay City</t>
  </si>
  <si>
    <t>ACU Cleaning (Upper Mezzanine)</t>
  </si>
  <si>
    <t>Lychee,Peanut Butter &amp; Vanilla Ice Cream</t>
  </si>
  <si>
    <t>Tissue Roll</t>
  </si>
  <si>
    <t>Transpo purchase kitchen stocks in Marikina</t>
  </si>
  <si>
    <t>Transpo pick up kitchenwares purchased in tosh otis</t>
  </si>
  <si>
    <t>Sweet Corn &amp; Sili Finger (wet market)</t>
  </si>
  <si>
    <t>Datu Puti Vinegar</t>
  </si>
  <si>
    <t>Wine</t>
  </si>
  <si>
    <t>Transpo purchased wine</t>
  </si>
  <si>
    <t>Cheddar Cheese</t>
  </si>
  <si>
    <t>Cherry Tomato &amp; Basil</t>
  </si>
  <si>
    <t>Sweet Corn (wet market)</t>
  </si>
  <si>
    <t>Photocopy of Cahiers report</t>
  </si>
  <si>
    <t>Super Shopping Market Inc</t>
  </si>
  <si>
    <t>Bel Air Makati City</t>
  </si>
  <si>
    <t>Chicken Whole,Hotdog,Pineapple Tidbits,Cheddar Cheese</t>
  </si>
  <si>
    <t>Transpo going to Marikina</t>
  </si>
  <si>
    <t>Penne,Fettucine,Datu Puti,Sardines,Elbow Macaroni</t>
  </si>
  <si>
    <t>Bell Pepper,Sili Finger</t>
  </si>
  <si>
    <t>HDMF</t>
  </si>
  <si>
    <t>Pag-ibig Penalty Payment</t>
  </si>
  <si>
    <t>Marie Sosa</t>
  </si>
  <si>
    <t>Transpo going to Pag-ibig Branch</t>
  </si>
  <si>
    <t>Sili Finger &amp; Sweet Corn</t>
  </si>
  <si>
    <t>Document Transfer(Fixed Assets)</t>
  </si>
  <si>
    <t>USB</t>
  </si>
  <si>
    <t>Makati Public Market</t>
  </si>
  <si>
    <t>Transpo purchased rice</t>
  </si>
  <si>
    <t>Document Transfer c/o Alvin Cruz</t>
  </si>
  <si>
    <t>Linguine Pasta,Macaroni</t>
  </si>
  <si>
    <t>Rana Bodega Sales Center</t>
  </si>
  <si>
    <t>100-065-841-000</t>
  </si>
  <si>
    <t>Makati Ave,Makati City</t>
  </si>
  <si>
    <t>Notary of Fixed Asset Document</t>
  </si>
  <si>
    <t>Tomato</t>
  </si>
  <si>
    <t>Mercury Drug Corporation</t>
  </si>
  <si>
    <t>000-388-474-486</t>
  </si>
  <si>
    <t>Alcohol</t>
  </si>
  <si>
    <t>Chicken,Basil Leaves</t>
  </si>
  <si>
    <t>Demi Glaze,Basil Leaves</t>
  </si>
  <si>
    <t>White Wine</t>
  </si>
  <si>
    <t>Broas</t>
  </si>
  <si>
    <t>For the Month Ended:  FEBRUARY 2020</t>
  </si>
  <si>
    <t>Photocopy of Cashier's Report</t>
  </si>
  <si>
    <t>Table Napkin</t>
  </si>
  <si>
    <t>French Fries,Pork Ribs</t>
  </si>
  <si>
    <t>Bacon,Dark Chocolate,Cream Cheese,Kikkoman,Cheddar Cheese,Sardines,Lychee,Macaroni</t>
  </si>
  <si>
    <t>Dill,Brisket Boneless,Blackberries</t>
  </si>
  <si>
    <t>Sinandomeng Rice</t>
  </si>
  <si>
    <t>Scotch Tape,POS Ribbon,Paper Clip,Binder Clip</t>
  </si>
  <si>
    <t>Tomato Sauce &amp; Baguette Bread</t>
  </si>
  <si>
    <t>Worlflex Trading Co.</t>
  </si>
  <si>
    <t>008-771-238-000</t>
  </si>
  <si>
    <t>Transportation Charged c/o Rotisserie Check up</t>
  </si>
  <si>
    <t>Rice purchased @ wet market</t>
  </si>
  <si>
    <t>Head Office c/o Myla Calar</t>
  </si>
  <si>
    <t>Payment for New GC</t>
  </si>
  <si>
    <t>Almas Cold Cuts</t>
  </si>
  <si>
    <t>Hungarian Sausage &amp; Bacon Bits</t>
  </si>
  <si>
    <t>Transpo purchased Kitchen Stocks in Marikina</t>
  </si>
  <si>
    <t>2 kilo Sili Finger (purchased @ wet market)</t>
  </si>
  <si>
    <t>Palm Oil</t>
  </si>
  <si>
    <t>Breadcrumbs &amp; Palm Oil</t>
  </si>
  <si>
    <t>Transpo purchased packaging materials</t>
  </si>
  <si>
    <t>Shah Bonn Jadd Gen Merch.</t>
  </si>
  <si>
    <t>106-226-027-000</t>
  </si>
  <si>
    <t>Canester &amp; Cup w/ Lid</t>
  </si>
  <si>
    <t>Baguette Bread,Heritage Cheese</t>
  </si>
  <si>
    <t>Mercury Drug Store</t>
  </si>
  <si>
    <t>AA Battery</t>
  </si>
  <si>
    <t>Cheese Powder, Cherry Tomato</t>
  </si>
  <si>
    <t>Spaghetti Pasta,Sweet Chili Sauce,Breadcrumbs,APC</t>
  </si>
  <si>
    <t>Brown Sugar</t>
  </si>
  <si>
    <t>Elbow Macaroni,Breadcrumbs</t>
  </si>
  <si>
    <t>Breadcrumbs,Sardines,Hotcake</t>
  </si>
  <si>
    <t>Mejora Ferro Corporation</t>
  </si>
  <si>
    <t>477-928-673-004</t>
  </si>
  <si>
    <t>Banana</t>
  </si>
  <si>
    <t>Scotch Tape,POS Ribbon</t>
  </si>
  <si>
    <t>Photocopy of Cashier report</t>
  </si>
  <si>
    <t>Heritage Cheese</t>
  </si>
  <si>
    <t>Garlic Powder,Molo Wrapper,Bacon</t>
  </si>
  <si>
    <t>Garlic Powder</t>
  </si>
  <si>
    <t>French Fries &amp; Baby Back Ribs</t>
  </si>
  <si>
    <t>AAB Baking Goods &amp; Supplies Inc</t>
  </si>
  <si>
    <t>Unsalted Butter &amp; Dark Chocolate</t>
  </si>
  <si>
    <t>Elbow Macaroni,Brown Sugar,Anchovies</t>
  </si>
  <si>
    <t>Pork Tenderloin</t>
  </si>
  <si>
    <t>Lumpia Wrapper,Tofu,Elbow Macaroni</t>
  </si>
  <si>
    <t>Tanglad</t>
  </si>
  <si>
    <t>Del Monte Tidbits &amp; Hotdog</t>
  </si>
  <si>
    <t>Supervalue Inc</t>
  </si>
  <si>
    <t>Penne Pasta,Elbow Macaroni,Liguine,Ground Beef</t>
  </si>
  <si>
    <t>Beef Brisket,Sili Sigang,Lettuce</t>
  </si>
  <si>
    <t>Cheese Powder,Vinegar,Burger Buns</t>
  </si>
  <si>
    <t>Sweet Corn</t>
  </si>
  <si>
    <t>Transpo purchased Corn</t>
  </si>
  <si>
    <t>Oscar Dino</t>
  </si>
  <si>
    <t>Extra Kitchen Staff</t>
  </si>
  <si>
    <t>Table Linen</t>
  </si>
  <si>
    <t>Hi Ball Glass,Soy Dish</t>
  </si>
  <si>
    <t>Sugar,Cheddar Cheese</t>
  </si>
  <si>
    <t>Molinera, Tofu,Hotdog</t>
  </si>
  <si>
    <t>Ripe Mango &amp; Pakwan</t>
  </si>
  <si>
    <t>Sili Finger purchased @ wet market</t>
  </si>
  <si>
    <t>Transpo purchased Microgreen</t>
  </si>
  <si>
    <t>Transpo going to Tosh Katipunan</t>
  </si>
  <si>
    <t>Whole Chicken</t>
  </si>
  <si>
    <t>Michelle Padernal</t>
  </si>
  <si>
    <t>Extra Dining Staff (2 days)</t>
  </si>
  <si>
    <t>Ribbon for Cake Box</t>
  </si>
  <si>
    <t>POS Ribbon &amp; Sticker Paper</t>
  </si>
  <si>
    <t>Sticker Paper</t>
  </si>
  <si>
    <t>Air Freshener,Alcohol,Hand Sanitizer</t>
  </si>
  <si>
    <t>Bacon Bits</t>
  </si>
  <si>
    <t>Cheddar Cheese,Elbow Macaroni,Liguine,Penne</t>
  </si>
  <si>
    <t>Bellpepper</t>
  </si>
  <si>
    <t>Jco Donuts &amp; Coffee</t>
  </si>
  <si>
    <t>008-043-737-027</t>
  </si>
  <si>
    <t>Staff Meryenda noted by VCC</t>
  </si>
  <si>
    <t>Frozen Strawberry &amp; Ripe Mango</t>
  </si>
  <si>
    <t>Tranpo going to KCC office for checks signature</t>
  </si>
  <si>
    <t>Vanilla Ice Cream</t>
  </si>
  <si>
    <t>Beef Brisket,Pork Tenderloin,Ground Beef</t>
  </si>
  <si>
    <t>Sardines,Bacon,Cheese powder,Cranberries</t>
  </si>
  <si>
    <t>Whip It Charger</t>
  </si>
  <si>
    <t>Cream Cheese</t>
  </si>
  <si>
    <t>Sweet Corn &amp; Squash</t>
  </si>
  <si>
    <t>Transpo purchased kitchen stocks &amp; Picked up Cake</t>
  </si>
  <si>
    <t>Foodzone Inc</t>
  </si>
  <si>
    <t>004-846-011-000</t>
  </si>
  <si>
    <t>Mandaluyong City</t>
  </si>
  <si>
    <t>Pizza Cheese</t>
  </si>
  <si>
    <t>Transpo purchased Pizza Cheese</t>
  </si>
  <si>
    <t>Apple,Brown Sugar,Cherry Tomato</t>
  </si>
  <si>
    <t>Mayo, Oreo Vanilla, Raspberry</t>
  </si>
  <si>
    <t>Fries,Babyback Ribs</t>
  </si>
  <si>
    <t>Transpo purchased Kitchen Stocks</t>
  </si>
  <si>
    <t>Native Tomato</t>
  </si>
  <si>
    <t>Timecard,Ballpen,Scotch Tape</t>
  </si>
  <si>
    <t>Eggs,Brown Sugar</t>
  </si>
  <si>
    <t>Palm Sugar</t>
  </si>
  <si>
    <t>Penne &amp; Angel Hair Pasta</t>
  </si>
  <si>
    <t>CM De Jesusu Gen Merch.</t>
  </si>
  <si>
    <t>440-356-582-000</t>
  </si>
  <si>
    <t>Pateros Manila</t>
  </si>
  <si>
    <t>Flexible Hose &amp; Teflon</t>
  </si>
  <si>
    <t>Breadcrumbs,Coconut Oil</t>
  </si>
  <si>
    <t>0000-144-976-005</t>
  </si>
  <si>
    <t>Mozza,French beans,Elbow Macaroni,Jalapeno</t>
  </si>
  <si>
    <t>Pocket Wifi Load</t>
  </si>
  <si>
    <t>Late Payment Penalty</t>
  </si>
  <si>
    <t>Black Olives.Capers,Tokwa</t>
  </si>
  <si>
    <t>Jongong Enterprise</t>
  </si>
  <si>
    <t>236-638-638-000</t>
  </si>
  <si>
    <t>Paseo Parkview Suites Condo Assoc</t>
  </si>
  <si>
    <t>227-293-501-000</t>
  </si>
  <si>
    <t>Car Sticker c/o VCC</t>
  </si>
  <si>
    <t>French Fries (purchased @ wet market)</t>
  </si>
  <si>
    <t>Almas Cold Cuts Store</t>
  </si>
  <si>
    <t>Park Avenue Desserts</t>
  </si>
  <si>
    <t>007-213-715-000</t>
  </si>
  <si>
    <t>Ayala Ave Makati City</t>
  </si>
  <si>
    <t>Ciabatta Bread</t>
  </si>
  <si>
    <t>Hershey Semi Sweet Chocolate</t>
  </si>
  <si>
    <t>Palm Oil,Botton Mushroom</t>
  </si>
  <si>
    <t>Mejora Fedro Corporation</t>
  </si>
  <si>
    <t>Fresh Whole Chicken,Eggs</t>
  </si>
  <si>
    <t>Angel Hair,Bacon,Olives,Pineapple juice</t>
  </si>
  <si>
    <t>EBD Scaffolding Rental</t>
  </si>
  <si>
    <t>217-344-654-000</t>
  </si>
  <si>
    <t>Scaffolding Rental</t>
  </si>
  <si>
    <t>Ace Hardware Philippines inc</t>
  </si>
  <si>
    <t>200-035-311-017</t>
  </si>
  <si>
    <t>2 way faucet,Push Brush,Mr Clean Muscle,Teflon Tape,Rags,Nails</t>
  </si>
  <si>
    <t>Floor wax</t>
  </si>
  <si>
    <t>Joyce Dino</t>
  </si>
  <si>
    <t>Transpo going to Malaya Hardware</t>
  </si>
  <si>
    <t>Malaya Lumber &amp; Contruction Supply</t>
  </si>
  <si>
    <t>000-164-259-000</t>
  </si>
  <si>
    <t>Thinner,Palleta,Tape,Paint Brush,Boral Powder</t>
  </si>
  <si>
    <t>ECVLS Foods</t>
  </si>
  <si>
    <t>137-518-914-000</t>
  </si>
  <si>
    <t>EM c/o Joyce Dino</t>
  </si>
  <si>
    <t>Bacon,Calamares,Tang,Mango Puree</t>
  </si>
  <si>
    <t>Rey Todio</t>
  </si>
  <si>
    <t>Labor Fee c/o Track light repair</t>
  </si>
  <si>
    <t xml:space="preserve">Snacks </t>
  </si>
  <si>
    <t>For the Month Ended:  MARCH 2020</t>
  </si>
  <si>
    <t>Cooking Oil, Sunquick Orange</t>
  </si>
  <si>
    <t>Isagani Vela</t>
  </si>
  <si>
    <t>Exhause Cleaning &amp; Repair</t>
  </si>
  <si>
    <t>Angel Hair Pasta,Lee Kum Kee,Kikkoman,Linguine Pasta,Elbow Macaroni,</t>
  </si>
  <si>
    <t>Ace Hardware Philippines Inc</t>
  </si>
  <si>
    <t>Floor Wax,Light Bulb</t>
  </si>
  <si>
    <t>Flour,Mozza Cheese,Anchovies</t>
  </si>
  <si>
    <t>000-457-888-003</t>
  </si>
  <si>
    <t>Magic Sarap, Capri Tomato</t>
  </si>
  <si>
    <t>Pagiling Charged (Beef Burger)</t>
  </si>
  <si>
    <t>Nescafe Coffee for cookies</t>
  </si>
  <si>
    <t>Bacon,Hungarian Sausage</t>
  </si>
  <si>
    <t>Photocopy of Cahiers Reports</t>
  </si>
  <si>
    <t>Chicken,Wansoy</t>
  </si>
  <si>
    <t>Alaska Condensed Milk,Graham Cracker</t>
  </si>
  <si>
    <t>Chicken,Fish Fillet,Sili Sigang,Tomato</t>
  </si>
  <si>
    <t>Lychee,Capri Tomato,Capers,Sardines,Chorizo,Wansuy</t>
  </si>
  <si>
    <t>Brown Sugar Sachet</t>
  </si>
  <si>
    <t>Air Freshener,Tissue,Battery</t>
  </si>
  <si>
    <t>Dark Choc,Oreo Cookie,Cream Cheese</t>
  </si>
  <si>
    <t>All About Baking</t>
  </si>
  <si>
    <t>Unflavored Gelatine</t>
  </si>
  <si>
    <t>Canester</t>
  </si>
  <si>
    <t>Transpo purchased corn</t>
  </si>
  <si>
    <t>Mejora Ferry Corporation</t>
  </si>
  <si>
    <t>Baguette Bread, Butter</t>
  </si>
  <si>
    <t>Chicken Cubes,Magic Sarap,Cheddar Cheese</t>
  </si>
  <si>
    <t>Iodized Salt,Burger Bun,Butter</t>
  </si>
  <si>
    <t>Ink Cartridge</t>
  </si>
  <si>
    <t>Tang Orange</t>
  </si>
  <si>
    <t>Cheery Tomato</t>
  </si>
  <si>
    <t>AP Flour,Butter,Molo Wrapper</t>
  </si>
  <si>
    <t>Eggs</t>
  </si>
  <si>
    <t>Ceniza Dauag</t>
  </si>
  <si>
    <t>Transpo c/o Aji Verde Delivery</t>
  </si>
  <si>
    <t>Lettuce,eggs</t>
  </si>
  <si>
    <t>Belong Enterprise</t>
  </si>
  <si>
    <t>180-192-125-001</t>
  </si>
  <si>
    <t>Butter,Cheddar Cheese</t>
  </si>
  <si>
    <t>Tissue</t>
  </si>
  <si>
    <t>Alcohol &amp; Sanitizer</t>
  </si>
  <si>
    <t>Parmesan Shaker,Coffee Mug,Plastic Storage,Small Trash Can</t>
  </si>
  <si>
    <t>Body Thermometer</t>
  </si>
  <si>
    <t>Grenadine</t>
  </si>
  <si>
    <t>Mint Leaves.Lemon,French Beans,Sugar,Beets,Sili Sigang</t>
  </si>
  <si>
    <t>Diced Tomato,Sardines,Milkmaid,Molinera,Penne,Macaroni</t>
  </si>
  <si>
    <t>For the Month Ended: May  2020</t>
  </si>
  <si>
    <t>Glenn.Angelo,Ericson</t>
  </si>
  <si>
    <t>EM</t>
  </si>
  <si>
    <t>Labor &amp; Materials-Cashier Plastic Cover Shield</t>
  </si>
  <si>
    <t>1 day Salary</t>
  </si>
  <si>
    <t>Trashbag-purchased @ wet market</t>
  </si>
  <si>
    <t>Valero St Makati</t>
  </si>
  <si>
    <t>Globe Load</t>
  </si>
  <si>
    <t>Supper Shopping Market Inc</t>
  </si>
  <si>
    <t>209-609-105-000</t>
  </si>
  <si>
    <t>Smoked Tinapa</t>
  </si>
  <si>
    <t>Insect Disinfectant</t>
  </si>
  <si>
    <t>French Baguette</t>
  </si>
  <si>
    <t>Chorizo de Bilbao</t>
  </si>
  <si>
    <t>Tomato Sauce.Cherry Tomato, Lumpia Wrapper</t>
  </si>
  <si>
    <t>Lettuce</t>
  </si>
  <si>
    <t>Paper Bag</t>
  </si>
  <si>
    <t xml:space="preserve"> </t>
  </si>
  <si>
    <t>For the Month Ended:  June 2020</t>
  </si>
  <si>
    <t>Brown Tissue</t>
  </si>
  <si>
    <t>Marvin Luminuque</t>
  </si>
  <si>
    <t>Photocopy of X sign</t>
  </si>
  <si>
    <t>Belong Enterprises</t>
  </si>
  <si>
    <t>200-348-929-004</t>
  </si>
  <si>
    <t>POS Printer Ribbon,Folder,Tape,Ballpen</t>
  </si>
  <si>
    <t>PMKS Marketing</t>
  </si>
  <si>
    <t>215-105-789-000</t>
  </si>
  <si>
    <t>Tangos Navotas</t>
  </si>
  <si>
    <t>Valero St  Makati City</t>
  </si>
  <si>
    <t>Oreo Vanilla</t>
  </si>
  <si>
    <t>Milkmaid,Condensed Milk,Potato</t>
  </si>
  <si>
    <t>Lettuce 900g (purchased @ wet Market)</t>
  </si>
  <si>
    <t>Check Transfer</t>
  </si>
  <si>
    <t>Check transfer from VCC house to Tosh (payment for Sampaga)</t>
  </si>
  <si>
    <t>Transp purchased kitchen stocks</t>
  </si>
  <si>
    <t>ShahBonn Jadd Gen Merch.</t>
  </si>
  <si>
    <t>Guadalupe Makati City</t>
  </si>
  <si>
    <t>Sauce Cup</t>
  </si>
  <si>
    <t>Vic &amp; Baby Vegetable Dealer</t>
  </si>
  <si>
    <t>212-868-741-000</t>
  </si>
  <si>
    <t>Lettiuce</t>
  </si>
  <si>
    <t>Chicken Breast Fillet &amp; Ripe Mango</t>
  </si>
  <si>
    <t>French Baguette,Dijon Mustard</t>
  </si>
  <si>
    <t>Alvin Cruz</t>
  </si>
  <si>
    <t>ITR Balance Payment</t>
  </si>
  <si>
    <t>Check Transfer from VCC house to Tosh (Payroll Check)</t>
  </si>
  <si>
    <t>Load for Lanovo Tablet</t>
  </si>
  <si>
    <t>Transpo purchased Lettuce</t>
  </si>
  <si>
    <t>Lettuce (purchased @ wet market)</t>
  </si>
  <si>
    <t>Genberz Select Foods Inc</t>
  </si>
  <si>
    <t>009-493-920-000</t>
  </si>
  <si>
    <t>Pork Spareribs</t>
  </si>
  <si>
    <t>Grab Delivery</t>
  </si>
  <si>
    <t>Food Delivery c/o KCC (Tosh to Muntinlupa)</t>
  </si>
  <si>
    <t>Rice (25 kilo)</t>
  </si>
  <si>
    <t>Transpo purchased Rice</t>
  </si>
  <si>
    <t>Fresh Eggs (2 Dozen)</t>
  </si>
  <si>
    <t>Bond Paper,Electrical tape,Scotch Tape</t>
  </si>
  <si>
    <t>Lettuce &amp; Potatoes</t>
  </si>
  <si>
    <t>Envelope</t>
  </si>
  <si>
    <t>Gas &amp; Parking Fee (Delivery of Letter to Charlex)</t>
  </si>
  <si>
    <t>Battery for Temp Scanner</t>
  </si>
  <si>
    <t>Transpo purchased fries</t>
  </si>
  <si>
    <t>Face Mask</t>
  </si>
  <si>
    <t>ITR Documents delivery charged (from Tosh to Alvin Cruz)</t>
  </si>
  <si>
    <t>Fettu Pasta,Fresh milk,Heritage Cheese,Baguette Bread)</t>
  </si>
  <si>
    <t>Fernando Sampaga</t>
  </si>
  <si>
    <t>916-578-829-000</t>
  </si>
  <si>
    <t>Cubao QC</t>
  </si>
  <si>
    <t>2 kilo Clams</t>
  </si>
  <si>
    <t>Richstar Fuel Station Company</t>
  </si>
  <si>
    <t>009-383-181-000</t>
  </si>
  <si>
    <t>Malibay Pasay City</t>
  </si>
  <si>
    <t>Gas (c/o Doc's Delivery to Charlex)</t>
  </si>
  <si>
    <t>SM Prime Holdings Inc</t>
  </si>
  <si>
    <t>003-058-789-041</t>
  </si>
  <si>
    <t>Parking Fee (c/o Doc's delivery to Charlex)</t>
  </si>
  <si>
    <t>Battery for Thermo Scanner</t>
  </si>
  <si>
    <t xml:space="preserve">French Fries </t>
  </si>
  <si>
    <t>Transpo purchased Fries in Marikina</t>
  </si>
  <si>
    <t>000-388-474-485</t>
  </si>
  <si>
    <t>Facemask</t>
  </si>
  <si>
    <t>ITR Doc's transfer to Sir Alvin</t>
  </si>
  <si>
    <t>Fettu Pasta,Fresh Milk,Heritage Cheese,Baguette Bread</t>
  </si>
  <si>
    <t>Sampaga Seafoods Dealer</t>
  </si>
  <si>
    <t>Clams</t>
  </si>
  <si>
    <t>Globe Simcard for Gcash Payment</t>
  </si>
  <si>
    <t>Shah Bonn Jadd Gen Merch</t>
  </si>
  <si>
    <t>Sauce cup with lid</t>
  </si>
  <si>
    <t>Fresh Milk</t>
  </si>
  <si>
    <t>Transpo purchased Packaging Materials</t>
  </si>
  <si>
    <t>VCC</t>
  </si>
  <si>
    <t>2 box of Facemask</t>
  </si>
  <si>
    <t>Tomato &amp; Cucumber</t>
  </si>
  <si>
    <t>French Baguette Bread &amp; Molo Wrapper</t>
  </si>
  <si>
    <t>Puregold Price Club Inc</t>
  </si>
  <si>
    <t>201-277-095-002</t>
  </si>
  <si>
    <t>Beef Shortplate</t>
  </si>
  <si>
    <t>Gelnn Biarcal</t>
  </si>
  <si>
    <t>Transpo purchased kitchen stocks in Puregold</t>
  </si>
  <si>
    <t>For the Month Ended:  July 2020</t>
  </si>
  <si>
    <t xml:space="preserve">POS Ribbon </t>
  </si>
  <si>
    <t>209-608-195-000</t>
  </si>
  <si>
    <t>Broas,Molo Wrapper &amp; Butter</t>
  </si>
  <si>
    <t>Baguette Bread,Kraft Cheese</t>
  </si>
  <si>
    <t>Landmark Supermart</t>
  </si>
  <si>
    <t>000-148-285-000</t>
  </si>
  <si>
    <t>Fresh Milk,Spaghetti,Tomato Sauce,Che Vital Cheese,Sugar,Oreo Vanilla</t>
  </si>
  <si>
    <t>Delivery Charge c/o Sampaga check payment</t>
  </si>
  <si>
    <t>Baguette Bread,Fiesta Oil</t>
  </si>
  <si>
    <t>Corn oil,Oyster Sauce,Queensland Cheese</t>
  </si>
  <si>
    <t>PMKS</t>
  </si>
  <si>
    <t>Additional payment for whole chicken</t>
  </si>
  <si>
    <t>Fresh milk &amp; Eggs</t>
  </si>
  <si>
    <t>Loaf Bread</t>
  </si>
  <si>
    <t>Fresh Milk,Eggs,Baguette Bread</t>
  </si>
  <si>
    <t>Fly Paper</t>
  </si>
  <si>
    <t>Funsize Cheese, Brown Cocktail</t>
  </si>
  <si>
    <t>Elbow Macaroni,Penne,Fresh Milk,Spaghetti,Olive Oil</t>
  </si>
  <si>
    <t>Brown Sugar,Bell Pepper</t>
  </si>
  <si>
    <t>Grab</t>
  </si>
  <si>
    <t>Check Delivery Charged (F.Sampaga Check)</t>
  </si>
  <si>
    <t>Bacon Bits &amp; Sausage</t>
  </si>
  <si>
    <t>Bean &amp; Barley Manila Corp.</t>
  </si>
  <si>
    <t>009117-802-000</t>
  </si>
  <si>
    <t>Coffee Beans</t>
  </si>
  <si>
    <t>Coffee Beans Delivery Charged</t>
  </si>
  <si>
    <t>French Baguette Bread,Heritage Cheese,Green Beans</t>
  </si>
  <si>
    <t>Anchovies</t>
  </si>
  <si>
    <t>Fiesta Vegetable Oil,AP Cream,Fresh Milk,Spaghetti,Linguine,Elbow Macaroni</t>
  </si>
  <si>
    <t>Lettuce &amp; Tomato</t>
  </si>
  <si>
    <t>ABB Baking Goods And Supplies Inc.</t>
  </si>
  <si>
    <t>008-196-741-009</t>
  </si>
  <si>
    <t>SM City Dasmarinas Cavite</t>
  </si>
  <si>
    <t>Corn Meal</t>
  </si>
  <si>
    <t>Ayala, Makati City</t>
  </si>
  <si>
    <t>Whole peeled tomato, olive oil, corn kernel &amp; etc</t>
  </si>
  <si>
    <t>Romaine lettuce</t>
  </si>
  <si>
    <t>Mejora Ferro Corp. (Ministop)</t>
  </si>
  <si>
    <t>G/F Valero Car Park Bldg. Velero Makati</t>
  </si>
  <si>
    <t>Potato</t>
  </si>
  <si>
    <t>Cooks Exchange Inc.</t>
  </si>
  <si>
    <t>Glassine paper</t>
  </si>
  <si>
    <t>Vanilla ice cream</t>
  </si>
  <si>
    <t xml:space="preserve">Brown Sugar </t>
  </si>
  <si>
    <t>Chili rojo hot sauce</t>
  </si>
  <si>
    <t>Office Warehouse Inc.</t>
  </si>
  <si>
    <t>Sticker paper</t>
  </si>
  <si>
    <t>Pag-Ibig Fund (HDMF)</t>
  </si>
  <si>
    <t>000-530-703-000</t>
  </si>
  <si>
    <t>358 Sen Gil Puyat Ave. Makati City</t>
  </si>
  <si>
    <t>Penalty payment for contribution and loan payment</t>
  </si>
  <si>
    <t>Fresh Milk, Magnolia</t>
  </si>
  <si>
    <t>Del Monte Pineapple Chunk</t>
  </si>
  <si>
    <t>Universal Finest Product</t>
  </si>
  <si>
    <t>009-804-586-000</t>
  </si>
  <si>
    <t>Pinagbuhatan Pasig City</t>
  </si>
  <si>
    <t>Cash Payment Difference for Shortplate</t>
  </si>
  <si>
    <t>For the Month Ended:  July 31-Aug 06 (5000 Budget)</t>
  </si>
  <si>
    <t xml:space="preserve">Lettuce,Squash,Basil </t>
  </si>
  <si>
    <t>Vegetable Oil,Fresh Milk,Penne Pasta,Anchovies,DM Tidbits</t>
  </si>
  <si>
    <t>Check Delivery</t>
  </si>
  <si>
    <t>Dishwashing Liquid &amp; Paste</t>
  </si>
  <si>
    <t>Evalies Meatshop</t>
  </si>
  <si>
    <t>French Fries &amp; Bacon</t>
  </si>
  <si>
    <t>Guadalupe Public Market</t>
  </si>
  <si>
    <t>25 kilo of Rice</t>
  </si>
  <si>
    <t>Check Delivery c/o F. Sampaga</t>
  </si>
  <si>
    <t>Pan De Manila Food Co. Inc</t>
  </si>
  <si>
    <t>205-120-687-108</t>
  </si>
  <si>
    <t>Bottled Sardines</t>
  </si>
  <si>
    <t>Spaghetti,Sardines,Anchovies,Oil,Baguette Bread</t>
  </si>
  <si>
    <t>For the Month Ended: Aug 8-15 (6,000 Budget)</t>
  </si>
  <si>
    <t>Spaghetti Pasta, AP Cream,Anchovies,Corn</t>
  </si>
  <si>
    <t>Transpo going to Guadalupe Market purchased kitchen stocks</t>
  </si>
  <si>
    <t>Nescafe Classic,Alska Evap,Kraft Cheese</t>
  </si>
  <si>
    <t>Transpo Fare</t>
  </si>
  <si>
    <t>Check Delivery c/o Sampaga</t>
  </si>
  <si>
    <t>Fresh Milk,AP Cream,Butter,Sardines,Golden Fiesta Oil,Olive Oil,Penne Pasta</t>
  </si>
  <si>
    <t>Cerveza Negra</t>
  </si>
  <si>
    <t>Budget</t>
  </si>
  <si>
    <t>For the Month Ended:  Aug 17-22 (9,600 k Budget)</t>
  </si>
  <si>
    <t>Sm Supermarket Jazz</t>
  </si>
  <si>
    <t>Tangkas Navotas City</t>
  </si>
  <si>
    <t>25 kilos Rice</t>
  </si>
  <si>
    <t>Shah Bonn Jadd</t>
  </si>
  <si>
    <t>Pizza Box &amp; C750 Canester</t>
  </si>
  <si>
    <t>Cheese Powder,Brown Sugar, Baguette Bread</t>
  </si>
  <si>
    <t>Lolo Rosa Lettuce</t>
  </si>
  <si>
    <t>Officewarehouse Inc</t>
  </si>
  <si>
    <t>Inkcartridge</t>
  </si>
  <si>
    <t>Coffee Bean Delivery Charged</t>
  </si>
  <si>
    <t>Capers,Tomato Paste,Spaghetti &amp; Others</t>
  </si>
  <si>
    <t>Squash,Potato,Carrots</t>
  </si>
  <si>
    <t>For the Month Ended: August  2020</t>
  </si>
  <si>
    <t>201-160-401-050</t>
  </si>
  <si>
    <t>Loaf Bread,Baguette Bread &amp; Butter</t>
  </si>
  <si>
    <t>Spaghetti,Cooking Oil,Fresh Milk,Tomato Sauce</t>
  </si>
  <si>
    <t>Sauce Cup &amp; Table Napkin</t>
  </si>
  <si>
    <t>Romaine Lettuce</t>
  </si>
  <si>
    <t>Spaghetti,Fiesta Oil,Molinera,Elbow Macaroni,Pineapple Tidbits</t>
  </si>
  <si>
    <t>Universal Finest Distribution</t>
  </si>
  <si>
    <t>Pasig City</t>
  </si>
  <si>
    <t>Olive oil, F. Milk, Mayo, Broas, Sardines, Salt and choco bar.</t>
  </si>
  <si>
    <t>Red bell pepper</t>
  </si>
  <si>
    <t>Belong Enterprise (7-Eleven)</t>
  </si>
  <si>
    <t>Valero, Makati City</t>
  </si>
  <si>
    <t>Transpo &amp; parking fee c/o purchase of kitchen stocks.</t>
  </si>
  <si>
    <t>Alma's Cold Cuts Store</t>
  </si>
  <si>
    <t>195 J.P. Rizal St. San Roque, Marikina City</t>
  </si>
  <si>
    <t>Mozza cheese &amp; bacon ends</t>
  </si>
  <si>
    <t>Evarlie's Meatshop</t>
  </si>
  <si>
    <t>165 J.P. Rizal St. San Roque, Marikina City</t>
  </si>
  <si>
    <t>French fries</t>
  </si>
  <si>
    <t>Transpo going to Marikina c/o purchased of kitchen stocks.</t>
  </si>
  <si>
    <t>Baguette bread</t>
  </si>
  <si>
    <t>Celo tape, pen and petty cash voucher</t>
  </si>
  <si>
    <t xml:space="preserve">Fresh basil </t>
  </si>
  <si>
    <t>Palm oil</t>
  </si>
  <si>
    <t>Grab Express</t>
  </si>
  <si>
    <t>Del. Fee c/o sampaga check &amp; petty cash</t>
  </si>
  <si>
    <t>Eric Labadan</t>
  </si>
  <si>
    <t>Traspo going to guadalupe market</t>
  </si>
  <si>
    <t>Guadalupe Market</t>
  </si>
  <si>
    <t>Sili finger</t>
  </si>
  <si>
    <t>SHAH-BONN-JADD Gen. Mechandise</t>
  </si>
  <si>
    <t>Guadalupe, Makati City</t>
  </si>
  <si>
    <t>Packaging supplies</t>
  </si>
  <si>
    <t>For the Month Ended:  September 1-4,2020 (4,756.50 Budget)</t>
  </si>
  <si>
    <t>DINING SUPPLIES</t>
  </si>
  <si>
    <t>CLEANING SUPPLIES</t>
  </si>
  <si>
    <t>204-809-185-639</t>
  </si>
  <si>
    <t>Diced Tomato, Red Kidney Bean</t>
  </si>
  <si>
    <t>Bread Crumbs &amp; Baguette Bread</t>
  </si>
  <si>
    <t>POS Ribbon</t>
  </si>
  <si>
    <t>Ideal Spaghetti,Fresh milk,APC,Baguette Bread,Butter</t>
  </si>
  <si>
    <t>25 kilo Rice</t>
  </si>
  <si>
    <t>Tuce Ice</t>
  </si>
  <si>
    <t>Shah-Bonn Jadd</t>
  </si>
  <si>
    <t>Sauce Cup w/ Lid,S-750</t>
  </si>
  <si>
    <t>Cervesa Negra</t>
  </si>
  <si>
    <t>Veggies &amp; Fruits</t>
  </si>
  <si>
    <t>Assorted groceries</t>
  </si>
  <si>
    <t>Taxi fare from landmark to valero</t>
  </si>
  <si>
    <t>51 L. Santos, Tangos Navotas City</t>
  </si>
  <si>
    <t>Whole Chicken,56.8 kilos</t>
  </si>
  <si>
    <t>Everlies Meatshop</t>
  </si>
  <si>
    <t>139-599.310-000</t>
  </si>
  <si>
    <t>165 JP Rizal St. San Roque Marikina</t>
  </si>
  <si>
    <t>Transpo from Marikina</t>
  </si>
  <si>
    <t>Sugar and anchor butter</t>
  </si>
  <si>
    <t>POS ribbon and celo tape</t>
  </si>
  <si>
    <t>F.Milk &amp; Nestle cream</t>
  </si>
  <si>
    <t>Joy liquid soap</t>
  </si>
  <si>
    <t>Brown table napkin</t>
  </si>
  <si>
    <t>3A Battery</t>
  </si>
  <si>
    <t>Vida Bacon</t>
  </si>
  <si>
    <t>Aluminum Foil,Plastic Spoon &amp; Fork, S-750</t>
  </si>
  <si>
    <t>Transpo purchased Bacon in Guadalupe</t>
  </si>
  <si>
    <t>Molinera,Diced Tomato,Molo Wrapper,Flour,Anchovies,Spaghetti,Bread Flour</t>
  </si>
  <si>
    <t>Fresh Basil</t>
  </si>
  <si>
    <t>Food Delivery Charge c/o VCC</t>
  </si>
  <si>
    <t>Transpo going Home c/o JFD</t>
  </si>
  <si>
    <t>Sauce Cup &amp; Aluminum Foil</t>
  </si>
  <si>
    <t>Transpo purchased Bacon</t>
  </si>
  <si>
    <t>Spareribs,Fresh Milk,Demi Glace,Loaf Bread,Veg.Oil</t>
  </si>
  <si>
    <t>Spinach</t>
  </si>
  <si>
    <t>Food Delivery c/o Verdana Cavite</t>
  </si>
  <si>
    <t>Sprite</t>
  </si>
  <si>
    <t>Fresh Milk,APC,Fresh Garlic</t>
  </si>
  <si>
    <t>White Onion</t>
  </si>
  <si>
    <t>Transpo purchased Packaging &amp; Cleaning Materials</t>
  </si>
  <si>
    <t xml:space="preserve">S-750 (Canester) </t>
  </si>
  <si>
    <t>Dishwashing Liquid</t>
  </si>
  <si>
    <t>Check Delivery Charged</t>
  </si>
  <si>
    <t>White Onion &amp; Peeled Garlic</t>
  </si>
  <si>
    <t>Mint Leaves</t>
  </si>
  <si>
    <t>Spaghetti,Veg. Oil,Fresh Milk,Pomace Oil,APC</t>
  </si>
  <si>
    <t>Tube ice</t>
  </si>
  <si>
    <t>Vegetable oil, salt, sugar, fresh milk &amp; baguette bread</t>
  </si>
  <si>
    <t>Table napkin</t>
  </si>
  <si>
    <t>Transpo going to marikina</t>
  </si>
  <si>
    <t>Alma Cold Cuts Store</t>
  </si>
  <si>
    <t>Mozza cheese &amp; bacon bits</t>
  </si>
  <si>
    <t>Paseo Parkview Suites Condo Asso. Inc</t>
  </si>
  <si>
    <t>Service fee c/o declogged of Aircon</t>
  </si>
  <si>
    <t>Olive oil, pasta, anchovies, butter &amp; mayonaise</t>
  </si>
  <si>
    <t>Fuwa butter loaf bread</t>
  </si>
  <si>
    <t xml:space="preserve">Transpo purchased Soda </t>
  </si>
  <si>
    <t>Super Shoppig Market Inc</t>
  </si>
  <si>
    <t>Pepsi, Mug,7up,Max</t>
  </si>
  <si>
    <t>Cream Cheese,Raspberry</t>
  </si>
  <si>
    <t>Olive Oil,Veg Oil,Mushroom,Mayo</t>
  </si>
  <si>
    <t>Fresh Milk, Baguette Bread</t>
  </si>
  <si>
    <t>Jufran Hot Sauce</t>
  </si>
  <si>
    <t>SML 2 Btls</t>
  </si>
  <si>
    <t>Red Bean &amp; Baguette Bread</t>
  </si>
  <si>
    <t>Jap Bread Crumbs</t>
  </si>
  <si>
    <t>Triple TJ Gen Merch</t>
  </si>
  <si>
    <t>112-145-410-000</t>
  </si>
  <si>
    <t>Boni Mandaluyong</t>
  </si>
  <si>
    <t>Pork Ribs</t>
  </si>
  <si>
    <t>Transpo going to Monterey</t>
  </si>
  <si>
    <t>Soysauce</t>
  </si>
  <si>
    <t>196-741-005-000</t>
  </si>
  <si>
    <t>Palanan Makati City</t>
  </si>
  <si>
    <t>Beryls,All Purpose Flour,Bread Flour</t>
  </si>
  <si>
    <t>Taxi Fare from Landmark to Valero</t>
  </si>
  <si>
    <t>Diced Tomato,Veg Oil,Spaghetti,Penne Pasta,Molinera,APC,Sardines,Butter</t>
  </si>
  <si>
    <t>Parking Fee</t>
  </si>
  <si>
    <t>Transpo Allowance</t>
  </si>
  <si>
    <t>Delivery Charged of Coffee Beans</t>
  </si>
  <si>
    <t>Unsalted Butter,Hersheys Cocoa Powder</t>
  </si>
  <si>
    <t>Navotas City</t>
  </si>
  <si>
    <t>Whole Chicken (64.5 kilos)</t>
  </si>
  <si>
    <t>Bean &amp; Barley Manila Corp</t>
  </si>
  <si>
    <t>2 cup Plain Rice (hindi pa luto yun sinaing may guest na)</t>
  </si>
  <si>
    <t>Fuwa Loaf Bread</t>
  </si>
  <si>
    <t>Transpo purchased Kitchen stocks in Marikina</t>
  </si>
  <si>
    <t>Judith Maet Products</t>
  </si>
  <si>
    <t>Hershey's Cocoa Powder</t>
  </si>
  <si>
    <t>Brown Sugar Sachet,Refind White Sugar,Baguette Bread</t>
  </si>
  <si>
    <t>Joy Dishwashing Liquid,Sponge</t>
  </si>
  <si>
    <t>Pineapple Tidbits</t>
  </si>
  <si>
    <t>Breadcrumbs,Sunquick Orange,APC,Butter,Corn Oil,Black Olives</t>
  </si>
  <si>
    <t>Basil, Lettuce,Potato</t>
  </si>
  <si>
    <t>Taxi Fare from Landmark to Valero purchased assorted groceries</t>
  </si>
  <si>
    <t>SM Hypermarket</t>
  </si>
  <si>
    <t>Pepsi,Mug, Pepsi Max</t>
  </si>
  <si>
    <t>Mozzarella</t>
  </si>
  <si>
    <t>Gkenn Biarcal</t>
  </si>
  <si>
    <t>Transpo purchased Mozza &amp; Pepsi</t>
  </si>
  <si>
    <t>For the Month Ended:  Sept 28-Oct 5 (Funds c/o Sept 25 Sales)</t>
  </si>
  <si>
    <t>Packaging</t>
  </si>
  <si>
    <t>Transpo</t>
  </si>
  <si>
    <t>Total</t>
  </si>
  <si>
    <t>For the Month Ended:  October 5-10, 2020</t>
  </si>
  <si>
    <t>Polar Queen Waterways, Inc.</t>
  </si>
  <si>
    <t>007-019-796-000</t>
  </si>
  <si>
    <t>Santiago St. Zone056, Brgy 580, Sampaloc Manila</t>
  </si>
  <si>
    <t>Tube Ice, half sack</t>
  </si>
  <si>
    <t>Office Warehouse, Inc.</t>
  </si>
  <si>
    <t>200-492-482-000</t>
  </si>
  <si>
    <t>Paseo de Roxas, Makati City</t>
  </si>
  <si>
    <t>PCV, celo tape, bond paper &amp; pen</t>
  </si>
  <si>
    <t>Rustans Supercenters, Inc.</t>
  </si>
  <si>
    <t>French baguette bread</t>
  </si>
  <si>
    <t>Golden crown butter</t>
  </si>
  <si>
    <t>Mint leaves</t>
  </si>
  <si>
    <t>Taxifare from landmak to valero</t>
  </si>
  <si>
    <t xml:space="preserve">195 J.P. Rizal St. San Roque </t>
  </si>
  <si>
    <t>Hungarian sausage</t>
  </si>
  <si>
    <t>Nestle cream</t>
  </si>
  <si>
    <t>Ideal Spaghetti</t>
  </si>
  <si>
    <t>41C Congressional Ave. Q.C.</t>
  </si>
  <si>
    <t>Assorted flour, cream cheese &amp; butter</t>
  </si>
  <si>
    <t>Transpo going to Markina &amp; Congressional Q.C.</t>
  </si>
  <si>
    <t>Universal Finest Product Distribution Inc.</t>
  </si>
  <si>
    <t>29A Sandova Ave. Isla Homes 1,Brgy. Pinagbuhatan, Pasig City</t>
  </si>
  <si>
    <t>Beef short plate (6.97kilos)</t>
  </si>
  <si>
    <t>477-673-004</t>
  </si>
  <si>
    <t>Valero Carpark, Valero Makati</t>
  </si>
  <si>
    <t>For the Month Ended:  Oct 12-17,2020 (10k Budget)</t>
  </si>
  <si>
    <t>Basil</t>
  </si>
  <si>
    <t>Pizza Box,Soup Bowl,S-750,Cup w/ Lid</t>
  </si>
  <si>
    <t>61.1 kilos of Whole Chicken</t>
  </si>
  <si>
    <t>Broas,APC,Cream Cheese,Fresh Milk, Corn Oil,Molinera,Spaghetti,Breadcrumbs,Macaroni,Penne Pasta etc.</t>
  </si>
  <si>
    <t>For the Month Ended:  Oct 14,2020 (5k Budget)</t>
  </si>
  <si>
    <t>S-750 Canester,Spoon &amp; Fork</t>
  </si>
  <si>
    <t xml:space="preserve">PCF Check Delivery Charge </t>
  </si>
  <si>
    <t>White Onion,Sili Sigang</t>
  </si>
  <si>
    <t>Mayo,Bread Flour,AP Flour,Butter,APC</t>
  </si>
  <si>
    <t>Glassine Paper</t>
  </si>
  <si>
    <t>Ripe mango</t>
  </si>
  <si>
    <t>Local bread crumbs &amp; baguette bread</t>
  </si>
  <si>
    <t>Native tomato</t>
  </si>
  <si>
    <t>Green ice lettuce &amp; corn</t>
  </si>
  <si>
    <t>Milk, oil, capri tomato,spaghetti &amp; sodas</t>
  </si>
  <si>
    <t>Taxifare from landmark to valero</t>
  </si>
  <si>
    <t>Grab Express Delivery</t>
  </si>
  <si>
    <t>Check delivery fee</t>
  </si>
  <si>
    <t>Robinson's Supermarket Corp.</t>
  </si>
  <si>
    <t>Tube ice, half sack</t>
  </si>
  <si>
    <t>Hungarian sausage &amp; bacon bits</t>
  </si>
  <si>
    <t>KFC fries &amp; pepperoni</t>
  </si>
  <si>
    <t>Transpo from marikina to valero</t>
  </si>
  <si>
    <t>For the Month Ended:  Oct 20-24 ( Budget)</t>
  </si>
  <si>
    <t>KITCHEN SUPPLIES</t>
  </si>
  <si>
    <t>Fuji apple &amp; loaf bread</t>
  </si>
  <si>
    <t>Bakeright General Merchandise</t>
  </si>
  <si>
    <t xml:space="preserve">Swiss valley cream cheese &amp; Beryls chocolate </t>
  </si>
  <si>
    <t>Disposable gloves</t>
  </si>
  <si>
    <t>Chuan Hong Trading</t>
  </si>
  <si>
    <t>Party pans &amp; canister</t>
  </si>
  <si>
    <t>Divisoria Wet Market</t>
  </si>
  <si>
    <t>Pot holder, 1 dozen</t>
  </si>
  <si>
    <t>ED Ramos Enterprises</t>
  </si>
  <si>
    <t>Plastic labo &amp; plastic sauce bowl</t>
  </si>
  <si>
    <t>Transpo going to divisoria</t>
  </si>
  <si>
    <t>Smart E-load for pocket wifi</t>
  </si>
  <si>
    <t>SML, Super Dry &amp; asstd sodas</t>
  </si>
  <si>
    <t>For the Month Ended:  Oct 24-29 ( 10K Budget)</t>
  </si>
  <si>
    <t>Spoon &amp; Fork, Canester</t>
  </si>
  <si>
    <t>Fresh Milk,Pasta,Pepsi,Olive Oil,APC,Butter</t>
  </si>
  <si>
    <t>Loaf Bread,Baguette Bread,Apple</t>
  </si>
  <si>
    <t>Jazz Supermarket</t>
  </si>
  <si>
    <t>5 kilo Rice</t>
  </si>
  <si>
    <t>2 bottle SML</t>
  </si>
  <si>
    <t>Spaghetti Pasta,Oreo Vanilla</t>
  </si>
  <si>
    <t>Gelatin,Butter,Spaghetti Pasta</t>
  </si>
  <si>
    <t>Office Warehouse</t>
  </si>
  <si>
    <t>POS Journal Tape, Scotch Tape,Marker</t>
  </si>
  <si>
    <t>Baguette Bread, Brown Sugar Sachet</t>
  </si>
  <si>
    <t>Pocket Wifi load</t>
  </si>
  <si>
    <t>White Sugar,Fresh Milk,Baguette Bread,APC</t>
  </si>
  <si>
    <t>Polar Queen Waterwaste Inc</t>
  </si>
  <si>
    <t>Half Sack Tube Ice</t>
  </si>
  <si>
    <t>For the Month Ended:  Oct 29-30 (2,000  Budget)</t>
  </si>
  <si>
    <t>Newtech Pest Control Services</t>
  </si>
  <si>
    <t>Transpo going to Makati City Hall</t>
  </si>
  <si>
    <t>For the Month Ended:  Oct 29-30 ( 1,600  Budget)</t>
  </si>
  <si>
    <t>Mustard,Garlic Powder,All Purpose Flour</t>
  </si>
  <si>
    <t>Shahh Bonn Jadd</t>
  </si>
  <si>
    <t>S-750, Plastic labo</t>
  </si>
  <si>
    <t>Butane Gas</t>
  </si>
  <si>
    <t>AAA Battery</t>
  </si>
  <si>
    <t>Butter,Baguette Bread, Palm Oil</t>
  </si>
  <si>
    <t>For the Month Ended:  Nov 5-6 ( 5,000 Budget)</t>
  </si>
  <si>
    <t>Transpo going to Poblacion Market</t>
  </si>
  <si>
    <t>Poblacion Market</t>
  </si>
  <si>
    <t>25 kilos of Rice</t>
  </si>
  <si>
    <t>Lettuce,Corn,Ripe Mango,Tokwa</t>
  </si>
  <si>
    <t>Cream Cheese,Nestle Cream,Oreo Cookie,Spaghetti,Milkmaid</t>
  </si>
  <si>
    <t>Fresh Apple</t>
  </si>
  <si>
    <t>Chocolate Chip</t>
  </si>
  <si>
    <t>Pumpkin</t>
  </si>
  <si>
    <t>For the Month Ended:  Nov 4-7 ( 5,000 Budget)</t>
  </si>
  <si>
    <t>Smart Load for Pocket Wifi</t>
  </si>
  <si>
    <t>2 cup of Rice</t>
  </si>
  <si>
    <t>Delivery Charge c/o Coffee Beans</t>
  </si>
  <si>
    <t>Lettuce &amp; Corn</t>
  </si>
  <si>
    <t>Anchovies,Fresh Milk</t>
  </si>
  <si>
    <t>Alcohol Spray Bottle</t>
  </si>
  <si>
    <t>Shahh Bonn Jadd Gen Merchandise</t>
  </si>
  <si>
    <t>Meal Box &amp; Packaging Materials</t>
  </si>
  <si>
    <t>Air Freshener</t>
  </si>
  <si>
    <t>Transpo purchased Packaging Materilas</t>
  </si>
  <si>
    <t>Journal Tape for POS</t>
  </si>
  <si>
    <t>Delivery Charge c/o Check payment for Whole Chicken</t>
  </si>
  <si>
    <t>For the Month Ended:  Nov 10-14 ( 18,000 Budget)</t>
  </si>
  <si>
    <t xml:space="preserve">Transpo Allowance </t>
  </si>
  <si>
    <t>Smart Load c/o Pocket Wifi</t>
  </si>
  <si>
    <t>Breadcrumbs.Veg Oil,Baguette Bread</t>
  </si>
  <si>
    <t>Polar Queen Waterways Inc</t>
  </si>
  <si>
    <t>Dona Elena Red Sauce,Fresh Milk,Spaghetti,Olive Oil,Anchovies,Molinera</t>
  </si>
  <si>
    <t>Fresh Lemon, Ripe Mango &amp; Onion</t>
  </si>
  <si>
    <t>Ruel hayagan</t>
  </si>
  <si>
    <t>Sili Finger &amp; Baguette Bread</t>
  </si>
  <si>
    <t>Cerveza Negra &amp; Pomace Oil</t>
  </si>
  <si>
    <t>60 kilos of Whole Chicken</t>
  </si>
  <si>
    <t>Pizza Box &amp; Canester</t>
  </si>
  <si>
    <t>Transpo &amp; Parking purchased Packaging &amp; Sili Finger</t>
  </si>
  <si>
    <t>For the Month Ended:  Nov 13 ( 1,971  Budget)</t>
  </si>
  <si>
    <t>PCV Form &amp; POS Ribbon</t>
  </si>
  <si>
    <t>White Sugar Sachet</t>
  </si>
  <si>
    <t>For the Month Ended:  Nov 14-21 ( 12,000 Budget)</t>
  </si>
  <si>
    <t>Beer &amp; soda in cans</t>
  </si>
  <si>
    <t>Dark choco, cornstarch, milk, nestle cream,knorr cubes &amp; etc.</t>
  </si>
  <si>
    <t>Bacon bits, 2kilos</t>
  </si>
  <si>
    <t>AAB Baking Goods &amp; Supplies Inc.</t>
  </si>
  <si>
    <t>Bread flour and all purpose flour</t>
  </si>
  <si>
    <t>Butter, parmesan &amp; mozza cheese, veg.  &amp; corn oil, sugar, salt &amp; etc.</t>
  </si>
  <si>
    <t>Joy liquid soap &amp; scotch brite</t>
  </si>
  <si>
    <t>Purchased chlorine powder @ market</t>
  </si>
  <si>
    <t xml:space="preserve">Fuji apple </t>
  </si>
  <si>
    <t>Taxifare going to city hall (back &amp; forth)</t>
  </si>
  <si>
    <t>POS journal, tape, pc voucher &amp; etc</t>
  </si>
  <si>
    <t>Grab Express Delivey</t>
  </si>
  <si>
    <t>Delivery fee c/o SC &amp; PCF check</t>
  </si>
  <si>
    <t>Shah Bonn Jadd Gen. Merchandise</t>
  </si>
  <si>
    <t>Canister, sauce cup, alum foil, spoon, fork &amp; paper bag</t>
  </si>
  <si>
    <t>Guadalupe Wet Market</t>
  </si>
  <si>
    <t>Vida bacon (1kg)</t>
  </si>
  <si>
    <t>Transpo going to Guadalupe</t>
  </si>
  <si>
    <t>HP Ink Cartridge</t>
  </si>
  <si>
    <t>Ideal Pasta</t>
  </si>
  <si>
    <t>For the Month Ended:  Nov 19-21 ( 12,000 Budget for Whole Chicken &amp; Beef Shortplate)</t>
  </si>
  <si>
    <t>Universal Finest Distribution Inc</t>
  </si>
  <si>
    <t>Grab Delivery Express</t>
  </si>
  <si>
    <t>Del Cgarge c/o Coffee Beans</t>
  </si>
  <si>
    <t>Lettuce,Pear &amp; Potato</t>
  </si>
  <si>
    <t>Al Queen Waterways Inc</t>
  </si>
  <si>
    <t>For the Month Ended:  Nov 23 ( 2,592  Budget)</t>
  </si>
  <si>
    <t>Gourdos Inc</t>
  </si>
  <si>
    <t>Whip Cream Charger</t>
  </si>
  <si>
    <t>Bread Flour,Fresh Milk,Mozza Cheese</t>
  </si>
  <si>
    <t>Pillow</t>
  </si>
  <si>
    <t>For the Month Ended:  ( 10,000 Budget)</t>
  </si>
  <si>
    <t>Pomace Oil, Breadcrumbs,Diced Tomato,Butter,Red Kidney Beans,APC</t>
  </si>
  <si>
    <t>Taxi Fare purchased Assorted Groceries</t>
  </si>
  <si>
    <t>Fuji Apple &amp; Vanilla Ice Cream</t>
  </si>
  <si>
    <t>Chicken Cubes,Loaf Bread,Baguette Bread</t>
  </si>
  <si>
    <t>Eric LAbadan</t>
  </si>
  <si>
    <t>Shah Bonn Enterprises</t>
  </si>
  <si>
    <t>S-750 Canester,Spoon &amp; Fork,Pizza Box</t>
  </si>
  <si>
    <t>For the Month Ended:  Nov 27-30 ( 10,000 Budget)</t>
  </si>
  <si>
    <t>San Miguel light, C. Negra &amp; soda in can</t>
  </si>
  <si>
    <t>Capri tomato, mayo, red beans, butter, longanisa, smuckers, anchovies &amp; etc.</t>
  </si>
  <si>
    <t>Green ice lettuce</t>
  </si>
  <si>
    <t>Laundry brush</t>
  </si>
  <si>
    <t>Everlies Meat Shop</t>
  </si>
  <si>
    <t>Bacon bits</t>
  </si>
  <si>
    <t>KFC French Fries (4kilos)</t>
  </si>
  <si>
    <t>Bread flour and all purpose flour, beryls dark choco &amp; p. sugar</t>
  </si>
  <si>
    <t>Pepperoni</t>
  </si>
  <si>
    <t>Transpo going to guadalupe market</t>
  </si>
  <si>
    <t>Butter, marie bisquit, oreo, cream cheese, nestle cream, oil, pasta &amp; etc.</t>
  </si>
  <si>
    <t>For the Month Ended:  Nov 26</t>
  </si>
  <si>
    <t>Load for GCASH number</t>
  </si>
  <si>
    <t>Harrys Liquor Mart</t>
  </si>
  <si>
    <t>White &amp; Red Whine, Grenadine</t>
  </si>
  <si>
    <t>San Mig Light</t>
  </si>
  <si>
    <t>Graham Crackers &amp; APC</t>
  </si>
  <si>
    <t>For the Month Ended:  Nov 30-Dec. 3</t>
  </si>
  <si>
    <t xml:space="preserve">PKMS </t>
  </si>
  <si>
    <t>Polar Queen Waterwasy Inc.</t>
  </si>
  <si>
    <t>Tube Ice/ half sack</t>
  </si>
  <si>
    <t>French Baguette &amp; cervesa negra</t>
  </si>
  <si>
    <t>Transpo going to guadalupe</t>
  </si>
  <si>
    <t>Triple T3 General Merchandising</t>
  </si>
  <si>
    <t>Pork belly (for spareribs)</t>
  </si>
  <si>
    <t>Transpo going to Mandaluyong</t>
  </si>
  <si>
    <t>T. Napkin &amp; Baguette</t>
  </si>
  <si>
    <t>TOSH MOA</t>
  </si>
  <si>
    <t>Nacho/ 1 box</t>
  </si>
  <si>
    <t>Lettuce, pears &amp; corn</t>
  </si>
  <si>
    <t>F. Milk, soysauce,spaghetti &amp; ketchup</t>
  </si>
  <si>
    <t>For the Month Ended:  Dec 4-5(5k/3k/7k  Budget)</t>
  </si>
  <si>
    <t>Beer &amp; Pepsi Soda</t>
  </si>
  <si>
    <t>Taxi Fare form Landmark to Valero</t>
  </si>
  <si>
    <t>Black Pepper &amp; White Sugar</t>
  </si>
  <si>
    <t>Pomace Oil,Oregano Ground,APC,Fettuccini,Spaghetti</t>
  </si>
  <si>
    <t>Fuji Apple</t>
  </si>
  <si>
    <t>Canester,Spoon &amp; Fork</t>
  </si>
  <si>
    <t>Transpo purchased Packaging &amp; Kitchen Stocks</t>
  </si>
  <si>
    <t>Hanging Tender &amp; Shortplate</t>
  </si>
  <si>
    <t>For the Month Ended:  Dec 7-12 (10,000 Budget)</t>
  </si>
  <si>
    <t>Robinsons Supermarket Corp</t>
  </si>
  <si>
    <t>Al Queen Waterways</t>
  </si>
  <si>
    <t>Mayonnaise,Fresh Milk,Bread Flour,Butter,Shitake,APC</t>
  </si>
  <si>
    <t>Carbon Paper,Joournal Tape,POS Ribbon</t>
  </si>
  <si>
    <t>French Baguette Bread</t>
  </si>
  <si>
    <t>For the Month Ended:  Dec 7-12 (12,300 Budget) 3kBeer*1600 Coffee Beans*7,700 PCF</t>
  </si>
  <si>
    <t>Receipt c/o Dec 7-12 PCF</t>
  </si>
  <si>
    <t>Receipf c/o PCF Dec 7-12</t>
  </si>
  <si>
    <t>Transpo Pick up Nachos @ Tosh Moa</t>
  </si>
  <si>
    <t>Corn oil &amp; Yeast</t>
  </si>
  <si>
    <t>Cheddar Cheese,DM Tidbits &amp; Fua Bread</t>
  </si>
  <si>
    <t>TRanspo Purchased Packaging</t>
  </si>
  <si>
    <t>Shah Bonn Jadd Merchandise</t>
  </si>
  <si>
    <t>Mr Speedy</t>
  </si>
  <si>
    <t>Delivery fee of Coffee Beans</t>
  </si>
  <si>
    <t>Taxi Fare purchased Groceries in Landmark</t>
  </si>
  <si>
    <t>Fresh Eggs,Baguette Bread</t>
  </si>
  <si>
    <t>Scotch Tape, journal Tape</t>
  </si>
  <si>
    <t>Fortune Gas Corporation</t>
  </si>
  <si>
    <t>Gas</t>
  </si>
  <si>
    <t>For the Month Ended:  Dec 7-12 (3,000 for BEER)</t>
  </si>
  <si>
    <t>San Mig Light &amp; Super Dry</t>
  </si>
  <si>
    <t>San Miig Light</t>
  </si>
  <si>
    <t>JFD</t>
  </si>
  <si>
    <t>Transpo going to Makati City Hall for Business Permit Payment</t>
  </si>
  <si>
    <t>For the Month Ended:  Dec 14-19 (18,000 Budget) 10k Petty Cash &amp; 8k Whole Chicken</t>
  </si>
  <si>
    <t>Parmesan cheese &amp; Broas</t>
  </si>
  <si>
    <t>Fresh egg &amp; Sili Finger</t>
  </si>
  <si>
    <t>Arla mozza cheese, nestle sour cream &amp; fresh milk</t>
  </si>
  <si>
    <t>Tip to bagger</t>
  </si>
  <si>
    <t>Whole Chicken (60.9kgs x 160.00/kilo)</t>
  </si>
  <si>
    <t>For the Month Ended:  Dec 14-19 (c/0 cash sales Dec. 14, 2020)</t>
  </si>
  <si>
    <t>Whole Chicken (price adjustment)</t>
  </si>
  <si>
    <t xml:space="preserve">Assorted groceries c/o function </t>
  </si>
  <si>
    <t>Transpo going to landmark</t>
  </si>
  <si>
    <t>De Novo Enterprises</t>
  </si>
  <si>
    <t>Transpo to guadalupe</t>
  </si>
  <si>
    <t>Assorted packaging</t>
  </si>
  <si>
    <t>Vegetable oil &amp; sugar</t>
  </si>
  <si>
    <t>SM Hypermarket/ SM Jazz</t>
  </si>
  <si>
    <t>Vinegar &amp; milk</t>
  </si>
  <si>
    <t>Tube  Ice/ half sack</t>
  </si>
  <si>
    <t>SML- 24 bottles</t>
  </si>
  <si>
    <t>Universal Product Distribution Inc.</t>
  </si>
  <si>
    <t>Beef Shortplate &amp; hanging tender</t>
  </si>
  <si>
    <t>For the Month Ended:  Dec 14-19 (c/0 cash sales Dec. 16, 2020)</t>
  </si>
  <si>
    <t>Vulcaseal</t>
  </si>
  <si>
    <t>Beer and soda in can</t>
  </si>
  <si>
    <t>Fuwa loaf bread</t>
  </si>
  <si>
    <t>Ideal regular pasta</t>
  </si>
  <si>
    <t>Poblacion Wet Market</t>
  </si>
  <si>
    <t>Rice/ 25 kilos</t>
  </si>
  <si>
    <t>Transpo allowance going home</t>
  </si>
  <si>
    <t>For the Month Ended:  Dec 14-19 (22,900 sales)</t>
  </si>
  <si>
    <t>Additional Payment for Whole Chicken</t>
  </si>
  <si>
    <t>Alaska Fresh Millk</t>
  </si>
  <si>
    <t>Journal Tape &amp; Ballpen</t>
  </si>
  <si>
    <t>Plastic Labo</t>
  </si>
  <si>
    <t>Joy Dishwashing Liquid</t>
  </si>
  <si>
    <t>Pomace Oil,Spaghetti,Alaska Milk,Fresh Milk,Anchovies,Veg.Oil,Elbow Macaroni</t>
  </si>
  <si>
    <t>Lettuce,Onion White &amp; Red,Potato</t>
  </si>
  <si>
    <t>Benzen Cahilig</t>
  </si>
  <si>
    <t>Payment for 1 day duty</t>
  </si>
  <si>
    <t>Transpo going to Guadalupe Market</t>
  </si>
  <si>
    <t>Bread Flour,All Purpose Flour</t>
  </si>
  <si>
    <t>Ericson Labadan</t>
  </si>
  <si>
    <t>Anchovies &amp; Baguette Bread</t>
  </si>
  <si>
    <t>For the Month Ended:  Dec 21-23 (10,000 Budget)</t>
  </si>
  <si>
    <t>Glade Air Freshener</t>
  </si>
  <si>
    <t>APC,Parmesan Cheese,Gelatin</t>
  </si>
  <si>
    <t>Aluminum Pan for Take out Apple Pie</t>
  </si>
  <si>
    <t>Hersheys Choco,Oreo Vanilla</t>
  </si>
  <si>
    <t>Elbow Macaroni,Datu Puti,Fresh Milk,Cheese Powder,Sunquick Orange,</t>
  </si>
  <si>
    <t>Wansuy</t>
  </si>
  <si>
    <t>Mejorada Ferro Corp</t>
  </si>
  <si>
    <t>SML 1 case</t>
  </si>
  <si>
    <t>Journal Tape for POS Printer</t>
  </si>
  <si>
    <t>White Sugar,Fresh Milk,Breadcrumbs,Molo Wrapper,Chicken Cubes,APC,Cheese Powder,Diced Tomato</t>
  </si>
  <si>
    <t>Lettice</t>
  </si>
  <si>
    <t>Balance for payroll Dec. 21-26, 2020</t>
  </si>
  <si>
    <t>For the Month Ended:  Dec 28-29 (4,802 Budget)</t>
  </si>
  <si>
    <t>Pepsi,Mug,7up</t>
  </si>
  <si>
    <t>Mayo,Panne Pasta,Spaghetti,Corn,Elbow Macaroni</t>
  </si>
  <si>
    <t>S750,Spoon &amp; Fork</t>
  </si>
  <si>
    <t>Parking Fee purchased kitchen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</si>
</sst>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m;@"/>
    <numFmt numFmtId="165" formatCode="d/mmm/yy;@"/>
    <numFmt numFmtId="166" formatCode="_(* #,##0.00_);_(* \(#,##0.00\);_(* \-??_);_(@_)"/>
  </numFmts>
  <fonts count="9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sz val="8"/>
      <color rgb="FFFF000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166" fontId="8" fillId="0" borderId="0" applyBorder="0" applyProtection="0"/>
  </cellStyleXfs>
  <cellXfs count="109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Border="1" applyAlignment="1" applyProtection="1"/>
    <xf numFmtId="0" fontId="1" fillId="0" borderId="0" xfId="0" applyFont="1" applyBorder="1" applyAlignment="1" applyProtection="1">
      <alignment horizontal="center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/>
    <xf numFmtId="0" fontId="3" fillId="0" borderId="0" xfId="0" applyFont="1" applyBorder="1" applyAlignment="1" applyProtection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1" fillId="0" borderId="0" xfId="0" applyFont="1" applyAlignment="1">
      <alignment vertical="center" wrapText="1"/>
    </xf>
    <xf numFmtId="165" fontId="1" fillId="2" borderId="3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166" fontId="1" fillId="2" borderId="3" xfId="1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wrapText="1"/>
    </xf>
    <xf numFmtId="0" fontId="1" fillId="2" borderId="3" xfId="0" applyFont="1" applyFill="1" applyBorder="1" applyAlignment="1" applyProtection="1"/>
    <xf numFmtId="0" fontId="1" fillId="2" borderId="5" xfId="0" applyFont="1" applyFill="1" applyBorder="1" applyAlignment="1" applyProtection="1"/>
    <xf numFmtId="166" fontId="1" fillId="2" borderId="0" xfId="0" applyNumberFormat="1" applyFont="1" applyFill="1" applyAlignment="1">
      <alignment wrapText="1"/>
    </xf>
    <xf numFmtId="166" fontId="1" fillId="2" borderId="0" xfId="0" applyNumberFormat="1" applyFont="1" applyFill="1"/>
    <xf numFmtId="0" fontId="1" fillId="2" borderId="0" xfId="0" applyFont="1" applyFill="1"/>
    <xf numFmtId="0" fontId="1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5" fontId="1" fillId="3" borderId="3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166" fontId="1" fillId="3" borderId="3" xfId="1" applyFont="1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wrapText="1"/>
    </xf>
    <xf numFmtId="0" fontId="1" fillId="3" borderId="3" xfId="0" applyFont="1" applyFill="1" applyBorder="1" applyAlignment="1" applyProtection="1"/>
    <xf numFmtId="0" fontId="1" fillId="3" borderId="5" xfId="0" applyFont="1" applyFill="1" applyBorder="1" applyAlignment="1" applyProtection="1"/>
    <xf numFmtId="166" fontId="1" fillId="3" borderId="0" xfId="0" applyNumberFormat="1" applyFont="1" applyFill="1" applyAlignment="1">
      <alignment wrapText="1"/>
    </xf>
    <xf numFmtId="0" fontId="1" fillId="3" borderId="0" xfId="0" applyFont="1" applyFill="1"/>
    <xf numFmtId="0" fontId="1" fillId="2" borderId="3" xfId="0" applyFont="1" applyFill="1" applyBorder="1" applyAlignment="1">
      <alignment horizontal="center" vertical="center"/>
    </xf>
    <xf numFmtId="0" fontId="1" fillId="0" borderId="3" xfId="0" applyFont="1" applyBorder="1" applyAlignment="1" applyProtection="1"/>
    <xf numFmtId="0" fontId="2" fillId="2" borderId="3" xfId="0" applyFont="1" applyFill="1" applyBorder="1" applyAlignment="1" applyProtection="1"/>
    <xf numFmtId="164" fontId="2" fillId="0" borderId="7" xfId="0" applyNumberFormat="1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left"/>
      <protection locked="0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166" fontId="2" fillId="0" borderId="7" xfId="1" applyFont="1" applyBorder="1" applyAlignment="1" applyProtection="1"/>
    <xf numFmtId="0" fontId="2" fillId="0" borderId="0" xfId="0" applyFont="1"/>
    <xf numFmtId="0" fontId="4" fillId="0" borderId="0" xfId="0" applyFont="1" applyBorder="1" applyAlignment="1" applyProtection="1"/>
    <xf numFmtId="165" fontId="1" fillId="0" borderId="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166" fontId="1" fillId="0" borderId="3" xfId="1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wrapText="1"/>
    </xf>
    <xf numFmtId="0" fontId="1" fillId="0" borderId="5" xfId="0" applyFont="1" applyBorder="1" applyAlignment="1" applyProtection="1"/>
    <xf numFmtId="0" fontId="2" fillId="2" borderId="0" xfId="0" applyFont="1" applyFill="1"/>
    <xf numFmtId="0" fontId="2" fillId="3" borderId="0" xfId="0" applyFont="1" applyFill="1"/>
    <xf numFmtId="13" fontId="1" fillId="2" borderId="3" xfId="0" applyNumberFormat="1" applyFont="1" applyFill="1" applyBorder="1" applyAlignment="1" applyProtection="1">
      <alignment wrapText="1"/>
    </xf>
    <xf numFmtId="164" fontId="5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164" fontId="5" fillId="3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/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6" fillId="0" borderId="0" xfId="0" applyFont="1" applyBorder="1" applyAlignment="1" applyProtection="1"/>
    <xf numFmtId="0" fontId="7" fillId="0" borderId="0" xfId="0" applyFont="1"/>
    <xf numFmtId="0" fontId="7" fillId="0" borderId="0" xfId="0" applyFont="1" applyBorder="1" applyAlignment="1" applyProtection="1"/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66" fontId="1" fillId="0" borderId="1" xfId="1" applyFont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/>
    <xf numFmtId="0" fontId="4" fillId="2" borderId="0" xfId="0" applyFont="1" applyFill="1"/>
    <xf numFmtId="0" fontId="1" fillId="2" borderId="0" xfId="0" applyFont="1" applyFill="1" applyBorder="1" applyAlignment="1" applyProtection="1"/>
    <xf numFmtId="0" fontId="1" fillId="2" borderId="0" xfId="0" applyFont="1" applyFill="1" applyBorder="1" applyAlignment="1" applyProtection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13" fontId="1" fillId="2" borderId="5" xfId="0" applyNumberFormat="1" applyFont="1" applyFill="1" applyBorder="1" applyAlignment="1" applyProtection="1"/>
    <xf numFmtId="166" fontId="1" fillId="0" borderId="0" xfId="0" applyNumberFormat="1" applyFont="1" applyAlignment="1">
      <alignment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6" fontId="1" fillId="3" borderId="1" xfId="1" applyFont="1" applyFill="1" applyBorder="1" applyAlignment="1" applyProtection="1">
      <alignment horizontal="center" vertical="center" wrapText="1"/>
    </xf>
    <xf numFmtId="164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49" fontId="2" fillId="3" borderId="0" xfId="0" applyNumberFormat="1" applyFont="1" applyFill="1"/>
    <xf numFmtId="166" fontId="1" fillId="0" borderId="1" xfId="1" applyFont="1" applyBorder="1" applyAlignment="1" applyProtection="1">
      <alignment horizontal="center" wrapText="1"/>
    </xf>
    <xf numFmtId="166" fontId="2" fillId="0" borderId="3" xfId="1" applyFont="1" applyBorder="1" applyAlignment="1" applyProtection="1"/>
    <xf numFmtId="14" fontId="2" fillId="0" borderId="0" xfId="0" applyNumberFormat="1" applyFont="1" applyAlignment="1">
      <alignment horizontal="left"/>
    </xf>
    <xf numFmtId="14" fontId="2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/>
    </xf>
    <xf numFmtId="14" fontId="2" fillId="0" borderId="7" xfId="0" applyNumberFormat="1" applyFont="1" applyBorder="1" applyAlignment="1" applyProtection="1">
      <alignment horizontal="center"/>
      <protection locked="0"/>
    </xf>
    <xf numFmtId="14" fontId="1" fillId="0" borderId="0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4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://Users/Crecy/AppData/Local/Temp/Ortigas/Ortigas%202006/Ortigas%20May/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://Users/Crecy/AppData/Local/Temp/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://trosh%20april%202006/ortigas/04%20SALES%20RECOR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36"/>
  <sheetViews>
    <sheetView zoomScale="90" zoomScaleNormal="90" workbookViewId="0">
      <selection activeCell="H132" sqref="A132:XFD140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4" style="3" customWidth="1"/>
    <col min="4" max="4" width="14" style="4" customWidth="1"/>
    <col min="5" max="5" width="28" style="4" customWidth="1"/>
    <col min="6" max="6" width="7.88671875" style="2" customWidth="1"/>
    <col min="7" max="7" width="31.5546875" style="3" customWidth="1"/>
    <col min="8" max="8" width="11" style="5" customWidth="1"/>
    <col min="9" max="9" width="8.44140625" style="5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9.5546875" style="5" customWidth="1"/>
    <col min="18" max="18" width="10.6640625" style="5" customWidth="1"/>
    <col min="19" max="19" width="8.109375" style="5" customWidth="1"/>
    <col min="20" max="21" width="9.109375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30" width="8" style="5" customWidth="1"/>
    <col min="31" max="31" width="10.109375" style="5" customWidth="1"/>
    <col min="32" max="32" width="10.6640625" style="5" customWidth="1"/>
    <col min="33" max="33" width="7.6640625" style="3" customWidth="1"/>
    <col min="34" max="1025" width="9.109375" style="3" customWidth="1"/>
  </cols>
  <sheetData>
    <row r="1" spans="1:34" ht="12" customHeight="1" x14ac:dyDescent="0.3">
      <c r="A1" s="7" t="s">
        <v>0</v>
      </c>
      <c r="C1" s="8"/>
    </row>
    <row r="2" spans="1:34" ht="12" customHeight="1" x14ac:dyDescent="0.3">
      <c r="A2" s="7" t="s">
        <v>1</v>
      </c>
    </row>
    <row r="3" spans="1:34" ht="12" customHeight="1" x14ac:dyDescent="0.3">
      <c r="A3" s="7" t="s">
        <v>2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4" s="17" customFormat="1" ht="43.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6" t="s">
        <v>36</v>
      </c>
    </row>
    <row r="5" spans="1:34" s="29" customFormat="1" ht="23.25" customHeight="1" x14ac:dyDescent="0.2">
      <c r="A5" s="18">
        <v>43833</v>
      </c>
      <c r="B5" s="19"/>
      <c r="C5" s="20" t="s">
        <v>37</v>
      </c>
      <c r="D5" s="20"/>
      <c r="E5" s="20"/>
      <c r="F5" s="21"/>
      <c r="G5" s="21" t="s">
        <v>38</v>
      </c>
      <c r="H5" s="22">
        <v>165</v>
      </c>
      <c r="I5" s="22"/>
      <c r="J5" s="22"/>
      <c r="K5" s="22"/>
      <c r="L5" s="23"/>
      <c r="M5" s="24">
        <f t="shared" ref="M5:M36" si="0">SUM(H5:J5,K5/1.12)</f>
        <v>165</v>
      </c>
      <c r="N5" s="24">
        <f t="shared" ref="N5:N36" si="1">K5/1.12*0.12</f>
        <v>0</v>
      </c>
      <c r="O5" s="24">
        <f t="shared" ref="O5:O36" si="2">-SUM(I5:J5,K5/1.12)*L5</f>
        <v>0</v>
      </c>
      <c r="P5" s="24"/>
      <c r="Q5" s="25"/>
      <c r="R5" s="25"/>
      <c r="S5" s="26"/>
      <c r="T5" s="26"/>
      <c r="U5" s="26"/>
      <c r="V5" s="26"/>
      <c r="W5" s="26"/>
      <c r="X5" s="25"/>
      <c r="Y5" s="25"/>
      <c r="Z5" s="25"/>
      <c r="AA5" s="25">
        <v>165</v>
      </c>
      <c r="AB5" s="26"/>
      <c r="AC5" s="26"/>
      <c r="AD5" s="25"/>
      <c r="AE5" s="25"/>
      <c r="AF5" s="24">
        <f t="shared" ref="AF5:AF36" si="3">-SUM(N5:AE5)</f>
        <v>-165</v>
      </c>
      <c r="AG5" s="27">
        <f t="shared" ref="AG5:AG36" si="4">SUM(H5:K5)+AF5+O5</f>
        <v>0</v>
      </c>
      <c r="AH5" s="28">
        <f t="shared" ref="AH5:AH36" si="5">-AF5</f>
        <v>165</v>
      </c>
    </row>
    <row r="6" spans="1:34" s="29" customFormat="1" ht="23.25" hidden="1" customHeight="1" x14ac:dyDescent="0.2">
      <c r="A6" s="18">
        <v>43833</v>
      </c>
      <c r="B6" s="19"/>
      <c r="C6" s="20" t="s">
        <v>39</v>
      </c>
      <c r="D6" s="20" t="s">
        <v>40</v>
      </c>
      <c r="E6" s="20" t="s">
        <v>41</v>
      </c>
      <c r="F6" s="21">
        <v>112436</v>
      </c>
      <c r="G6" s="21" t="s">
        <v>42</v>
      </c>
      <c r="H6" s="22"/>
      <c r="I6" s="22"/>
      <c r="J6" s="22"/>
      <c r="K6" s="22">
        <v>625</v>
      </c>
      <c r="L6" s="23"/>
      <c r="M6" s="24">
        <f t="shared" si="0"/>
        <v>558.03571428571422</v>
      </c>
      <c r="N6" s="24">
        <f t="shared" si="1"/>
        <v>66.964285714285708</v>
      </c>
      <c r="O6" s="24">
        <f t="shared" si="2"/>
        <v>0</v>
      </c>
      <c r="P6" s="24">
        <v>558.04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>
        <f t="shared" si="3"/>
        <v>-625.00428571428563</v>
      </c>
      <c r="AG6" s="27">
        <f t="shared" si="4"/>
        <v>-4.285714285629183E-3</v>
      </c>
      <c r="AH6" s="28">
        <f t="shared" si="5"/>
        <v>625.00428571428563</v>
      </c>
    </row>
    <row r="7" spans="1:34" s="29" customFormat="1" ht="23.25" hidden="1" customHeight="1" x14ac:dyDescent="0.2">
      <c r="A7" s="18">
        <v>43833</v>
      </c>
      <c r="B7" s="19"/>
      <c r="C7" s="20" t="s">
        <v>39</v>
      </c>
      <c r="D7" s="20" t="s">
        <v>40</v>
      </c>
      <c r="E7" s="20" t="s">
        <v>41</v>
      </c>
      <c r="F7" s="21">
        <v>91441</v>
      </c>
      <c r="G7" s="21" t="s">
        <v>43</v>
      </c>
      <c r="H7" s="22"/>
      <c r="I7" s="22"/>
      <c r="J7" s="22"/>
      <c r="K7" s="22">
        <v>59</v>
      </c>
      <c r="L7" s="23"/>
      <c r="M7" s="24">
        <f t="shared" si="0"/>
        <v>52.678571428571423</v>
      </c>
      <c r="N7" s="24">
        <f t="shared" si="1"/>
        <v>6.3214285714285703</v>
      </c>
      <c r="O7" s="24">
        <f t="shared" si="2"/>
        <v>0</v>
      </c>
      <c r="P7" s="24">
        <v>52.68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>
        <f t="shared" si="3"/>
        <v>-59.001428571428569</v>
      </c>
      <c r="AG7" s="27">
        <f t="shared" si="4"/>
        <v>-1.4285714285691142E-3</v>
      </c>
      <c r="AH7" s="28">
        <f t="shared" si="5"/>
        <v>59.001428571428569</v>
      </c>
    </row>
    <row r="8" spans="1:34" s="29" customFormat="1" ht="23.25" hidden="1" customHeight="1" x14ac:dyDescent="0.2">
      <c r="A8" s="18">
        <v>43834</v>
      </c>
      <c r="B8" s="19"/>
      <c r="C8" s="20" t="s">
        <v>39</v>
      </c>
      <c r="D8" s="20" t="s">
        <v>40</v>
      </c>
      <c r="E8" s="20" t="s">
        <v>41</v>
      </c>
      <c r="F8" s="21">
        <v>112672</v>
      </c>
      <c r="G8" s="21" t="s">
        <v>44</v>
      </c>
      <c r="H8" s="22"/>
      <c r="I8" s="22"/>
      <c r="J8" s="22"/>
      <c r="K8" s="22">
        <v>485.5</v>
      </c>
      <c r="L8" s="23"/>
      <c r="M8" s="24">
        <f t="shared" si="0"/>
        <v>433.48214285714283</v>
      </c>
      <c r="N8" s="24">
        <f t="shared" si="1"/>
        <v>52.017857142857139</v>
      </c>
      <c r="O8" s="24">
        <f t="shared" si="2"/>
        <v>0</v>
      </c>
      <c r="P8" s="24">
        <v>433.48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>
        <f t="shared" si="3"/>
        <v>-485.49785714285713</v>
      </c>
      <c r="AG8" s="27">
        <f t="shared" si="4"/>
        <v>2.1428571428714349E-3</v>
      </c>
      <c r="AH8" s="28">
        <f t="shared" si="5"/>
        <v>485.49785714285713</v>
      </c>
    </row>
    <row r="9" spans="1:34" s="29" customFormat="1" ht="23.25" hidden="1" customHeight="1" x14ac:dyDescent="0.2">
      <c r="A9" s="18">
        <v>43834</v>
      </c>
      <c r="B9" s="19"/>
      <c r="C9" s="20" t="s">
        <v>45</v>
      </c>
      <c r="D9" s="20"/>
      <c r="E9" s="20"/>
      <c r="F9" s="21"/>
      <c r="G9" s="30" t="s">
        <v>46</v>
      </c>
      <c r="H9" s="22">
        <v>50</v>
      </c>
      <c r="I9" s="22"/>
      <c r="J9" s="22"/>
      <c r="K9" s="22"/>
      <c r="L9" s="23"/>
      <c r="M9" s="24">
        <f t="shared" si="0"/>
        <v>50</v>
      </c>
      <c r="N9" s="24">
        <f t="shared" si="1"/>
        <v>0</v>
      </c>
      <c r="O9" s="24">
        <f t="shared" si="2"/>
        <v>0</v>
      </c>
      <c r="P9" s="24"/>
      <c r="Q9" s="25"/>
      <c r="R9" s="25"/>
      <c r="S9" s="26"/>
      <c r="T9" s="26"/>
      <c r="U9" s="26"/>
      <c r="V9" s="26"/>
      <c r="W9" s="26"/>
      <c r="X9" s="25"/>
      <c r="Y9" s="25"/>
      <c r="Z9" s="25"/>
      <c r="AA9" s="25">
        <v>50</v>
      </c>
      <c r="AB9" s="26"/>
      <c r="AC9" s="26"/>
      <c r="AD9" s="25"/>
      <c r="AE9" s="25"/>
      <c r="AF9" s="24">
        <f t="shared" si="3"/>
        <v>-50</v>
      </c>
      <c r="AG9" s="27">
        <f t="shared" si="4"/>
        <v>0</v>
      </c>
      <c r="AH9" s="28">
        <f t="shared" si="5"/>
        <v>50</v>
      </c>
    </row>
    <row r="10" spans="1:34" s="29" customFormat="1" ht="23.25" hidden="1" customHeight="1" x14ac:dyDescent="0.2">
      <c r="A10" s="18">
        <v>43834</v>
      </c>
      <c r="B10" s="19"/>
      <c r="C10" s="20" t="s">
        <v>47</v>
      </c>
      <c r="D10" s="20" t="s">
        <v>48</v>
      </c>
      <c r="E10" s="20" t="s">
        <v>49</v>
      </c>
      <c r="F10" s="21">
        <v>226358</v>
      </c>
      <c r="G10" s="21" t="s">
        <v>50</v>
      </c>
      <c r="H10" s="22"/>
      <c r="I10" s="22"/>
      <c r="J10" s="22"/>
      <c r="K10" s="22">
        <f>332.81+39.94</f>
        <v>372.75</v>
      </c>
      <c r="L10" s="23"/>
      <c r="M10" s="24">
        <f t="shared" si="0"/>
        <v>332.81249999999994</v>
      </c>
      <c r="N10" s="24">
        <f t="shared" si="1"/>
        <v>39.937499999999993</v>
      </c>
      <c r="O10" s="24">
        <f t="shared" si="2"/>
        <v>0</v>
      </c>
      <c r="P10" s="25">
        <v>332.81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>
        <f t="shared" si="3"/>
        <v>-372.7475</v>
      </c>
      <c r="AG10" s="27">
        <f t="shared" si="4"/>
        <v>2.4999999999977263E-3</v>
      </c>
      <c r="AH10" s="28">
        <f t="shared" si="5"/>
        <v>372.7475</v>
      </c>
    </row>
    <row r="11" spans="1:34" s="29" customFormat="1" ht="23.25" hidden="1" customHeight="1" x14ac:dyDescent="0.2">
      <c r="A11" s="18">
        <v>43834</v>
      </c>
      <c r="B11" s="19"/>
      <c r="C11" s="20" t="s">
        <v>47</v>
      </c>
      <c r="D11" s="20" t="s">
        <v>48</v>
      </c>
      <c r="E11" s="20" t="s">
        <v>49</v>
      </c>
      <c r="F11" s="21">
        <v>226358</v>
      </c>
      <c r="G11" s="30" t="s">
        <v>51</v>
      </c>
      <c r="H11" s="22"/>
      <c r="I11" s="22"/>
      <c r="J11" s="22">
        <v>70</v>
      </c>
      <c r="K11" s="22"/>
      <c r="L11" s="23"/>
      <c r="M11" s="24">
        <f t="shared" si="0"/>
        <v>70</v>
      </c>
      <c r="N11" s="24">
        <f t="shared" si="1"/>
        <v>0</v>
      </c>
      <c r="O11" s="24">
        <f t="shared" si="2"/>
        <v>0</v>
      </c>
      <c r="P11" s="24">
        <v>70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>
        <f t="shared" si="3"/>
        <v>-70</v>
      </c>
      <c r="AG11" s="27">
        <f t="shared" si="4"/>
        <v>0</v>
      </c>
      <c r="AH11" s="28">
        <f t="shared" si="5"/>
        <v>70</v>
      </c>
    </row>
    <row r="12" spans="1:34" s="29" customFormat="1" ht="23.25" hidden="1" customHeight="1" x14ac:dyDescent="0.2">
      <c r="A12" s="18">
        <v>43836</v>
      </c>
      <c r="B12" s="19"/>
      <c r="C12" s="20" t="s">
        <v>52</v>
      </c>
      <c r="D12" s="20" t="s">
        <v>53</v>
      </c>
      <c r="E12" s="20" t="s">
        <v>49</v>
      </c>
      <c r="F12" s="21">
        <v>315792</v>
      </c>
      <c r="G12" s="30" t="s">
        <v>54</v>
      </c>
      <c r="H12" s="22"/>
      <c r="I12" s="22"/>
      <c r="J12" s="22"/>
      <c r="K12" s="22">
        <v>6982.09</v>
      </c>
      <c r="L12" s="23"/>
      <c r="M12" s="24">
        <f t="shared" si="0"/>
        <v>6234.0089285714284</v>
      </c>
      <c r="N12" s="24">
        <f t="shared" si="1"/>
        <v>748.08107142857136</v>
      </c>
      <c r="O12" s="24">
        <f t="shared" si="2"/>
        <v>0</v>
      </c>
      <c r="P12" s="24">
        <v>6234.01</v>
      </c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>
        <f t="shared" si="3"/>
        <v>-6982.0910714285719</v>
      </c>
      <c r="AG12" s="27">
        <f t="shared" si="4"/>
        <v>-1.071428571776778E-3</v>
      </c>
      <c r="AH12" s="28">
        <f t="shared" si="5"/>
        <v>6982.0910714285719</v>
      </c>
    </row>
    <row r="13" spans="1:34" s="29" customFormat="1" ht="23.25" hidden="1" customHeight="1" x14ac:dyDescent="0.2">
      <c r="A13" s="18">
        <v>43836</v>
      </c>
      <c r="B13" s="19"/>
      <c r="C13" s="20" t="s">
        <v>55</v>
      </c>
      <c r="D13" s="20" t="s">
        <v>56</v>
      </c>
      <c r="E13" s="20" t="s">
        <v>57</v>
      </c>
      <c r="F13" s="21">
        <v>229712</v>
      </c>
      <c r="G13" s="21" t="s">
        <v>58</v>
      </c>
      <c r="H13" s="22"/>
      <c r="I13" s="22"/>
      <c r="J13" s="22"/>
      <c r="K13" s="22">
        <v>180</v>
      </c>
      <c r="L13" s="23"/>
      <c r="M13" s="24">
        <f t="shared" si="0"/>
        <v>160.71428571428569</v>
      </c>
      <c r="N13" s="24">
        <f t="shared" si="1"/>
        <v>19.285714285714281</v>
      </c>
      <c r="O13" s="24">
        <f t="shared" si="2"/>
        <v>0</v>
      </c>
      <c r="P13" s="24"/>
      <c r="Q13" s="25">
        <v>160.71</v>
      </c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>
        <f t="shared" si="3"/>
        <v>-179.99571428571429</v>
      </c>
      <c r="AG13" s="27">
        <f t="shared" si="4"/>
        <v>4.2857142857144481E-3</v>
      </c>
      <c r="AH13" s="28">
        <f t="shared" si="5"/>
        <v>179.99571428571429</v>
      </c>
    </row>
    <row r="14" spans="1:34" s="29" customFormat="1" ht="23.25" hidden="1" customHeight="1" x14ac:dyDescent="0.2">
      <c r="A14" s="18">
        <v>43836</v>
      </c>
      <c r="B14" s="19"/>
      <c r="C14" s="20" t="s">
        <v>39</v>
      </c>
      <c r="D14" s="20" t="s">
        <v>40</v>
      </c>
      <c r="E14" s="20" t="s">
        <v>41</v>
      </c>
      <c r="F14" s="21">
        <v>113172</v>
      </c>
      <c r="G14" s="21" t="s">
        <v>59</v>
      </c>
      <c r="H14" s="22"/>
      <c r="I14" s="22"/>
      <c r="J14" s="22"/>
      <c r="K14" s="22">
        <v>341.36</v>
      </c>
      <c r="L14" s="23"/>
      <c r="M14" s="24">
        <f t="shared" si="0"/>
        <v>304.78571428571428</v>
      </c>
      <c r="N14" s="24">
        <f t="shared" si="1"/>
        <v>36.574285714285715</v>
      </c>
      <c r="O14" s="24">
        <f t="shared" si="2"/>
        <v>0</v>
      </c>
      <c r="P14" s="24">
        <v>304.79000000000002</v>
      </c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>
        <f t="shared" si="3"/>
        <v>-341.36428571428576</v>
      </c>
      <c r="AG14" s="27">
        <f t="shared" si="4"/>
        <v>-4.2857142857428698E-3</v>
      </c>
      <c r="AH14" s="28">
        <f t="shared" si="5"/>
        <v>341.36428571428576</v>
      </c>
    </row>
    <row r="15" spans="1:34" s="29" customFormat="1" ht="23.25" hidden="1" customHeight="1" x14ac:dyDescent="0.2">
      <c r="A15" s="18">
        <v>43836</v>
      </c>
      <c r="B15" s="19"/>
      <c r="C15" s="20" t="s">
        <v>60</v>
      </c>
      <c r="D15" s="20"/>
      <c r="E15" s="20"/>
      <c r="F15" s="21"/>
      <c r="G15" s="30" t="s">
        <v>61</v>
      </c>
      <c r="H15" s="22">
        <v>50</v>
      </c>
      <c r="I15" s="22"/>
      <c r="J15" s="22"/>
      <c r="K15" s="22"/>
      <c r="L15" s="23"/>
      <c r="M15" s="24">
        <f t="shared" si="0"/>
        <v>50</v>
      </c>
      <c r="N15" s="24">
        <f t="shared" si="1"/>
        <v>0</v>
      </c>
      <c r="O15" s="24">
        <f t="shared" si="2"/>
        <v>0</v>
      </c>
      <c r="P15" s="24"/>
      <c r="Q15" s="25"/>
      <c r="R15" s="25"/>
      <c r="S15" s="26"/>
      <c r="T15" s="26"/>
      <c r="U15" s="26"/>
      <c r="V15" s="26"/>
      <c r="W15" s="26"/>
      <c r="X15" s="25"/>
      <c r="Y15" s="25"/>
      <c r="Z15" s="25"/>
      <c r="AA15" s="25">
        <v>50</v>
      </c>
      <c r="AB15" s="26"/>
      <c r="AC15" s="26"/>
      <c r="AD15" s="25"/>
      <c r="AE15" s="25"/>
      <c r="AF15" s="24">
        <f t="shared" si="3"/>
        <v>-50</v>
      </c>
      <c r="AG15" s="27">
        <f t="shared" si="4"/>
        <v>0</v>
      </c>
      <c r="AH15" s="28">
        <f t="shared" si="5"/>
        <v>50</v>
      </c>
    </row>
    <row r="16" spans="1:34" s="29" customFormat="1" ht="23.25" hidden="1" customHeight="1" x14ac:dyDescent="0.2">
      <c r="A16" s="18">
        <v>43837</v>
      </c>
      <c r="B16" s="19"/>
      <c r="C16" s="20" t="s">
        <v>62</v>
      </c>
      <c r="D16" s="20"/>
      <c r="E16" s="20"/>
      <c r="F16" s="21"/>
      <c r="G16" s="30" t="s">
        <v>63</v>
      </c>
      <c r="H16" s="22"/>
      <c r="I16" s="22"/>
      <c r="J16" s="22">
        <v>60</v>
      </c>
      <c r="K16" s="22"/>
      <c r="L16" s="23"/>
      <c r="M16" s="24">
        <f t="shared" si="0"/>
        <v>60</v>
      </c>
      <c r="N16" s="24">
        <f t="shared" si="1"/>
        <v>0</v>
      </c>
      <c r="O16" s="24">
        <f t="shared" si="2"/>
        <v>0</v>
      </c>
      <c r="P16" s="24">
        <v>60</v>
      </c>
      <c r="Q16" s="25"/>
      <c r="R16" s="25"/>
      <c r="S16" s="26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5"/>
      <c r="AF16" s="24">
        <f t="shared" si="3"/>
        <v>-60</v>
      </c>
      <c r="AG16" s="27">
        <f t="shared" si="4"/>
        <v>0</v>
      </c>
      <c r="AH16" s="28">
        <f t="shared" si="5"/>
        <v>60</v>
      </c>
    </row>
    <row r="17" spans="1:34" s="29" customFormat="1" ht="23.25" hidden="1" customHeight="1" x14ac:dyDescent="0.2">
      <c r="A17" s="18">
        <v>43837</v>
      </c>
      <c r="B17" s="19"/>
      <c r="C17" s="20" t="s">
        <v>60</v>
      </c>
      <c r="D17" s="20"/>
      <c r="E17" s="20"/>
      <c r="F17" s="21"/>
      <c r="G17" s="21" t="s">
        <v>64</v>
      </c>
      <c r="H17" s="22">
        <v>50</v>
      </c>
      <c r="I17" s="22"/>
      <c r="J17" s="22"/>
      <c r="K17" s="22"/>
      <c r="L17" s="23"/>
      <c r="M17" s="24">
        <f t="shared" si="0"/>
        <v>50</v>
      </c>
      <c r="N17" s="24">
        <f t="shared" si="1"/>
        <v>0</v>
      </c>
      <c r="O17" s="24">
        <f t="shared" si="2"/>
        <v>0</v>
      </c>
      <c r="P17" s="24"/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>
        <v>50</v>
      </c>
      <c r="AB17" s="26"/>
      <c r="AC17" s="26"/>
      <c r="AD17" s="25"/>
      <c r="AE17" s="25"/>
      <c r="AF17" s="24">
        <f t="shared" si="3"/>
        <v>-50</v>
      </c>
      <c r="AG17" s="27">
        <f t="shared" si="4"/>
        <v>0</v>
      </c>
      <c r="AH17" s="28">
        <f t="shared" si="5"/>
        <v>50</v>
      </c>
    </row>
    <row r="18" spans="1:34" s="29" customFormat="1" ht="23.25" hidden="1" customHeight="1" x14ac:dyDescent="0.2">
      <c r="A18" s="18">
        <v>43837</v>
      </c>
      <c r="B18" s="19"/>
      <c r="C18" s="20" t="s">
        <v>65</v>
      </c>
      <c r="D18" s="20" t="s">
        <v>66</v>
      </c>
      <c r="E18" s="20" t="s">
        <v>67</v>
      </c>
      <c r="F18" s="21">
        <v>3398</v>
      </c>
      <c r="G18" s="21" t="s">
        <v>68</v>
      </c>
      <c r="H18" s="22"/>
      <c r="I18" s="22"/>
      <c r="J18" s="22">
        <v>319</v>
      </c>
      <c r="K18" s="22"/>
      <c r="L18" s="23"/>
      <c r="M18" s="24">
        <f t="shared" si="0"/>
        <v>319</v>
      </c>
      <c r="N18" s="24">
        <f t="shared" si="1"/>
        <v>0</v>
      </c>
      <c r="O18" s="24">
        <f t="shared" si="2"/>
        <v>0</v>
      </c>
      <c r="P18" s="24">
        <v>319</v>
      </c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>
        <f t="shared" si="3"/>
        <v>-319</v>
      </c>
      <c r="AG18" s="27">
        <f t="shared" si="4"/>
        <v>0</v>
      </c>
      <c r="AH18" s="28">
        <f t="shared" si="5"/>
        <v>319</v>
      </c>
    </row>
    <row r="19" spans="1:34" s="29" customFormat="1" ht="23.25" hidden="1" customHeight="1" x14ac:dyDescent="0.2">
      <c r="A19" s="18">
        <v>43837</v>
      </c>
      <c r="B19" s="19"/>
      <c r="C19" s="20" t="s">
        <v>45</v>
      </c>
      <c r="D19" s="20"/>
      <c r="E19" s="20"/>
      <c r="F19" s="21"/>
      <c r="G19" s="21" t="s">
        <v>69</v>
      </c>
      <c r="H19" s="22">
        <v>100</v>
      </c>
      <c r="I19" s="22"/>
      <c r="J19" s="22"/>
      <c r="K19" s="22"/>
      <c r="L19" s="23"/>
      <c r="M19" s="24">
        <f t="shared" si="0"/>
        <v>100</v>
      </c>
      <c r="N19" s="24">
        <f t="shared" si="1"/>
        <v>0</v>
      </c>
      <c r="O19" s="24">
        <f t="shared" si="2"/>
        <v>0</v>
      </c>
      <c r="P19" s="24"/>
      <c r="Q19" s="25"/>
      <c r="R19" s="25"/>
      <c r="S19" s="26"/>
      <c r="T19" s="26"/>
      <c r="U19" s="26"/>
      <c r="V19" s="26"/>
      <c r="W19" s="26"/>
      <c r="X19" s="25"/>
      <c r="Y19" s="25"/>
      <c r="Z19" s="25"/>
      <c r="AA19" s="25">
        <v>100</v>
      </c>
      <c r="AB19" s="26"/>
      <c r="AC19" s="26"/>
      <c r="AD19" s="25"/>
      <c r="AE19" s="25"/>
      <c r="AF19" s="24">
        <f t="shared" si="3"/>
        <v>-100</v>
      </c>
      <c r="AG19" s="27">
        <f t="shared" si="4"/>
        <v>0</v>
      </c>
      <c r="AH19" s="28">
        <f t="shared" si="5"/>
        <v>100</v>
      </c>
    </row>
    <row r="20" spans="1:34" s="29" customFormat="1" ht="23.25" hidden="1" customHeight="1" x14ac:dyDescent="0.2">
      <c r="A20" s="18">
        <v>43837</v>
      </c>
      <c r="B20" s="19"/>
      <c r="C20" s="20" t="s">
        <v>70</v>
      </c>
      <c r="D20" s="20" t="s">
        <v>71</v>
      </c>
      <c r="E20" s="20" t="s">
        <v>72</v>
      </c>
      <c r="F20" s="21">
        <v>16192</v>
      </c>
      <c r="G20" s="21" t="s">
        <v>73</v>
      </c>
      <c r="H20" s="22"/>
      <c r="I20" s="22"/>
      <c r="J20" s="22"/>
      <c r="K20" s="22">
        <v>584</v>
      </c>
      <c r="L20" s="23"/>
      <c r="M20" s="24">
        <f t="shared" si="0"/>
        <v>521.42857142857133</v>
      </c>
      <c r="N20" s="24">
        <f t="shared" si="1"/>
        <v>62.571428571428555</v>
      </c>
      <c r="O20" s="24">
        <f t="shared" si="2"/>
        <v>0</v>
      </c>
      <c r="P20" s="24">
        <v>521.42999999999995</v>
      </c>
      <c r="Q20" s="25"/>
      <c r="R20" s="25"/>
      <c r="S20" s="26"/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>
        <f t="shared" si="3"/>
        <v>-584.00142857142851</v>
      </c>
      <c r="AG20" s="27">
        <f t="shared" si="4"/>
        <v>-1.4285714285051654E-3</v>
      </c>
      <c r="AH20" s="28">
        <f t="shared" si="5"/>
        <v>584.00142857142851</v>
      </c>
    </row>
    <row r="21" spans="1:34" s="29" customFormat="1" ht="23.25" hidden="1" customHeight="1" x14ac:dyDescent="0.2">
      <c r="A21" s="18">
        <v>43837</v>
      </c>
      <c r="B21" s="19"/>
      <c r="C21" s="20" t="s">
        <v>47</v>
      </c>
      <c r="D21" s="20" t="s">
        <v>48</v>
      </c>
      <c r="E21" s="20" t="s">
        <v>49</v>
      </c>
      <c r="F21" s="21">
        <v>195747</v>
      </c>
      <c r="G21" s="21" t="s">
        <v>74</v>
      </c>
      <c r="H21" s="22"/>
      <c r="I21" s="22"/>
      <c r="J21" s="22"/>
      <c r="K21" s="22">
        <f>369.64+44.36</f>
        <v>414</v>
      </c>
      <c r="L21" s="23"/>
      <c r="M21" s="24">
        <f t="shared" si="0"/>
        <v>369.64285714285711</v>
      </c>
      <c r="N21" s="24">
        <f t="shared" si="1"/>
        <v>44.357142857142854</v>
      </c>
      <c r="O21" s="24">
        <f t="shared" si="2"/>
        <v>0</v>
      </c>
      <c r="P21" s="24">
        <v>369.64</v>
      </c>
      <c r="Q21" s="25"/>
      <c r="R21" s="25"/>
      <c r="S21" s="26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>
        <f t="shared" si="3"/>
        <v>-413.99714285714282</v>
      </c>
      <c r="AG21" s="27">
        <f t="shared" si="4"/>
        <v>2.857142857180861E-3</v>
      </c>
      <c r="AH21" s="28">
        <f t="shared" si="5"/>
        <v>413.99714285714282</v>
      </c>
    </row>
    <row r="22" spans="1:34" s="29" customFormat="1" ht="23.25" hidden="1" customHeight="1" x14ac:dyDescent="0.2">
      <c r="A22" s="18">
        <v>43837</v>
      </c>
      <c r="B22" s="19"/>
      <c r="C22" s="20" t="s">
        <v>47</v>
      </c>
      <c r="D22" s="20" t="s">
        <v>48</v>
      </c>
      <c r="E22" s="20" t="s">
        <v>49</v>
      </c>
      <c r="F22" s="21">
        <v>195747</v>
      </c>
      <c r="G22" s="21" t="s">
        <v>75</v>
      </c>
      <c r="H22" s="22"/>
      <c r="I22" s="22"/>
      <c r="J22" s="22">
        <v>262</v>
      </c>
      <c r="K22" s="22"/>
      <c r="L22" s="23"/>
      <c r="M22" s="24">
        <f t="shared" si="0"/>
        <v>262</v>
      </c>
      <c r="N22" s="24">
        <f t="shared" si="1"/>
        <v>0</v>
      </c>
      <c r="O22" s="24">
        <f t="shared" si="2"/>
        <v>0</v>
      </c>
      <c r="P22" s="24">
        <v>262</v>
      </c>
      <c r="Q22" s="25"/>
      <c r="R22" s="25"/>
      <c r="S22" s="26"/>
      <c r="T22" s="26"/>
      <c r="U22" s="26"/>
      <c r="V22" s="26"/>
      <c r="W22" s="26"/>
      <c r="X22" s="25"/>
      <c r="Y22" s="25"/>
      <c r="Z22" s="25"/>
      <c r="AA22" s="25"/>
      <c r="AB22" s="26"/>
      <c r="AC22" s="26"/>
      <c r="AD22" s="25"/>
      <c r="AE22" s="25"/>
      <c r="AF22" s="24">
        <f t="shared" si="3"/>
        <v>-262</v>
      </c>
      <c r="AG22" s="27">
        <f t="shared" si="4"/>
        <v>0</v>
      </c>
      <c r="AH22" s="28">
        <f t="shared" si="5"/>
        <v>262</v>
      </c>
    </row>
    <row r="23" spans="1:34" s="29" customFormat="1" ht="23.25" hidden="1" customHeight="1" x14ac:dyDescent="0.2">
      <c r="A23" s="18">
        <v>43837</v>
      </c>
      <c r="B23" s="19"/>
      <c r="C23" s="20" t="s">
        <v>52</v>
      </c>
      <c r="D23" s="20" t="s">
        <v>53</v>
      </c>
      <c r="E23" s="20" t="s">
        <v>49</v>
      </c>
      <c r="F23" s="21">
        <v>574838</v>
      </c>
      <c r="G23" s="21" t="s">
        <v>76</v>
      </c>
      <c r="H23" s="22"/>
      <c r="I23" s="22"/>
      <c r="J23" s="22"/>
      <c r="K23" s="22">
        <v>852.46</v>
      </c>
      <c r="L23" s="23"/>
      <c r="M23" s="24">
        <f t="shared" si="0"/>
        <v>761.125</v>
      </c>
      <c r="N23" s="24">
        <f t="shared" si="1"/>
        <v>91.334999999999994</v>
      </c>
      <c r="O23" s="24">
        <f t="shared" si="2"/>
        <v>0</v>
      </c>
      <c r="P23" s="24">
        <v>761.13</v>
      </c>
      <c r="Q23" s="25"/>
      <c r="R23" s="25"/>
      <c r="S23" s="26"/>
      <c r="T23" s="26"/>
      <c r="U23" s="26"/>
      <c r="V23" s="26"/>
      <c r="W23" s="26"/>
      <c r="X23" s="25"/>
      <c r="Y23" s="25"/>
      <c r="Z23" s="25"/>
      <c r="AA23" s="25"/>
      <c r="AB23" s="26"/>
      <c r="AC23" s="26"/>
      <c r="AD23" s="25"/>
      <c r="AE23" s="25"/>
      <c r="AF23" s="24">
        <f t="shared" si="3"/>
        <v>-852.46500000000003</v>
      </c>
      <c r="AG23" s="27">
        <f t="shared" si="4"/>
        <v>-4.9999999999954525E-3</v>
      </c>
      <c r="AH23" s="28">
        <f t="shared" si="5"/>
        <v>852.46500000000003</v>
      </c>
    </row>
    <row r="24" spans="1:34" s="29" customFormat="1" ht="23.25" hidden="1" customHeight="1" x14ac:dyDescent="0.2">
      <c r="A24" s="18">
        <v>43837</v>
      </c>
      <c r="B24" s="19"/>
      <c r="C24" s="20" t="s">
        <v>65</v>
      </c>
      <c r="D24" s="20" t="s">
        <v>66</v>
      </c>
      <c r="E24" s="20" t="s">
        <v>67</v>
      </c>
      <c r="F24" s="21">
        <v>3397</v>
      </c>
      <c r="G24" s="21" t="s">
        <v>77</v>
      </c>
      <c r="H24" s="22"/>
      <c r="I24" s="22"/>
      <c r="J24" s="22">
        <v>2417</v>
      </c>
      <c r="K24" s="22"/>
      <c r="L24" s="23"/>
      <c r="M24" s="24">
        <f t="shared" si="0"/>
        <v>2417</v>
      </c>
      <c r="N24" s="24">
        <f t="shared" si="1"/>
        <v>0</v>
      </c>
      <c r="O24" s="24">
        <f t="shared" si="2"/>
        <v>0</v>
      </c>
      <c r="P24" s="24">
        <v>2417</v>
      </c>
      <c r="Q24" s="25"/>
      <c r="R24" s="25"/>
      <c r="S24" s="26"/>
      <c r="T24" s="26"/>
      <c r="U24" s="26"/>
      <c r="V24" s="26"/>
      <c r="W24" s="26"/>
      <c r="X24" s="25"/>
      <c r="Y24" s="25"/>
      <c r="Z24" s="25"/>
      <c r="AA24" s="25"/>
      <c r="AB24" s="26"/>
      <c r="AC24" s="26"/>
      <c r="AD24" s="25"/>
      <c r="AE24" s="25"/>
      <c r="AF24" s="24">
        <f t="shared" si="3"/>
        <v>-2417</v>
      </c>
      <c r="AG24" s="27">
        <f t="shared" si="4"/>
        <v>0</v>
      </c>
      <c r="AH24" s="28">
        <f t="shared" si="5"/>
        <v>2417</v>
      </c>
    </row>
    <row r="25" spans="1:34" s="29" customFormat="1" ht="23.25" hidden="1" customHeight="1" x14ac:dyDescent="0.2">
      <c r="A25" s="18">
        <v>43837</v>
      </c>
      <c r="B25" s="19"/>
      <c r="C25" s="20" t="s">
        <v>78</v>
      </c>
      <c r="D25" s="20" t="s">
        <v>79</v>
      </c>
      <c r="E25" s="20" t="s">
        <v>67</v>
      </c>
      <c r="F25" s="21">
        <v>20377</v>
      </c>
      <c r="G25" s="21" t="s">
        <v>80</v>
      </c>
      <c r="H25" s="22"/>
      <c r="I25" s="22"/>
      <c r="J25" s="22">
        <v>400</v>
      </c>
      <c r="K25" s="22"/>
      <c r="L25" s="23"/>
      <c r="M25" s="24">
        <f t="shared" si="0"/>
        <v>400</v>
      </c>
      <c r="N25" s="24">
        <f t="shared" si="1"/>
        <v>0</v>
      </c>
      <c r="O25" s="24">
        <f t="shared" si="2"/>
        <v>0</v>
      </c>
      <c r="P25" s="24">
        <v>400</v>
      </c>
      <c r="Q25" s="25"/>
      <c r="R25" s="25"/>
      <c r="S25" s="26"/>
      <c r="T25" s="26"/>
      <c r="U25" s="26"/>
      <c r="V25" s="26"/>
      <c r="W25" s="26"/>
      <c r="X25" s="25"/>
      <c r="Y25" s="25"/>
      <c r="Z25" s="25"/>
      <c r="AA25" s="25"/>
      <c r="AB25" s="26"/>
      <c r="AC25" s="26"/>
      <c r="AD25" s="25"/>
      <c r="AE25" s="25"/>
      <c r="AF25" s="24">
        <f t="shared" si="3"/>
        <v>-400</v>
      </c>
      <c r="AG25" s="27">
        <f t="shared" si="4"/>
        <v>0</v>
      </c>
      <c r="AH25" s="28">
        <f t="shared" si="5"/>
        <v>400</v>
      </c>
    </row>
    <row r="26" spans="1:34" s="29" customFormat="1" ht="23.25" hidden="1" customHeight="1" x14ac:dyDescent="0.2">
      <c r="A26" s="18">
        <v>43837</v>
      </c>
      <c r="B26" s="19"/>
      <c r="C26" s="20" t="s">
        <v>55</v>
      </c>
      <c r="D26" s="20" t="s">
        <v>56</v>
      </c>
      <c r="E26" s="20" t="s">
        <v>57</v>
      </c>
      <c r="F26" s="21">
        <v>229748</v>
      </c>
      <c r="G26" s="21" t="s">
        <v>58</v>
      </c>
      <c r="H26" s="22"/>
      <c r="I26" s="22"/>
      <c r="J26" s="22"/>
      <c r="K26" s="22">
        <v>180</v>
      </c>
      <c r="L26" s="23"/>
      <c r="M26" s="24">
        <f t="shared" si="0"/>
        <v>160.71428571428569</v>
      </c>
      <c r="N26" s="24">
        <f t="shared" si="1"/>
        <v>19.285714285714281</v>
      </c>
      <c r="O26" s="24">
        <f t="shared" si="2"/>
        <v>0</v>
      </c>
      <c r="P26" s="24"/>
      <c r="Q26" s="25">
        <v>160.71</v>
      </c>
      <c r="R26" s="25"/>
      <c r="S26" s="26"/>
      <c r="T26" s="26"/>
      <c r="U26" s="26"/>
      <c r="V26" s="26"/>
      <c r="W26" s="26"/>
      <c r="X26" s="25"/>
      <c r="Y26" s="25"/>
      <c r="Z26" s="25"/>
      <c r="AA26" s="25"/>
      <c r="AB26" s="26"/>
      <c r="AC26" s="26"/>
      <c r="AD26" s="25"/>
      <c r="AE26" s="25"/>
      <c r="AF26" s="24">
        <f t="shared" si="3"/>
        <v>-179.99571428571429</v>
      </c>
      <c r="AG26" s="27">
        <f t="shared" si="4"/>
        <v>4.2857142857144481E-3</v>
      </c>
      <c r="AH26" s="28">
        <f t="shared" si="5"/>
        <v>179.99571428571429</v>
      </c>
    </row>
    <row r="27" spans="1:34" s="29" customFormat="1" ht="23.25" hidden="1" customHeight="1" x14ac:dyDescent="0.2">
      <c r="A27" s="18">
        <v>43837</v>
      </c>
      <c r="B27" s="19"/>
      <c r="C27" s="20" t="s">
        <v>81</v>
      </c>
      <c r="D27" s="20" t="s">
        <v>82</v>
      </c>
      <c r="E27" s="20" t="s">
        <v>49</v>
      </c>
      <c r="F27" s="21">
        <v>1006</v>
      </c>
      <c r="G27" s="21" t="s">
        <v>83</v>
      </c>
      <c r="H27" s="22"/>
      <c r="I27" s="22"/>
      <c r="J27" s="22"/>
      <c r="K27" s="22">
        <v>440</v>
      </c>
      <c r="L27" s="23"/>
      <c r="M27" s="24">
        <f t="shared" si="0"/>
        <v>392.85714285714283</v>
      </c>
      <c r="N27" s="24">
        <f t="shared" si="1"/>
        <v>47.142857142857139</v>
      </c>
      <c r="O27" s="24">
        <f t="shared" si="2"/>
        <v>0</v>
      </c>
      <c r="P27" s="24"/>
      <c r="Q27" s="25"/>
      <c r="R27" s="25"/>
      <c r="S27" s="26">
        <v>392.86</v>
      </c>
      <c r="T27" s="26"/>
      <c r="U27" s="26"/>
      <c r="V27" s="26"/>
      <c r="W27" s="26"/>
      <c r="X27" s="25"/>
      <c r="Y27" s="25"/>
      <c r="Z27" s="25"/>
      <c r="AA27" s="25"/>
      <c r="AB27" s="26"/>
      <c r="AC27" s="26"/>
      <c r="AD27" s="25"/>
      <c r="AE27" s="25"/>
      <c r="AF27" s="24">
        <f t="shared" si="3"/>
        <v>-440.00285714285712</v>
      </c>
      <c r="AG27" s="27">
        <f t="shared" si="4"/>
        <v>-2.8571428571240176E-3</v>
      </c>
      <c r="AH27" s="28">
        <f t="shared" si="5"/>
        <v>440.00285714285712</v>
      </c>
    </row>
    <row r="28" spans="1:34" s="29" customFormat="1" ht="23.25" hidden="1" customHeight="1" x14ac:dyDescent="0.2">
      <c r="A28" s="18">
        <v>43837</v>
      </c>
      <c r="B28" s="19"/>
      <c r="C28" s="20" t="s">
        <v>47</v>
      </c>
      <c r="D28" s="20" t="s">
        <v>48</v>
      </c>
      <c r="E28" s="20" t="s">
        <v>49</v>
      </c>
      <c r="F28" s="21">
        <v>181775</v>
      </c>
      <c r="G28" s="21" t="s">
        <v>84</v>
      </c>
      <c r="H28" s="22"/>
      <c r="I28" s="22"/>
      <c r="J28" s="22">
        <v>75</v>
      </c>
      <c r="K28" s="22"/>
      <c r="L28" s="23"/>
      <c r="M28" s="24">
        <f t="shared" si="0"/>
        <v>75</v>
      </c>
      <c r="N28" s="24">
        <f t="shared" si="1"/>
        <v>0</v>
      </c>
      <c r="O28" s="24">
        <f t="shared" si="2"/>
        <v>0</v>
      </c>
      <c r="P28" s="24">
        <v>75</v>
      </c>
      <c r="Q28" s="25"/>
      <c r="R28" s="25"/>
      <c r="S28" s="26"/>
      <c r="T28" s="26"/>
      <c r="U28" s="26"/>
      <c r="V28" s="26"/>
      <c r="W28" s="26"/>
      <c r="X28" s="25"/>
      <c r="Y28" s="25"/>
      <c r="Z28" s="25"/>
      <c r="AA28" s="25"/>
      <c r="AB28" s="26"/>
      <c r="AC28" s="26"/>
      <c r="AD28" s="25"/>
      <c r="AE28" s="25"/>
      <c r="AF28" s="24">
        <f t="shared" si="3"/>
        <v>-75</v>
      </c>
      <c r="AG28" s="27">
        <f t="shared" si="4"/>
        <v>0</v>
      </c>
      <c r="AH28" s="28">
        <f t="shared" si="5"/>
        <v>75</v>
      </c>
    </row>
    <row r="29" spans="1:34" s="29" customFormat="1" ht="23.25" hidden="1" customHeight="1" x14ac:dyDescent="0.2">
      <c r="A29" s="18">
        <v>43837</v>
      </c>
      <c r="B29" s="19"/>
      <c r="C29" s="20" t="s">
        <v>47</v>
      </c>
      <c r="D29" s="20" t="s">
        <v>48</v>
      </c>
      <c r="E29" s="20" t="s">
        <v>49</v>
      </c>
      <c r="F29" s="21">
        <v>181775</v>
      </c>
      <c r="G29" s="21" t="s">
        <v>85</v>
      </c>
      <c r="H29" s="22"/>
      <c r="I29" s="22"/>
      <c r="J29" s="22"/>
      <c r="K29" s="22">
        <f>1442.77+173.13</f>
        <v>1615.9</v>
      </c>
      <c r="L29" s="23"/>
      <c r="M29" s="24">
        <f t="shared" si="0"/>
        <v>1442.7678571428571</v>
      </c>
      <c r="N29" s="24">
        <f t="shared" si="1"/>
        <v>173.13214285714284</v>
      </c>
      <c r="O29" s="24">
        <f t="shared" si="2"/>
        <v>0</v>
      </c>
      <c r="P29" s="24">
        <v>1442.77</v>
      </c>
      <c r="Q29" s="25"/>
      <c r="R29" s="25"/>
      <c r="S29" s="26"/>
      <c r="T29" s="26"/>
      <c r="U29" s="26"/>
      <c r="V29" s="26"/>
      <c r="W29" s="26"/>
      <c r="X29" s="25"/>
      <c r="Y29" s="25"/>
      <c r="Z29" s="25"/>
      <c r="AA29" s="25"/>
      <c r="AB29" s="26"/>
      <c r="AC29" s="26"/>
      <c r="AD29" s="25"/>
      <c r="AE29" s="25"/>
      <c r="AF29" s="24">
        <f t="shared" si="3"/>
        <v>-1615.9021428571427</v>
      </c>
      <c r="AG29" s="27">
        <f t="shared" si="4"/>
        <v>-2.1428571426440612E-3</v>
      </c>
      <c r="AH29" s="28">
        <f t="shared" si="5"/>
        <v>1615.9021428571427</v>
      </c>
    </row>
    <row r="30" spans="1:34" s="29" customFormat="1" ht="23.25" hidden="1" customHeight="1" x14ac:dyDescent="0.2">
      <c r="A30" s="18">
        <v>43837</v>
      </c>
      <c r="B30" s="19"/>
      <c r="C30" s="20" t="s">
        <v>86</v>
      </c>
      <c r="D30" s="20" t="s">
        <v>87</v>
      </c>
      <c r="E30" s="20" t="s">
        <v>88</v>
      </c>
      <c r="F30" s="21">
        <v>117926</v>
      </c>
      <c r="G30" s="21" t="s">
        <v>89</v>
      </c>
      <c r="H30" s="22"/>
      <c r="I30" s="22"/>
      <c r="J30" s="22"/>
      <c r="K30" s="22">
        <v>1765</v>
      </c>
      <c r="L30" s="23"/>
      <c r="M30" s="24">
        <f t="shared" si="0"/>
        <v>1575.8928571428569</v>
      </c>
      <c r="N30" s="24">
        <f t="shared" si="1"/>
        <v>189.10714285714283</v>
      </c>
      <c r="O30" s="24">
        <f t="shared" si="2"/>
        <v>0</v>
      </c>
      <c r="P30" s="24"/>
      <c r="Q30" s="25">
        <v>1575.89</v>
      </c>
      <c r="R30" s="25"/>
      <c r="S30" s="26"/>
      <c r="T30" s="26"/>
      <c r="U30" s="26"/>
      <c r="V30" s="26"/>
      <c r="W30" s="26"/>
      <c r="X30" s="25"/>
      <c r="Y30" s="25"/>
      <c r="Z30" s="25"/>
      <c r="AA30" s="25"/>
      <c r="AB30" s="26"/>
      <c r="AC30" s="26"/>
      <c r="AD30" s="25"/>
      <c r="AE30" s="25"/>
      <c r="AF30" s="24">
        <f t="shared" si="3"/>
        <v>-1764.997142857143</v>
      </c>
      <c r="AG30" s="27">
        <f t="shared" si="4"/>
        <v>2.8571428570103308E-3</v>
      </c>
      <c r="AH30" s="28">
        <f t="shared" si="5"/>
        <v>1764.997142857143</v>
      </c>
    </row>
    <row r="31" spans="1:34" s="29" customFormat="1" ht="23.25" hidden="1" customHeight="1" x14ac:dyDescent="0.2">
      <c r="A31" s="18">
        <v>43837</v>
      </c>
      <c r="B31" s="19"/>
      <c r="C31" s="20" t="s">
        <v>45</v>
      </c>
      <c r="D31" s="20"/>
      <c r="E31" s="20"/>
      <c r="F31" s="21"/>
      <c r="G31" s="31" t="s">
        <v>90</v>
      </c>
      <c r="H31" s="22">
        <v>50</v>
      </c>
      <c r="I31" s="22"/>
      <c r="J31" s="22"/>
      <c r="K31" s="22"/>
      <c r="L31" s="23"/>
      <c r="M31" s="24">
        <f t="shared" si="0"/>
        <v>50</v>
      </c>
      <c r="N31" s="24">
        <f t="shared" si="1"/>
        <v>0</v>
      </c>
      <c r="O31" s="24">
        <f t="shared" si="2"/>
        <v>0</v>
      </c>
      <c r="P31" s="24"/>
      <c r="Q31" s="25"/>
      <c r="R31" s="25"/>
      <c r="S31" s="26"/>
      <c r="T31" s="26"/>
      <c r="U31" s="26"/>
      <c r="V31" s="26"/>
      <c r="W31" s="26"/>
      <c r="X31" s="25"/>
      <c r="Y31" s="25"/>
      <c r="Z31" s="25"/>
      <c r="AA31" s="25">
        <v>50</v>
      </c>
      <c r="AB31" s="26"/>
      <c r="AC31" s="26"/>
      <c r="AD31" s="25"/>
      <c r="AE31" s="25"/>
      <c r="AF31" s="24">
        <f t="shared" si="3"/>
        <v>-50</v>
      </c>
      <c r="AG31" s="27">
        <f t="shared" si="4"/>
        <v>0</v>
      </c>
      <c r="AH31" s="28">
        <f t="shared" si="5"/>
        <v>50</v>
      </c>
    </row>
    <row r="32" spans="1:34" s="29" customFormat="1" ht="23.25" hidden="1" customHeight="1" x14ac:dyDescent="0.2">
      <c r="A32" s="18">
        <v>43838</v>
      </c>
      <c r="B32" s="19"/>
      <c r="C32" s="20" t="s">
        <v>45</v>
      </c>
      <c r="D32" s="20"/>
      <c r="E32" s="20"/>
      <c r="F32" s="21"/>
      <c r="G32" s="21" t="s">
        <v>91</v>
      </c>
      <c r="H32" s="22">
        <v>50</v>
      </c>
      <c r="I32" s="22"/>
      <c r="J32" s="22"/>
      <c r="K32" s="22"/>
      <c r="L32" s="23"/>
      <c r="M32" s="24">
        <f t="shared" si="0"/>
        <v>50</v>
      </c>
      <c r="N32" s="24">
        <f t="shared" si="1"/>
        <v>0</v>
      </c>
      <c r="O32" s="24">
        <f t="shared" si="2"/>
        <v>0</v>
      </c>
      <c r="P32" s="25"/>
      <c r="Q32" s="25"/>
      <c r="R32" s="25"/>
      <c r="S32" s="26"/>
      <c r="T32" s="26"/>
      <c r="U32" s="26"/>
      <c r="V32" s="26"/>
      <c r="W32" s="26"/>
      <c r="X32" s="25"/>
      <c r="Y32" s="25"/>
      <c r="Z32" s="25"/>
      <c r="AA32" s="25"/>
      <c r="AB32" s="26"/>
      <c r="AC32" s="26"/>
      <c r="AD32" s="25">
        <v>50</v>
      </c>
      <c r="AE32" s="25"/>
      <c r="AF32" s="24">
        <f t="shared" si="3"/>
        <v>-50</v>
      </c>
      <c r="AG32" s="27">
        <f t="shared" si="4"/>
        <v>0</v>
      </c>
      <c r="AH32" s="28">
        <f t="shared" si="5"/>
        <v>50</v>
      </c>
    </row>
    <row r="33" spans="1:34" s="42" customFormat="1" ht="23.25" hidden="1" customHeight="1" x14ac:dyDescent="0.2">
      <c r="A33" s="32">
        <v>43838</v>
      </c>
      <c r="B33" s="33"/>
      <c r="C33" s="34" t="s">
        <v>55</v>
      </c>
      <c r="D33" s="34" t="s">
        <v>56</v>
      </c>
      <c r="E33" s="34" t="s">
        <v>57</v>
      </c>
      <c r="F33" s="35">
        <v>235367</v>
      </c>
      <c r="G33" s="35" t="s">
        <v>58</v>
      </c>
      <c r="H33" s="36"/>
      <c r="I33" s="36"/>
      <c r="J33" s="36"/>
      <c r="K33" s="36">
        <v>180</v>
      </c>
      <c r="L33" s="37"/>
      <c r="M33" s="38">
        <f t="shared" si="0"/>
        <v>160.71428571428569</v>
      </c>
      <c r="N33" s="38">
        <f t="shared" si="1"/>
        <v>19.285714285714281</v>
      </c>
      <c r="O33" s="38">
        <f t="shared" si="2"/>
        <v>0</v>
      </c>
      <c r="P33" s="38"/>
      <c r="Q33" s="39">
        <v>160.71</v>
      </c>
      <c r="R33" s="39"/>
      <c r="S33" s="40"/>
      <c r="T33" s="40"/>
      <c r="U33" s="40"/>
      <c r="V33" s="40"/>
      <c r="W33" s="40"/>
      <c r="X33" s="39"/>
      <c r="Y33" s="39"/>
      <c r="Z33" s="39"/>
      <c r="AA33" s="39"/>
      <c r="AB33" s="40"/>
      <c r="AC33" s="40"/>
      <c r="AD33" s="39"/>
      <c r="AE33" s="39"/>
      <c r="AF33" s="38">
        <f t="shared" si="3"/>
        <v>-179.99571428571429</v>
      </c>
      <c r="AG33" s="41">
        <f t="shared" si="4"/>
        <v>4.2857142857144481E-3</v>
      </c>
      <c r="AH33" s="28">
        <f t="shared" si="5"/>
        <v>179.99571428571429</v>
      </c>
    </row>
    <row r="34" spans="1:34" s="29" customFormat="1" ht="23.25" hidden="1" customHeight="1" x14ac:dyDescent="0.2">
      <c r="A34" s="18">
        <v>43838</v>
      </c>
      <c r="B34" s="19"/>
      <c r="C34" s="20" t="s">
        <v>39</v>
      </c>
      <c r="D34" s="20" t="s">
        <v>40</v>
      </c>
      <c r="E34" s="20" t="s">
        <v>41</v>
      </c>
      <c r="F34" s="21">
        <v>100840</v>
      </c>
      <c r="G34" s="21" t="s">
        <v>92</v>
      </c>
      <c r="H34" s="22"/>
      <c r="I34" s="22"/>
      <c r="J34" s="22"/>
      <c r="K34" s="22">
        <v>450.75</v>
      </c>
      <c r="L34" s="23"/>
      <c r="M34" s="24">
        <f t="shared" si="0"/>
        <v>402.45535714285711</v>
      </c>
      <c r="N34" s="24">
        <f t="shared" si="1"/>
        <v>48.294642857142854</v>
      </c>
      <c r="O34" s="24">
        <f t="shared" si="2"/>
        <v>0</v>
      </c>
      <c r="P34" s="24">
        <v>402.46</v>
      </c>
      <c r="Q34" s="25"/>
      <c r="R34" s="25"/>
      <c r="S34" s="26"/>
      <c r="T34" s="26"/>
      <c r="U34" s="26"/>
      <c r="V34" s="26"/>
      <c r="W34" s="26"/>
      <c r="X34" s="25"/>
      <c r="Y34" s="25"/>
      <c r="Z34" s="25"/>
      <c r="AA34" s="25"/>
      <c r="AB34" s="26"/>
      <c r="AC34" s="26"/>
      <c r="AD34" s="25"/>
      <c r="AE34" s="25"/>
      <c r="AF34" s="24">
        <f t="shared" si="3"/>
        <v>-450.75464285714281</v>
      </c>
      <c r="AG34" s="27">
        <f t="shared" si="4"/>
        <v>-4.6428571428123178E-3</v>
      </c>
      <c r="AH34" s="28">
        <f t="shared" si="5"/>
        <v>450.75464285714281</v>
      </c>
    </row>
    <row r="35" spans="1:34" s="29" customFormat="1" ht="23.25" hidden="1" customHeight="1" x14ac:dyDescent="0.2">
      <c r="A35" s="18">
        <v>43838</v>
      </c>
      <c r="B35" s="19"/>
      <c r="C35" s="20" t="s">
        <v>62</v>
      </c>
      <c r="D35" s="20"/>
      <c r="E35" s="20"/>
      <c r="F35" s="21"/>
      <c r="G35" s="21" t="s">
        <v>93</v>
      </c>
      <c r="H35" s="22"/>
      <c r="I35" s="22"/>
      <c r="J35" s="22">
        <v>120</v>
      </c>
      <c r="K35" s="22"/>
      <c r="L35" s="23"/>
      <c r="M35" s="24">
        <f t="shared" si="0"/>
        <v>120</v>
      </c>
      <c r="N35" s="24">
        <f t="shared" si="1"/>
        <v>0</v>
      </c>
      <c r="O35" s="24">
        <f t="shared" si="2"/>
        <v>0</v>
      </c>
      <c r="P35" s="24">
        <v>120</v>
      </c>
      <c r="Q35" s="25"/>
      <c r="R35" s="25"/>
      <c r="S35" s="26"/>
      <c r="T35" s="26"/>
      <c r="U35" s="26"/>
      <c r="V35" s="26"/>
      <c r="W35" s="26"/>
      <c r="X35" s="25"/>
      <c r="Y35" s="25"/>
      <c r="Z35" s="25"/>
      <c r="AA35" s="25"/>
      <c r="AB35" s="26"/>
      <c r="AC35" s="26"/>
      <c r="AD35" s="25"/>
      <c r="AE35" s="25"/>
      <c r="AF35" s="24">
        <f t="shared" si="3"/>
        <v>-120</v>
      </c>
      <c r="AG35" s="27">
        <f t="shared" si="4"/>
        <v>0</v>
      </c>
      <c r="AH35" s="28">
        <f t="shared" si="5"/>
        <v>120</v>
      </c>
    </row>
    <row r="36" spans="1:34" s="29" customFormat="1" ht="23.25" hidden="1" customHeight="1" x14ac:dyDescent="0.2">
      <c r="A36" s="18">
        <v>43838</v>
      </c>
      <c r="B36" s="19"/>
      <c r="C36" s="20" t="s">
        <v>94</v>
      </c>
      <c r="D36" s="20" t="s">
        <v>95</v>
      </c>
      <c r="E36" s="20" t="s">
        <v>96</v>
      </c>
      <c r="F36" s="21">
        <v>12170</v>
      </c>
      <c r="G36" s="21" t="s">
        <v>97</v>
      </c>
      <c r="H36" s="22">
        <v>120</v>
      </c>
      <c r="I36" s="22"/>
      <c r="J36" s="22"/>
      <c r="K36" s="22"/>
      <c r="L36" s="23"/>
      <c r="M36" s="24">
        <f t="shared" si="0"/>
        <v>120</v>
      </c>
      <c r="N36" s="24">
        <f t="shared" si="1"/>
        <v>0</v>
      </c>
      <c r="O36" s="24">
        <f t="shared" si="2"/>
        <v>0</v>
      </c>
      <c r="P36" s="24"/>
      <c r="Q36" s="25"/>
      <c r="R36" s="25"/>
      <c r="S36" s="26"/>
      <c r="T36" s="26"/>
      <c r="U36" s="26"/>
      <c r="V36" s="26"/>
      <c r="W36" s="26"/>
      <c r="X36" s="25"/>
      <c r="Y36" s="25"/>
      <c r="Z36" s="25"/>
      <c r="AA36" s="25"/>
      <c r="AB36" s="26"/>
      <c r="AC36" s="26"/>
      <c r="AD36" s="25">
        <v>120</v>
      </c>
      <c r="AE36" s="25"/>
      <c r="AF36" s="24">
        <f t="shared" si="3"/>
        <v>-120</v>
      </c>
      <c r="AG36" s="27">
        <f t="shared" si="4"/>
        <v>0</v>
      </c>
      <c r="AH36" s="28">
        <f t="shared" si="5"/>
        <v>120</v>
      </c>
    </row>
    <row r="37" spans="1:34" s="29" customFormat="1" ht="23.25" hidden="1" customHeight="1" x14ac:dyDescent="0.2">
      <c r="A37" s="18">
        <v>43838</v>
      </c>
      <c r="B37" s="19"/>
      <c r="C37" s="20" t="s">
        <v>55</v>
      </c>
      <c r="D37" s="20" t="s">
        <v>56</v>
      </c>
      <c r="E37" s="20" t="s">
        <v>57</v>
      </c>
      <c r="F37" s="21">
        <v>235416</v>
      </c>
      <c r="G37" s="21" t="s">
        <v>58</v>
      </c>
      <c r="H37" s="22"/>
      <c r="I37" s="22"/>
      <c r="J37" s="22"/>
      <c r="K37" s="22">
        <v>180</v>
      </c>
      <c r="L37" s="23"/>
      <c r="M37" s="24">
        <f t="shared" ref="M37:M68" si="6">SUM(H37:J37,K37/1.12)</f>
        <v>160.71428571428569</v>
      </c>
      <c r="N37" s="24">
        <f t="shared" ref="N37:N68" si="7">K37/1.12*0.12</f>
        <v>19.285714285714281</v>
      </c>
      <c r="O37" s="24">
        <f t="shared" ref="O37:O68" si="8">-SUM(I37:J37,K37/1.12)*L37</f>
        <v>0</v>
      </c>
      <c r="P37" s="24"/>
      <c r="Q37" s="25">
        <v>160.71</v>
      </c>
      <c r="R37" s="25"/>
      <c r="S37" s="26"/>
      <c r="T37" s="26"/>
      <c r="U37" s="26"/>
      <c r="V37" s="26"/>
      <c r="W37" s="26"/>
      <c r="X37" s="25"/>
      <c r="Y37" s="25"/>
      <c r="Z37" s="25"/>
      <c r="AA37" s="25"/>
      <c r="AB37" s="26"/>
      <c r="AC37" s="26"/>
      <c r="AD37" s="25"/>
      <c r="AE37" s="25"/>
      <c r="AF37" s="24">
        <f t="shared" ref="AF37:AF68" si="9">-SUM(N37:AE37)</f>
        <v>-179.99571428571429</v>
      </c>
      <c r="AG37" s="27">
        <f t="shared" ref="AG37:AG68" si="10">SUM(H37:K37)+AF37+O37</f>
        <v>4.2857142857144481E-3</v>
      </c>
      <c r="AH37" s="28">
        <f t="shared" ref="AH37:AH68" si="11">-AF37</f>
        <v>179.99571428571429</v>
      </c>
    </row>
    <row r="38" spans="1:34" s="29" customFormat="1" ht="23.25" hidden="1" customHeight="1" x14ac:dyDescent="0.2">
      <c r="A38" s="18">
        <v>43840</v>
      </c>
      <c r="B38" s="19"/>
      <c r="C38" s="20" t="s">
        <v>45</v>
      </c>
      <c r="D38" s="20"/>
      <c r="E38" s="20"/>
      <c r="F38" s="21"/>
      <c r="G38" s="21" t="s">
        <v>98</v>
      </c>
      <c r="H38" s="22">
        <v>135</v>
      </c>
      <c r="I38" s="22"/>
      <c r="J38" s="22"/>
      <c r="K38" s="22"/>
      <c r="L38" s="23"/>
      <c r="M38" s="24">
        <f t="shared" si="6"/>
        <v>135</v>
      </c>
      <c r="N38" s="24">
        <f t="shared" si="7"/>
        <v>0</v>
      </c>
      <c r="O38" s="24">
        <f t="shared" si="8"/>
        <v>0</v>
      </c>
      <c r="P38" s="24">
        <v>135</v>
      </c>
      <c r="Q38" s="25"/>
      <c r="R38" s="25"/>
      <c r="S38" s="26"/>
      <c r="T38" s="26"/>
      <c r="U38" s="26"/>
      <c r="V38" s="26"/>
      <c r="W38" s="26"/>
      <c r="X38" s="25"/>
      <c r="Y38" s="25"/>
      <c r="Z38" s="25"/>
      <c r="AA38" s="25"/>
      <c r="AB38" s="26"/>
      <c r="AC38" s="26"/>
      <c r="AD38" s="25"/>
      <c r="AE38" s="25"/>
      <c r="AF38" s="24">
        <f t="shared" si="9"/>
        <v>-135</v>
      </c>
      <c r="AG38" s="27">
        <f t="shared" si="10"/>
        <v>0</v>
      </c>
      <c r="AH38" s="28">
        <f t="shared" si="11"/>
        <v>135</v>
      </c>
    </row>
    <row r="39" spans="1:34" s="29" customFormat="1" ht="23.25" hidden="1" customHeight="1" x14ac:dyDescent="0.2">
      <c r="A39" s="18">
        <v>43840</v>
      </c>
      <c r="B39" s="19"/>
      <c r="C39" s="20" t="s">
        <v>37</v>
      </c>
      <c r="D39" s="20"/>
      <c r="E39" s="20"/>
      <c r="F39" s="21"/>
      <c r="G39" s="21" t="s">
        <v>99</v>
      </c>
      <c r="H39" s="22">
        <v>165</v>
      </c>
      <c r="I39" s="22"/>
      <c r="J39" s="22"/>
      <c r="K39" s="22"/>
      <c r="L39" s="23"/>
      <c r="M39" s="24">
        <f t="shared" si="6"/>
        <v>165</v>
      </c>
      <c r="N39" s="24">
        <f t="shared" si="7"/>
        <v>0</v>
      </c>
      <c r="O39" s="24">
        <f t="shared" si="8"/>
        <v>0</v>
      </c>
      <c r="P39" s="25"/>
      <c r="Q39" s="25"/>
      <c r="R39" s="25"/>
      <c r="S39" s="26"/>
      <c r="T39" s="26"/>
      <c r="U39" s="26"/>
      <c r="V39" s="26"/>
      <c r="W39" s="26"/>
      <c r="X39" s="25"/>
      <c r="Y39" s="25"/>
      <c r="Z39" s="25"/>
      <c r="AA39" s="25">
        <v>165</v>
      </c>
      <c r="AB39" s="26"/>
      <c r="AC39" s="26"/>
      <c r="AD39" s="25"/>
      <c r="AE39" s="25"/>
      <c r="AF39" s="24">
        <f t="shared" si="9"/>
        <v>-165</v>
      </c>
      <c r="AG39" s="27">
        <f t="shared" si="10"/>
        <v>0</v>
      </c>
      <c r="AH39" s="28">
        <f t="shared" si="11"/>
        <v>165</v>
      </c>
    </row>
    <row r="40" spans="1:34" s="29" customFormat="1" ht="23.25" hidden="1" customHeight="1" x14ac:dyDescent="0.2">
      <c r="A40" s="18">
        <v>43840</v>
      </c>
      <c r="B40" s="19"/>
      <c r="C40" s="20" t="s">
        <v>47</v>
      </c>
      <c r="D40" s="20" t="s">
        <v>48</v>
      </c>
      <c r="E40" s="20" t="s">
        <v>49</v>
      </c>
      <c r="F40" s="21">
        <v>205481</v>
      </c>
      <c r="G40" s="30" t="s">
        <v>100</v>
      </c>
      <c r="H40" s="22"/>
      <c r="I40" s="22"/>
      <c r="J40" s="22"/>
      <c r="K40" s="22">
        <f>95.63+11.48</f>
        <v>107.11</v>
      </c>
      <c r="L40" s="23"/>
      <c r="M40" s="24">
        <f t="shared" si="6"/>
        <v>95.633928571428555</v>
      </c>
      <c r="N40" s="24">
        <f t="shared" si="7"/>
        <v>11.476071428571426</v>
      </c>
      <c r="O40" s="24">
        <f t="shared" si="8"/>
        <v>0</v>
      </c>
      <c r="P40" s="24">
        <v>95.63</v>
      </c>
      <c r="Q40" s="25"/>
      <c r="R40" s="25"/>
      <c r="S40" s="26"/>
      <c r="T40" s="26"/>
      <c r="U40" s="26"/>
      <c r="V40" s="26"/>
      <c r="W40" s="26"/>
      <c r="X40" s="25"/>
      <c r="Y40" s="25"/>
      <c r="Z40" s="25"/>
      <c r="AA40" s="25"/>
      <c r="AB40" s="26"/>
      <c r="AC40" s="26"/>
      <c r="AD40" s="25"/>
      <c r="AE40" s="25"/>
      <c r="AF40" s="24">
        <f t="shared" si="9"/>
        <v>-107.10607142857143</v>
      </c>
      <c r="AG40" s="27">
        <f t="shared" si="10"/>
        <v>3.9285714285739459E-3</v>
      </c>
      <c r="AH40" s="28">
        <f t="shared" si="11"/>
        <v>107.10607142857143</v>
      </c>
    </row>
    <row r="41" spans="1:34" s="29" customFormat="1" ht="23.25" hidden="1" customHeight="1" x14ac:dyDescent="0.2">
      <c r="A41" s="18">
        <v>43840</v>
      </c>
      <c r="B41" s="19"/>
      <c r="C41" s="20" t="s">
        <v>47</v>
      </c>
      <c r="D41" s="20" t="s">
        <v>48</v>
      </c>
      <c r="E41" s="20" t="s">
        <v>49</v>
      </c>
      <c r="F41" s="21">
        <v>205481</v>
      </c>
      <c r="G41" s="30" t="s">
        <v>101</v>
      </c>
      <c r="H41" s="22"/>
      <c r="I41" s="22"/>
      <c r="J41" s="22">
        <v>59.25</v>
      </c>
      <c r="K41" s="22"/>
      <c r="L41" s="23"/>
      <c r="M41" s="24">
        <f t="shared" si="6"/>
        <v>59.25</v>
      </c>
      <c r="N41" s="24">
        <f t="shared" si="7"/>
        <v>0</v>
      </c>
      <c r="O41" s="24">
        <f t="shared" si="8"/>
        <v>0</v>
      </c>
      <c r="P41" s="24">
        <v>59.25</v>
      </c>
      <c r="Q41" s="25"/>
      <c r="R41" s="25"/>
      <c r="S41" s="26"/>
      <c r="T41" s="26"/>
      <c r="U41" s="26"/>
      <c r="V41" s="26"/>
      <c r="W41" s="26"/>
      <c r="X41" s="25"/>
      <c r="Y41" s="25"/>
      <c r="Z41" s="25"/>
      <c r="AA41" s="25"/>
      <c r="AB41" s="26"/>
      <c r="AC41" s="26"/>
      <c r="AD41" s="25"/>
      <c r="AE41" s="25"/>
      <c r="AF41" s="24">
        <f t="shared" si="9"/>
        <v>-59.25</v>
      </c>
      <c r="AG41" s="27">
        <f t="shared" si="10"/>
        <v>0</v>
      </c>
      <c r="AH41" s="28">
        <f t="shared" si="11"/>
        <v>59.25</v>
      </c>
    </row>
    <row r="42" spans="1:34" s="29" customFormat="1" ht="23.25" hidden="1" customHeight="1" x14ac:dyDescent="0.2">
      <c r="A42" s="18">
        <v>43840</v>
      </c>
      <c r="B42" s="19"/>
      <c r="C42" s="20" t="s">
        <v>55</v>
      </c>
      <c r="D42" s="20" t="s">
        <v>56</v>
      </c>
      <c r="E42" s="20" t="s">
        <v>57</v>
      </c>
      <c r="F42" s="21">
        <v>235459</v>
      </c>
      <c r="G42" s="21" t="s">
        <v>58</v>
      </c>
      <c r="H42" s="22"/>
      <c r="I42" s="22"/>
      <c r="J42" s="22"/>
      <c r="K42" s="22">
        <v>180</v>
      </c>
      <c r="L42" s="23"/>
      <c r="M42" s="24">
        <f t="shared" si="6"/>
        <v>160.71428571428569</v>
      </c>
      <c r="N42" s="24">
        <f t="shared" si="7"/>
        <v>19.285714285714281</v>
      </c>
      <c r="O42" s="24">
        <f t="shared" si="8"/>
        <v>0</v>
      </c>
      <c r="P42" s="24"/>
      <c r="Q42" s="25">
        <v>160.71</v>
      </c>
      <c r="R42" s="25"/>
      <c r="S42" s="26"/>
      <c r="T42" s="26"/>
      <c r="U42" s="26"/>
      <c r="V42" s="26"/>
      <c r="W42" s="26"/>
      <c r="X42" s="25"/>
      <c r="Y42" s="25"/>
      <c r="Z42" s="25"/>
      <c r="AA42" s="25"/>
      <c r="AB42" s="26"/>
      <c r="AC42" s="26"/>
      <c r="AD42" s="25"/>
      <c r="AE42" s="25"/>
      <c r="AF42" s="24">
        <f t="shared" si="9"/>
        <v>-179.99571428571429</v>
      </c>
      <c r="AG42" s="27">
        <f t="shared" si="10"/>
        <v>4.2857142857144481E-3</v>
      </c>
      <c r="AH42" s="28">
        <f t="shared" si="11"/>
        <v>179.99571428571429</v>
      </c>
    </row>
    <row r="43" spans="1:34" s="29" customFormat="1" ht="23.25" hidden="1" customHeight="1" x14ac:dyDescent="0.2">
      <c r="A43" s="18">
        <v>43841</v>
      </c>
      <c r="B43" s="19"/>
      <c r="C43" s="20" t="s">
        <v>45</v>
      </c>
      <c r="D43" s="20"/>
      <c r="E43" s="20"/>
      <c r="F43" s="21"/>
      <c r="G43" s="21" t="s">
        <v>102</v>
      </c>
      <c r="H43" s="22">
        <v>50</v>
      </c>
      <c r="I43" s="22"/>
      <c r="J43" s="22"/>
      <c r="K43" s="22"/>
      <c r="L43" s="23"/>
      <c r="M43" s="24">
        <f t="shared" si="6"/>
        <v>50</v>
      </c>
      <c r="N43" s="24">
        <f t="shared" si="7"/>
        <v>0</v>
      </c>
      <c r="O43" s="24">
        <f t="shared" si="8"/>
        <v>0</v>
      </c>
      <c r="P43" s="24"/>
      <c r="Q43" s="25"/>
      <c r="R43" s="25"/>
      <c r="S43" s="26"/>
      <c r="T43" s="26"/>
      <c r="U43" s="26"/>
      <c r="V43" s="26"/>
      <c r="W43" s="26"/>
      <c r="X43" s="25"/>
      <c r="Y43" s="25"/>
      <c r="Z43" s="25"/>
      <c r="AA43" s="25">
        <v>50</v>
      </c>
      <c r="AB43" s="26"/>
      <c r="AC43" s="26"/>
      <c r="AD43" s="25"/>
      <c r="AE43" s="25"/>
      <c r="AF43" s="24">
        <f t="shared" si="9"/>
        <v>-50</v>
      </c>
      <c r="AG43" s="27">
        <f t="shared" si="10"/>
        <v>0</v>
      </c>
      <c r="AH43" s="28">
        <f t="shared" si="11"/>
        <v>50</v>
      </c>
    </row>
    <row r="44" spans="1:34" s="29" customFormat="1" ht="23.25" hidden="1" customHeight="1" x14ac:dyDescent="0.2">
      <c r="A44" s="18">
        <v>43841</v>
      </c>
      <c r="B44" s="19"/>
      <c r="C44" s="20" t="s">
        <v>103</v>
      </c>
      <c r="D44" s="20"/>
      <c r="E44" s="20"/>
      <c r="F44" s="21"/>
      <c r="G44" s="30" t="s">
        <v>104</v>
      </c>
      <c r="H44" s="22"/>
      <c r="I44" s="22"/>
      <c r="J44" s="22">
        <v>200</v>
      </c>
      <c r="K44" s="22"/>
      <c r="L44" s="23"/>
      <c r="M44" s="24">
        <f t="shared" si="6"/>
        <v>200</v>
      </c>
      <c r="N44" s="24">
        <f t="shared" si="7"/>
        <v>0</v>
      </c>
      <c r="O44" s="24">
        <f t="shared" si="8"/>
        <v>0</v>
      </c>
      <c r="P44" s="24">
        <v>200</v>
      </c>
      <c r="Q44" s="25"/>
      <c r="R44" s="25"/>
      <c r="S44" s="26"/>
      <c r="T44" s="26"/>
      <c r="U44" s="26"/>
      <c r="V44" s="26"/>
      <c r="W44" s="26"/>
      <c r="X44" s="25"/>
      <c r="Y44" s="25"/>
      <c r="Z44" s="25"/>
      <c r="AA44" s="25"/>
      <c r="AB44" s="26"/>
      <c r="AC44" s="26"/>
      <c r="AD44" s="25"/>
      <c r="AE44" s="25"/>
      <c r="AF44" s="24">
        <f t="shared" si="9"/>
        <v>-200</v>
      </c>
      <c r="AG44" s="27">
        <f t="shared" si="10"/>
        <v>0</v>
      </c>
      <c r="AH44" s="28">
        <f t="shared" si="11"/>
        <v>200</v>
      </c>
    </row>
    <row r="45" spans="1:34" s="29" customFormat="1" ht="23.25" hidden="1" customHeight="1" x14ac:dyDescent="0.2">
      <c r="A45" s="18">
        <v>43844</v>
      </c>
      <c r="B45" s="19"/>
      <c r="C45" s="20" t="s">
        <v>47</v>
      </c>
      <c r="D45" s="20" t="s">
        <v>48</v>
      </c>
      <c r="E45" s="20" t="s">
        <v>49</v>
      </c>
      <c r="F45" s="21">
        <v>13174</v>
      </c>
      <c r="G45" s="30" t="s">
        <v>105</v>
      </c>
      <c r="H45" s="22"/>
      <c r="I45" s="22"/>
      <c r="J45" s="22"/>
      <c r="K45" s="22">
        <v>898.5</v>
      </c>
      <c r="L45" s="23"/>
      <c r="M45" s="24">
        <f t="shared" si="6"/>
        <v>802.23214285714278</v>
      </c>
      <c r="N45" s="24">
        <f t="shared" si="7"/>
        <v>96.267857142857125</v>
      </c>
      <c r="O45" s="24">
        <f t="shared" si="8"/>
        <v>0</v>
      </c>
      <c r="P45" s="24"/>
      <c r="Q45" s="25"/>
      <c r="R45" s="25"/>
      <c r="S45" s="26"/>
      <c r="T45" s="26"/>
      <c r="U45" s="26"/>
      <c r="V45" s="26"/>
      <c r="W45" s="26"/>
      <c r="X45" s="25"/>
      <c r="Y45" s="25">
        <v>802.23</v>
      </c>
      <c r="Z45" s="25"/>
      <c r="AA45" s="25"/>
      <c r="AB45" s="26"/>
      <c r="AC45" s="26"/>
      <c r="AD45" s="25"/>
      <c r="AE45" s="25"/>
      <c r="AF45" s="24">
        <f t="shared" si="9"/>
        <v>-898.49785714285713</v>
      </c>
      <c r="AG45" s="27">
        <f t="shared" si="10"/>
        <v>2.1428571428714349E-3</v>
      </c>
      <c r="AH45" s="28">
        <f t="shared" si="11"/>
        <v>898.49785714285713</v>
      </c>
    </row>
    <row r="46" spans="1:34" s="29" customFormat="1" ht="23.25" hidden="1" customHeight="1" x14ac:dyDescent="0.2">
      <c r="A46" s="18">
        <v>43844</v>
      </c>
      <c r="B46" s="19"/>
      <c r="C46" s="20" t="s">
        <v>106</v>
      </c>
      <c r="D46" s="20" t="s">
        <v>107</v>
      </c>
      <c r="E46" s="20" t="s">
        <v>49</v>
      </c>
      <c r="F46" s="21">
        <v>795588</v>
      </c>
      <c r="G46" s="21" t="s">
        <v>108</v>
      </c>
      <c r="H46" s="22"/>
      <c r="I46" s="22"/>
      <c r="J46" s="22"/>
      <c r="K46" s="22">
        <v>282.5</v>
      </c>
      <c r="L46" s="23"/>
      <c r="M46" s="24">
        <f t="shared" si="6"/>
        <v>252.23214285714283</v>
      </c>
      <c r="N46" s="24">
        <f t="shared" si="7"/>
        <v>30.267857142857139</v>
      </c>
      <c r="O46" s="24">
        <f t="shared" si="8"/>
        <v>0</v>
      </c>
      <c r="P46" s="24"/>
      <c r="Q46" s="25"/>
      <c r="R46" s="25"/>
      <c r="S46" s="26"/>
      <c r="T46" s="26">
        <v>252.23</v>
      </c>
      <c r="U46" s="26"/>
      <c r="V46" s="26"/>
      <c r="W46" s="26"/>
      <c r="X46" s="25"/>
      <c r="Y46" s="25"/>
      <c r="Z46" s="25"/>
      <c r="AA46" s="25"/>
      <c r="AB46" s="26"/>
      <c r="AC46" s="26"/>
      <c r="AD46" s="25"/>
      <c r="AE46" s="25"/>
      <c r="AF46" s="24">
        <f t="shared" si="9"/>
        <v>-282.49785714285713</v>
      </c>
      <c r="AG46" s="27">
        <f t="shared" si="10"/>
        <v>2.1428571428714349E-3</v>
      </c>
      <c r="AH46" s="28">
        <f t="shared" si="11"/>
        <v>282.49785714285713</v>
      </c>
    </row>
    <row r="47" spans="1:34" s="29" customFormat="1" ht="23.25" hidden="1" customHeight="1" x14ac:dyDescent="0.2">
      <c r="A47" s="18">
        <v>43844</v>
      </c>
      <c r="B47" s="19"/>
      <c r="C47" s="20" t="s">
        <v>55</v>
      </c>
      <c r="D47" s="20" t="s">
        <v>56</v>
      </c>
      <c r="E47" s="20" t="s">
        <v>57</v>
      </c>
      <c r="F47" s="21">
        <v>238693</v>
      </c>
      <c r="G47" s="21" t="s">
        <v>58</v>
      </c>
      <c r="H47" s="22"/>
      <c r="I47" s="22"/>
      <c r="J47" s="22"/>
      <c r="K47" s="22">
        <v>180</v>
      </c>
      <c r="L47" s="23"/>
      <c r="M47" s="24">
        <f t="shared" si="6"/>
        <v>160.71428571428569</v>
      </c>
      <c r="N47" s="24">
        <f t="shared" si="7"/>
        <v>19.285714285714281</v>
      </c>
      <c r="O47" s="24">
        <f t="shared" si="8"/>
        <v>0</v>
      </c>
      <c r="P47" s="24"/>
      <c r="Q47" s="25">
        <v>160.71</v>
      </c>
      <c r="R47" s="25"/>
      <c r="S47" s="26"/>
      <c r="T47" s="26"/>
      <c r="U47" s="26"/>
      <c r="V47" s="26"/>
      <c r="W47" s="26"/>
      <c r="X47" s="25"/>
      <c r="Y47" s="25"/>
      <c r="Z47" s="25"/>
      <c r="AA47" s="25"/>
      <c r="AB47" s="26"/>
      <c r="AC47" s="26"/>
      <c r="AD47" s="25"/>
      <c r="AE47" s="25"/>
      <c r="AF47" s="24">
        <f t="shared" si="9"/>
        <v>-179.99571428571429</v>
      </c>
      <c r="AG47" s="27">
        <f t="shared" si="10"/>
        <v>4.2857142857144481E-3</v>
      </c>
      <c r="AH47" s="28">
        <f t="shared" si="11"/>
        <v>179.99571428571429</v>
      </c>
    </row>
    <row r="48" spans="1:34" s="29" customFormat="1" ht="23.25" hidden="1" customHeight="1" x14ac:dyDescent="0.2">
      <c r="A48" s="18">
        <v>43845</v>
      </c>
      <c r="B48" s="19"/>
      <c r="C48" s="20" t="s">
        <v>47</v>
      </c>
      <c r="D48" s="20" t="s">
        <v>48</v>
      </c>
      <c r="E48" s="20" t="s">
        <v>49</v>
      </c>
      <c r="F48" s="21">
        <v>291052</v>
      </c>
      <c r="G48" s="21" t="s">
        <v>109</v>
      </c>
      <c r="H48" s="22"/>
      <c r="I48" s="22"/>
      <c r="J48" s="22"/>
      <c r="K48" s="22">
        <v>253</v>
      </c>
      <c r="L48" s="23"/>
      <c r="M48" s="24">
        <f t="shared" si="6"/>
        <v>225.89285714285711</v>
      </c>
      <c r="N48" s="24">
        <f t="shared" si="7"/>
        <v>27.107142857142851</v>
      </c>
      <c r="O48" s="24">
        <f t="shared" si="8"/>
        <v>0</v>
      </c>
      <c r="P48" s="24">
        <v>225.89</v>
      </c>
      <c r="Q48" s="25"/>
      <c r="R48" s="25"/>
      <c r="S48" s="26"/>
      <c r="T48" s="26"/>
      <c r="U48" s="26"/>
      <c r="V48" s="26"/>
      <c r="W48" s="26"/>
      <c r="X48" s="25"/>
      <c r="Y48" s="25"/>
      <c r="Z48" s="25"/>
      <c r="AA48" s="25"/>
      <c r="AB48" s="26"/>
      <c r="AC48" s="26"/>
      <c r="AD48" s="25"/>
      <c r="AE48" s="25"/>
      <c r="AF48" s="24">
        <f t="shared" si="9"/>
        <v>-252.99714285714285</v>
      </c>
      <c r="AG48" s="27">
        <f t="shared" si="10"/>
        <v>2.8571428571524393E-3</v>
      </c>
      <c r="AH48" s="28">
        <f t="shared" si="11"/>
        <v>252.99714285714285</v>
      </c>
    </row>
    <row r="49" spans="1:34" s="29" customFormat="1" ht="23.25" hidden="1" customHeight="1" x14ac:dyDescent="0.2">
      <c r="A49" s="18">
        <v>43845</v>
      </c>
      <c r="B49" s="19"/>
      <c r="C49" s="20" t="s">
        <v>62</v>
      </c>
      <c r="D49" s="20"/>
      <c r="E49" s="20"/>
      <c r="F49" s="21"/>
      <c r="G49" s="21" t="s">
        <v>93</v>
      </c>
      <c r="H49" s="22"/>
      <c r="I49" s="22"/>
      <c r="J49" s="22">
        <v>140</v>
      </c>
      <c r="K49" s="22"/>
      <c r="L49" s="23"/>
      <c r="M49" s="24">
        <f t="shared" si="6"/>
        <v>140</v>
      </c>
      <c r="N49" s="24">
        <f t="shared" si="7"/>
        <v>0</v>
      </c>
      <c r="O49" s="24">
        <f t="shared" si="8"/>
        <v>0</v>
      </c>
      <c r="P49" s="24">
        <v>140</v>
      </c>
      <c r="Q49" s="25"/>
      <c r="R49" s="25"/>
      <c r="S49" s="26"/>
      <c r="T49" s="26"/>
      <c r="U49" s="26"/>
      <c r="V49" s="26"/>
      <c r="W49" s="26"/>
      <c r="X49" s="25"/>
      <c r="Y49" s="25"/>
      <c r="Z49" s="25"/>
      <c r="AA49" s="25"/>
      <c r="AB49" s="26"/>
      <c r="AC49" s="26"/>
      <c r="AD49" s="25"/>
      <c r="AE49" s="25"/>
      <c r="AF49" s="24">
        <f t="shared" si="9"/>
        <v>-140</v>
      </c>
      <c r="AG49" s="27">
        <f t="shared" si="10"/>
        <v>0</v>
      </c>
      <c r="AH49" s="28">
        <f t="shared" si="11"/>
        <v>140</v>
      </c>
    </row>
    <row r="50" spans="1:34" s="29" customFormat="1" ht="23.25" hidden="1" customHeight="1" x14ac:dyDescent="0.2">
      <c r="A50" s="18">
        <v>43845</v>
      </c>
      <c r="B50" s="19"/>
      <c r="C50" s="20" t="s">
        <v>110</v>
      </c>
      <c r="D50" s="20" t="s">
        <v>111</v>
      </c>
      <c r="E50" s="20" t="s">
        <v>49</v>
      </c>
      <c r="F50" s="21">
        <v>575311</v>
      </c>
      <c r="G50" s="21" t="s">
        <v>112</v>
      </c>
      <c r="H50" s="22"/>
      <c r="I50" s="22"/>
      <c r="J50" s="22"/>
      <c r="K50" s="22">
        <v>1588.7</v>
      </c>
      <c r="L50" s="23"/>
      <c r="M50" s="24">
        <f t="shared" si="6"/>
        <v>1418.4821428571427</v>
      </c>
      <c r="N50" s="24">
        <f t="shared" si="7"/>
        <v>170.2178571428571</v>
      </c>
      <c r="O50" s="24">
        <f t="shared" si="8"/>
        <v>0</v>
      </c>
      <c r="P50" s="24">
        <v>1418.48</v>
      </c>
      <c r="Q50" s="25"/>
      <c r="R50" s="25"/>
      <c r="S50" s="26"/>
      <c r="T50" s="26"/>
      <c r="U50" s="26"/>
      <c r="V50" s="26"/>
      <c r="W50" s="26"/>
      <c r="X50" s="25"/>
      <c r="Y50" s="25"/>
      <c r="Z50" s="25"/>
      <c r="AA50" s="25"/>
      <c r="AB50" s="26"/>
      <c r="AC50" s="26"/>
      <c r="AD50" s="25"/>
      <c r="AE50" s="25"/>
      <c r="AF50" s="24">
        <f t="shared" si="9"/>
        <v>-1588.6978571428572</v>
      </c>
      <c r="AG50" s="27">
        <f t="shared" si="10"/>
        <v>2.1428571428714349E-3</v>
      </c>
      <c r="AH50" s="28">
        <f t="shared" si="11"/>
        <v>1588.6978571428572</v>
      </c>
    </row>
    <row r="51" spans="1:34" s="29" customFormat="1" ht="23.25" hidden="1" customHeight="1" x14ac:dyDescent="0.2">
      <c r="A51" s="18">
        <v>43845</v>
      </c>
      <c r="B51" s="19"/>
      <c r="C51" s="20" t="s">
        <v>60</v>
      </c>
      <c r="D51" s="20"/>
      <c r="E51" s="20"/>
      <c r="F51" s="21"/>
      <c r="G51" s="21" t="s">
        <v>113</v>
      </c>
      <c r="H51" s="22">
        <v>50</v>
      </c>
      <c r="I51" s="22"/>
      <c r="J51" s="22"/>
      <c r="K51" s="22"/>
      <c r="L51" s="23"/>
      <c r="M51" s="24">
        <f t="shared" si="6"/>
        <v>50</v>
      </c>
      <c r="N51" s="24">
        <f t="shared" si="7"/>
        <v>0</v>
      </c>
      <c r="O51" s="24">
        <f t="shared" si="8"/>
        <v>0</v>
      </c>
      <c r="P51" s="24"/>
      <c r="Q51" s="25"/>
      <c r="R51" s="25"/>
      <c r="S51" s="26"/>
      <c r="T51" s="26"/>
      <c r="U51" s="26"/>
      <c r="V51" s="26"/>
      <c r="W51" s="26"/>
      <c r="X51" s="25"/>
      <c r="Y51" s="25"/>
      <c r="Z51" s="25"/>
      <c r="AA51" s="25">
        <v>50</v>
      </c>
      <c r="AB51" s="26"/>
      <c r="AC51" s="26"/>
      <c r="AD51" s="25"/>
      <c r="AE51" s="25"/>
      <c r="AF51" s="24">
        <f t="shared" si="9"/>
        <v>-50</v>
      </c>
      <c r="AG51" s="27">
        <f t="shared" si="10"/>
        <v>0</v>
      </c>
      <c r="AH51" s="28">
        <f t="shared" si="11"/>
        <v>50</v>
      </c>
    </row>
    <row r="52" spans="1:34" s="29" customFormat="1" ht="23.25" hidden="1" customHeight="1" x14ac:dyDescent="0.2">
      <c r="A52" s="18">
        <v>43845</v>
      </c>
      <c r="B52" s="19"/>
      <c r="C52" s="20" t="s">
        <v>55</v>
      </c>
      <c r="D52" s="20" t="s">
        <v>56</v>
      </c>
      <c r="E52" s="20" t="s">
        <v>57</v>
      </c>
      <c r="F52" s="21">
        <v>245692</v>
      </c>
      <c r="G52" s="21" t="s">
        <v>58</v>
      </c>
      <c r="H52" s="22"/>
      <c r="I52" s="22"/>
      <c r="J52" s="22"/>
      <c r="K52" s="22">
        <v>180</v>
      </c>
      <c r="L52" s="23"/>
      <c r="M52" s="24">
        <f t="shared" si="6"/>
        <v>160.71428571428569</v>
      </c>
      <c r="N52" s="24">
        <f t="shared" si="7"/>
        <v>19.285714285714281</v>
      </c>
      <c r="O52" s="24">
        <f t="shared" si="8"/>
        <v>0</v>
      </c>
      <c r="P52" s="24"/>
      <c r="Q52" s="25">
        <v>160.71</v>
      </c>
      <c r="R52" s="25"/>
      <c r="S52" s="26"/>
      <c r="T52" s="26"/>
      <c r="U52" s="26"/>
      <c r="V52" s="26"/>
      <c r="W52" s="26"/>
      <c r="X52" s="25"/>
      <c r="Y52" s="25"/>
      <c r="Z52" s="25"/>
      <c r="AA52" s="25"/>
      <c r="AB52" s="26"/>
      <c r="AC52" s="26"/>
      <c r="AD52" s="25"/>
      <c r="AE52" s="25"/>
      <c r="AF52" s="24">
        <f t="shared" si="9"/>
        <v>-179.99571428571429</v>
      </c>
      <c r="AG52" s="27">
        <f t="shared" si="10"/>
        <v>4.2857142857144481E-3</v>
      </c>
      <c r="AH52" s="28">
        <f t="shared" si="11"/>
        <v>179.99571428571429</v>
      </c>
    </row>
    <row r="53" spans="1:34" s="29" customFormat="1" ht="23.25" hidden="1" customHeight="1" x14ac:dyDescent="0.2">
      <c r="A53" s="18">
        <v>43845</v>
      </c>
      <c r="B53" s="19"/>
      <c r="C53" s="20" t="s">
        <v>114</v>
      </c>
      <c r="D53" s="20" t="s">
        <v>115</v>
      </c>
      <c r="E53" s="20" t="s">
        <v>116</v>
      </c>
      <c r="F53" s="21">
        <v>222</v>
      </c>
      <c r="G53" s="21" t="s">
        <v>117</v>
      </c>
      <c r="H53" s="22"/>
      <c r="I53" s="22"/>
      <c r="J53" s="22">
        <v>250</v>
      </c>
      <c r="K53" s="22"/>
      <c r="L53" s="23"/>
      <c r="M53" s="24">
        <f t="shared" si="6"/>
        <v>250</v>
      </c>
      <c r="N53" s="24">
        <f t="shared" si="7"/>
        <v>0</v>
      </c>
      <c r="O53" s="24">
        <f t="shared" si="8"/>
        <v>0</v>
      </c>
      <c r="P53" s="24"/>
      <c r="Q53" s="25"/>
      <c r="R53" s="25">
        <v>250</v>
      </c>
      <c r="S53" s="26"/>
      <c r="T53" s="26"/>
      <c r="U53" s="26"/>
      <c r="V53" s="26"/>
      <c r="W53" s="26"/>
      <c r="X53" s="25"/>
      <c r="Y53" s="25"/>
      <c r="Z53" s="25"/>
      <c r="AA53" s="25"/>
      <c r="AB53" s="26"/>
      <c r="AC53" s="26"/>
      <c r="AD53" s="25"/>
      <c r="AE53" s="25"/>
      <c r="AF53" s="24">
        <f t="shared" si="9"/>
        <v>-250</v>
      </c>
      <c r="AG53" s="27">
        <f t="shared" si="10"/>
        <v>0</v>
      </c>
      <c r="AH53" s="28">
        <f t="shared" si="11"/>
        <v>250</v>
      </c>
    </row>
    <row r="54" spans="1:34" s="29" customFormat="1" ht="23.25" hidden="1" customHeight="1" x14ac:dyDescent="0.2">
      <c r="A54" s="18">
        <v>43846</v>
      </c>
      <c r="B54" s="19"/>
      <c r="C54" s="20" t="s">
        <v>55</v>
      </c>
      <c r="D54" s="20" t="s">
        <v>56</v>
      </c>
      <c r="E54" s="20" t="s">
        <v>57</v>
      </c>
      <c r="F54" s="21">
        <v>244892</v>
      </c>
      <c r="G54" s="21" t="s">
        <v>58</v>
      </c>
      <c r="H54" s="22"/>
      <c r="I54" s="22"/>
      <c r="J54" s="22"/>
      <c r="K54" s="22">
        <v>180</v>
      </c>
      <c r="L54" s="23"/>
      <c r="M54" s="24">
        <f t="shared" si="6"/>
        <v>160.71428571428569</v>
      </c>
      <c r="N54" s="24">
        <f t="shared" si="7"/>
        <v>19.285714285714281</v>
      </c>
      <c r="O54" s="24">
        <f t="shared" si="8"/>
        <v>0</v>
      </c>
      <c r="P54" s="24"/>
      <c r="Q54" s="25">
        <v>160.71</v>
      </c>
      <c r="R54" s="25"/>
      <c r="S54" s="26"/>
      <c r="T54" s="26"/>
      <c r="U54" s="26"/>
      <c r="V54" s="26"/>
      <c r="W54" s="26"/>
      <c r="X54" s="25"/>
      <c r="Y54" s="25"/>
      <c r="Z54" s="25"/>
      <c r="AA54" s="25"/>
      <c r="AB54" s="26"/>
      <c r="AC54" s="26"/>
      <c r="AD54" s="25"/>
      <c r="AE54" s="25"/>
      <c r="AF54" s="24">
        <f t="shared" si="9"/>
        <v>-179.99571428571429</v>
      </c>
      <c r="AG54" s="27">
        <f t="shared" si="10"/>
        <v>4.2857142857144481E-3</v>
      </c>
      <c r="AH54" s="28">
        <f t="shared" si="11"/>
        <v>179.99571428571429</v>
      </c>
    </row>
    <row r="55" spans="1:34" s="29" customFormat="1" ht="23.25" hidden="1" customHeight="1" x14ac:dyDescent="0.2">
      <c r="A55" s="18">
        <v>43846</v>
      </c>
      <c r="B55" s="19"/>
      <c r="C55" s="20" t="s">
        <v>106</v>
      </c>
      <c r="D55" s="20" t="s">
        <v>107</v>
      </c>
      <c r="E55" s="20" t="s">
        <v>49</v>
      </c>
      <c r="F55" s="21">
        <v>747665</v>
      </c>
      <c r="G55" s="21" t="s">
        <v>118</v>
      </c>
      <c r="H55" s="22"/>
      <c r="I55" s="22"/>
      <c r="J55" s="22"/>
      <c r="K55" s="22">
        <v>65.75</v>
      </c>
      <c r="L55" s="23"/>
      <c r="M55" s="24">
        <f t="shared" si="6"/>
        <v>58.705357142857139</v>
      </c>
      <c r="N55" s="24">
        <f t="shared" si="7"/>
        <v>7.0446428571428568</v>
      </c>
      <c r="O55" s="24">
        <f t="shared" si="8"/>
        <v>0</v>
      </c>
      <c r="P55" s="24"/>
      <c r="Q55" s="25"/>
      <c r="R55" s="25"/>
      <c r="S55" s="26"/>
      <c r="T55" s="26">
        <v>58.71</v>
      </c>
      <c r="U55" s="26"/>
      <c r="V55" s="26"/>
      <c r="W55" s="26"/>
      <c r="X55" s="25"/>
      <c r="Y55" s="25"/>
      <c r="Z55" s="25"/>
      <c r="AA55" s="25"/>
      <c r="AB55" s="26"/>
      <c r="AC55" s="26"/>
      <c r="AD55" s="25"/>
      <c r="AE55" s="25"/>
      <c r="AF55" s="24">
        <f t="shared" si="9"/>
        <v>-65.754642857142855</v>
      </c>
      <c r="AG55" s="27">
        <f t="shared" si="10"/>
        <v>-4.6428571428549503E-3</v>
      </c>
      <c r="AH55" s="28">
        <f t="shared" si="11"/>
        <v>65.754642857142855</v>
      </c>
    </row>
    <row r="56" spans="1:34" s="29" customFormat="1" ht="23.25" hidden="1" customHeight="1" x14ac:dyDescent="0.2">
      <c r="A56" s="18">
        <v>43846</v>
      </c>
      <c r="B56" s="19"/>
      <c r="C56" s="20" t="s">
        <v>39</v>
      </c>
      <c r="D56" s="20" t="s">
        <v>40</v>
      </c>
      <c r="E56" s="20" t="s">
        <v>41</v>
      </c>
      <c r="F56" s="21">
        <v>101005</v>
      </c>
      <c r="G56" s="21" t="s">
        <v>119</v>
      </c>
      <c r="H56" s="22"/>
      <c r="I56" s="22"/>
      <c r="J56" s="22"/>
      <c r="K56" s="22">
        <v>390</v>
      </c>
      <c r="L56" s="23"/>
      <c r="M56" s="24">
        <f t="shared" si="6"/>
        <v>348.21428571428567</v>
      </c>
      <c r="N56" s="24">
        <f t="shared" si="7"/>
        <v>41.785714285714278</v>
      </c>
      <c r="O56" s="24">
        <f t="shared" si="8"/>
        <v>0</v>
      </c>
      <c r="P56" s="24">
        <v>348.21</v>
      </c>
      <c r="Q56" s="25"/>
      <c r="R56" s="25"/>
      <c r="S56" s="26"/>
      <c r="T56" s="26"/>
      <c r="U56" s="26"/>
      <c r="V56" s="26"/>
      <c r="W56" s="26"/>
      <c r="X56" s="25"/>
      <c r="Y56" s="25"/>
      <c r="Z56" s="25"/>
      <c r="AA56" s="25"/>
      <c r="AB56" s="26"/>
      <c r="AC56" s="26"/>
      <c r="AD56" s="25"/>
      <c r="AE56" s="25"/>
      <c r="AF56" s="24">
        <f t="shared" si="9"/>
        <v>-389.99571428571426</v>
      </c>
      <c r="AG56" s="27">
        <f t="shared" si="10"/>
        <v>4.2857142857428698E-3</v>
      </c>
      <c r="AH56" s="28">
        <f t="shared" si="11"/>
        <v>389.99571428571426</v>
      </c>
    </row>
    <row r="57" spans="1:34" s="29" customFormat="1" ht="23.25" hidden="1" customHeight="1" x14ac:dyDescent="0.2">
      <c r="A57" s="18">
        <v>43846</v>
      </c>
      <c r="B57" s="19"/>
      <c r="C57" s="20" t="s">
        <v>120</v>
      </c>
      <c r="D57" s="20"/>
      <c r="E57" s="20"/>
      <c r="F57" s="21"/>
      <c r="G57" s="21" t="s">
        <v>121</v>
      </c>
      <c r="H57" s="22">
        <v>500</v>
      </c>
      <c r="I57" s="22"/>
      <c r="J57" s="22"/>
      <c r="K57" s="22"/>
      <c r="L57" s="23"/>
      <c r="M57" s="24">
        <f t="shared" si="6"/>
        <v>500</v>
      </c>
      <c r="N57" s="24">
        <f t="shared" si="7"/>
        <v>0</v>
      </c>
      <c r="O57" s="24">
        <f t="shared" si="8"/>
        <v>0</v>
      </c>
      <c r="P57" s="24"/>
      <c r="Q57" s="25"/>
      <c r="R57" s="25"/>
      <c r="S57" s="26"/>
      <c r="T57" s="26"/>
      <c r="U57" s="26"/>
      <c r="V57" s="26"/>
      <c r="W57" s="26"/>
      <c r="X57" s="25"/>
      <c r="Y57" s="25"/>
      <c r="Z57" s="25"/>
      <c r="AA57" s="25"/>
      <c r="AB57" s="26"/>
      <c r="AC57" s="26"/>
      <c r="AD57" s="25">
        <v>500</v>
      </c>
      <c r="AE57" s="25"/>
      <c r="AF57" s="24">
        <f t="shared" si="9"/>
        <v>-500</v>
      </c>
      <c r="AG57" s="27">
        <f t="shared" si="10"/>
        <v>0</v>
      </c>
      <c r="AH57" s="28">
        <f t="shared" si="11"/>
        <v>500</v>
      </c>
    </row>
    <row r="58" spans="1:34" s="29" customFormat="1" ht="23.25" hidden="1" customHeight="1" x14ac:dyDescent="0.2">
      <c r="A58" s="18">
        <v>43846</v>
      </c>
      <c r="B58" s="19"/>
      <c r="C58" s="20" t="s">
        <v>103</v>
      </c>
      <c r="D58" s="20"/>
      <c r="E58" s="20"/>
      <c r="F58" s="21"/>
      <c r="G58" s="30" t="s">
        <v>104</v>
      </c>
      <c r="H58" s="22"/>
      <c r="I58" s="22"/>
      <c r="J58" s="22">
        <v>200</v>
      </c>
      <c r="K58" s="22"/>
      <c r="L58" s="23"/>
      <c r="M58" s="24">
        <f t="shared" si="6"/>
        <v>200</v>
      </c>
      <c r="N58" s="24">
        <f t="shared" si="7"/>
        <v>0</v>
      </c>
      <c r="O58" s="24">
        <f t="shared" si="8"/>
        <v>0</v>
      </c>
      <c r="P58" s="24">
        <v>200</v>
      </c>
      <c r="Q58" s="25"/>
      <c r="R58" s="25"/>
      <c r="S58" s="26"/>
      <c r="T58" s="26"/>
      <c r="U58" s="26"/>
      <c r="V58" s="26"/>
      <c r="W58" s="26"/>
      <c r="X58" s="25"/>
      <c r="Y58" s="25"/>
      <c r="Z58" s="25"/>
      <c r="AA58" s="25"/>
      <c r="AB58" s="26"/>
      <c r="AC58" s="26"/>
      <c r="AD58" s="25"/>
      <c r="AE58" s="25"/>
      <c r="AF58" s="24">
        <f t="shared" si="9"/>
        <v>-200</v>
      </c>
      <c r="AG58" s="27">
        <f t="shared" si="10"/>
        <v>0</v>
      </c>
      <c r="AH58" s="28">
        <f t="shared" si="11"/>
        <v>200</v>
      </c>
    </row>
    <row r="59" spans="1:34" s="29" customFormat="1" ht="23.25" hidden="1" customHeight="1" x14ac:dyDescent="0.2">
      <c r="A59" s="18">
        <v>43847</v>
      </c>
      <c r="B59" s="19"/>
      <c r="C59" s="20" t="s">
        <v>65</v>
      </c>
      <c r="D59" s="20" t="s">
        <v>66</v>
      </c>
      <c r="E59" s="20" t="s">
        <v>67</v>
      </c>
      <c r="F59" s="21">
        <v>3404</v>
      </c>
      <c r="G59" s="21" t="s">
        <v>122</v>
      </c>
      <c r="H59" s="22"/>
      <c r="I59" s="22"/>
      <c r="J59" s="22">
        <v>1243</v>
      </c>
      <c r="K59" s="22"/>
      <c r="L59" s="23"/>
      <c r="M59" s="24">
        <f t="shared" si="6"/>
        <v>1243</v>
      </c>
      <c r="N59" s="24">
        <f t="shared" si="7"/>
        <v>0</v>
      </c>
      <c r="O59" s="24">
        <f t="shared" si="8"/>
        <v>0</v>
      </c>
      <c r="P59" s="24">
        <v>1243</v>
      </c>
      <c r="Q59" s="25"/>
      <c r="R59" s="25"/>
      <c r="S59" s="26"/>
      <c r="T59" s="26"/>
      <c r="U59" s="26"/>
      <c r="V59" s="26"/>
      <c r="W59" s="26"/>
      <c r="X59" s="25"/>
      <c r="Y59" s="25"/>
      <c r="Z59" s="25"/>
      <c r="AA59" s="25"/>
      <c r="AB59" s="26"/>
      <c r="AC59" s="26"/>
      <c r="AD59" s="25"/>
      <c r="AE59" s="25"/>
      <c r="AF59" s="24">
        <f t="shared" si="9"/>
        <v>-1243</v>
      </c>
      <c r="AG59" s="27">
        <f t="shared" si="10"/>
        <v>0</v>
      </c>
      <c r="AH59" s="28">
        <f t="shared" si="11"/>
        <v>1243</v>
      </c>
    </row>
    <row r="60" spans="1:34" s="29" customFormat="1" ht="23.25" hidden="1" customHeight="1" x14ac:dyDescent="0.2">
      <c r="A60" s="18">
        <v>43847</v>
      </c>
      <c r="B60" s="19"/>
      <c r="C60" s="20" t="s">
        <v>123</v>
      </c>
      <c r="D60" s="20" t="s">
        <v>124</v>
      </c>
      <c r="E60" s="20" t="s">
        <v>67</v>
      </c>
      <c r="F60" s="21">
        <v>3239</v>
      </c>
      <c r="G60" s="21" t="s">
        <v>80</v>
      </c>
      <c r="H60" s="22"/>
      <c r="I60" s="22"/>
      <c r="J60" s="22">
        <v>780</v>
      </c>
      <c r="K60" s="22"/>
      <c r="L60" s="23"/>
      <c r="M60" s="24">
        <f t="shared" si="6"/>
        <v>780</v>
      </c>
      <c r="N60" s="24">
        <f t="shared" si="7"/>
        <v>0</v>
      </c>
      <c r="O60" s="24">
        <f t="shared" si="8"/>
        <v>0</v>
      </c>
      <c r="P60" s="24">
        <v>780</v>
      </c>
      <c r="Q60" s="25"/>
      <c r="R60" s="25"/>
      <c r="S60" s="26"/>
      <c r="T60" s="26"/>
      <c r="U60" s="26"/>
      <c r="V60" s="26"/>
      <c r="W60" s="26"/>
      <c r="X60" s="25"/>
      <c r="Y60" s="25"/>
      <c r="Z60" s="25"/>
      <c r="AA60" s="25"/>
      <c r="AB60" s="26"/>
      <c r="AC60" s="26"/>
      <c r="AD60" s="25"/>
      <c r="AE60" s="25"/>
      <c r="AF60" s="24">
        <f t="shared" si="9"/>
        <v>-780</v>
      </c>
      <c r="AG60" s="27">
        <f t="shared" si="10"/>
        <v>0</v>
      </c>
      <c r="AH60" s="28">
        <f t="shared" si="11"/>
        <v>780</v>
      </c>
    </row>
    <row r="61" spans="1:34" s="29" customFormat="1" ht="23.25" hidden="1" customHeight="1" x14ac:dyDescent="0.2">
      <c r="A61" s="18">
        <v>43847</v>
      </c>
      <c r="B61" s="19"/>
      <c r="C61" s="20" t="s">
        <v>45</v>
      </c>
      <c r="D61" s="20"/>
      <c r="E61" s="20"/>
      <c r="F61" s="21"/>
      <c r="G61" s="21" t="s">
        <v>69</v>
      </c>
      <c r="H61" s="22">
        <v>100</v>
      </c>
      <c r="I61" s="22"/>
      <c r="J61" s="22"/>
      <c r="K61" s="22"/>
      <c r="L61" s="23"/>
      <c r="M61" s="24">
        <f t="shared" si="6"/>
        <v>100</v>
      </c>
      <c r="N61" s="24">
        <f t="shared" si="7"/>
        <v>0</v>
      </c>
      <c r="O61" s="24">
        <f t="shared" si="8"/>
        <v>0</v>
      </c>
      <c r="P61" s="24"/>
      <c r="Q61" s="25"/>
      <c r="R61" s="25"/>
      <c r="S61" s="26"/>
      <c r="T61" s="26"/>
      <c r="U61" s="26"/>
      <c r="V61" s="26"/>
      <c r="W61" s="26"/>
      <c r="X61" s="25"/>
      <c r="Y61" s="25"/>
      <c r="Z61" s="25"/>
      <c r="AA61" s="25">
        <v>100</v>
      </c>
      <c r="AB61" s="26"/>
      <c r="AC61" s="26"/>
      <c r="AD61" s="25"/>
      <c r="AE61" s="25"/>
      <c r="AF61" s="24">
        <f t="shared" si="9"/>
        <v>-100</v>
      </c>
      <c r="AG61" s="27">
        <f t="shared" si="10"/>
        <v>0</v>
      </c>
      <c r="AH61" s="28">
        <f t="shared" si="11"/>
        <v>100</v>
      </c>
    </row>
    <row r="62" spans="1:34" s="29" customFormat="1" ht="23.25" hidden="1" customHeight="1" x14ac:dyDescent="0.2">
      <c r="A62" s="18">
        <v>43847</v>
      </c>
      <c r="B62" s="19"/>
      <c r="C62" s="20" t="s">
        <v>45</v>
      </c>
      <c r="D62" s="20"/>
      <c r="E62" s="20"/>
      <c r="F62" s="21"/>
      <c r="G62" s="21" t="s">
        <v>98</v>
      </c>
      <c r="H62" s="22"/>
      <c r="I62" s="22"/>
      <c r="J62" s="22">
        <v>150</v>
      </c>
      <c r="K62" s="22"/>
      <c r="L62" s="23"/>
      <c r="M62" s="24">
        <f t="shared" si="6"/>
        <v>150</v>
      </c>
      <c r="N62" s="24">
        <f t="shared" si="7"/>
        <v>0</v>
      </c>
      <c r="O62" s="24">
        <f t="shared" si="8"/>
        <v>0</v>
      </c>
      <c r="P62" s="24">
        <v>150</v>
      </c>
      <c r="Q62" s="25"/>
      <c r="R62" s="25"/>
      <c r="S62" s="26"/>
      <c r="T62" s="26"/>
      <c r="U62" s="26"/>
      <c r="V62" s="26"/>
      <c r="W62" s="26"/>
      <c r="X62" s="25"/>
      <c r="Y62" s="25"/>
      <c r="Z62" s="25"/>
      <c r="AA62" s="25"/>
      <c r="AB62" s="26"/>
      <c r="AC62" s="26"/>
      <c r="AD62" s="25"/>
      <c r="AE62" s="25"/>
      <c r="AF62" s="24">
        <f t="shared" si="9"/>
        <v>-150</v>
      </c>
      <c r="AG62" s="27">
        <f t="shared" si="10"/>
        <v>0</v>
      </c>
      <c r="AH62" s="28">
        <f t="shared" si="11"/>
        <v>150</v>
      </c>
    </row>
    <row r="63" spans="1:34" s="29" customFormat="1" ht="23.25" hidden="1" customHeight="1" x14ac:dyDescent="0.2">
      <c r="A63" s="18">
        <v>43847</v>
      </c>
      <c r="B63" s="19"/>
      <c r="C63" s="20" t="s">
        <v>55</v>
      </c>
      <c r="D63" s="20" t="s">
        <v>56</v>
      </c>
      <c r="E63" s="20" t="s">
        <v>57</v>
      </c>
      <c r="F63" s="21">
        <v>249192</v>
      </c>
      <c r="G63" s="21" t="s">
        <v>58</v>
      </c>
      <c r="H63" s="22"/>
      <c r="I63" s="22"/>
      <c r="J63" s="22"/>
      <c r="K63" s="22">
        <v>180</v>
      </c>
      <c r="L63" s="23"/>
      <c r="M63" s="24">
        <f t="shared" si="6"/>
        <v>160.71428571428569</v>
      </c>
      <c r="N63" s="24">
        <f t="shared" si="7"/>
        <v>19.285714285714281</v>
      </c>
      <c r="O63" s="24">
        <f t="shared" si="8"/>
        <v>0</v>
      </c>
      <c r="P63" s="24"/>
      <c r="Q63" s="25">
        <v>160.71</v>
      </c>
      <c r="R63" s="25"/>
      <c r="S63" s="26"/>
      <c r="T63" s="26"/>
      <c r="U63" s="26"/>
      <c r="V63" s="26"/>
      <c r="W63" s="26"/>
      <c r="X63" s="25"/>
      <c r="Y63" s="25"/>
      <c r="Z63" s="25"/>
      <c r="AA63" s="25"/>
      <c r="AB63" s="26"/>
      <c r="AC63" s="26"/>
      <c r="AD63" s="25"/>
      <c r="AE63" s="25"/>
      <c r="AF63" s="24">
        <f t="shared" si="9"/>
        <v>-179.99571428571429</v>
      </c>
      <c r="AG63" s="27">
        <f t="shared" si="10"/>
        <v>4.2857142857144481E-3</v>
      </c>
      <c r="AH63" s="28">
        <f t="shared" si="11"/>
        <v>179.99571428571429</v>
      </c>
    </row>
    <row r="64" spans="1:34" s="29" customFormat="1" ht="23.25" hidden="1" customHeight="1" x14ac:dyDescent="0.2">
      <c r="A64" s="18">
        <v>43847</v>
      </c>
      <c r="B64" s="19"/>
      <c r="C64" s="20" t="s">
        <v>37</v>
      </c>
      <c r="D64" s="20"/>
      <c r="E64" s="20"/>
      <c r="F64" s="21"/>
      <c r="G64" s="21" t="s">
        <v>99</v>
      </c>
      <c r="H64" s="22">
        <v>165</v>
      </c>
      <c r="I64" s="22"/>
      <c r="J64" s="22"/>
      <c r="K64" s="22"/>
      <c r="L64" s="23"/>
      <c r="M64" s="24">
        <f t="shared" si="6"/>
        <v>165</v>
      </c>
      <c r="N64" s="24">
        <f t="shared" si="7"/>
        <v>0</v>
      </c>
      <c r="O64" s="24">
        <f t="shared" si="8"/>
        <v>0</v>
      </c>
      <c r="P64" s="25"/>
      <c r="Q64" s="25"/>
      <c r="R64" s="25"/>
      <c r="S64" s="26"/>
      <c r="T64" s="26"/>
      <c r="U64" s="26"/>
      <c r="V64" s="26"/>
      <c r="W64" s="26"/>
      <c r="X64" s="25"/>
      <c r="Y64" s="25"/>
      <c r="Z64" s="25"/>
      <c r="AA64" s="25">
        <v>165</v>
      </c>
      <c r="AB64" s="26"/>
      <c r="AC64" s="26"/>
      <c r="AD64" s="25"/>
      <c r="AE64" s="25"/>
      <c r="AF64" s="24">
        <f t="shared" si="9"/>
        <v>-165</v>
      </c>
      <c r="AG64" s="27">
        <f t="shared" si="10"/>
        <v>0</v>
      </c>
      <c r="AH64" s="28">
        <f t="shared" si="11"/>
        <v>165</v>
      </c>
    </row>
    <row r="65" spans="1:34" s="29" customFormat="1" ht="23.25" hidden="1" customHeight="1" x14ac:dyDescent="0.2">
      <c r="A65" s="18">
        <v>43847</v>
      </c>
      <c r="B65" s="19"/>
      <c r="C65" s="20" t="s">
        <v>39</v>
      </c>
      <c r="D65" s="20" t="s">
        <v>40</v>
      </c>
      <c r="E65" s="20" t="s">
        <v>41</v>
      </c>
      <c r="F65" s="21">
        <v>146210</v>
      </c>
      <c r="G65" s="21" t="s">
        <v>125</v>
      </c>
      <c r="H65" s="22"/>
      <c r="I65" s="22"/>
      <c r="J65" s="22"/>
      <c r="K65" s="22">
        <v>1080.6400000000001</v>
      </c>
      <c r="L65" s="23"/>
      <c r="M65" s="24">
        <f t="shared" si="6"/>
        <v>964.85714285714289</v>
      </c>
      <c r="N65" s="24">
        <f t="shared" si="7"/>
        <v>115.78285714285714</v>
      </c>
      <c r="O65" s="24">
        <f t="shared" si="8"/>
        <v>0</v>
      </c>
      <c r="P65" s="24">
        <v>964.86</v>
      </c>
      <c r="Q65" s="25"/>
      <c r="R65" s="25"/>
      <c r="S65" s="26"/>
      <c r="T65" s="26"/>
      <c r="U65" s="26"/>
      <c r="V65" s="26"/>
      <c r="W65" s="26"/>
      <c r="X65" s="25"/>
      <c r="Y65" s="25"/>
      <c r="Z65" s="25"/>
      <c r="AA65" s="25"/>
      <c r="AB65" s="26"/>
      <c r="AC65" s="26"/>
      <c r="AD65" s="25"/>
      <c r="AE65" s="25"/>
      <c r="AF65" s="24">
        <f t="shared" si="9"/>
        <v>-1080.6428571428571</v>
      </c>
      <c r="AG65" s="27">
        <f t="shared" si="10"/>
        <v>-2.8571428570103308E-3</v>
      </c>
      <c r="AH65" s="28">
        <f t="shared" si="11"/>
        <v>1080.6428571428571</v>
      </c>
    </row>
    <row r="66" spans="1:34" s="29" customFormat="1" ht="23.25" hidden="1" customHeight="1" x14ac:dyDescent="0.2">
      <c r="A66" s="18">
        <v>43847</v>
      </c>
      <c r="B66" s="19"/>
      <c r="C66" s="20" t="s">
        <v>39</v>
      </c>
      <c r="D66" s="20" t="s">
        <v>40</v>
      </c>
      <c r="E66" s="20" t="s">
        <v>41</v>
      </c>
      <c r="F66" s="21">
        <v>146210</v>
      </c>
      <c r="G66" s="21" t="s">
        <v>126</v>
      </c>
      <c r="H66" s="22"/>
      <c r="I66" s="22"/>
      <c r="J66" s="22"/>
      <c r="K66" s="22">
        <v>172</v>
      </c>
      <c r="L66" s="23"/>
      <c r="M66" s="24">
        <f t="shared" si="6"/>
        <v>153.57142857142856</v>
      </c>
      <c r="N66" s="24">
        <f t="shared" si="7"/>
        <v>18.428571428571427</v>
      </c>
      <c r="O66" s="24">
        <f t="shared" si="8"/>
        <v>0</v>
      </c>
      <c r="P66" s="24"/>
      <c r="Q66" s="25"/>
      <c r="R66" s="25"/>
      <c r="S66" s="26"/>
      <c r="T66" s="26"/>
      <c r="U66" s="26"/>
      <c r="V66" s="26"/>
      <c r="W66" s="26"/>
      <c r="X66" s="25"/>
      <c r="Y66" s="25">
        <v>153.57</v>
      </c>
      <c r="Z66" s="25"/>
      <c r="AA66" s="25"/>
      <c r="AB66" s="26"/>
      <c r="AC66" s="26"/>
      <c r="AD66" s="25"/>
      <c r="AE66" s="25"/>
      <c r="AF66" s="24">
        <f t="shared" si="9"/>
        <v>-171.99857142857141</v>
      </c>
      <c r="AG66" s="27">
        <f t="shared" si="10"/>
        <v>1.4285714285904305E-3</v>
      </c>
      <c r="AH66" s="28">
        <f t="shared" si="11"/>
        <v>171.99857142857141</v>
      </c>
    </row>
    <row r="67" spans="1:34" s="29" customFormat="1" ht="23.25" hidden="1" customHeight="1" x14ac:dyDescent="0.2">
      <c r="A67" s="18">
        <v>43848</v>
      </c>
      <c r="B67" s="19"/>
      <c r="C67" s="20" t="s">
        <v>39</v>
      </c>
      <c r="D67" s="20" t="s">
        <v>40</v>
      </c>
      <c r="E67" s="20" t="s">
        <v>41</v>
      </c>
      <c r="F67" s="21">
        <v>117036</v>
      </c>
      <c r="G67" s="21" t="s">
        <v>127</v>
      </c>
      <c r="H67" s="22"/>
      <c r="I67" s="22"/>
      <c r="J67" s="22">
        <v>283.7</v>
      </c>
      <c r="K67" s="22"/>
      <c r="L67" s="23"/>
      <c r="M67" s="24">
        <f t="shared" si="6"/>
        <v>283.7</v>
      </c>
      <c r="N67" s="24">
        <f t="shared" si="7"/>
        <v>0</v>
      </c>
      <c r="O67" s="24">
        <f t="shared" si="8"/>
        <v>0</v>
      </c>
      <c r="P67" s="24">
        <v>283.7</v>
      </c>
      <c r="Q67" s="25"/>
      <c r="R67" s="25"/>
      <c r="S67" s="26"/>
      <c r="T67" s="26"/>
      <c r="U67" s="26"/>
      <c r="V67" s="26"/>
      <c r="W67" s="26"/>
      <c r="X67" s="25"/>
      <c r="Y67" s="25"/>
      <c r="Z67" s="25"/>
      <c r="AA67" s="25"/>
      <c r="AB67" s="26"/>
      <c r="AC67" s="26"/>
      <c r="AD67" s="25"/>
      <c r="AE67" s="25"/>
      <c r="AF67" s="24">
        <f t="shared" si="9"/>
        <v>-283.7</v>
      </c>
      <c r="AG67" s="27">
        <f t="shared" si="10"/>
        <v>0</v>
      </c>
      <c r="AH67" s="28">
        <f t="shared" si="11"/>
        <v>283.7</v>
      </c>
    </row>
    <row r="68" spans="1:34" s="29" customFormat="1" ht="23.25" hidden="1" customHeight="1" x14ac:dyDescent="0.2">
      <c r="A68" s="18">
        <v>43848</v>
      </c>
      <c r="B68" s="19"/>
      <c r="C68" s="20" t="s">
        <v>62</v>
      </c>
      <c r="D68" s="20"/>
      <c r="E68" s="20"/>
      <c r="F68" s="21"/>
      <c r="G68" s="21" t="s">
        <v>93</v>
      </c>
      <c r="H68" s="22"/>
      <c r="I68" s="22"/>
      <c r="J68" s="22">
        <v>140</v>
      </c>
      <c r="K68" s="22"/>
      <c r="L68" s="23"/>
      <c r="M68" s="24">
        <f t="shared" si="6"/>
        <v>140</v>
      </c>
      <c r="N68" s="24">
        <f t="shared" si="7"/>
        <v>0</v>
      </c>
      <c r="O68" s="24">
        <f t="shared" si="8"/>
        <v>0</v>
      </c>
      <c r="P68" s="24">
        <v>140</v>
      </c>
      <c r="Q68" s="25"/>
      <c r="R68" s="25"/>
      <c r="S68" s="26"/>
      <c r="T68" s="26"/>
      <c r="U68" s="26"/>
      <c r="V68" s="26"/>
      <c r="W68" s="26"/>
      <c r="X68" s="25"/>
      <c r="Y68" s="25"/>
      <c r="Z68" s="25"/>
      <c r="AA68" s="25"/>
      <c r="AB68" s="26"/>
      <c r="AC68" s="26"/>
      <c r="AD68" s="25"/>
      <c r="AE68" s="25"/>
      <c r="AF68" s="24">
        <f t="shared" si="9"/>
        <v>-140</v>
      </c>
      <c r="AG68" s="27">
        <f t="shared" si="10"/>
        <v>0</v>
      </c>
      <c r="AH68" s="28">
        <f t="shared" si="11"/>
        <v>140</v>
      </c>
    </row>
    <row r="69" spans="1:34" s="29" customFormat="1" ht="23.25" hidden="1" customHeight="1" x14ac:dyDescent="0.2">
      <c r="A69" s="18">
        <v>43848</v>
      </c>
      <c r="B69" s="19"/>
      <c r="C69" s="20" t="s">
        <v>106</v>
      </c>
      <c r="D69" s="20" t="s">
        <v>107</v>
      </c>
      <c r="E69" s="20" t="s">
        <v>49</v>
      </c>
      <c r="F69" s="21">
        <v>796309</v>
      </c>
      <c r="G69" s="21" t="s">
        <v>128</v>
      </c>
      <c r="H69" s="22"/>
      <c r="I69" s="22"/>
      <c r="J69" s="22"/>
      <c r="K69" s="22">
        <v>475</v>
      </c>
      <c r="L69" s="23"/>
      <c r="M69" s="24">
        <f t="shared" ref="M69:M100" si="12">SUM(H69:J69,K69/1.12)</f>
        <v>424.10714285714283</v>
      </c>
      <c r="N69" s="24">
        <f t="shared" ref="N69:N100" si="13">K69/1.12*0.12</f>
        <v>50.892857142857139</v>
      </c>
      <c r="O69" s="24">
        <f t="shared" ref="O69:O100" si="14">-SUM(I69:J69,K69/1.12)*L69</f>
        <v>0</v>
      </c>
      <c r="P69" s="24"/>
      <c r="Q69" s="25"/>
      <c r="R69" s="25"/>
      <c r="S69" s="26"/>
      <c r="T69" s="26">
        <v>424.11</v>
      </c>
      <c r="U69" s="26"/>
      <c r="V69" s="26"/>
      <c r="W69" s="26"/>
      <c r="X69" s="25"/>
      <c r="Y69" s="25"/>
      <c r="Z69" s="25"/>
      <c r="AA69" s="25"/>
      <c r="AB69" s="26"/>
      <c r="AC69" s="26"/>
      <c r="AD69" s="25"/>
      <c r="AE69" s="25"/>
      <c r="AF69" s="24">
        <f t="shared" ref="AF69:AF100" si="15">-SUM(N69:AE69)</f>
        <v>-475.00285714285712</v>
      </c>
      <c r="AG69" s="27">
        <f t="shared" ref="AG69:AG100" si="16">SUM(H69:K69)+AF69+O69</f>
        <v>-2.8571428571240176E-3</v>
      </c>
      <c r="AH69" s="28">
        <f t="shared" ref="AH69:AH100" si="17">-AF69</f>
        <v>475.00285714285712</v>
      </c>
    </row>
    <row r="70" spans="1:34" s="29" customFormat="1" ht="23.25" hidden="1" customHeight="1" x14ac:dyDescent="0.2">
      <c r="A70" s="18">
        <v>43848</v>
      </c>
      <c r="B70" s="19"/>
      <c r="C70" s="20" t="s">
        <v>106</v>
      </c>
      <c r="D70" s="20" t="s">
        <v>107</v>
      </c>
      <c r="E70" s="20" t="s">
        <v>49</v>
      </c>
      <c r="F70" s="21">
        <v>796357</v>
      </c>
      <c r="G70" s="21" t="s">
        <v>129</v>
      </c>
      <c r="H70" s="22"/>
      <c r="I70" s="22"/>
      <c r="J70" s="22"/>
      <c r="K70" s="22">
        <v>30</v>
      </c>
      <c r="L70" s="23"/>
      <c r="M70" s="24">
        <f t="shared" si="12"/>
        <v>26.785714285714285</v>
      </c>
      <c r="N70" s="24">
        <f t="shared" si="13"/>
        <v>3.214285714285714</v>
      </c>
      <c r="O70" s="24">
        <f t="shared" si="14"/>
        <v>0</v>
      </c>
      <c r="P70" s="24"/>
      <c r="Q70" s="25"/>
      <c r="R70" s="25"/>
      <c r="S70" s="26"/>
      <c r="T70" s="26"/>
      <c r="U70" s="26"/>
      <c r="V70" s="26"/>
      <c r="W70" s="26"/>
      <c r="X70" s="25"/>
      <c r="Y70" s="25"/>
      <c r="Z70" s="25">
        <v>26.79</v>
      </c>
      <c r="AA70" s="25"/>
      <c r="AB70" s="26"/>
      <c r="AC70" s="26"/>
      <c r="AD70" s="25"/>
      <c r="AE70" s="25"/>
      <c r="AF70" s="24">
        <f t="shared" si="15"/>
        <v>-30.004285714285714</v>
      </c>
      <c r="AG70" s="27">
        <f t="shared" si="16"/>
        <v>-4.2857142857144481E-3</v>
      </c>
      <c r="AH70" s="28">
        <f t="shared" si="17"/>
        <v>30.004285714285714</v>
      </c>
    </row>
    <row r="71" spans="1:34" s="29" customFormat="1" ht="23.25" hidden="1" customHeight="1" x14ac:dyDescent="0.2">
      <c r="A71" s="18">
        <v>43848</v>
      </c>
      <c r="B71" s="19"/>
      <c r="C71" s="20" t="s">
        <v>106</v>
      </c>
      <c r="D71" s="20" t="s">
        <v>107</v>
      </c>
      <c r="E71" s="20" t="s">
        <v>49</v>
      </c>
      <c r="F71" s="21">
        <v>796306</v>
      </c>
      <c r="G71" s="21" t="s">
        <v>130</v>
      </c>
      <c r="H71" s="22"/>
      <c r="I71" s="22"/>
      <c r="J71" s="22"/>
      <c r="K71" s="22">
        <v>720</v>
      </c>
      <c r="L71" s="23"/>
      <c r="M71" s="24">
        <f t="shared" si="12"/>
        <v>642.85714285714278</v>
      </c>
      <c r="N71" s="24">
        <f t="shared" si="13"/>
        <v>77.142857142857125</v>
      </c>
      <c r="O71" s="24">
        <f t="shared" si="14"/>
        <v>0</v>
      </c>
      <c r="P71" s="24"/>
      <c r="Q71" s="25"/>
      <c r="R71" s="25"/>
      <c r="S71" s="26"/>
      <c r="T71" s="26">
        <v>642.86</v>
      </c>
      <c r="U71" s="26"/>
      <c r="V71" s="26"/>
      <c r="W71" s="26"/>
      <c r="X71" s="25"/>
      <c r="Y71" s="25"/>
      <c r="Z71" s="25"/>
      <c r="AA71" s="25"/>
      <c r="AB71" s="26"/>
      <c r="AC71" s="26"/>
      <c r="AD71" s="25"/>
      <c r="AE71" s="25"/>
      <c r="AF71" s="24">
        <f t="shared" si="15"/>
        <v>-720.00285714285712</v>
      </c>
      <c r="AG71" s="27">
        <f t="shared" si="16"/>
        <v>-2.8571428571240176E-3</v>
      </c>
      <c r="AH71" s="28">
        <f t="shared" si="17"/>
        <v>720.00285714285712</v>
      </c>
    </row>
    <row r="72" spans="1:34" s="29" customFormat="1" ht="23.25" hidden="1" customHeight="1" x14ac:dyDescent="0.2">
      <c r="A72" s="18">
        <v>43848</v>
      </c>
      <c r="B72" s="19"/>
      <c r="C72" s="20" t="s">
        <v>131</v>
      </c>
      <c r="D72" s="20" t="s">
        <v>132</v>
      </c>
      <c r="E72" s="20" t="s">
        <v>133</v>
      </c>
      <c r="F72" s="21">
        <v>3558</v>
      </c>
      <c r="G72" s="21" t="s">
        <v>134</v>
      </c>
      <c r="H72" s="22"/>
      <c r="I72" s="22"/>
      <c r="J72" s="22">
        <v>1500</v>
      </c>
      <c r="K72" s="22"/>
      <c r="L72" s="23"/>
      <c r="M72" s="24">
        <f t="shared" si="12"/>
        <v>1500</v>
      </c>
      <c r="N72" s="24">
        <f t="shared" si="13"/>
        <v>0</v>
      </c>
      <c r="O72" s="24">
        <f t="shared" si="14"/>
        <v>0</v>
      </c>
      <c r="P72" s="24"/>
      <c r="Q72" s="25"/>
      <c r="R72" s="25">
        <v>1500</v>
      </c>
      <c r="S72" s="26"/>
      <c r="T72" s="26"/>
      <c r="U72" s="26"/>
      <c r="V72" s="26"/>
      <c r="W72" s="26"/>
      <c r="X72" s="25"/>
      <c r="Y72" s="25"/>
      <c r="Z72" s="25"/>
      <c r="AA72" s="25"/>
      <c r="AB72" s="26"/>
      <c r="AC72" s="26"/>
      <c r="AD72" s="25"/>
      <c r="AE72" s="25"/>
      <c r="AF72" s="24">
        <f t="shared" si="15"/>
        <v>-1500</v>
      </c>
      <c r="AG72" s="27">
        <f t="shared" si="16"/>
        <v>0</v>
      </c>
      <c r="AH72" s="28">
        <f t="shared" si="17"/>
        <v>1500</v>
      </c>
    </row>
    <row r="73" spans="1:34" s="29" customFormat="1" ht="23.25" hidden="1" customHeight="1" x14ac:dyDescent="0.2">
      <c r="A73" s="18">
        <v>43850</v>
      </c>
      <c r="B73" s="19"/>
      <c r="C73" s="20" t="s">
        <v>45</v>
      </c>
      <c r="D73" s="20"/>
      <c r="E73" s="20"/>
      <c r="F73" s="21"/>
      <c r="G73" s="21" t="s">
        <v>135</v>
      </c>
      <c r="H73" s="22">
        <v>15</v>
      </c>
      <c r="I73" s="22"/>
      <c r="J73" s="22"/>
      <c r="K73" s="22"/>
      <c r="L73" s="23"/>
      <c r="M73" s="24">
        <f t="shared" si="12"/>
        <v>15</v>
      </c>
      <c r="N73" s="24">
        <f t="shared" si="13"/>
        <v>0</v>
      </c>
      <c r="O73" s="24">
        <f t="shared" si="14"/>
        <v>0</v>
      </c>
      <c r="P73" s="24">
        <v>15</v>
      </c>
      <c r="Q73" s="25"/>
      <c r="R73" s="25"/>
      <c r="S73" s="26"/>
      <c r="T73" s="26"/>
      <c r="U73" s="26"/>
      <c r="V73" s="26"/>
      <c r="W73" s="26"/>
      <c r="X73" s="25"/>
      <c r="Y73" s="25"/>
      <c r="Z73" s="25"/>
      <c r="AA73" s="25"/>
      <c r="AB73" s="26"/>
      <c r="AC73" s="26"/>
      <c r="AD73" s="25"/>
      <c r="AE73" s="25"/>
      <c r="AF73" s="24">
        <f t="shared" si="15"/>
        <v>-15</v>
      </c>
      <c r="AG73" s="27">
        <f t="shared" si="16"/>
        <v>0</v>
      </c>
      <c r="AH73" s="28">
        <f t="shared" si="17"/>
        <v>15</v>
      </c>
    </row>
    <row r="74" spans="1:34" s="29" customFormat="1" ht="23.25" hidden="1" customHeight="1" x14ac:dyDescent="0.2">
      <c r="A74" s="18">
        <v>43850</v>
      </c>
      <c r="B74" s="19"/>
      <c r="C74" s="20" t="s">
        <v>47</v>
      </c>
      <c r="D74" s="20" t="s">
        <v>48</v>
      </c>
      <c r="E74" s="20" t="s">
        <v>49</v>
      </c>
      <c r="F74" s="21">
        <v>183525</v>
      </c>
      <c r="G74" s="21" t="s">
        <v>136</v>
      </c>
      <c r="H74" s="22"/>
      <c r="I74" s="22"/>
      <c r="J74" s="22"/>
      <c r="K74" s="22">
        <f>2018.13+242.18</f>
        <v>2260.31</v>
      </c>
      <c r="L74" s="23"/>
      <c r="M74" s="24">
        <f t="shared" si="12"/>
        <v>2018.1339285714284</v>
      </c>
      <c r="N74" s="24">
        <f t="shared" si="13"/>
        <v>242.17607142857139</v>
      </c>
      <c r="O74" s="24">
        <f t="shared" si="14"/>
        <v>0</v>
      </c>
      <c r="P74" s="24">
        <v>2018.13</v>
      </c>
      <c r="Q74" s="25"/>
      <c r="R74" s="25"/>
      <c r="S74" s="26"/>
      <c r="T74" s="26"/>
      <c r="U74" s="26"/>
      <c r="V74" s="26"/>
      <c r="W74" s="26"/>
      <c r="X74" s="25"/>
      <c r="Y74" s="25"/>
      <c r="Z74" s="25"/>
      <c r="AA74" s="25"/>
      <c r="AB74" s="26"/>
      <c r="AC74" s="26"/>
      <c r="AD74" s="25"/>
      <c r="AE74" s="25"/>
      <c r="AF74" s="24">
        <f t="shared" si="15"/>
        <v>-2260.3060714285716</v>
      </c>
      <c r="AG74" s="27">
        <f t="shared" si="16"/>
        <v>3.9285714283323614E-3</v>
      </c>
      <c r="AH74" s="28">
        <f t="shared" si="17"/>
        <v>2260.3060714285716</v>
      </c>
    </row>
    <row r="75" spans="1:34" s="29" customFormat="1" ht="23.25" hidden="1" customHeight="1" x14ac:dyDescent="0.2">
      <c r="A75" s="18">
        <v>43850</v>
      </c>
      <c r="B75" s="19"/>
      <c r="C75" s="20" t="s">
        <v>47</v>
      </c>
      <c r="D75" s="20" t="s">
        <v>48</v>
      </c>
      <c r="E75" s="20" t="s">
        <v>49</v>
      </c>
      <c r="F75" s="21">
        <v>183525</v>
      </c>
      <c r="G75" s="21" t="s">
        <v>137</v>
      </c>
      <c r="H75" s="22"/>
      <c r="I75" s="22"/>
      <c r="J75" s="22">
        <v>467.25</v>
      </c>
      <c r="K75" s="22"/>
      <c r="L75" s="23"/>
      <c r="M75" s="24">
        <f t="shared" si="12"/>
        <v>467.25</v>
      </c>
      <c r="N75" s="24">
        <f t="shared" si="13"/>
        <v>0</v>
      </c>
      <c r="O75" s="24">
        <f t="shared" si="14"/>
        <v>0</v>
      </c>
      <c r="P75" s="24">
        <v>467.25</v>
      </c>
      <c r="Q75" s="25"/>
      <c r="R75" s="25"/>
      <c r="S75" s="26"/>
      <c r="T75" s="26"/>
      <c r="U75" s="26"/>
      <c r="V75" s="26"/>
      <c r="W75" s="26"/>
      <c r="X75" s="25"/>
      <c r="Y75" s="25"/>
      <c r="Z75" s="25"/>
      <c r="AA75" s="25"/>
      <c r="AB75" s="26"/>
      <c r="AC75" s="26"/>
      <c r="AD75" s="25"/>
      <c r="AE75" s="25"/>
      <c r="AF75" s="24">
        <f t="shared" si="15"/>
        <v>-467.25</v>
      </c>
      <c r="AG75" s="27">
        <f t="shared" si="16"/>
        <v>0</v>
      </c>
      <c r="AH75" s="28">
        <f t="shared" si="17"/>
        <v>467.25</v>
      </c>
    </row>
    <row r="76" spans="1:34" s="29" customFormat="1" ht="23.25" hidden="1" customHeight="1" x14ac:dyDescent="0.2">
      <c r="A76" s="18">
        <v>43850</v>
      </c>
      <c r="B76" s="19"/>
      <c r="C76" s="20" t="s">
        <v>39</v>
      </c>
      <c r="D76" s="20" t="s">
        <v>40</v>
      </c>
      <c r="E76" s="20" t="s">
        <v>41</v>
      </c>
      <c r="F76" s="21">
        <v>101094</v>
      </c>
      <c r="G76" s="21" t="s">
        <v>138</v>
      </c>
      <c r="H76" s="22"/>
      <c r="I76" s="22"/>
      <c r="J76" s="22"/>
      <c r="K76" s="22">
        <v>156</v>
      </c>
      <c r="L76" s="23"/>
      <c r="M76" s="24">
        <f t="shared" si="12"/>
        <v>139.28571428571428</v>
      </c>
      <c r="N76" s="24">
        <f t="shared" si="13"/>
        <v>16.714285714285712</v>
      </c>
      <c r="O76" s="24">
        <f t="shared" si="14"/>
        <v>0</v>
      </c>
      <c r="P76" s="24">
        <v>139.29</v>
      </c>
      <c r="Q76" s="25"/>
      <c r="R76" s="25"/>
      <c r="S76" s="26"/>
      <c r="T76" s="26"/>
      <c r="U76" s="26"/>
      <c r="V76" s="26"/>
      <c r="W76" s="26"/>
      <c r="X76" s="25"/>
      <c r="Y76" s="25"/>
      <c r="Z76" s="25"/>
      <c r="AA76" s="25"/>
      <c r="AB76" s="26"/>
      <c r="AC76" s="26"/>
      <c r="AD76" s="25"/>
      <c r="AE76" s="25"/>
      <c r="AF76" s="24">
        <f t="shared" si="15"/>
        <v>-156.00428571428571</v>
      </c>
      <c r="AG76" s="27">
        <f t="shared" si="16"/>
        <v>-4.2857142857144481E-3</v>
      </c>
      <c r="AH76" s="28">
        <f t="shared" si="17"/>
        <v>156.00428571428571</v>
      </c>
    </row>
    <row r="77" spans="1:34" s="29" customFormat="1" ht="23.25" hidden="1" customHeight="1" x14ac:dyDescent="0.2">
      <c r="A77" s="18">
        <v>43850</v>
      </c>
      <c r="B77" s="19"/>
      <c r="C77" s="20" t="s">
        <v>55</v>
      </c>
      <c r="D77" s="20" t="s">
        <v>56</v>
      </c>
      <c r="E77" s="20" t="s">
        <v>57</v>
      </c>
      <c r="F77" s="21">
        <v>248327</v>
      </c>
      <c r="G77" s="21" t="s">
        <v>58</v>
      </c>
      <c r="H77" s="22"/>
      <c r="I77" s="22"/>
      <c r="J77" s="22"/>
      <c r="K77" s="22">
        <v>180</v>
      </c>
      <c r="L77" s="23"/>
      <c r="M77" s="24">
        <f t="shared" si="12"/>
        <v>160.71428571428569</v>
      </c>
      <c r="N77" s="24">
        <f t="shared" si="13"/>
        <v>19.285714285714281</v>
      </c>
      <c r="O77" s="24">
        <f t="shared" si="14"/>
        <v>0</v>
      </c>
      <c r="P77" s="24"/>
      <c r="Q77" s="25">
        <v>160.71</v>
      </c>
      <c r="R77" s="25"/>
      <c r="S77" s="26"/>
      <c r="T77" s="26"/>
      <c r="U77" s="26"/>
      <c r="V77" s="26"/>
      <c r="W77" s="26"/>
      <c r="X77" s="25"/>
      <c r="Y77" s="25"/>
      <c r="Z77" s="25"/>
      <c r="AA77" s="25"/>
      <c r="AB77" s="26"/>
      <c r="AC77" s="26"/>
      <c r="AD77" s="25"/>
      <c r="AE77" s="25"/>
      <c r="AF77" s="24">
        <f t="shared" si="15"/>
        <v>-179.99571428571429</v>
      </c>
      <c r="AG77" s="27">
        <f t="shared" si="16"/>
        <v>4.2857142857144481E-3</v>
      </c>
      <c r="AH77" s="28">
        <f t="shared" si="17"/>
        <v>179.99571428571429</v>
      </c>
    </row>
    <row r="78" spans="1:34" s="29" customFormat="1" ht="23.25" hidden="1" customHeight="1" x14ac:dyDescent="0.2">
      <c r="A78" s="18">
        <v>43850</v>
      </c>
      <c r="B78" s="19"/>
      <c r="C78" s="20" t="s">
        <v>139</v>
      </c>
      <c r="D78" s="20" t="s">
        <v>140</v>
      </c>
      <c r="E78" s="20" t="s">
        <v>141</v>
      </c>
      <c r="F78" s="21">
        <v>43622</v>
      </c>
      <c r="G78" s="31" t="s">
        <v>142</v>
      </c>
      <c r="H78" s="22"/>
      <c r="I78" s="22"/>
      <c r="J78" s="22"/>
      <c r="K78" s="22">
        <v>3000</v>
      </c>
      <c r="L78" s="23"/>
      <c r="M78" s="24">
        <f t="shared" si="12"/>
        <v>2678.5714285714284</v>
      </c>
      <c r="N78" s="24">
        <f t="shared" si="13"/>
        <v>321.42857142857139</v>
      </c>
      <c r="O78" s="24">
        <f t="shared" si="14"/>
        <v>0</v>
      </c>
      <c r="P78" s="24"/>
      <c r="Q78" s="25"/>
      <c r="R78" s="25">
        <v>2678.57</v>
      </c>
      <c r="S78" s="26"/>
      <c r="T78" s="26"/>
      <c r="U78" s="26"/>
      <c r="V78" s="26"/>
      <c r="W78" s="26"/>
      <c r="X78" s="25"/>
      <c r="Y78" s="25"/>
      <c r="Z78" s="25"/>
      <c r="AA78" s="25"/>
      <c r="AB78" s="26"/>
      <c r="AC78" s="26"/>
      <c r="AD78" s="25"/>
      <c r="AE78" s="25"/>
      <c r="AF78" s="24">
        <f t="shared" si="15"/>
        <v>-2999.9985714285717</v>
      </c>
      <c r="AG78" s="27">
        <f t="shared" si="16"/>
        <v>1.4285714282777917E-3</v>
      </c>
      <c r="AH78" s="28">
        <f t="shared" si="17"/>
        <v>2999.9985714285717</v>
      </c>
    </row>
    <row r="79" spans="1:34" s="29" customFormat="1" ht="23.25" hidden="1" customHeight="1" x14ac:dyDescent="0.2">
      <c r="A79" s="18">
        <v>43850</v>
      </c>
      <c r="B79" s="19"/>
      <c r="C79" s="20" t="s">
        <v>143</v>
      </c>
      <c r="D79" s="20" t="s">
        <v>144</v>
      </c>
      <c r="E79" s="20" t="s">
        <v>41</v>
      </c>
      <c r="F79" s="21">
        <v>35679</v>
      </c>
      <c r="G79" s="31" t="s">
        <v>145</v>
      </c>
      <c r="H79" s="22"/>
      <c r="I79" s="22"/>
      <c r="J79" s="22"/>
      <c r="K79" s="22">
        <v>105</v>
      </c>
      <c r="L79" s="23"/>
      <c r="M79" s="24">
        <f t="shared" si="12"/>
        <v>93.749999999999986</v>
      </c>
      <c r="N79" s="24">
        <f t="shared" si="13"/>
        <v>11.249999999999998</v>
      </c>
      <c r="O79" s="24">
        <f t="shared" si="14"/>
        <v>0</v>
      </c>
      <c r="P79" s="24">
        <v>93.75</v>
      </c>
      <c r="Q79" s="25"/>
      <c r="R79" s="25"/>
      <c r="S79" s="26"/>
      <c r="T79" s="26"/>
      <c r="U79" s="26"/>
      <c r="V79" s="26"/>
      <c r="W79" s="26"/>
      <c r="X79" s="25"/>
      <c r="Y79" s="25"/>
      <c r="Z79" s="25"/>
      <c r="AA79" s="25"/>
      <c r="AB79" s="26"/>
      <c r="AC79" s="26"/>
      <c r="AD79" s="25"/>
      <c r="AE79" s="25"/>
      <c r="AF79" s="24">
        <f t="shared" si="15"/>
        <v>-105</v>
      </c>
      <c r="AG79" s="27">
        <f t="shared" si="16"/>
        <v>0</v>
      </c>
      <c r="AH79" s="28">
        <f t="shared" si="17"/>
        <v>105</v>
      </c>
    </row>
    <row r="80" spans="1:34" s="29" customFormat="1" ht="23.25" hidden="1" customHeight="1" x14ac:dyDescent="0.2">
      <c r="A80" s="18">
        <v>43850</v>
      </c>
      <c r="B80" s="19"/>
      <c r="C80" s="20" t="s">
        <v>47</v>
      </c>
      <c r="D80" s="20" t="s">
        <v>48</v>
      </c>
      <c r="E80" s="20" t="s">
        <v>49</v>
      </c>
      <c r="F80" s="21">
        <v>100222</v>
      </c>
      <c r="G80" s="31" t="s">
        <v>146</v>
      </c>
      <c r="H80" s="22"/>
      <c r="I80" s="22"/>
      <c r="J80" s="22"/>
      <c r="K80" s="22">
        <v>177</v>
      </c>
      <c r="L80" s="23"/>
      <c r="M80" s="24">
        <f t="shared" si="12"/>
        <v>158.03571428571428</v>
      </c>
      <c r="N80" s="24">
        <f t="shared" si="13"/>
        <v>18.964285714285712</v>
      </c>
      <c r="O80" s="24">
        <f t="shared" si="14"/>
        <v>0</v>
      </c>
      <c r="P80" s="24"/>
      <c r="Q80" s="25"/>
      <c r="R80" s="25"/>
      <c r="S80" s="26"/>
      <c r="T80" s="26"/>
      <c r="U80" s="26"/>
      <c r="V80" s="26"/>
      <c r="W80" s="26"/>
      <c r="X80" s="25">
        <v>158.04</v>
      </c>
      <c r="Y80" s="25"/>
      <c r="Z80" s="25"/>
      <c r="AA80" s="25"/>
      <c r="AB80" s="26"/>
      <c r="AC80" s="26"/>
      <c r="AD80" s="25"/>
      <c r="AE80" s="25"/>
      <c r="AF80" s="24">
        <f t="shared" si="15"/>
        <v>-177.00428571428571</v>
      </c>
      <c r="AG80" s="27">
        <f t="shared" si="16"/>
        <v>-4.2857142857144481E-3</v>
      </c>
      <c r="AH80" s="28">
        <f t="shared" si="17"/>
        <v>177.00428571428571</v>
      </c>
    </row>
    <row r="81" spans="1:34" s="42" customFormat="1" ht="23.25" hidden="1" customHeight="1" x14ac:dyDescent="0.2">
      <c r="A81" s="32">
        <v>43851</v>
      </c>
      <c r="B81" s="33"/>
      <c r="C81" s="34" t="s">
        <v>147</v>
      </c>
      <c r="D81" s="34"/>
      <c r="E81" s="34" t="s">
        <v>148</v>
      </c>
      <c r="F81" s="35">
        <v>6562</v>
      </c>
      <c r="G81" s="35" t="s">
        <v>149</v>
      </c>
      <c r="H81" s="36"/>
      <c r="I81" s="36"/>
      <c r="J81" s="36">
        <v>2000</v>
      </c>
      <c r="K81" s="36"/>
      <c r="L81" s="37"/>
      <c r="M81" s="38">
        <f t="shared" si="12"/>
        <v>2000</v>
      </c>
      <c r="N81" s="38">
        <f t="shared" si="13"/>
        <v>0</v>
      </c>
      <c r="O81" s="38">
        <f t="shared" si="14"/>
        <v>0</v>
      </c>
      <c r="P81" s="38"/>
      <c r="Q81" s="39"/>
      <c r="R81" s="39">
        <v>2000</v>
      </c>
      <c r="S81" s="40"/>
      <c r="T81" s="40"/>
      <c r="U81" s="40"/>
      <c r="V81" s="40"/>
      <c r="W81" s="40"/>
      <c r="X81" s="39"/>
      <c r="Y81" s="39"/>
      <c r="Z81" s="39"/>
      <c r="AA81" s="39"/>
      <c r="AB81" s="40"/>
      <c r="AC81" s="40"/>
      <c r="AD81" s="39"/>
      <c r="AE81" s="39"/>
      <c r="AF81" s="38">
        <f t="shared" si="15"/>
        <v>-2000</v>
      </c>
      <c r="AG81" s="41">
        <f t="shared" si="16"/>
        <v>0</v>
      </c>
      <c r="AH81" s="28">
        <f t="shared" si="17"/>
        <v>2000</v>
      </c>
    </row>
    <row r="82" spans="1:34" s="29" customFormat="1" ht="23.25" hidden="1" customHeight="1" x14ac:dyDescent="0.2">
      <c r="A82" s="18">
        <v>43851</v>
      </c>
      <c r="B82" s="19"/>
      <c r="C82" s="20" t="s">
        <v>39</v>
      </c>
      <c r="D82" s="20" t="s">
        <v>40</v>
      </c>
      <c r="E82" s="20" t="s">
        <v>41</v>
      </c>
      <c r="F82" s="21">
        <v>94800</v>
      </c>
      <c r="G82" s="21" t="s">
        <v>150</v>
      </c>
      <c r="H82" s="22"/>
      <c r="I82" s="22"/>
      <c r="J82" s="22"/>
      <c r="K82" s="22">
        <v>450.5</v>
      </c>
      <c r="L82" s="23"/>
      <c r="M82" s="24">
        <f t="shared" si="12"/>
        <v>402.23214285714283</v>
      </c>
      <c r="N82" s="24">
        <f t="shared" si="13"/>
        <v>48.267857142857139</v>
      </c>
      <c r="O82" s="24">
        <f t="shared" si="14"/>
        <v>0</v>
      </c>
      <c r="P82" s="24">
        <v>402.23</v>
      </c>
      <c r="Q82" s="25"/>
      <c r="R82" s="25"/>
      <c r="S82" s="26"/>
      <c r="T82" s="26"/>
      <c r="U82" s="26"/>
      <c r="V82" s="26"/>
      <c r="W82" s="26"/>
      <c r="X82" s="25"/>
      <c r="Y82" s="25"/>
      <c r="Z82" s="25"/>
      <c r="AA82" s="25"/>
      <c r="AB82" s="26"/>
      <c r="AC82" s="26"/>
      <c r="AD82" s="25"/>
      <c r="AE82" s="25"/>
      <c r="AF82" s="24">
        <f t="shared" si="15"/>
        <v>-450.49785714285713</v>
      </c>
      <c r="AG82" s="27">
        <f t="shared" si="16"/>
        <v>2.1428571428714349E-3</v>
      </c>
      <c r="AH82" s="28">
        <f t="shared" si="17"/>
        <v>450.49785714285713</v>
      </c>
    </row>
    <row r="83" spans="1:34" s="29" customFormat="1" ht="23.25" hidden="1" customHeight="1" x14ac:dyDescent="0.2">
      <c r="A83" s="18">
        <v>43851</v>
      </c>
      <c r="B83" s="19"/>
      <c r="C83" s="20" t="s">
        <v>39</v>
      </c>
      <c r="D83" s="20" t="s">
        <v>40</v>
      </c>
      <c r="E83" s="20" t="s">
        <v>41</v>
      </c>
      <c r="F83" s="21">
        <v>94935</v>
      </c>
      <c r="G83" s="21" t="s">
        <v>151</v>
      </c>
      <c r="H83" s="22"/>
      <c r="I83" s="22"/>
      <c r="J83" s="22"/>
      <c r="K83" s="22">
        <v>119</v>
      </c>
      <c r="L83" s="23"/>
      <c r="M83" s="24">
        <f t="shared" si="12"/>
        <v>106.24999999999999</v>
      </c>
      <c r="N83" s="24">
        <f t="shared" si="13"/>
        <v>12.749999999999998</v>
      </c>
      <c r="O83" s="24">
        <f t="shared" si="14"/>
        <v>0</v>
      </c>
      <c r="P83" s="24"/>
      <c r="Q83" s="25"/>
      <c r="R83" s="25">
        <v>106.25</v>
      </c>
      <c r="S83" s="26"/>
      <c r="T83" s="26"/>
      <c r="U83" s="26"/>
      <c r="V83" s="26"/>
      <c r="W83" s="26"/>
      <c r="X83" s="25"/>
      <c r="Y83" s="25"/>
      <c r="Z83" s="25"/>
      <c r="AA83" s="25"/>
      <c r="AB83" s="26"/>
      <c r="AC83" s="26"/>
      <c r="AD83" s="25"/>
      <c r="AE83" s="25"/>
      <c r="AF83" s="24">
        <f t="shared" si="15"/>
        <v>-119</v>
      </c>
      <c r="AG83" s="27">
        <f t="shared" si="16"/>
        <v>0</v>
      </c>
      <c r="AH83" s="28">
        <f t="shared" si="17"/>
        <v>119</v>
      </c>
    </row>
    <row r="84" spans="1:34" s="29" customFormat="1" ht="23.25" hidden="1" customHeight="1" x14ac:dyDescent="0.2">
      <c r="A84" s="18">
        <v>43851</v>
      </c>
      <c r="B84" s="19"/>
      <c r="C84" s="20" t="s">
        <v>55</v>
      </c>
      <c r="D84" s="20" t="s">
        <v>56</v>
      </c>
      <c r="E84" s="20" t="s">
        <v>57</v>
      </c>
      <c r="F84" s="21">
        <v>200676</v>
      </c>
      <c r="G84" s="21" t="s">
        <v>58</v>
      </c>
      <c r="H84" s="22"/>
      <c r="I84" s="22"/>
      <c r="J84" s="22"/>
      <c r="K84" s="22">
        <v>180</v>
      </c>
      <c r="L84" s="23"/>
      <c r="M84" s="24">
        <f t="shared" si="12"/>
        <v>160.71428571428569</v>
      </c>
      <c r="N84" s="24">
        <f t="shared" si="13"/>
        <v>19.285714285714281</v>
      </c>
      <c r="O84" s="24">
        <f t="shared" si="14"/>
        <v>0</v>
      </c>
      <c r="P84" s="24"/>
      <c r="Q84" s="25">
        <v>160.71</v>
      </c>
      <c r="R84" s="25"/>
      <c r="S84" s="26"/>
      <c r="T84" s="26"/>
      <c r="U84" s="26"/>
      <c r="V84" s="26"/>
      <c r="W84" s="26"/>
      <c r="X84" s="25"/>
      <c r="Y84" s="25"/>
      <c r="Z84" s="25"/>
      <c r="AA84" s="25"/>
      <c r="AB84" s="26"/>
      <c r="AC84" s="26"/>
      <c r="AD84" s="25"/>
      <c r="AE84" s="25"/>
      <c r="AF84" s="24">
        <f t="shared" si="15"/>
        <v>-179.99571428571429</v>
      </c>
      <c r="AG84" s="27">
        <f t="shared" si="16"/>
        <v>4.2857142857144481E-3</v>
      </c>
      <c r="AH84" s="28">
        <f t="shared" si="17"/>
        <v>179.99571428571429</v>
      </c>
    </row>
    <row r="85" spans="1:34" s="29" customFormat="1" ht="23.25" hidden="1" customHeight="1" x14ac:dyDescent="0.2">
      <c r="A85" s="18">
        <v>43851</v>
      </c>
      <c r="B85" s="19"/>
      <c r="C85" s="20" t="s">
        <v>65</v>
      </c>
      <c r="D85" s="20" t="s">
        <v>66</v>
      </c>
      <c r="E85" s="20" t="s">
        <v>67</v>
      </c>
      <c r="F85" s="21">
        <v>3407</v>
      </c>
      <c r="G85" s="21" t="s">
        <v>68</v>
      </c>
      <c r="H85" s="22"/>
      <c r="I85" s="22"/>
      <c r="J85" s="22">
        <v>778</v>
      </c>
      <c r="K85" s="22"/>
      <c r="L85" s="23"/>
      <c r="M85" s="24">
        <f t="shared" si="12"/>
        <v>778</v>
      </c>
      <c r="N85" s="24">
        <f t="shared" si="13"/>
        <v>0</v>
      </c>
      <c r="O85" s="24">
        <f t="shared" si="14"/>
        <v>0</v>
      </c>
      <c r="P85" s="24">
        <v>778</v>
      </c>
      <c r="Q85" s="25"/>
      <c r="R85" s="25"/>
      <c r="S85" s="26"/>
      <c r="T85" s="26"/>
      <c r="U85" s="26"/>
      <c r="V85" s="26"/>
      <c r="W85" s="26"/>
      <c r="X85" s="25"/>
      <c r="Y85" s="25"/>
      <c r="Z85" s="25"/>
      <c r="AA85" s="25"/>
      <c r="AB85" s="26"/>
      <c r="AC85" s="26"/>
      <c r="AD85" s="25"/>
      <c r="AE85" s="25"/>
      <c r="AF85" s="24">
        <f t="shared" si="15"/>
        <v>-778</v>
      </c>
      <c r="AG85" s="27">
        <f t="shared" si="16"/>
        <v>0</v>
      </c>
      <c r="AH85" s="28">
        <f t="shared" si="17"/>
        <v>778</v>
      </c>
    </row>
    <row r="86" spans="1:34" s="29" customFormat="1" ht="23.25" hidden="1" customHeight="1" x14ac:dyDescent="0.2">
      <c r="A86" s="18">
        <v>43851</v>
      </c>
      <c r="B86" s="19"/>
      <c r="C86" s="20" t="s">
        <v>45</v>
      </c>
      <c r="D86" s="20"/>
      <c r="E86" s="20"/>
      <c r="F86" s="21"/>
      <c r="G86" s="21" t="s">
        <v>152</v>
      </c>
      <c r="H86" s="22">
        <v>100</v>
      </c>
      <c r="I86" s="22"/>
      <c r="J86" s="22"/>
      <c r="K86" s="22"/>
      <c r="L86" s="23"/>
      <c r="M86" s="24">
        <f t="shared" si="12"/>
        <v>100</v>
      </c>
      <c r="N86" s="24">
        <f t="shared" si="13"/>
        <v>0</v>
      </c>
      <c r="O86" s="24">
        <f t="shared" si="14"/>
        <v>0</v>
      </c>
      <c r="P86" s="24"/>
      <c r="Q86" s="25"/>
      <c r="R86" s="25"/>
      <c r="S86" s="26"/>
      <c r="T86" s="26"/>
      <c r="U86" s="26"/>
      <c r="V86" s="26"/>
      <c r="W86" s="26"/>
      <c r="X86" s="25"/>
      <c r="Y86" s="25"/>
      <c r="Z86" s="25"/>
      <c r="AA86" s="25">
        <v>100</v>
      </c>
      <c r="AB86" s="26"/>
      <c r="AC86" s="26"/>
      <c r="AD86" s="25"/>
      <c r="AE86" s="25"/>
      <c r="AF86" s="24">
        <f t="shared" si="15"/>
        <v>-100</v>
      </c>
      <c r="AG86" s="27">
        <f t="shared" si="16"/>
        <v>0</v>
      </c>
      <c r="AH86" s="28">
        <f t="shared" si="17"/>
        <v>100</v>
      </c>
    </row>
    <row r="87" spans="1:34" s="29" customFormat="1" ht="23.25" hidden="1" customHeight="1" x14ac:dyDescent="0.2">
      <c r="A87" s="18">
        <v>43851</v>
      </c>
      <c r="B87" s="19"/>
      <c r="C87" s="20" t="s">
        <v>103</v>
      </c>
      <c r="D87" s="20"/>
      <c r="E87" s="20"/>
      <c r="F87" s="21"/>
      <c r="G87" s="21" t="s">
        <v>104</v>
      </c>
      <c r="H87" s="22"/>
      <c r="I87" s="22"/>
      <c r="J87" s="22">
        <v>200</v>
      </c>
      <c r="K87" s="22"/>
      <c r="L87" s="23"/>
      <c r="M87" s="24">
        <f t="shared" si="12"/>
        <v>200</v>
      </c>
      <c r="N87" s="24">
        <f t="shared" si="13"/>
        <v>0</v>
      </c>
      <c r="O87" s="24">
        <f t="shared" si="14"/>
        <v>0</v>
      </c>
      <c r="P87" s="25">
        <v>200</v>
      </c>
      <c r="Q87" s="25"/>
      <c r="R87" s="25"/>
      <c r="S87" s="26"/>
      <c r="T87" s="26"/>
      <c r="U87" s="26"/>
      <c r="V87" s="26"/>
      <c r="W87" s="26"/>
      <c r="X87" s="25"/>
      <c r="Y87" s="25"/>
      <c r="Z87" s="25"/>
      <c r="AA87" s="25"/>
      <c r="AB87" s="26"/>
      <c r="AC87" s="26"/>
      <c r="AD87" s="25"/>
      <c r="AE87" s="25"/>
      <c r="AF87" s="24">
        <f t="shared" si="15"/>
        <v>-200</v>
      </c>
      <c r="AG87" s="27">
        <f t="shared" si="16"/>
        <v>0</v>
      </c>
      <c r="AH87" s="28">
        <f t="shared" si="17"/>
        <v>200</v>
      </c>
    </row>
    <row r="88" spans="1:34" s="29" customFormat="1" ht="23.25" hidden="1" customHeight="1" x14ac:dyDescent="0.2">
      <c r="A88" s="18">
        <v>43851</v>
      </c>
      <c r="B88" s="19"/>
      <c r="C88" s="20" t="s">
        <v>45</v>
      </c>
      <c r="D88" s="20"/>
      <c r="E88" s="20"/>
      <c r="F88" s="21"/>
      <c r="G88" s="30" t="s">
        <v>153</v>
      </c>
      <c r="H88" s="22">
        <v>100</v>
      </c>
      <c r="I88" s="22"/>
      <c r="J88" s="22"/>
      <c r="K88" s="22"/>
      <c r="L88" s="23"/>
      <c r="M88" s="24">
        <f t="shared" si="12"/>
        <v>100</v>
      </c>
      <c r="N88" s="24">
        <f t="shared" si="13"/>
        <v>0</v>
      </c>
      <c r="O88" s="24">
        <f t="shared" si="14"/>
        <v>0</v>
      </c>
      <c r="P88" s="24"/>
      <c r="Q88" s="25"/>
      <c r="R88" s="25"/>
      <c r="S88" s="26"/>
      <c r="T88" s="26"/>
      <c r="U88" s="26"/>
      <c r="V88" s="26"/>
      <c r="W88" s="26"/>
      <c r="X88" s="25"/>
      <c r="Y88" s="25"/>
      <c r="Z88" s="25"/>
      <c r="AA88" s="25">
        <v>100</v>
      </c>
      <c r="AB88" s="26"/>
      <c r="AC88" s="26"/>
      <c r="AD88" s="25"/>
      <c r="AE88" s="25"/>
      <c r="AF88" s="24">
        <f t="shared" si="15"/>
        <v>-100</v>
      </c>
      <c r="AG88" s="27">
        <f t="shared" si="16"/>
        <v>0</v>
      </c>
      <c r="AH88" s="28">
        <f t="shared" si="17"/>
        <v>100</v>
      </c>
    </row>
    <row r="89" spans="1:34" s="29" customFormat="1" ht="23.25" hidden="1" customHeight="1" x14ac:dyDescent="0.2">
      <c r="A89" s="18">
        <v>43852</v>
      </c>
      <c r="B89" s="19"/>
      <c r="C89" s="20" t="s">
        <v>45</v>
      </c>
      <c r="D89" s="20"/>
      <c r="E89" s="20"/>
      <c r="F89" s="21"/>
      <c r="G89" s="30" t="s">
        <v>154</v>
      </c>
      <c r="H89" s="22"/>
      <c r="I89" s="22"/>
      <c r="J89" s="22">
        <v>245</v>
      </c>
      <c r="K89" s="22"/>
      <c r="L89" s="23"/>
      <c r="M89" s="24">
        <f t="shared" si="12"/>
        <v>245</v>
      </c>
      <c r="N89" s="24">
        <f t="shared" si="13"/>
        <v>0</v>
      </c>
      <c r="O89" s="24">
        <f t="shared" si="14"/>
        <v>0</v>
      </c>
      <c r="P89" s="24">
        <v>245</v>
      </c>
      <c r="Q89" s="25"/>
      <c r="R89" s="25"/>
      <c r="S89" s="26"/>
      <c r="T89" s="26"/>
      <c r="U89" s="26"/>
      <c r="V89" s="26"/>
      <c r="W89" s="26"/>
      <c r="X89" s="25"/>
      <c r="Y89" s="25"/>
      <c r="Z89" s="25"/>
      <c r="AA89" s="25"/>
      <c r="AB89" s="26"/>
      <c r="AC89" s="26"/>
      <c r="AD89" s="25"/>
      <c r="AE89" s="25"/>
      <c r="AF89" s="24">
        <f t="shared" si="15"/>
        <v>-245</v>
      </c>
      <c r="AG89" s="27">
        <f t="shared" si="16"/>
        <v>0</v>
      </c>
      <c r="AH89" s="28">
        <f t="shared" si="17"/>
        <v>245</v>
      </c>
    </row>
    <row r="90" spans="1:34" s="29" customFormat="1" ht="23.25" hidden="1" customHeight="1" x14ac:dyDescent="0.2">
      <c r="A90" s="18">
        <v>43852</v>
      </c>
      <c r="B90" s="19"/>
      <c r="C90" s="20" t="s">
        <v>55</v>
      </c>
      <c r="D90" s="20" t="s">
        <v>56</v>
      </c>
      <c r="E90" s="20" t="s">
        <v>57</v>
      </c>
      <c r="F90" s="21">
        <v>200727</v>
      </c>
      <c r="G90" s="21" t="s">
        <v>58</v>
      </c>
      <c r="H90" s="22"/>
      <c r="I90" s="22"/>
      <c r="J90" s="22"/>
      <c r="K90" s="22">
        <v>180</v>
      </c>
      <c r="L90" s="23"/>
      <c r="M90" s="24">
        <f t="shared" si="12"/>
        <v>160.71428571428569</v>
      </c>
      <c r="N90" s="24">
        <f t="shared" si="13"/>
        <v>19.285714285714281</v>
      </c>
      <c r="O90" s="24">
        <f t="shared" si="14"/>
        <v>0</v>
      </c>
      <c r="P90" s="24"/>
      <c r="Q90" s="25">
        <v>160.71</v>
      </c>
      <c r="R90" s="25"/>
      <c r="S90" s="26"/>
      <c r="T90" s="26"/>
      <c r="U90" s="26"/>
      <c r="V90" s="26"/>
      <c r="W90" s="26"/>
      <c r="X90" s="25"/>
      <c r="Y90" s="25"/>
      <c r="Z90" s="25"/>
      <c r="AA90" s="25"/>
      <c r="AB90" s="26"/>
      <c r="AC90" s="26"/>
      <c r="AD90" s="25"/>
      <c r="AE90" s="25"/>
      <c r="AF90" s="24">
        <f t="shared" si="15"/>
        <v>-179.99571428571429</v>
      </c>
      <c r="AG90" s="27">
        <f t="shared" si="16"/>
        <v>4.2857142857144481E-3</v>
      </c>
      <c r="AH90" s="28">
        <f t="shared" si="17"/>
        <v>179.99571428571429</v>
      </c>
    </row>
    <row r="91" spans="1:34" s="29" customFormat="1" ht="23.25" hidden="1" customHeight="1" x14ac:dyDescent="0.2">
      <c r="A91" s="18">
        <v>43852</v>
      </c>
      <c r="B91" s="19"/>
      <c r="C91" s="20" t="s">
        <v>39</v>
      </c>
      <c r="D91" s="20" t="s">
        <v>40</v>
      </c>
      <c r="E91" s="20" t="s">
        <v>41</v>
      </c>
      <c r="F91" s="21">
        <v>147839</v>
      </c>
      <c r="G91" s="21" t="s">
        <v>138</v>
      </c>
      <c r="H91" s="22"/>
      <c r="I91" s="22"/>
      <c r="J91" s="22"/>
      <c r="K91" s="22">
        <v>234</v>
      </c>
      <c r="L91" s="23"/>
      <c r="M91" s="24">
        <f t="shared" si="12"/>
        <v>208.92857142857142</v>
      </c>
      <c r="N91" s="24">
        <f t="shared" si="13"/>
        <v>25.071428571428569</v>
      </c>
      <c r="O91" s="24">
        <f t="shared" si="14"/>
        <v>0</v>
      </c>
      <c r="P91" s="24">
        <v>208.93</v>
      </c>
      <c r="Q91" s="25"/>
      <c r="R91" s="25"/>
      <c r="S91" s="26"/>
      <c r="T91" s="26"/>
      <c r="U91" s="26"/>
      <c r="V91" s="26"/>
      <c r="W91" s="26"/>
      <c r="X91" s="25"/>
      <c r="Y91" s="25"/>
      <c r="Z91" s="25"/>
      <c r="AA91" s="25"/>
      <c r="AB91" s="26"/>
      <c r="AC91" s="26"/>
      <c r="AD91" s="25"/>
      <c r="AE91" s="25"/>
      <c r="AF91" s="24">
        <f t="shared" si="15"/>
        <v>-234.00142857142856</v>
      </c>
      <c r="AG91" s="27">
        <f t="shared" si="16"/>
        <v>-1.4285714285620088E-3</v>
      </c>
      <c r="AH91" s="28">
        <f t="shared" si="17"/>
        <v>234.00142857142856</v>
      </c>
    </row>
    <row r="92" spans="1:34" s="29" customFormat="1" ht="23.25" hidden="1" customHeight="1" x14ac:dyDescent="0.2">
      <c r="A92" s="18">
        <v>43852</v>
      </c>
      <c r="B92" s="19"/>
      <c r="C92" s="20" t="s">
        <v>39</v>
      </c>
      <c r="D92" s="20" t="s">
        <v>40</v>
      </c>
      <c r="E92" s="20" t="s">
        <v>41</v>
      </c>
      <c r="F92" s="21">
        <v>118109</v>
      </c>
      <c r="G92" s="30" t="s">
        <v>155</v>
      </c>
      <c r="H92" s="22"/>
      <c r="I92" s="22"/>
      <c r="J92" s="22"/>
      <c r="K92" s="22">
        <v>144.5</v>
      </c>
      <c r="L92" s="23"/>
      <c r="M92" s="24">
        <f t="shared" si="12"/>
        <v>129.01785714285714</v>
      </c>
      <c r="N92" s="24">
        <f t="shared" si="13"/>
        <v>15.482142857142856</v>
      </c>
      <c r="O92" s="24">
        <f t="shared" si="14"/>
        <v>0</v>
      </c>
      <c r="P92" s="24"/>
      <c r="Q92" s="25">
        <v>129.02000000000001</v>
      </c>
      <c r="R92" s="25"/>
      <c r="S92" s="26"/>
      <c r="T92" s="26"/>
      <c r="U92" s="26"/>
      <c r="V92" s="26"/>
      <c r="W92" s="26"/>
      <c r="X92" s="25"/>
      <c r="Y92" s="25"/>
      <c r="Z92" s="25"/>
      <c r="AA92" s="25"/>
      <c r="AB92" s="26"/>
      <c r="AC92" s="26"/>
      <c r="AD92" s="25"/>
      <c r="AE92" s="25"/>
      <c r="AF92" s="24">
        <f t="shared" si="15"/>
        <v>-144.50214285714287</v>
      </c>
      <c r="AG92" s="27">
        <f t="shared" si="16"/>
        <v>-2.1428571428714349E-3</v>
      </c>
      <c r="AH92" s="28">
        <f t="shared" si="17"/>
        <v>144.50214285714287</v>
      </c>
    </row>
    <row r="93" spans="1:34" s="29" customFormat="1" ht="23.25" hidden="1" customHeight="1" x14ac:dyDescent="0.2">
      <c r="A93" s="18">
        <v>43853</v>
      </c>
      <c r="B93" s="19"/>
      <c r="C93" s="20" t="s">
        <v>86</v>
      </c>
      <c r="D93" s="20" t="s">
        <v>87</v>
      </c>
      <c r="E93" s="20" t="s">
        <v>88</v>
      </c>
      <c r="F93" s="21">
        <v>118186</v>
      </c>
      <c r="G93" s="30" t="s">
        <v>156</v>
      </c>
      <c r="H93" s="22"/>
      <c r="I93" s="22"/>
      <c r="J93" s="22"/>
      <c r="K93" s="22">
        <v>2065</v>
      </c>
      <c r="L93" s="23"/>
      <c r="M93" s="24">
        <f t="shared" si="12"/>
        <v>1843.7499999999998</v>
      </c>
      <c r="N93" s="24">
        <f t="shared" si="13"/>
        <v>221.24999999999997</v>
      </c>
      <c r="O93" s="24">
        <f t="shared" si="14"/>
        <v>0</v>
      </c>
      <c r="P93" s="24"/>
      <c r="Q93" s="25">
        <v>1843.75</v>
      </c>
      <c r="R93" s="25"/>
      <c r="S93" s="26"/>
      <c r="T93" s="26"/>
      <c r="U93" s="26"/>
      <c r="V93" s="26"/>
      <c r="W93" s="26"/>
      <c r="X93" s="25"/>
      <c r="Y93" s="25"/>
      <c r="Z93" s="25"/>
      <c r="AA93" s="25"/>
      <c r="AB93" s="26"/>
      <c r="AC93" s="26"/>
      <c r="AD93" s="25"/>
      <c r="AE93" s="25"/>
      <c r="AF93" s="24">
        <f t="shared" si="15"/>
        <v>-2065</v>
      </c>
      <c r="AG93" s="27">
        <f t="shared" si="16"/>
        <v>0</v>
      </c>
      <c r="AH93" s="28">
        <f t="shared" si="17"/>
        <v>2065</v>
      </c>
    </row>
    <row r="94" spans="1:34" s="29" customFormat="1" ht="23.25" hidden="1" customHeight="1" x14ac:dyDescent="0.2">
      <c r="A94" s="18">
        <v>43853</v>
      </c>
      <c r="B94" s="19"/>
      <c r="C94" s="20" t="s">
        <v>60</v>
      </c>
      <c r="D94" s="20"/>
      <c r="E94" s="20"/>
      <c r="F94" s="21"/>
      <c r="G94" s="21" t="s">
        <v>157</v>
      </c>
      <c r="H94" s="22">
        <v>50</v>
      </c>
      <c r="I94" s="22"/>
      <c r="J94" s="22"/>
      <c r="K94" s="22"/>
      <c r="L94" s="23"/>
      <c r="M94" s="24">
        <f t="shared" si="12"/>
        <v>50</v>
      </c>
      <c r="N94" s="24">
        <f t="shared" si="13"/>
        <v>0</v>
      </c>
      <c r="O94" s="24">
        <f t="shared" si="14"/>
        <v>0</v>
      </c>
      <c r="P94" s="24"/>
      <c r="Q94" s="25"/>
      <c r="R94" s="25"/>
      <c r="S94" s="26"/>
      <c r="T94" s="26"/>
      <c r="U94" s="26"/>
      <c r="V94" s="26"/>
      <c r="W94" s="26"/>
      <c r="X94" s="25"/>
      <c r="Y94" s="25"/>
      <c r="Z94" s="25"/>
      <c r="AA94" s="25">
        <v>50</v>
      </c>
      <c r="AB94" s="26"/>
      <c r="AC94" s="26"/>
      <c r="AD94" s="25"/>
      <c r="AE94" s="25"/>
      <c r="AF94" s="24">
        <f t="shared" si="15"/>
        <v>-50</v>
      </c>
      <c r="AG94" s="27">
        <f t="shared" si="16"/>
        <v>0</v>
      </c>
      <c r="AH94" s="28">
        <f t="shared" si="17"/>
        <v>50</v>
      </c>
    </row>
    <row r="95" spans="1:34" s="29" customFormat="1" ht="23.25" hidden="1" customHeight="1" x14ac:dyDescent="0.2">
      <c r="A95" s="18">
        <v>43853</v>
      </c>
      <c r="B95" s="19"/>
      <c r="C95" s="20" t="s">
        <v>55</v>
      </c>
      <c r="D95" s="20" t="s">
        <v>56</v>
      </c>
      <c r="E95" s="20" t="s">
        <v>57</v>
      </c>
      <c r="F95" s="21">
        <v>200778</v>
      </c>
      <c r="G95" s="21" t="s">
        <v>58</v>
      </c>
      <c r="H95" s="22"/>
      <c r="I95" s="22"/>
      <c r="J95" s="22"/>
      <c r="K95" s="22">
        <v>180</v>
      </c>
      <c r="L95" s="23"/>
      <c r="M95" s="24">
        <f t="shared" si="12"/>
        <v>160.71428571428569</v>
      </c>
      <c r="N95" s="24">
        <f t="shared" si="13"/>
        <v>19.285714285714281</v>
      </c>
      <c r="O95" s="24">
        <f t="shared" si="14"/>
        <v>0</v>
      </c>
      <c r="P95" s="24"/>
      <c r="Q95" s="25">
        <v>160.71</v>
      </c>
      <c r="R95" s="25"/>
      <c r="S95" s="26"/>
      <c r="T95" s="26"/>
      <c r="U95" s="26"/>
      <c r="V95" s="26"/>
      <c r="W95" s="26"/>
      <c r="X95" s="25"/>
      <c r="Y95" s="25"/>
      <c r="Z95" s="25"/>
      <c r="AA95" s="25"/>
      <c r="AB95" s="26"/>
      <c r="AC95" s="26"/>
      <c r="AD95" s="25"/>
      <c r="AE95" s="25"/>
      <c r="AF95" s="24">
        <f t="shared" si="15"/>
        <v>-179.99571428571429</v>
      </c>
      <c r="AG95" s="27">
        <f t="shared" si="16"/>
        <v>4.2857142857144481E-3</v>
      </c>
      <c r="AH95" s="28">
        <f t="shared" si="17"/>
        <v>179.99571428571429</v>
      </c>
    </row>
    <row r="96" spans="1:34" s="29" customFormat="1" ht="23.25" hidden="1" customHeight="1" x14ac:dyDescent="0.2">
      <c r="A96" s="18">
        <v>43853</v>
      </c>
      <c r="B96" s="19"/>
      <c r="C96" s="20" t="s">
        <v>39</v>
      </c>
      <c r="D96" s="20" t="s">
        <v>40</v>
      </c>
      <c r="E96" s="20" t="s">
        <v>41</v>
      </c>
      <c r="F96" s="21">
        <v>118557</v>
      </c>
      <c r="G96" s="21" t="s">
        <v>158</v>
      </c>
      <c r="H96" s="22"/>
      <c r="I96" s="22"/>
      <c r="J96" s="22"/>
      <c r="K96" s="22">
        <v>240</v>
      </c>
      <c r="L96" s="23"/>
      <c r="M96" s="24">
        <f t="shared" si="12"/>
        <v>214.28571428571428</v>
      </c>
      <c r="N96" s="24">
        <f t="shared" si="13"/>
        <v>25.714285714285712</v>
      </c>
      <c r="O96" s="24">
        <f t="shared" si="14"/>
        <v>0</v>
      </c>
      <c r="P96" s="24">
        <v>214.29</v>
      </c>
      <c r="Q96" s="25"/>
      <c r="R96" s="25"/>
      <c r="S96" s="26"/>
      <c r="T96" s="26"/>
      <c r="U96" s="26"/>
      <c r="V96" s="26"/>
      <c r="W96" s="26"/>
      <c r="X96" s="25"/>
      <c r="Y96" s="25"/>
      <c r="Z96" s="25"/>
      <c r="AA96" s="25"/>
      <c r="AB96" s="26"/>
      <c r="AC96" s="26"/>
      <c r="AD96" s="25"/>
      <c r="AE96" s="25"/>
      <c r="AF96" s="24">
        <f t="shared" si="15"/>
        <v>-240.00428571428571</v>
      </c>
      <c r="AG96" s="27">
        <f t="shared" si="16"/>
        <v>-4.2857142857144481E-3</v>
      </c>
      <c r="AH96" s="28">
        <f t="shared" si="17"/>
        <v>240.00428571428571</v>
      </c>
    </row>
    <row r="97" spans="1:34" s="29" customFormat="1" ht="23.25" hidden="1" customHeight="1" x14ac:dyDescent="0.2">
      <c r="A97" s="18">
        <v>43853</v>
      </c>
      <c r="B97" s="19"/>
      <c r="C97" s="20" t="s">
        <v>47</v>
      </c>
      <c r="D97" s="20" t="s">
        <v>48</v>
      </c>
      <c r="E97" s="20" t="s">
        <v>49</v>
      </c>
      <c r="F97" s="21">
        <v>184499</v>
      </c>
      <c r="G97" s="21" t="s">
        <v>145</v>
      </c>
      <c r="H97" s="22"/>
      <c r="I97" s="22"/>
      <c r="J97" s="22"/>
      <c r="K97" s="22">
        <v>210</v>
      </c>
      <c r="L97" s="23"/>
      <c r="M97" s="24">
        <f t="shared" si="12"/>
        <v>187.49999999999997</v>
      </c>
      <c r="N97" s="24">
        <f t="shared" si="13"/>
        <v>22.499999999999996</v>
      </c>
      <c r="O97" s="24">
        <f t="shared" si="14"/>
        <v>0</v>
      </c>
      <c r="P97" s="24">
        <v>187.5</v>
      </c>
      <c r="Q97" s="25"/>
      <c r="R97" s="25"/>
      <c r="S97" s="26"/>
      <c r="T97" s="26"/>
      <c r="U97" s="26"/>
      <c r="V97" s="26"/>
      <c r="W97" s="26"/>
      <c r="X97" s="25"/>
      <c r="Y97" s="25"/>
      <c r="Z97" s="25"/>
      <c r="AA97" s="25"/>
      <c r="AB97" s="26"/>
      <c r="AC97" s="26"/>
      <c r="AD97" s="25"/>
      <c r="AE97" s="25"/>
      <c r="AF97" s="24">
        <f t="shared" si="15"/>
        <v>-210</v>
      </c>
      <c r="AG97" s="27">
        <f t="shared" si="16"/>
        <v>0</v>
      </c>
      <c r="AH97" s="28">
        <f t="shared" si="17"/>
        <v>210</v>
      </c>
    </row>
    <row r="98" spans="1:34" s="29" customFormat="1" ht="23.25" hidden="1" customHeight="1" x14ac:dyDescent="0.2">
      <c r="A98" s="18">
        <v>43853</v>
      </c>
      <c r="B98" s="19"/>
      <c r="C98" s="20" t="s">
        <v>47</v>
      </c>
      <c r="D98" s="20" t="s">
        <v>48</v>
      </c>
      <c r="E98" s="20" t="s">
        <v>49</v>
      </c>
      <c r="F98" s="21">
        <v>184499</v>
      </c>
      <c r="G98" s="21" t="s">
        <v>159</v>
      </c>
      <c r="H98" s="22"/>
      <c r="I98" s="22"/>
      <c r="J98" s="22">
        <v>96.85</v>
      </c>
      <c r="K98" s="22"/>
      <c r="L98" s="23"/>
      <c r="M98" s="24">
        <f t="shared" si="12"/>
        <v>96.85</v>
      </c>
      <c r="N98" s="24">
        <f t="shared" si="13"/>
        <v>0</v>
      </c>
      <c r="O98" s="24">
        <f t="shared" si="14"/>
        <v>0</v>
      </c>
      <c r="P98" s="24">
        <v>96.85</v>
      </c>
      <c r="Q98" s="25"/>
      <c r="R98" s="25"/>
      <c r="S98" s="26"/>
      <c r="T98" s="26"/>
      <c r="U98" s="26"/>
      <c r="V98" s="26"/>
      <c r="W98" s="26"/>
      <c r="X98" s="25"/>
      <c r="Y98" s="25"/>
      <c r="Z98" s="25"/>
      <c r="AA98" s="25"/>
      <c r="AB98" s="26"/>
      <c r="AC98" s="26"/>
      <c r="AD98" s="25"/>
      <c r="AE98" s="25"/>
      <c r="AF98" s="24">
        <f t="shared" si="15"/>
        <v>-96.85</v>
      </c>
      <c r="AG98" s="27">
        <f t="shared" si="16"/>
        <v>0</v>
      </c>
      <c r="AH98" s="28">
        <f t="shared" si="17"/>
        <v>96.85</v>
      </c>
    </row>
    <row r="99" spans="1:34" s="29" customFormat="1" ht="23.25" hidden="1" customHeight="1" x14ac:dyDescent="0.2">
      <c r="A99" s="18">
        <v>43854</v>
      </c>
      <c r="B99" s="19"/>
      <c r="C99" s="20" t="s">
        <v>45</v>
      </c>
      <c r="D99" s="20"/>
      <c r="E99" s="20"/>
      <c r="F99" s="21"/>
      <c r="G99" s="21" t="s">
        <v>160</v>
      </c>
      <c r="H99" s="22"/>
      <c r="I99" s="22"/>
      <c r="J99" s="22">
        <v>150</v>
      </c>
      <c r="K99" s="22"/>
      <c r="L99" s="23"/>
      <c r="M99" s="24">
        <f t="shared" si="12"/>
        <v>150</v>
      </c>
      <c r="N99" s="24">
        <f t="shared" si="13"/>
        <v>0</v>
      </c>
      <c r="O99" s="24">
        <f t="shared" si="14"/>
        <v>0</v>
      </c>
      <c r="P99" s="24">
        <v>150</v>
      </c>
      <c r="Q99" s="25"/>
      <c r="R99" s="25"/>
      <c r="S99" s="26"/>
      <c r="T99" s="26"/>
      <c r="U99" s="26"/>
      <c r="V99" s="26"/>
      <c r="W99" s="26"/>
      <c r="X99" s="25"/>
      <c r="Y99" s="25"/>
      <c r="Z99" s="25"/>
      <c r="AA99" s="25"/>
      <c r="AB99" s="26"/>
      <c r="AC99" s="26"/>
      <c r="AD99" s="25"/>
      <c r="AE99" s="25"/>
      <c r="AF99" s="24">
        <f t="shared" si="15"/>
        <v>-150</v>
      </c>
      <c r="AG99" s="27">
        <f t="shared" si="16"/>
        <v>0</v>
      </c>
      <c r="AH99" s="28">
        <f t="shared" si="17"/>
        <v>150</v>
      </c>
    </row>
    <row r="100" spans="1:34" s="29" customFormat="1" ht="23.25" hidden="1" customHeight="1" x14ac:dyDescent="0.2">
      <c r="A100" s="18">
        <v>43854</v>
      </c>
      <c r="B100" s="19"/>
      <c r="C100" s="20" t="s">
        <v>55</v>
      </c>
      <c r="D100" s="20" t="s">
        <v>56</v>
      </c>
      <c r="E100" s="20" t="s">
        <v>57</v>
      </c>
      <c r="F100" s="21">
        <v>202178</v>
      </c>
      <c r="G100" s="21" t="s">
        <v>58</v>
      </c>
      <c r="H100" s="22"/>
      <c r="I100" s="22"/>
      <c r="J100" s="22"/>
      <c r="K100" s="22">
        <v>180</v>
      </c>
      <c r="L100" s="23"/>
      <c r="M100" s="24">
        <f t="shared" si="12"/>
        <v>160.71428571428569</v>
      </c>
      <c r="N100" s="24">
        <f t="shared" si="13"/>
        <v>19.285714285714281</v>
      </c>
      <c r="O100" s="24">
        <f t="shared" si="14"/>
        <v>0</v>
      </c>
      <c r="P100" s="24"/>
      <c r="Q100" s="25">
        <v>160.71</v>
      </c>
      <c r="R100" s="25"/>
      <c r="S100" s="26"/>
      <c r="T100" s="26"/>
      <c r="U100" s="26"/>
      <c r="V100" s="26"/>
      <c r="W100" s="26"/>
      <c r="X100" s="25"/>
      <c r="Y100" s="25"/>
      <c r="Z100" s="25"/>
      <c r="AA100" s="25"/>
      <c r="AB100" s="26"/>
      <c r="AC100" s="26"/>
      <c r="AD100" s="25"/>
      <c r="AE100" s="25"/>
      <c r="AF100" s="24">
        <f t="shared" si="15"/>
        <v>-179.99571428571429</v>
      </c>
      <c r="AG100" s="27">
        <f t="shared" si="16"/>
        <v>4.2857142857144481E-3</v>
      </c>
      <c r="AH100" s="28">
        <f t="shared" si="17"/>
        <v>179.99571428571429</v>
      </c>
    </row>
    <row r="101" spans="1:34" s="29" customFormat="1" ht="23.25" hidden="1" customHeight="1" x14ac:dyDescent="0.2">
      <c r="A101" s="18">
        <v>43857</v>
      </c>
      <c r="B101" s="19"/>
      <c r="C101" s="20" t="s">
        <v>55</v>
      </c>
      <c r="D101" s="20" t="s">
        <v>56</v>
      </c>
      <c r="E101" s="20" t="s">
        <v>57</v>
      </c>
      <c r="F101" s="21">
        <v>210363</v>
      </c>
      <c r="G101" s="21" t="s">
        <v>58</v>
      </c>
      <c r="H101" s="22"/>
      <c r="I101" s="22"/>
      <c r="J101" s="22"/>
      <c r="K101" s="22">
        <v>180</v>
      </c>
      <c r="L101" s="23"/>
      <c r="M101" s="24">
        <f t="shared" ref="M101:M130" si="18">SUM(H101:J101,K101/1.12)</f>
        <v>160.71428571428569</v>
      </c>
      <c r="N101" s="24">
        <f t="shared" ref="N101:N130" si="19">K101/1.12*0.12</f>
        <v>19.285714285714281</v>
      </c>
      <c r="O101" s="24">
        <f t="shared" ref="O101:O130" si="20">-SUM(I101:J101,K101/1.12)*L101</f>
        <v>0</v>
      </c>
      <c r="P101" s="24"/>
      <c r="Q101" s="25">
        <v>160.71</v>
      </c>
      <c r="R101" s="25"/>
      <c r="S101" s="26"/>
      <c r="T101" s="26"/>
      <c r="U101" s="26"/>
      <c r="V101" s="26"/>
      <c r="W101" s="26"/>
      <c r="X101" s="25"/>
      <c r="Y101" s="25"/>
      <c r="Z101" s="25"/>
      <c r="AA101" s="25"/>
      <c r="AB101" s="26"/>
      <c r="AC101" s="26"/>
      <c r="AD101" s="25"/>
      <c r="AE101" s="25"/>
      <c r="AF101" s="24">
        <f t="shared" ref="AF101:AF130" si="21">-SUM(N101:AE101)</f>
        <v>-179.99571428571429</v>
      </c>
      <c r="AG101" s="27">
        <f t="shared" ref="AG101:AG130" si="22">SUM(H101:K101)+AF101+O101</f>
        <v>4.2857142857144481E-3</v>
      </c>
      <c r="AH101" s="28">
        <f t="shared" ref="AH101:AH130" si="23">-AF101</f>
        <v>179.99571428571429</v>
      </c>
    </row>
    <row r="102" spans="1:34" s="29" customFormat="1" ht="23.25" hidden="1" customHeight="1" x14ac:dyDescent="0.2">
      <c r="A102" s="18">
        <v>43857</v>
      </c>
      <c r="B102" s="19"/>
      <c r="C102" s="20" t="s">
        <v>37</v>
      </c>
      <c r="D102" s="20"/>
      <c r="E102" s="20"/>
      <c r="F102" s="21"/>
      <c r="G102" s="21" t="s">
        <v>38</v>
      </c>
      <c r="H102" s="22">
        <v>165</v>
      </c>
      <c r="I102" s="22"/>
      <c r="J102" s="22"/>
      <c r="K102" s="22"/>
      <c r="L102" s="23"/>
      <c r="M102" s="24">
        <f t="shared" si="18"/>
        <v>165</v>
      </c>
      <c r="N102" s="24">
        <f t="shared" si="19"/>
        <v>0</v>
      </c>
      <c r="O102" s="24">
        <f t="shared" si="20"/>
        <v>0</v>
      </c>
      <c r="P102" s="24"/>
      <c r="Q102" s="25"/>
      <c r="R102" s="25"/>
      <c r="S102" s="26"/>
      <c r="T102" s="26"/>
      <c r="U102" s="26"/>
      <c r="V102" s="26"/>
      <c r="W102" s="26"/>
      <c r="X102" s="25"/>
      <c r="Y102" s="25"/>
      <c r="Z102" s="25"/>
      <c r="AA102" s="25">
        <v>165</v>
      </c>
      <c r="AB102" s="26"/>
      <c r="AC102" s="26"/>
      <c r="AD102" s="25"/>
      <c r="AE102" s="25"/>
      <c r="AF102" s="24">
        <f t="shared" si="21"/>
        <v>-165</v>
      </c>
      <c r="AG102" s="27">
        <f t="shared" si="22"/>
        <v>0</v>
      </c>
      <c r="AH102" s="28">
        <f t="shared" si="23"/>
        <v>165</v>
      </c>
    </row>
    <row r="103" spans="1:34" s="29" customFormat="1" ht="23.25" hidden="1" customHeight="1" x14ac:dyDescent="0.2">
      <c r="A103" s="18">
        <v>43857</v>
      </c>
      <c r="B103" s="19"/>
      <c r="C103" s="20" t="s">
        <v>103</v>
      </c>
      <c r="D103" s="20"/>
      <c r="E103" s="20"/>
      <c r="F103" s="21"/>
      <c r="G103" s="21" t="s">
        <v>104</v>
      </c>
      <c r="H103" s="22"/>
      <c r="I103" s="22"/>
      <c r="J103" s="22">
        <v>200</v>
      </c>
      <c r="K103" s="22"/>
      <c r="L103" s="23"/>
      <c r="M103" s="24">
        <f t="shared" si="18"/>
        <v>200</v>
      </c>
      <c r="N103" s="24">
        <f t="shared" si="19"/>
        <v>0</v>
      </c>
      <c r="O103" s="24">
        <f t="shared" si="20"/>
        <v>0</v>
      </c>
      <c r="P103" s="25">
        <v>200</v>
      </c>
      <c r="Q103" s="25"/>
      <c r="R103" s="25"/>
      <c r="S103" s="26"/>
      <c r="T103" s="26"/>
      <c r="U103" s="26"/>
      <c r="V103" s="26"/>
      <c r="W103" s="26"/>
      <c r="X103" s="25"/>
      <c r="Y103" s="25"/>
      <c r="Z103" s="25"/>
      <c r="AA103" s="25"/>
      <c r="AB103" s="26"/>
      <c r="AC103" s="26"/>
      <c r="AD103" s="25"/>
      <c r="AE103" s="25"/>
      <c r="AF103" s="24">
        <f t="shared" si="21"/>
        <v>-200</v>
      </c>
      <c r="AG103" s="27">
        <f t="shared" si="22"/>
        <v>0</v>
      </c>
      <c r="AH103" s="28">
        <f t="shared" si="23"/>
        <v>200</v>
      </c>
    </row>
    <row r="104" spans="1:34" s="29" customFormat="1" ht="23.25" hidden="1" customHeight="1" x14ac:dyDescent="0.2">
      <c r="A104" s="18">
        <v>43857</v>
      </c>
      <c r="B104" s="19"/>
      <c r="C104" s="20" t="s">
        <v>106</v>
      </c>
      <c r="D104" s="20" t="s">
        <v>107</v>
      </c>
      <c r="E104" s="20" t="s">
        <v>49</v>
      </c>
      <c r="F104" s="21">
        <v>749430</v>
      </c>
      <c r="G104" s="21" t="s">
        <v>161</v>
      </c>
      <c r="H104" s="22"/>
      <c r="I104" s="22"/>
      <c r="J104" s="22"/>
      <c r="K104" s="22">
        <v>30</v>
      </c>
      <c r="L104" s="23"/>
      <c r="M104" s="24">
        <f t="shared" si="18"/>
        <v>26.785714285714285</v>
      </c>
      <c r="N104" s="24">
        <f t="shared" si="19"/>
        <v>3.214285714285714</v>
      </c>
      <c r="O104" s="24">
        <f t="shared" si="20"/>
        <v>0</v>
      </c>
      <c r="P104" s="24"/>
      <c r="Q104" s="25"/>
      <c r="R104" s="25"/>
      <c r="S104" s="26"/>
      <c r="T104" s="26"/>
      <c r="U104" s="26"/>
      <c r="V104" s="26"/>
      <c r="W104" s="26"/>
      <c r="X104" s="25"/>
      <c r="Y104" s="25"/>
      <c r="Z104" s="25">
        <v>26.79</v>
      </c>
      <c r="AA104" s="25"/>
      <c r="AB104" s="26"/>
      <c r="AC104" s="26"/>
      <c r="AD104" s="25"/>
      <c r="AE104" s="25"/>
      <c r="AF104" s="24">
        <f t="shared" si="21"/>
        <v>-30.004285714285714</v>
      </c>
      <c r="AG104" s="27">
        <f t="shared" si="22"/>
        <v>-4.2857142857144481E-3</v>
      </c>
      <c r="AH104" s="28">
        <f t="shared" si="23"/>
        <v>30.004285714285714</v>
      </c>
    </row>
    <row r="105" spans="1:34" s="29" customFormat="1" ht="23.25" hidden="1" customHeight="1" x14ac:dyDescent="0.2">
      <c r="A105" s="18">
        <v>43857</v>
      </c>
      <c r="B105" s="19"/>
      <c r="C105" s="20" t="s">
        <v>162</v>
      </c>
      <c r="D105" s="20" t="s">
        <v>53</v>
      </c>
      <c r="E105" s="20" t="s">
        <v>163</v>
      </c>
      <c r="F105" s="21">
        <v>224867</v>
      </c>
      <c r="G105" s="21" t="s">
        <v>164</v>
      </c>
      <c r="H105" s="22"/>
      <c r="I105" s="22"/>
      <c r="J105" s="22"/>
      <c r="K105" s="22">
        <v>5302.47</v>
      </c>
      <c r="L105" s="23"/>
      <c r="M105" s="24">
        <f t="shared" si="18"/>
        <v>4734.3482142857138</v>
      </c>
      <c r="N105" s="24">
        <f t="shared" si="19"/>
        <v>568.12178571428558</v>
      </c>
      <c r="O105" s="24">
        <f t="shared" si="20"/>
        <v>0</v>
      </c>
      <c r="P105" s="24">
        <v>4734.3500000000004</v>
      </c>
      <c r="Q105" s="25"/>
      <c r="R105" s="25"/>
      <c r="S105" s="26"/>
      <c r="T105" s="26"/>
      <c r="U105" s="26"/>
      <c r="V105" s="26"/>
      <c r="W105" s="26"/>
      <c r="X105" s="25"/>
      <c r="Y105" s="25"/>
      <c r="Z105" s="25"/>
      <c r="AA105" s="25"/>
      <c r="AB105" s="26"/>
      <c r="AC105" s="26"/>
      <c r="AD105" s="25"/>
      <c r="AE105" s="25"/>
      <c r="AF105" s="24">
        <f t="shared" si="21"/>
        <v>-5302.4717857142859</v>
      </c>
      <c r="AG105" s="27">
        <f t="shared" si="22"/>
        <v>-1.7857142856883002E-3</v>
      </c>
      <c r="AH105" s="28">
        <f t="shared" si="23"/>
        <v>5302.4717857142859</v>
      </c>
    </row>
    <row r="106" spans="1:34" s="29" customFormat="1" ht="23.25" hidden="1" customHeight="1" x14ac:dyDescent="0.2">
      <c r="A106" s="18">
        <v>43858</v>
      </c>
      <c r="B106" s="19"/>
      <c r="C106" s="20" t="s">
        <v>45</v>
      </c>
      <c r="D106" s="20"/>
      <c r="E106" s="20"/>
      <c r="F106" s="21"/>
      <c r="G106" s="30" t="s">
        <v>165</v>
      </c>
      <c r="H106" s="22">
        <v>100</v>
      </c>
      <c r="I106" s="22"/>
      <c r="J106" s="22"/>
      <c r="K106" s="22"/>
      <c r="L106" s="23"/>
      <c r="M106" s="24">
        <f t="shared" si="18"/>
        <v>100</v>
      </c>
      <c r="N106" s="24">
        <f t="shared" si="19"/>
        <v>0</v>
      </c>
      <c r="O106" s="24">
        <f t="shared" si="20"/>
        <v>0</v>
      </c>
      <c r="P106" s="24"/>
      <c r="Q106" s="25"/>
      <c r="R106" s="25"/>
      <c r="S106" s="26"/>
      <c r="T106" s="26"/>
      <c r="U106" s="26"/>
      <c r="V106" s="26"/>
      <c r="W106" s="26"/>
      <c r="X106" s="25"/>
      <c r="Y106" s="25"/>
      <c r="Z106" s="25"/>
      <c r="AA106" s="25">
        <v>100</v>
      </c>
      <c r="AB106" s="26"/>
      <c r="AC106" s="26"/>
      <c r="AD106" s="25"/>
      <c r="AE106" s="25"/>
      <c r="AF106" s="24">
        <f t="shared" si="21"/>
        <v>-100</v>
      </c>
      <c r="AG106" s="27">
        <f t="shared" si="22"/>
        <v>0</v>
      </c>
      <c r="AH106" s="28">
        <f t="shared" si="23"/>
        <v>100</v>
      </c>
    </row>
    <row r="107" spans="1:34" s="29" customFormat="1" ht="23.25" hidden="1" customHeight="1" x14ac:dyDescent="0.2">
      <c r="A107" s="18">
        <v>43858</v>
      </c>
      <c r="B107" s="19"/>
      <c r="C107" s="20" t="s">
        <v>65</v>
      </c>
      <c r="D107" s="20" t="s">
        <v>66</v>
      </c>
      <c r="E107" s="20" t="s">
        <v>67</v>
      </c>
      <c r="F107" s="21">
        <v>3412</v>
      </c>
      <c r="G107" s="21" t="s">
        <v>68</v>
      </c>
      <c r="H107" s="22"/>
      <c r="I107" s="22"/>
      <c r="J107" s="22">
        <v>780</v>
      </c>
      <c r="K107" s="22"/>
      <c r="L107" s="23"/>
      <c r="M107" s="24">
        <f t="shared" si="18"/>
        <v>780</v>
      </c>
      <c r="N107" s="24">
        <f t="shared" si="19"/>
        <v>0</v>
      </c>
      <c r="O107" s="24">
        <f t="shared" si="20"/>
        <v>0</v>
      </c>
      <c r="P107" s="24">
        <v>780</v>
      </c>
      <c r="Q107" s="25"/>
      <c r="R107" s="25"/>
      <c r="S107" s="26"/>
      <c r="T107" s="26"/>
      <c r="U107" s="26"/>
      <c r="V107" s="26"/>
      <c r="W107" s="26"/>
      <c r="X107" s="25"/>
      <c r="Y107" s="25"/>
      <c r="Z107" s="25"/>
      <c r="AA107" s="25"/>
      <c r="AB107" s="26"/>
      <c r="AC107" s="26"/>
      <c r="AD107" s="25"/>
      <c r="AE107" s="25"/>
      <c r="AF107" s="24">
        <f t="shared" si="21"/>
        <v>-780</v>
      </c>
      <c r="AG107" s="27">
        <f t="shared" si="22"/>
        <v>0</v>
      </c>
      <c r="AH107" s="28">
        <f t="shared" si="23"/>
        <v>780</v>
      </c>
    </row>
    <row r="108" spans="1:34" s="29" customFormat="1" ht="23.25" hidden="1" customHeight="1" x14ac:dyDescent="0.2">
      <c r="A108" s="18">
        <v>43858</v>
      </c>
      <c r="B108" s="19"/>
      <c r="C108" s="20" t="s">
        <v>55</v>
      </c>
      <c r="D108" s="20" t="s">
        <v>56</v>
      </c>
      <c r="E108" s="20" t="s">
        <v>57</v>
      </c>
      <c r="F108" s="21">
        <v>210412</v>
      </c>
      <c r="G108" s="21" t="s">
        <v>58</v>
      </c>
      <c r="H108" s="22"/>
      <c r="I108" s="22"/>
      <c r="J108" s="22"/>
      <c r="K108" s="22">
        <v>180</v>
      </c>
      <c r="L108" s="23"/>
      <c r="M108" s="24">
        <f t="shared" si="18"/>
        <v>160.71428571428569</v>
      </c>
      <c r="N108" s="24">
        <f t="shared" si="19"/>
        <v>19.285714285714281</v>
      </c>
      <c r="O108" s="24">
        <f t="shared" si="20"/>
        <v>0</v>
      </c>
      <c r="P108" s="24"/>
      <c r="Q108" s="25">
        <v>160.71</v>
      </c>
      <c r="R108" s="25"/>
      <c r="S108" s="26"/>
      <c r="T108" s="26"/>
      <c r="U108" s="26"/>
      <c r="V108" s="26"/>
      <c r="W108" s="26"/>
      <c r="X108" s="25"/>
      <c r="Y108" s="25"/>
      <c r="Z108" s="25"/>
      <c r="AA108" s="25"/>
      <c r="AB108" s="26"/>
      <c r="AC108" s="26"/>
      <c r="AD108" s="25"/>
      <c r="AE108" s="25"/>
      <c r="AF108" s="24">
        <f t="shared" si="21"/>
        <v>-179.99571428571429</v>
      </c>
      <c r="AG108" s="27">
        <f t="shared" si="22"/>
        <v>4.2857142857144481E-3</v>
      </c>
      <c r="AH108" s="28">
        <f t="shared" si="23"/>
        <v>179.99571428571429</v>
      </c>
    </row>
    <row r="109" spans="1:34" s="29" customFormat="1" ht="23.25" hidden="1" customHeight="1" x14ac:dyDescent="0.2">
      <c r="A109" s="18">
        <v>43858</v>
      </c>
      <c r="B109" s="19"/>
      <c r="C109" s="20" t="s">
        <v>47</v>
      </c>
      <c r="D109" s="20" t="s">
        <v>48</v>
      </c>
      <c r="E109" s="20" t="s">
        <v>49</v>
      </c>
      <c r="F109" s="21">
        <v>294610</v>
      </c>
      <c r="G109" s="21" t="s">
        <v>166</v>
      </c>
      <c r="H109" s="22"/>
      <c r="I109" s="22"/>
      <c r="J109" s="22"/>
      <c r="K109" s="22">
        <f>1049.46+125.94</f>
        <v>1175.4000000000001</v>
      </c>
      <c r="L109" s="23"/>
      <c r="M109" s="24">
        <f t="shared" si="18"/>
        <v>1049.4642857142858</v>
      </c>
      <c r="N109" s="24">
        <f t="shared" si="19"/>
        <v>125.93571428571428</v>
      </c>
      <c r="O109" s="24">
        <f t="shared" si="20"/>
        <v>0</v>
      </c>
      <c r="P109" s="24">
        <v>1049.46</v>
      </c>
      <c r="Q109" s="25"/>
      <c r="R109" s="25"/>
      <c r="S109" s="26"/>
      <c r="T109" s="26"/>
      <c r="U109" s="26"/>
      <c r="V109" s="26"/>
      <c r="W109" s="26"/>
      <c r="X109" s="25"/>
      <c r="Y109" s="25"/>
      <c r="Z109" s="25"/>
      <c r="AA109" s="25"/>
      <c r="AB109" s="26"/>
      <c r="AC109" s="26"/>
      <c r="AD109" s="25"/>
      <c r="AE109" s="25"/>
      <c r="AF109" s="24">
        <f t="shared" si="21"/>
        <v>-1175.3957142857143</v>
      </c>
      <c r="AG109" s="27">
        <f t="shared" si="22"/>
        <v>4.2857142857428698E-3</v>
      </c>
      <c r="AH109" s="28">
        <f t="shared" si="23"/>
        <v>1175.3957142857143</v>
      </c>
    </row>
    <row r="110" spans="1:34" s="29" customFormat="1" ht="23.25" hidden="1" customHeight="1" x14ac:dyDescent="0.2">
      <c r="A110" s="18">
        <v>43858</v>
      </c>
      <c r="B110" s="19"/>
      <c r="C110" s="20" t="s">
        <v>47</v>
      </c>
      <c r="D110" s="20" t="s">
        <v>48</v>
      </c>
      <c r="E110" s="20" t="s">
        <v>49</v>
      </c>
      <c r="F110" s="21">
        <v>294610</v>
      </c>
      <c r="G110" s="21" t="s">
        <v>167</v>
      </c>
      <c r="H110" s="22"/>
      <c r="I110" s="22"/>
      <c r="J110" s="22">
        <v>404.85</v>
      </c>
      <c r="K110" s="22"/>
      <c r="L110" s="23"/>
      <c r="M110" s="24">
        <f t="shared" si="18"/>
        <v>404.85</v>
      </c>
      <c r="N110" s="24">
        <f t="shared" si="19"/>
        <v>0</v>
      </c>
      <c r="O110" s="24">
        <f t="shared" si="20"/>
        <v>0</v>
      </c>
      <c r="P110" s="24">
        <v>404.85</v>
      </c>
      <c r="Q110" s="25"/>
      <c r="R110" s="25"/>
      <c r="S110" s="26"/>
      <c r="T110" s="26"/>
      <c r="U110" s="26"/>
      <c r="V110" s="26"/>
      <c r="W110" s="26"/>
      <c r="X110" s="25"/>
      <c r="Y110" s="25"/>
      <c r="Z110" s="25"/>
      <c r="AA110" s="25"/>
      <c r="AB110" s="26"/>
      <c r="AC110" s="26"/>
      <c r="AD110" s="25"/>
      <c r="AE110" s="25"/>
      <c r="AF110" s="24">
        <f t="shared" si="21"/>
        <v>-404.85</v>
      </c>
      <c r="AG110" s="27">
        <f t="shared" si="22"/>
        <v>0</v>
      </c>
      <c r="AH110" s="28">
        <f t="shared" si="23"/>
        <v>404.85</v>
      </c>
    </row>
    <row r="111" spans="1:34" s="29" customFormat="1" ht="23.25" hidden="1" customHeight="1" x14ac:dyDescent="0.2">
      <c r="A111" s="18">
        <v>43858</v>
      </c>
      <c r="B111" s="19"/>
      <c r="C111" s="20" t="s">
        <v>168</v>
      </c>
      <c r="D111" s="20"/>
      <c r="E111" s="20"/>
      <c r="F111" s="21"/>
      <c r="G111" s="21" t="s">
        <v>169</v>
      </c>
      <c r="H111" s="22">
        <v>104.91</v>
      </c>
      <c r="I111" s="22"/>
      <c r="J111" s="22"/>
      <c r="K111" s="22"/>
      <c r="L111" s="23"/>
      <c r="M111" s="24">
        <f t="shared" si="18"/>
        <v>104.91</v>
      </c>
      <c r="N111" s="24">
        <f t="shared" si="19"/>
        <v>0</v>
      </c>
      <c r="O111" s="24">
        <f t="shared" si="20"/>
        <v>0</v>
      </c>
      <c r="P111" s="24"/>
      <c r="Q111" s="25"/>
      <c r="R111" s="25"/>
      <c r="S111" s="26"/>
      <c r="T111" s="26"/>
      <c r="U111" s="26"/>
      <c r="V111" s="26"/>
      <c r="W111" s="26"/>
      <c r="X111" s="25"/>
      <c r="Y111" s="25"/>
      <c r="Z111" s="25"/>
      <c r="AA111" s="25"/>
      <c r="AB111" s="26"/>
      <c r="AC111" s="26"/>
      <c r="AD111" s="25">
        <v>104.91</v>
      </c>
      <c r="AE111" s="25"/>
      <c r="AF111" s="24">
        <f t="shared" si="21"/>
        <v>-104.91</v>
      </c>
      <c r="AG111" s="27">
        <f t="shared" si="22"/>
        <v>0</v>
      </c>
      <c r="AH111" s="28">
        <f t="shared" si="23"/>
        <v>104.91</v>
      </c>
    </row>
    <row r="112" spans="1:34" s="29" customFormat="1" ht="23.25" hidden="1" customHeight="1" x14ac:dyDescent="0.2">
      <c r="A112" s="18">
        <v>43858</v>
      </c>
      <c r="B112" s="19"/>
      <c r="C112" s="20" t="s">
        <v>170</v>
      </c>
      <c r="D112" s="20"/>
      <c r="E112" s="20"/>
      <c r="F112" s="21"/>
      <c r="G112" s="21" t="s">
        <v>171</v>
      </c>
      <c r="H112" s="22">
        <v>9</v>
      </c>
      <c r="I112" s="22"/>
      <c r="J112" s="22"/>
      <c r="K112" s="22"/>
      <c r="L112" s="23"/>
      <c r="M112" s="24">
        <f t="shared" si="18"/>
        <v>9</v>
      </c>
      <c r="N112" s="24">
        <f t="shared" si="19"/>
        <v>0</v>
      </c>
      <c r="O112" s="24">
        <f t="shared" si="20"/>
        <v>0</v>
      </c>
      <c r="P112" s="25"/>
      <c r="Q112" s="25"/>
      <c r="R112" s="25"/>
      <c r="S112" s="26"/>
      <c r="T112" s="26"/>
      <c r="U112" s="26"/>
      <c r="V112" s="26"/>
      <c r="W112" s="26"/>
      <c r="X112" s="25"/>
      <c r="Y112" s="25"/>
      <c r="Z112" s="25"/>
      <c r="AA112" s="25">
        <v>9</v>
      </c>
      <c r="AB112" s="26"/>
      <c r="AC112" s="26"/>
      <c r="AD112" s="25"/>
      <c r="AE112" s="25"/>
      <c r="AF112" s="24">
        <f t="shared" si="21"/>
        <v>-9</v>
      </c>
      <c r="AG112" s="27">
        <f t="shared" si="22"/>
        <v>0</v>
      </c>
      <c r="AH112" s="28">
        <f t="shared" si="23"/>
        <v>9</v>
      </c>
    </row>
    <row r="113" spans="1:34" s="29" customFormat="1" ht="23.25" hidden="1" customHeight="1" x14ac:dyDescent="0.2">
      <c r="A113" s="18">
        <v>43859</v>
      </c>
      <c r="B113" s="19"/>
      <c r="C113" s="20" t="s">
        <v>45</v>
      </c>
      <c r="D113" s="20"/>
      <c r="E113" s="20"/>
      <c r="F113" s="21"/>
      <c r="G113" s="21" t="s">
        <v>172</v>
      </c>
      <c r="H113" s="22"/>
      <c r="I113" s="22"/>
      <c r="J113" s="22">
        <v>350</v>
      </c>
      <c r="K113" s="22"/>
      <c r="L113" s="23"/>
      <c r="M113" s="24">
        <f t="shared" si="18"/>
        <v>350</v>
      </c>
      <c r="N113" s="24">
        <f t="shared" si="19"/>
        <v>0</v>
      </c>
      <c r="O113" s="24">
        <f t="shared" si="20"/>
        <v>0</v>
      </c>
      <c r="P113" s="24">
        <v>350</v>
      </c>
      <c r="Q113" s="25"/>
      <c r="R113" s="25"/>
      <c r="S113" s="26"/>
      <c r="T113" s="26"/>
      <c r="U113" s="26"/>
      <c r="V113" s="26"/>
      <c r="W113" s="26"/>
      <c r="X113" s="25"/>
      <c r="Y113" s="25"/>
      <c r="Z113" s="25"/>
      <c r="AA113" s="25"/>
      <c r="AB113" s="26"/>
      <c r="AC113" s="26"/>
      <c r="AD113" s="25"/>
      <c r="AE113" s="25"/>
      <c r="AF113" s="24">
        <f t="shared" si="21"/>
        <v>-350</v>
      </c>
      <c r="AG113" s="27">
        <f t="shared" si="22"/>
        <v>0</v>
      </c>
      <c r="AH113" s="28">
        <f t="shared" si="23"/>
        <v>350</v>
      </c>
    </row>
    <row r="114" spans="1:34" s="29" customFormat="1" ht="23.25" hidden="1" customHeight="1" x14ac:dyDescent="0.2">
      <c r="A114" s="18">
        <v>43859</v>
      </c>
      <c r="B114" s="19"/>
      <c r="C114" s="20" t="s">
        <v>37</v>
      </c>
      <c r="D114" s="20"/>
      <c r="E114" s="20"/>
      <c r="F114" s="21"/>
      <c r="G114" s="21" t="s">
        <v>173</v>
      </c>
      <c r="H114" s="22">
        <v>120</v>
      </c>
      <c r="I114" s="22"/>
      <c r="J114" s="22"/>
      <c r="K114" s="22"/>
      <c r="L114" s="23"/>
      <c r="M114" s="24">
        <f t="shared" si="18"/>
        <v>120</v>
      </c>
      <c r="N114" s="24">
        <f t="shared" si="19"/>
        <v>0</v>
      </c>
      <c r="O114" s="24">
        <f t="shared" si="20"/>
        <v>0</v>
      </c>
      <c r="P114" s="24"/>
      <c r="Q114" s="25"/>
      <c r="R114" s="25"/>
      <c r="S114" s="26"/>
      <c r="T114" s="26"/>
      <c r="U114" s="26"/>
      <c r="V114" s="26"/>
      <c r="W114" s="26"/>
      <c r="X114" s="25"/>
      <c r="Y114" s="25"/>
      <c r="Z114" s="25"/>
      <c r="AA114" s="25">
        <v>120</v>
      </c>
      <c r="AB114" s="26"/>
      <c r="AC114" s="26"/>
      <c r="AD114" s="25"/>
      <c r="AE114" s="25"/>
      <c r="AF114" s="24">
        <f t="shared" si="21"/>
        <v>-120</v>
      </c>
      <c r="AG114" s="27">
        <f t="shared" si="22"/>
        <v>0</v>
      </c>
      <c r="AH114" s="28">
        <f t="shared" si="23"/>
        <v>120</v>
      </c>
    </row>
    <row r="115" spans="1:34" s="29" customFormat="1" ht="23.25" hidden="1" customHeight="1" x14ac:dyDescent="0.2">
      <c r="A115" s="18">
        <v>43859</v>
      </c>
      <c r="B115" s="19"/>
      <c r="C115" s="20" t="s">
        <v>55</v>
      </c>
      <c r="D115" s="20" t="s">
        <v>56</v>
      </c>
      <c r="E115" s="20" t="s">
        <v>57</v>
      </c>
      <c r="F115" s="21">
        <v>218309</v>
      </c>
      <c r="G115" s="21" t="s">
        <v>58</v>
      </c>
      <c r="H115" s="22"/>
      <c r="I115" s="22"/>
      <c r="J115" s="22"/>
      <c r="K115" s="22">
        <v>180</v>
      </c>
      <c r="L115" s="23"/>
      <c r="M115" s="24">
        <f t="shared" si="18"/>
        <v>160.71428571428569</v>
      </c>
      <c r="N115" s="24">
        <f t="shared" si="19"/>
        <v>19.285714285714281</v>
      </c>
      <c r="O115" s="24">
        <f t="shared" si="20"/>
        <v>0</v>
      </c>
      <c r="P115" s="24"/>
      <c r="Q115" s="25">
        <v>160.71</v>
      </c>
      <c r="R115" s="25"/>
      <c r="S115" s="26"/>
      <c r="T115" s="26"/>
      <c r="U115" s="26"/>
      <c r="V115" s="26"/>
      <c r="W115" s="26"/>
      <c r="X115" s="25"/>
      <c r="Y115" s="25"/>
      <c r="Z115" s="25"/>
      <c r="AA115" s="25"/>
      <c r="AB115" s="26"/>
      <c r="AC115" s="26"/>
      <c r="AD115" s="25"/>
      <c r="AE115" s="25"/>
      <c r="AF115" s="24">
        <f t="shared" si="21"/>
        <v>-179.99571428571429</v>
      </c>
      <c r="AG115" s="27">
        <f t="shared" si="22"/>
        <v>4.2857142857144481E-3</v>
      </c>
      <c r="AH115" s="28">
        <f t="shared" si="23"/>
        <v>179.99571428571429</v>
      </c>
    </row>
    <row r="116" spans="1:34" s="42" customFormat="1" ht="23.25" hidden="1" customHeight="1" x14ac:dyDescent="0.2">
      <c r="A116" s="32">
        <v>43859</v>
      </c>
      <c r="B116" s="33"/>
      <c r="C116" s="34" t="s">
        <v>106</v>
      </c>
      <c r="D116" s="34" t="s">
        <v>107</v>
      </c>
      <c r="E116" s="34" t="s">
        <v>49</v>
      </c>
      <c r="F116" s="35">
        <v>749822</v>
      </c>
      <c r="G116" s="35" t="s">
        <v>174</v>
      </c>
      <c r="H116" s="36"/>
      <c r="I116" s="36"/>
      <c r="J116" s="36"/>
      <c r="K116" s="36">
        <v>380</v>
      </c>
      <c r="L116" s="37"/>
      <c r="M116" s="38">
        <f t="shared" si="18"/>
        <v>339.28571428571428</v>
      </c>
      <c r="N116" s="38">
        <f t="shared" si="19"/>
        <v>40.714285714285715</v>
      </c>
      <c r="O116" s="38">
        <f t="shared" si="20"/>
        <v>0</v>
      </c>
      <c r="P116" s="38"/>
      <c r="Q116" s="39"/>
      <c r="R116" s="39"/>
      <c r="S116" s="40"/>
      <c r="T116" s="40">
        <v>339.29</v>
      </c>
      <c r="U116" s="40"/>
      <c r="V116" s="40"/>
      <c r="W116" s="40"/>
      <c r="X116" s="39"/>
      <c r="Y116" s="39"/>
      <c r="Z116" s="39"/>
      <c r="AA116" s="39"/>
      <c r="AB116" s="40"/>
      <c r="AC116" s="40"/>
      <c r="AD116" s="39"/>
      <c r="AE116" s="39"/>
      <c r="AF116" s="38">
        <f t="shared" si="21"/>
        <v>-380.00428571428574</v>
      </c>
      <c r="AG116" s="41">
        <f t="shared" si="22"/>
        <v>-4.2857142857428698E-3</v>
      </c>
      <c r="AH116" s="28">
        <f t="shared" si="23"/>
        <v>380.00428571428574</v>
      </c>
    </row>
    <row r="117" spans="1:34" s="29" customFormat="1" ht="23.25" hidden="1" customHeight="1" x14ac:dyDescent="0.2">
      <c r="A117" s="18">
        <v>43860</v>
      </c>
      <c r="B117" s="19"/>
      <c r="C117" s="20" t="s">
        <v>175</v>
      </c>
      <c r="D117" s="20"/>
      <c r="E117" s="20"/>
      <c r="F117" s="21"/>
      <c r="G117" s="21" t="s">
        <v>42</v>
      </c>
      <c r="H117" s="22"/>
      <c r="I117" s="22"/>
      <c r="J117" s="22">
        <v>1150</v>
      </c>
      <c r="K117" s="22"/>
      <c r="L117" s="23"/>
      <c r="M117" s="24">
        <f t="shared" si="18"/>
        <v>1150</v>
      </c>
      <c r="N117" s="24">
        <f t="shared" si="19"/>
        <v>0</v>
      </c>
      <c r="O117" s="24">
        <f t="shared" si="20"/>
        <v>0</v>
      </c>
      <c r="P117" s="24">
        <v>1150</v>
      </c>
      <c r="Q117" s="25"/>
      <c r="R117" s="25"/>
      <c r="S117" s="26"/>
      <c r="T117" s="26"/>
      <c r="U117" s="26"/>
      <c r="V117" s="26"/>
      <c r="W117" s="26"/>
      <c r="X117" s="25"/>
      <c r="Y117" s="25"/>
      <c r="Z117" s="25"/>
      <c r="AA117" s="25"/>
      <c r="AB117" s="26"/>
      <c r="AC117" s="26"/>
      <c r="AD117" s="25"/>
      <c r="AE117" s="25"/>
      <c r="AF117" s="24">
        <f t="shared" si="21"/>
        <v>-1150</v>
      </c>
      <c r="AG117" s="27">
        <f t="shared" si="22"/>
        <v>0</v>
      </c>
      <c r="AH117" s="28">
        <f t="shared" si="23"/>
        <v>1150</v>
      </c>
    </row>
    <row r="118" spans="1:34" s="29" customFormat="1" ht="23.25" hidden="1" customHeight="1" x14ac:dyDescent="0.2">
      <c r="A118" s="18">
        <v>43860</v>
      </c>
      <c r="B118" s="19"/>
      <c r="C118" s="20" t="s">
        <v>60</v>
      </c>
      <c r="D118" s="20"/>
      <c r="E118" s="20"/>
      <c r="F118" s="21"/>
      <c r="G118" s="21" t="s">
        <v>176</v>
      </c>
      <c r="H118" s="22">
        <v>20</v>
      </c>
      <c r="I118" s="22"/>
      <c r="J118" s="22"/>
      <c r="K118" s="22"/>
      <c r="L118" s="23"/>
      <c r="M118" s="24">
        <f t="shared" si="18"/>
        <v>20</v>
      </c>
      <c r="N118" s="24">
        <f t="shared" si="19"/>
        <v>0</v>
      </c>
      <c r="O118" s="24">
        <f t="shared" si="20"/>
        <v>0</v>
      </c>
      <c r="P118" s="24"/>
      <c r="Q118" s="25"/>
      <c r="R118" s="25"/>
      <c r="S118" s="26"/>
      <c r="T118" s="26"/>
      <c r="U118" s="26"/>
      <c r="V118" s="26"/>
      <c r="W118" s="26"/>
      <c r="X118" s="25"/>
      <c r="Y118" s="25"/>
      <c r="Z118" s="25"/>
      <c r="AA118" s="25">
        <v>20</v>
      </c>
      <c r="AB118" s="26"/>
      <c r="AC118" s="26"/>
      <c r="AD118" s="25"/>
      <c r="AE118" s="25"/>
      <c r="AF118" s="24">
        <f t="shared" si="21"/>
        <v>-20</v>
      </c>
      <c r="AG118" s="27">
        <f t="shared" si="22"/>
        <v>0</v>
      </c>
      <c r="AH118" s="28">
        <f t="shared" si="23"/>
        <v>20</v>
      </c>
    </row>
    <row r="119" spans="1:34" s="29" customFormat="1" ht="23.25" hidden="1" customHeight="1" x14ac:dyDescent="0.2">
      <c r="A119" s="18">
        <v>43860</v>
      </c>
      <c r="B119" s="19"/>
      <c r="C119" s="20" t="s">
        <v>37</v>
      </c>
      <c r="D119" s="20"/>
      <c r="E119" s="20"/>
      <c r="F119" s="21"/>
      <c r="G119" s="21" t="s">
        <v>177</v>
      </c>
      <c r="H119" s="22">
        <v>120</v>
      </c>
      <c r="I119" s="22"/>
      <c r="J119" s="22"/>
      <c r="K119" s="22"/>
      <c r="L119" s="23"/>
      <c r="M119" s="24">
        <f t="shared" si="18"/>
        <v>120</v>
      </c>
      <c r="N119" s="24">
        <f t="shared" si="19"/>
        <v>0</v>
      </c>
      <c r="O119" s="24">
        <f t="shared" si="20"/>
        <v>0</v>
      </c>
      <c r="P119" s="24"/>
      <c r="Q119" s="25"/>
      <c r="R119" s="25"/>
      <c r="S119" s="26"/>
      <c r="T119" s="26"/>
      <c r="U119" s="26"/>
      <c r="V119" s="26"/>
      <c r="W119" s="26"/>
      <c r="X119" s="25"/>
      <c r="Y119" s="25"/>
      <c r="Z119" s="25"/>
      <c r="AA119" s="25">
        <v>120</v>
      </c>
      <c r="AB119" s="26"/>
      <c r="AC119" s="26"/>
      <c r="AD119" s="25"/>
      <c r="AE119" s="25"/>
      <c r="AF119" s="24">
        <f t="shared" si="21"/>
        <v>-120</v>
      </c>
      <c r="AG119" s="27">
        <f t="shared" si="22"/>
        <v>0</v>
      </c>
      <c r="AH119" s="28">
        <f t="shared" si="23"/>
        <v>120</v>
      </c>
    </row>
    <row r="120" spans="1:34" s="29" customFormat="1" ht="23.25" hidden="1" customHeight="1" x14ac:dyDescent="0.2">
      <c r="A120" s="18">
        <v>43860</v>
      </c>
      <c r="B120" s="19"/>
      <c r="C120" s="20" t="s">
        <v>55</v>
      </c>
      <c r="D120" s="20" t="s">
        <v>56</v>
      </c>
      <c r="E120" s="20" t="s">
        <v>57</v>
      </c>
      <c r="F120" s="21">
        <v>218358</v>
      </c>
      <c r="G120" s="21" t="s">
        <v>58</v>
      </c>
      <c r="H120" s="22"/>
      <c r="I120" s="22"/>
      <c r="J120" s="22"/>
      <c r="K120" s="22">
        <v>180</v>
      </c>
      <c r="L120" s="23"/>
      <c r="M120" s="24">
        <f t="shared" si="18"/>
        <v>160.71428571428569</v>
      </c>
      <c r="N120" s="24">
        <f t="shared" si="19"/>
        <v>19.285714285714281</v>
      </c>
      <c r="O120" s="24">
        <f t="shared" si="20"/>
        <v>0</v>
      </c>
      <c r="P120" s="24"/>
      <c r="Q120" s="25">
        <v>160.71</v>
      </c>
      <c r="R120" s="25"/>
      <c r="S120" s="26"/>
      <c r="T120" s="26"/>
      <c r="U120" s="26"/>
      <c r="V120" s="26"/>
      <c r="W120" s="26"/>
      <c r="X120" s="25"/>
      <c r="Y120" s="25"/>
      <c r="Z120" s="25"/>
      <c r="AA120" s="25"/>
      <c r="AB120" s="26"/>
      <c r="AC120" s="26"/>
      <c r="AD120" s="25"/>
      <c r="AE120" s="25"/>
      <c r="AF120" s="24">
        <f t="shared" si="21"/>
        <v>-179.99571428571429</v>
      </c>
      <c r="AG120" s="27">
        <f t="shared" si="22"/>
        <v>4.2857142857144481E-3</v>
      </c>
      <c r="AH120" s="28">
        <f t="shared" si="23"/>
        <v>179.99571428571429</v>
      </c>
    </row>
    <row r="121" spans="1:34" s="29" customFormat="1" ht="23.25" hidden="1" customHeight="1" x14ac:dyDescent="0.2">
      <c r="A121" s="18">
        <v>43860</v>
      </c>
      <c r="B121" s="19"/>
      <c r="C121" s="20" t="s">
        <v>162</v>
      </c>
      <c r="D121" s="20" t="s">
        <v>53</v>
      </c>
      <c r="E121" s="20" t="s">
        <v>163</v>
      </c>
      <c r="F121" s="21">
        <v>225878</v>
      </c>
      <c r="G121" s="21" t="s">
        <v>178</v>
      </c>
      <c r="H121" s="22"/>
      <c r="I121" s="22"/>
      <c r="J121" s="22"/>
      <c r="K121" s="22">
        <v>826.25</v>
      </c>
      <c r="L121" s="23"/>
      <c r="M121" s="24">
        <f t="shared" si="18"/>
        <v>737.72321428571422</v>
      </c>
      <c r="N121" s="24">
        <f t="shared" si="19"/>
        <v>88.526785714285708</v>
      </c>
      <c r="O121" s="24">
        <f t="shared" si="20"/>
        <v>0</v>
      </c>
      <c r="P121" s="24">
        <v>737.72</v>
      </c>
      <c r="Q121" s="25"/>
      <c r="R121" s="25"/>
      <c r="S121" s="26"/>
      <c r="T121" s="26"/>
      <c r="U121" s="26"/>
      <c r="V121" s="26"/>
      <c r="W121" s="26"/>
      <c r="X121" s="25"/>
      <c r="Y121" s="25"/>
      <c r="Z121" s="25"/>
      <c r="AA121" s="25"/>
      <c r="AB121" s="26"/>
      <c r="AC121" s="26"/>
      <c r="AD121" s="25"/>
      <c r="AE121" s="25"/>
      <c r="AF121" s="24">
        <f t="shared" si="21"/>
        <v>-826.24678571428569</v>
      </c>
      <c r="AG121" s="27">
        <f t="shared" si="22"/>
        <v>3.2142857143071524E-3</v>
      </c>
      <c r="AH121" s="28">
        <f t="shared" si="23"/>
        <v>826.24678571428569</v>
      </c>
    </row>
    <row r="122" spans="1:34" s="29" customFormat="1" ht="23.25" hidden="1" customHeight="1" x14ac:dyDescent="0.2">
      <c r="A122" s="18">
        <v>43860</v>
      </c>
      <c r="B122" s="19"/>
      <c r="C122" s="20" t="s">
        <v>179</v>
      </c>
      <c r="D122" s="20" t="s">
        <v>180</v>
      </c>
      <c r="E122" s="20" t="s">
        <v>181</v>
      </c>
      <c r="F122" s="21">
        <v>52183</v>
      </c>
      <c r="G122" s="21" t="s">
        <v>182</v>
      </c>
      <c r="H122" s="22">
        <v>100</v>
      </c>
      <c r="I122" s="22"/>
      <c r="J122" s="22"/>
      <c r="K122" s="22"/>
      <c r="L122" s="23"/>
      <c r="M122" s="24">
        <f t="shared" si="18"/>
        <v>100</v>
      </c>
      <c r="N122" s="24">
        <f t="shared" si="19"/>
        <v>0</v>
      </c>
      <c r="O122" s="24">
        <f t="shared" si="20"/>
        <v>0</v>
      </c>
      <c r="P122" s="24"/>
      <c r="Q122" s="25"/>
      <c r="R122" s="25"/>
      <c r="S122" s="26"/>
      <c r="T122" s="26"/>
      <c r="U122" s="26"/>
      <c r="V122" s="26"/>
      <c r="W122" s="26"/>
      <c r="X122" s="25"/>
      <c r="Y122" s="25"/>
      <c r="Z122" s="25"/>
      <c r="AA122" s="25"/>
      <c r="AB122" s="26"/>
      <c r="AC122" s="26"/>
      <c r="AD122" s="25">
        <v>100</v>
      </c>
      <c r="AE122" s="25"/>
      <c r="AF122" s="24">
        <f t="shared" si="21"/>
        <v>-100</v>
      </c>
      <c r="AG122" s="27">
        <f t="shared" si="22"/>
        <v>0</v>
      </c>
      <c r="AH122" s="28">
        <f t="shared" si="23"/>
        <v>100</v>
      </c>
    </row>
    <row r="123" spans="1:34" s="29" customFormat="1" ht="23.25" hidden="1" customHeight="1" x14ac:dyDescent="0.2">
      <c r="A123" s="18">
        <v>43861</v>
      </c>
      <c r="B123" s="19"/>
      <c r="C123" s="20" t="s">
        <v>55</v>
      </c>
      <c r="D123" s="20" t="s">
        <v>56</v>
      </c>
      <c r="E123" s="20" t="s">
        <v>57</v>
      </c>
      <c r="F123" s="21">
        <v>221017</v>
      </c>
      <c r="G123" s="21" t="s">
        <v>58</v>
      </c>
      <c r="H123" s="22"/>
      <c r="I123" s="22"/>
      <c r="J123" s="22"/>
      <c r="K123" s="22">
        <v>180</v>
      </c>
      <c r="L123" s="23"/>
      <c r="M123" s="24">
        <f t="shared" si="18"/>
        <v>160.71428571428569</v>
      </c>
      <c r="N123" s="24">
        <f t="shared" si="19"/>
        <v>19.285714285714281</v>
      </c>
      <c r="O123" s="24">
        <f t="shared" si="20"/>
        <v>0</v>
      </c>
      <c r="P123" s="24"/>
      <c r="Q123" s="25">
        <v>160.71</v>
      </c>
      <c r="R123" s="25"/>
      <c r="S123" s="26"/>
      <c r="T123" s="26"/>
      <c r="U123" s="26"/>
      <c r="V123" s="26"/>
      <c r="W123" s="26"/>
      <c r="X123" s="25"/>
      <c r="Y123" s="25"/>
      <c r="Z123" s="25"/>
      <c r="AA123" s="25"/>
      <c r="AB123" s="26"/>
      <c r="AC123" s="26"/>
      <c r="AD123" s="25"/>
      <c r="AE123" s="25"/>
      <c r="AF123" s="24">
        <f t="shared" si="21"/>
        <v>-179.99571428571429</v>
      </c>
      <c r="AG123" s="27">
        <f t="shared" si="22"/>
        <v>4.2857142857144481E-3</v>
      </c>
      <c r="AH123" s="28">
        <f t="shared" si="23"/>
        <v>179.99571428571429</v>
      </c>
    </row>
    <row r="124" spans="1:34" s="29" customFormat="1" ht="23.25" hidden="1" customHeight="1" x14ac:dyDescent="0.2">
      <c r="A124" s="18">
        <v>43861</v>
      </c>
      <c r="B124" s="19"/>
      <c r="C124" s="20" t="s">
        <v>162</v>
      </c>
      <c r="D124" s="20" t="s">
        <v>53</v>
      </c>
      <c r="E124" s="20" t="s">
        <v>163</v>
      </c>
      <c r="F124" s="21">
        <v>97472</v>
      </c>
      <c r="G124" s="21" t="s">
        <v>183</v>
      </c>
      <c r="H124" s="22"/>
      <c r="I124" s="22"/>
      <c r="J124" s="22"/>
      <c r="K124" s="22">
        <v>300.70999999999998</v>
      </c>
      <c r="L124" s="23"/>
      <c r="M124" s="24">
        <f t="shared" si="18"/>
        <v>268.49107142857139</v>
      </c>
      <c r="N124" s="24">
        <f t="shared" si="19"/>
        <v>32.218928571428563</v>
      </c>
      <c r="O124" s="24">
        <f t="shared" si="20"/>
        <v>0</v>
      </c>
      <c r="P124" s="24">
        <v>268.49</v>
      </c>
      <c r="Q124" s="25"/>
      <c r="R124" s="25"/>
      <c r="S124" s="26"/>
      <c r="T124" s="26"/>
      <c r="U124" s="26"/>
      <c r="V124" s="26"/>
      <c r="W124" s="26"/>
      <c r="X124" s="25"/>
      <c r="Y124" s="25"/>
      <c r="Z124" s="25"/>
      <c r="AA124" s="25"/>
      <c r="AB124" s="26"/>
      <c r="AC124" s="26"/>
      <c r="AD124" s="25"/>
      <c r="AE124" s="25"/>
      <c r="AF124" s="24">
        <f t="shared" si="21"/>
        <v>-300.7089285714286</v>
      </c>
      <c r="AG124" s="27">
        <f t="shared" si="22"/>
        <v>1.071428571378874E-3</v>
      </c>
      <c r="AH124" s="28">
        <f t="shared" si="23"/>
        <v>300.7089285714286</v>
      </c>
    </row>
    <row r="125" spans="1:34" s="29" customFormat="1" ht="23.25" hidden="1" customHeight="1" x14ac:dyDescent="0.2">
      <c r="A125" s="18">
        <v>43861</v>
      </c>
      <c r="B125" s="19"/>
      <c r="C125" s="20" t="s">
        <v>184</v>
      </c>
      <c r="D125" s="20" t="s">
        <v>185</v>
      </c>
      <c r="E125" s="20" t="s">
        <v>49</v>
      </c>
      <c r="F125" s="21">
        <v>52871</v>
      </c>
      <c r="G125" s="21" t="s">
        <v>186</v>
      </c>
      <c r="H125" s="22"/>
      <c r="I125" s="22"/>
      <c r="J125" s="22"/>
      <c r="K125" s="22">
        <v>97.5</v>
      </c>
      <c r="L125" s="23"/>
      <c r="M125" s="24">
        <f t="shared" si="18"/>
        <v>87.053571428571416</v>
      </c>
      <c r="N125" s="24">
        <f t="shared" si="19"/>
        <v>10.446428571428569</v>
      </c>
      <c r="O125" s="24">
        <f t="shared" si="20"/>
        <v>0</v>
      </c>
      <c r="P125" s="24"/>
      <c r="Q125" s="25"/>
      <c r="R125" s="25">
        <v>87.05</v>
      </c>
      <c r="S125" s="26"/>
      <c r="T125" s="26"/>
      <c r="U125" s="26"/>
      <c r="V125" s="26"/>
      <c r="W125" s="26"/>
      <c r="X125" s="25"/>
      <c r="Y125" s="25"/>
      <c r="Z125" s="25"/>
      <c r="AA125" s="25"/>
      <c r="AB125" s="26"/>
      <c r="AC125" s="26"/>
      <c r="AD125" s="25"/>
      <c r="AE125" s="25"/>
      <c r="AF125" s="24">
        <f t="shared" si="21"/>
        <v>-97.496428571428567</v>
      </c>
      <c r="AG125" s="27">
        <f t="shared" si="22"/>
        <v>3.5714285714334437E-3</v>
      </c>
      <c r="AH125" s="28">
        <f t="shared" si="23"/>
        <v>97.496428571428567</v>
      </c>
    </row>
    <row r="126" spans="1:34" s="29" customFormat="1" ht="23.25" hidden="1" customHeight="1" x14ac:dyDescent="0.2">
      <c r="A126" s="18">
        <v>43861</v>
      </c>
      <c r="B126" s="19"/>
      <c r="C126" s="20" t="s">
        <v>47</v>
      </c>
      <c r="D126" s="20" t="s">
        <v>48</v>
      </c>
      <c r="E126" s="20" t="s">
        <v>49</v>
      </c>
      <c r="F126" s="21">
        <v>185837</v>
      </c>
      <c r="G126" s="21" t="s">
        <v>187</v>
      </c>
      <c r="H126" s="22"/>
      <c r="I126" s="22"/>
      <c r="J126" s="22"/>
      <c r="K126" s="22">
        <v>757.7</v>
      </c>
      <c r="L126" s="23"/>
      <c r="M126" s="24">
        <f t="shared" si="18"/>
        <v>676.51785714285711</v>
      </c>
      <c r="N126" s="24">
        <f t="shared" si="19"/>
        <v>81.18214285714285</v>
      </c>
      <c r="O126" s="24">
        <f t="shared" si="20"/>
        <v>0</v>
      </c>
      <c r="P126" s="24">
        <v>676.52</v>
      </c>
      <c r="Q126" s="25"/>
      <c r="R126" s="25"/>
      <c r="S126" s="26"/>
      <c r="T126" s="26"/>
      <c r="U126" s="26"/>
      <c r="V126" s="26"/>
      <c r="W126" s="26"/>
      <c r="X126" s="25"/>
      <c r="Y126" s="25"/>
      <c r="Z126" s="25"/>
      <c r="AA126" s="25"/>
      <c r="AB126" s="26"/>
      <c r="AC126" s="26"/>
      <c r="AD126" s="25"/>
      <c r="AE126" s="25"/>
      <c r="AF126" s="24">
        <f t="shared" si="21"/>
        <v>-757.7021428571428</v>
      </c>
      <c r="AG126" s="27">
        <f t="shared" si="22"/>
        <v>-2.1428571427577481E-3</v>
      </c>
      <c r="AH126" s="28">
        <f t="shared" si="23"/>
        <v>757.7021428571428</v>
      </c>
    </row>
    <row r="127" spans="1:34" s="29" customFormat="1" ht="23.25" hidden="1" customHeight="1" x14ac:dyDescent="0.2">
      <c r="A127" s="18">
        <v>43861</v>
      </c>
      <c r="B127" s="19"/>
      <c r="C127" s="20" t="s">
        <v>47</v>
      </c>
      <c r="D127" s="20" t="s">
        <v>48</v>
      </c>
      <c r="E127" s="20" t="s">
        <v>49</v>
      </c>
      <c r="F127" s="21">
        <v>185837</v>
      </c>
      <c r="G127" s="21" t="s">
        <v>188</v>
      </c>
      <c r="H127" s="22"/>
      <c r="I127" s="22"/>
      <c r="J127" s="22">
        <v>406.6</v>
      </c>
      <c r="K127" s="22"/>
      <c r="L127" s="23"/>
      <c r="M127" s="24">
        <f t="shared" si="18"/>
        <v>406.6</v>
      </c>
      <c r="N127" s="24">
        <f t="shared" si="19"/>
        <v>0</v>
      </c>
      <c r="O127" s="24">
        <f t="shared" si="20"/>
        <v>0</v>
      </c>
      <c r="P127" s="24">
        <v>406.6</v>
      </c>
      <c r="Q127" s="25"/>
      <c r="R127" s="25"/>
      <c r="S127" s="26"/>
      <c r="T127" s="26"/>
      <c r="U127" s="26"/>
      <c r="V127" s="26"/>
      <c r="W127" s="26"/>
      <c r="X127" s="25"/>
      <c r="Y127" s="25"/>
      <c r="Z127" s="25"/>
      <c r="AA127" s="25"/>
      <c r="AB127" s="26"/>
      <c r="AC127" s="26"/>
      <c r="AD127" s="25"/>
      <c r="AE127" s="25"/>
      <c r="AF127" s="24">
        <f t="shared" si="21"/>
        <v>-406.6</v>
      </c>
      <c r="AG127" s="27">
        <f t="shared" si="22"/>
        <v>0</v>
      </c>
      <c r="AH127" s="28">
        <f t="shared" si="23"/>
        <v>406.6</v>
      </c>
    </row>
    <row r="128" spans="1:34" s="29" customFormat="1" ht="23.25" hidden="1" customHeight="1" x14ac:dyDescent="0.2">
      <c r="A128" s="18">
        <v>43861</v>
      </c>
      <c r="B128" s="19"/>
      <c r="C128" s="20" t="s">
        <v>39</v>
      </c>
      <c r="D128" s="20" t="s">
        <v>40</v>
      </c>
      <c r="E128" s="20" t="s">
        <v>41</v>
      </c>
      <c r="F128" s="21">
        <v>121377</v>
      </c>
      <c r="G128" s="21" t="s">
        <v>189</v>
      </c>
      <c r="H128" s="22"/>
      <c r="I128" s="22"/>
      <c r="J128" s="22"/>
      <c r="K128" s="22">
        <v>710</v>
      </c>
      <c r="L128" s="23"/>
      <c r="M128" s="24">
        <f t="shared" si="18"/>
        <v>633.92857142857133</v>
      </c>
      <c r="N128" s="24">
        <f t="shared" si="19"/>
        <v>76.071428571428555</v>
      </c>
      <c r="O128" s="24">
        <f t="shared" si="20"/>
        <v>0</v>
      </c>
      <c r="P128" s="24"/>
      <c r="Q128" s="25">
        <v>633.92999999999995</v>
      </c>
      <c r="R128" s="25"/>
      <c r="S128" s="26"/>
      <c r="T128" s="26"/>
      <c r="U128" s="26"/>
      <c r="V128" s="26"/>
      <c r="W128" s="26"/>
      <c r="X128" s="25"/>
      <c r="Y128" s="25"/>
      <c r="Z128" s="25"/>
      <c r="AA128" s="25"/>
      <c r="AB128" s="26"/>
      <c r="AC128" s="26"/>
      <c r="AD128" s="25"/>
      <c r="AE128" s="25"/>
      <c r="AF128" s="24">
        <f t="shared" si="21"/>
        <v>-710.00142857142851</v>
      </c>
      <c r="AG128" s="27">
        <f t="shared" si="22"/>
        <v>-1.4285714285051654E-3</v>
      </c>
      <c r="AH128" s="28">
        <f t="shared" si="23"/>
        <v>710.00142857142851</v>
      </c>
    </row>
    <row r="129" spans="1:34" s="29" customFormat="1" ht="23.25" customHeight="1" x14ac:dyDescent="0.2">
      <c r="A129" s="18">
        <v>43861</v>
      </c>
      <c r="B129" s="19"/>
      <c r="C129" s="20" t="s">
        <v>39</v>
      </c>
      <c r="D129" s="20" t="s">
        <v>40</v>
      </c>
      <c r="E129" s="20" t="s">
        <v>41</v>
      </c>
      <c r="F129" s="21">
        <v>101367</v>
      </c>
      <c r="G129" s="21" t="s">
        <v>190</v>
      </c>
      <c r="H129" s="22"/>
      <c r="I129" s="22"/>
      <c r="J129" s="22"/>
      <c r="K129" s="22">
        <v>239</v>
      </c>
      <c r="L129" s="23"/>
      <c r="M129" s="24">
        <f t="shared" si="18"/>
        <v>213.39285714285711</v>
      </c>
      <c r="N129" s="24">
        <f t="shared" si="19"/>
        <v>25.607142857142851</v>
      </c>
      <c r="O129" s="24">
        <f t="shared" si="20"/>
        <v>0</v>
      </c>
      <c r="P129" s="24">
        <v>213.39</v>
      </c>
      <c r="Q129" s="25"/>
      <c r="R129" s="25"/>
      <c r="S129" s="26"/>
      <c r="T129" s="26"/>
      <c r="U129" s="26"/>
      <c r="V129" s="26"/>
      <c r="W129" s="26"/>
      <c r="X129" s="25"/>
      <c r="Y129" s="25"/>
      <c r="Z129" s="25"/>
      <c r="AA129" s="25"/>
      <c r="AB129" s="26"/>
      <c r="AC129" s="26"/>
      <c r="AD129" s="25"/>
      <c r="AE129" s="25"/>
      <c r="AF129" s="24">
        <f t="shared" si="21"/>
        <v>-238.99714285714285</v>
      </c>
      <c r="AG129" s="27">
        <f t="shared" si="22"/>
        <v>2.8571428571524393E-3</v>
      </c>
      <c r="AH129" s="28">
        <f t="shared" si="23"/>
        <v>238.99714285714285</v>
      </c>
    </row>
    <row r="130" spans="1:34" s="29" customFormat="1" ht="19.5" customHeight="1" x14ac:dyDescent="0.2">
      <c r="A130" s="18"/>
      <c r="B130" s="19"/>
      <c r="C130" s="43"/>
      <c r="D130" s="43"/>
      <c r="E130" s="43"/>
      <c r="F130" s="21"/>
      <c r="G130" s="30"/>
      <c r="H130" s="22"/>
      <c r="I130" s="22"/>
      <c r="J130" s="22"/>
      <c r="K130" s="22"/>
      <c r="L130" s="23"/>
      <c r="M130" s="25">
        <f t="shared" si="18"/>
        <v>0</v>
      </c>
      <c r="N130" s="25">
        <f t="shared" si="19"/>
        <v>0</v>
      </c>
      <c r="O130" s="25">
        <f t="shared" si="20"/>
        <v>0</v>
      </c>
      <c r="P130" s="25"/>
      <c r="Q130" s="25"/>
      <c r="R130" s="25"/>
      <c r="S130" s="25"/>
      <c r="T130" s="26"/>
      <c r="U130" s="26"/>
      <c r="V130" s="26"/>
      <c r="W130" s="26"/>
      <c r="X130" s="26"/>
      <c r="Y130" s="44"/>
      <c r="Z130" s="25"/>
      <c r="AA130" s="25"/>
      <c r="AB130" s="25"/>
      <c r="AC130" s="26"/>
      <c r="AD130" s="26"/>
      <c r="AE130" s="45"/>
      <c r="AF130" s="24">
        <f t="shared" si="21"/>
        <v>0</v>
      </c>
      <c r="AG130" s="27">
        <f t="shared" si="22"/>
        <v>0</v>
      </c>
      <c r="AH130" s="28">
        <f t="shared" si="23"/>
        <v>0</v>
      </c>
    </row>
    <row r="131" spans="1:34" s="52" customFormat="1" ht="12" customHeight="1" x14ac:dyDescent="0.2">
      <c r="A131" s="46"/>
      <c r="B131" s="47"/>
      <c r="C131" s="48"/>
      <c r="D131" s="49"/>
      <c r="E131" s="49"/>
      <c r="F131" s="50"/>
      <c r="G131" s="48"/>
      <c r="H131" s="51">
        <f t="shared" ref="H131:AG131" si="24">SUM(H5:H130)</f>
        <v>2803.91</v>
      </c>
      <c r="I131" s="51">
        <f t="shared" si="24"/>
        <v>0</v>
      </c>
      <c r="J131" s="51">
        <f t="shared" si="24"/>
        <v>15897.500000000002</v>
      </c>
      <c r="K131" s="51">
        <f t="shared" si="24"/>
        <v>43451.35</v>
      </c>
      <c r="L131" s="51">
        <f t="shared" si="24"/>
        <v>0</v>
      </c>
      <c r="M131" s="51">
        <f t="shared" si="24"/>
        <v>57497.258214285699</v>
      </c>
      <c r="N131" s="51">
        <f t="shared" si="24"/>
        <v>4655.5017857142866</v>
      </c>
      <c r="O131" s="51">
        <f t="shared" si="24"/>
        <v>0</v>
      </c>
      <c r="P131" s="51">
        <f t="shared" si="24"/>
        <v>37707.859999999993</v>
      </c>
      <c r="Q131" s="51">
        <f t="shared" si="24"/>
        <v>7236.0800000000008</v>
      </c>
      <c r="R131" s="51">
        <f t="shared" si="24"/>
        <v>6621.87</v>
      </c>
      <c r="S131" s="51">
        <f t="shared" si="24"/>
        <v>392.86</v>
      </c>
      <c r="T131" s="51">
        <f t="shared" si="24"/>
        <v>1717.1999999999998</v>
      </c>
      <c r="U131" s="51">
        <f t="shared" si="24"/>
        <v>0</v>
      </c>
      <c r="V131" s="51">
        <f t="shared" si="24"/>
        <v>0</v>
      </c>
      <c r="W131" s="51">
        <f t="shared" si="24"/>
        <v>0</v>
      </c>
      <c r="X131" s="51">
        <f t="shared" si="24"/>
        <v>158.04</v>
      </c>
      <c r="Y131" s="51">
        <f t="shared" si="24"/>
        <v>955.8</v>
      </c>
      <c r="Z131" s="51">
        <f t="shared" si="24"/>
        <v>53.58</v>
      </c>
      <c r="AA131" s="51">
        <f t="shared" si="24"/>
        <v>1779</v>
      </c>
      <c r="AB131" s="51">
        <f t="shared" si="24"/>
        <v>0</v>
      </c>
      <c r="AC131" s="51">
        <f t="shared" si="24"/>
        <v>0</v>
      </c>
      <c r="AD131" s="51">
        <f t="shared" si="24"/>
        <v>874.91</v>
      </c>
      <c r="AE131" s="51">
        <f t="shared" si="24"/>
        <v>0</v>
      </c>
      <c r="AF131" s="51">
        <f t="shared" si="24"/>
        <v>-62152.701785714293</v>
      </c>
      <c r="AG131" s="51">
        <f t="shared" si="24"/>
        <v>5.8214285714193181E-2</v>
      </c>
    </row>
    <row r="136" spans="1:34" x14ac:dyDescent="0.3">
      <c r="Q136" s="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16"/>
  <sheetViews>
    <sheetView topLeftCell="A13" zoomScaleNormal="100" workbookViewId="0">
      <selection activeCell="M17" sqref="A17:XFD34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3.21875" style="3" customWidth="1"/>
    <col min="4" max="4" width="13" style="4" hidden="1" customWidth="1"/>
    <col min="5" max="5" width="29.109375" style="4" hidden="1" customWidth="1"/>
    <col min="6" max="6" width="6.21875" style="2" customWidth="1"/>
    <col min="7" max="7" width="28.33203125" style="3" customWidth="1"/>
    <col min="8" max="8" width="11" style="5" hidden="1" customWidth="1"/>
    <col min="9" max="9" width="8.44140625" style="5" hidden="1" customWidth="1"/>
    <col min="10" max="10" width="8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9.5546875" style="5" customWidth="1"/>
    <col min="18" max="18" width="10.6640625" style="5" customWidth="1"/>
    <col min="19" max="20" width="9.109375" style="5" hidden="1" customWidth="1"/>
    <col min="21" max="21" width="10.5546875" style="5" hidden="1" customWidth="1"/>
    <col min="22" max="22" width="8.109375" style="5" hidden="1" customWidth="1"/>
    <col min="23" max="23" width="9.88671875" style="5" hidden="1" customWidth="1"/>
    <col min="24" max="24" width="9.21875" style="5" hidden="1" customWidth="1"/>
    <col min="25" max="25" width="8.21875" style="5" hidden="1" customWidth="1"/>
    <col min="26" max="26" width="8.6640625" style="5" hidden="1" customWidth="1"/>
    <col min="27" max="27" width="9.5546875" style="5" hidden="1" customWidth="1"/>
    <col min="28" max="29" width="8" style="5" hidden="1" customWidth="1"/>
    <col min="30" max="30" width="10.109375" style="5" hidden="1" customWidth="1"/>
    <col min="31" max="31" width="10.6640625" style="5" customWidth="1"/>
    <col min="32" max="32" width="8.88671875" style="3" customWidth="1"/>
    <col min="33" max="1025" width="9.109375" style="3" customWidth="1"/>
  </cols>
  <sheetData>
    <row r="1" spans="1:32" ht="12" customHeight="1" x14ac:dyDescent="0.3">
      <c r="A1" s="7" t="s">
        <v>0</v>
      </c>
      <c r="C1" s="8"/>
    </row>
    <row r="2" spans="1:32" ht="12" customHeight="1" x14ac:dyDescent="0.3">
      <c r="A2" s="7" t="s">
        <v>1</v>
      </c>
    </row>
    <row r="3" spans="1:32" ht="12" customHeight="1" x14ac:dyDescent="0.3">
      <c r="A3" s="7" t="s">
        <v>578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6212</v>
      </c>
      <c r="T3" s="10"/>
      <c r="U3" s="10"/>
      <c r="V3" s="10"/>
      <c r="W3" s="10"/>
      <c r="X3" s="10" t="s">
        <v>3</v>
      </c>
      <c r="Y3" s="10"/>
      <c r="Z3" s="10">
        <v>6230</v>
      </c>
      <c r="AA3" s="10" t="s">
        <v>4</v>
      </c>
      <c r="AB3" s="10">
        <v>6202</v>
      </c>
      <c r="AC3" s="10"/>
      <c r="AD3" s="10">
        <v>6109</v>
      </c>
      <c r="AE3" s="10">
        <v>1002</v>
      </c>
    </row>
    <row r="4" spans="1:32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24</v>
      </c>
      <c r="T4" s="13" t="s">
        <v>25</v>
      </c>
      <c r="U4" s="13" t="s">
        <v>26</v>
      </c>
      <c r="V4" s="13" t="s">
        <v>27</v>
      </c>
      <c r="W4" s="13" t="s">
        <v>28</v>
      </c>
      <c r="X4" s="13" t="s">
        <v>29</v>
      </c>
      <c r="Y4" s="13" t="s">
        <v>30</v>
      </c>
      <c r="Z4" s="13" t="s">
        <v>31</v>
      </c>
      <c r="AA4" s="13" t="s">
        <v>32</v>
      </c>
      <c r="AB4" s="14" t="s">
        <v>33</v>
      </c>
      <c r="AC4" s="13" t="s">
        <v>34</v>
      </c>
      <c r="AD4" s="15" t="s">
        <v>35</v>
      </c>
      <c r="AE4" s="16" t="s">
        <v>36</v>
      </c>
    </row>
    <row r="5" spans="1:32" s="29" customFormat="1" ht="23.25" customHeight="1" x14ac:dyDescent="0.2">
      <c r="A5" s="18">
        <v>44070</v>
      </c>
      <c r="B5" s="19"/>
      <c r="C5" s="20" t="s">
        <v>39</v>
      </c>
      <c r="D5" s="20" t="s">
        <v>579</v>
      </c>
      <c r="E5" s="20" t="s">
        <v>49</v>
      </c>
      <c r="F5" s="21">
        <v>196355</v>
      </c>
      <c r="G5" s="21" t="s">
        <v>580</v>
      </c>
      <c r="H5" s="22"/>
      <c r="I5" s="22"/>
      <c r="J5" s="22"/>
      <c r="K5" s="22">
        <v>334</v>
      </c>
      <c r="L5" s="23"/>
      <c r="M5" s="24">
        <f t="shared" ref="M5:M15" si="0">SUM(H5:J5,K5/1.12)</f>
        <v>298.21428571428567</v>
      </c>
      <c r="N5" s="24">
        <f t="shared" ref="N5:N15" si="1">K5/1.12*0.12</f>
        <v>35.785714285714278</v>
      </c>
      <c r="O5" s="24">
        <f t="shared" ref="O5:O15" si="2">-SUM(I5:J5,K5/1.12)*L5</f>
        <v>0</v>
      </c>
      <c r="P5" s="24">
        <v>298.20999999999998</v>
      </c>
      <c r="Q5" s="25"/>
      <c r="R5" s="25"/>
      <c r="S5" s="26"/>
      <c r="T5" s="26"/>
      <c r="U5" s="26"/>
      <c r="V5" s="26"/>
      <c r="W5" s="25"/>
      <c r="X5" s="25"/>
      <c r="Y5" s="25"/>
      <c r="Z5" s="25"/>
      <c r="AA5" s="26"/>
      <c r="AB5" s="26"/>
      <c r="AC5" s="25"/>
      <c r="AD5" s="25"/>
      <c r="AE5" s="24">
        <f t="shared" ref="AE5:AE15" si="3">-SUM(N5:AD5)</f>
        <v>-333.99571428571426</v>
      </c>
      <c r="AF5" s="27">
        <f t="shared" ref="AF5:AF15" si="4">SUM(H5:K5)+AE5+O5</f>
        <v>4.2857142857428698E-3</v>
      </c>
    </row>
    <row r="6" spans="1:32" s="29" customFormat="1" ht="23.25" customHeight="1" x14ac:dyDescent="0.2">
      <c r="A6" s="18">
        <v>44070</v>
      </c>
      <c r="B6" s="19"/>
      <c r="C6" s="20" t="s">
        <v>374</v>
      </c>
      <c r="D6" s="20" t="s">
        <v>225</v>
      </c>
      <c r="E6" s="20"/>
      <c r="F6" s="21">
        <v>3353</v>
      </c>
      <c r="G6" s="21" t="s">
        <v>58</v>
      </c>
      <c r="H6" s="22"/>
      <c r="I6" s="22"/>
      <c r="J6" s="22"/>
      <c r="K6" s="22">
        <v>42</v>
      </c>
      <c r="L6" s="23"/>
      <c r="M6" s="24">
        <f t="shared" si="0"/>
        <v>37.499999999999993</v>
      </c>
      <c r="N6" s="24">
        <f t="shared" si="1"/>
        <v>4.4999999999999991</v>
      </c>
      <c r="O6" s="24">
        <f t="shared" si="2"/>
        <v>0</v>
      </c>
      <c r="P6" s="64"/>
      <c r="Q6" s="25">
        <v>37.5</v>
      </c>
      <c r="R6" s="25"/>
      <c r="S6" s="26"/>
      <c r="T6" s="26"/>
      <c r="U6" s="26"/>
      <c r="V6" s="26"/>
      <c r="W6" s="25"/>
      <c r="X6" s="25"/>
      <c r="Y6" s="25"/>
      <c r="Z6" s="25"/>
      <c r="AA6" s="26"/>
      <c r="AB6" s="26"/>
      <c r="AC6" s="25"/>
      <c r="AD6" s="25"/>
      <c r="AE6" s="24">
        <f t="shared" si="3"/>
        <v>-42</v>
      </c>
      <c r="AF6" s="27">
        <f t="shared" si="4"/>
        <v>0</v>
      </c>
    </row>
    <row r="7" spans="1:32" s="29" customFormat="1" ht="23.25" customHeight="1" x14ac:dyDescent="0.2">
      <c r="A7" s="18">
        <v>44071</v>
      </c>
      <c r="B7" s="19"/>
      <c r="C7" s="20" t="s">
        <v>39</v>
      </c>
      <c r="D7" s="20" t="s">
        <v>40</v>
      </c>
      <c r="E7" s="20" t="s">
        <v>41</v>
      </c>
      <c r="F7" s="21">
        <v>38627</v>
      </c>
      <c r="G7" s="21" t="s">
        <v>287</v>
      </c>
      <c r="H7" s="22"/>
      <c r="I7" s="22"/>
      <c r="J7" s="22">
        <v>115.9</v>
      </c>
      <c r="K7" s="22"/>
      <c r="L7" s="23"/>
      <c r="M7" s="24">
        <f t="shared" si="0"/>
        <v>115.9</v>
      </c>
      <c r="N7" s="24">
        <f t="shared" si="1"/>
        <v>0</v>
      </c>
      <c r="O7" s="24">
        <f t="shared" si="2"/>
        <v>0</v>
      </c>
      <c r="P7" s="24">
        <v>115.9</v>
      </c>
      <c r="Q7" s="25"/>
      <c r="R7" s="25"/>
      <c r="S7" s="26"/>
      <c r="T7" s="26"/>
      <c r="U7" s="26"/>
      <c r="V7" s="26"/>
      <c r="W7" s="25"/>
      <c r="X7" s="25"/>
      <c r="Y7" s="25"/>
      <c r="Z7" s="25"/>
      <c r="AA7" s="26"/>
      <c r="AB7" s="26"/>
      <c r="AC7" s="25"/>
      <c r="AD7" s="25"/>
      <c r="AE7" s="24">
        <f t="shared" si="3"/>
        <v>-115.9</v>
      </c>
      <c r="AF7" s="27">
        <f t="shared" si="4"/>
        <v>0</v>
      </c>
    </row>
    <row r="8" spans="1:32" s="29" customFormat="1" ht="23.25" customHeight="1" x14ac:dyDescent="0.2">
      <c r="A8" s="18">
        <v>44070</v>
      </c>
      <c r="B8" s="19"/>
      <c r="C8" s="20" t="s">
        <v>39</v>
      </c>
      <c r="D8" s="20" t="s">
        <v>40</v>
      </c>
      <c r="E8" s="20" t="s">
        <v>41</v>
      </c>
      <c r="F8" s="21">
        <v>196005</v>
      </c>
      <c r="G8" s="21" t="s">
        <v>581</v>
      </c>
      <c r="H8" s="22"/>
      <c r="I8" s="22"/>
      <c r="J8" s="22"/>
      <c r="K8" s="22">
        <v>732.45</v>
      </c>
      <c r="L8" s="23"/>
      <c r="M8" s="24">
        <f t="shared" si="0"/>
        <v>653.97321428571422</v>
      </c>
      <c r="N8" s="24">
        <f t="shared" si="1"/>
        <v>78.476785714285697</v>
      </c>
      <c r="O8" s="24">
        <f t="shared" si="2"/>
        <v>0</v>
      </c>
      <c r="P8" s="24">
        <v>653.97</v>
      </c>
      <c r="Q8" s="25"/>
      <c r="R8" s="25"/>
      <c r="S8" s="26"/>
      <c r="T8" s="26"/>
      <c r="U8" s="26"/>
      <c r="V8" s="26"/>
      <c r="W8" s="25"/>
      <c r="X8" s="25"/>
      <c r="Y8" s="25"/>
      <c r="Z8" s="25"/>
      <c r="AA8" s="26"/>
      <c r="AB8" s="26"/>
      <c r="AC8" s="25"/>
      <c r="AD8" s="25"/>
      <c r="AE8" s="24">
        <f t="shared" si="3"/>
        <v>-732.44678571428574</v>
      </c>
      <c r="AF8" s="27">
        <f t="shared" si="4"/>
        <v>3.2142857143071524E-3</v>
      </c>
    </row>
    <row r="9" spans="1:32" s="29" customFormat="1" ht="23.25" customHeight="1" x14ac:dyDescent="0.2">
      <c r="A9" s="18">
        <v>44068</v>
      </c>
      <c r="B9" s="19"/>
      <c r="C9" s="20" t="s">
        <v>39</v>
      </c>
      <c r="D9" s="20" t="s">
        <v>40</v>
      </c>
      <c r="E9" s="20" t="s">
        <v>41</v>
      </c>
      <c r="F9" s="21">
        <v>164113</v>
      </c>
      <c r="G9" s="21" t="s">
        <v>582</v>
      </c>
      <c r="H9" s="22"/>
      <c r="I9" s="22"/>
      <c r="J9" s="22"/>
      <c r="K9" s="22">
        <v>170</v>
      </c>
      <c r="L9" s="23"/>
      <c r="M9" s="24">
        <f t="shared" si="0"/>
        <v>151.78571428571428</v>
      </c>
      <c r="N9" s="24">
        <f t="shared" si="1"/>
        <v>18.214285714285712</v>
      </c>
      <c r="O9" s="24">
        <f t="shared" si="2"/>
        <v>0</v>
      </c>
      <c r="P9" s="24"/>
      <c r="Q9" s="25"/>
      <c r="R9" s="25">
        <v>151.79</v>
      </c>
      <c r="S9" s="26"/>
      <c r="T9" s="26"/>
      <c r="U9" s="26"/>
      <c r="V9" s="26"/>
      <c r="W9" s="25"/>
      <c r="X9" s="25"/>
      <c r="Y9" s="25"/>
      <c r="Z9" s="25"/>
      <c r="AA9" s="26"/>
      <c r="AB9" s="26"/>
      <c r="AC9" s="25"/>
      <c r="AD9" s="25"/>
      <c r="AE9" s="24">
        <f t="shared" si="3"/>
        <v>-170.00428571428571</v>
      </c>
      <c r="AF9" s="27">
        <f t="shared" si="4"/>
        <v>-4.2857142857144481E-3</v>
      </c>
    </row>
    <row r="10" spans="1:32" s="29" customFormat="1" ht="27.75" customHeight="1" x14ac:dyDescent="0.2">
      <c r="A10" s="18">
        <v>44071</v>
      </c>
      <c r="B10" s="19"/>
      <c r="C10" s="20" t="s">
        <v>47</v>
      </c>
      <c r="D10" s="20" t="s">
        <v>490</v>
      </c>
      <c r="E10" s="20" t="s">
        <v>519</v>
      </c>
      <c r="F10" s="21">
        <v>246318</v>
      </c>
      <c r="G10" s="21" t="s">
        <v>583</v>
      </c>
      <c r="H10" s="22"/>
      <c r="I10" s="22"/>
      <c r="J10" s="22">
        <v>343.01</v>
      </c>
      <c r="K10" s="22"/>
      <c r="L10" s="23"/>
      <c r="M10" s="24">
        <f t="shared" si="0"/>
        <v>343.01</v>
      </c>
      <c r="N10" s="24">
        <f t="shared" si="1"/>
        <v>0</v>
      </c>
      <c r="O10" s="24">
        <f t="shared" si="2"/>
        <v>0</v>
      </c>
      <c r="P10" s="24">
        <v>343.01</v>
      </c>
      <c r="Q10" s="25"/>
      <c r="R10" s="25"/>
      <c r="S10" s="26"/>
      <c r="T10" s="26"/>
      <c r="U10" s="26"/>
      <c r="V10" s="26"/>
      <c r="W10" s="25"/>
      <c r="X10" s="25"/>
      <c r="Y10" s="25"/>
      <c r="Z10" s="25"/>
      <c r="AA10" s="26"/>
      <c r="AB10" s="26"/>
      <c r="AC10" s="25"/>
      <c r="AD10" s="25"/>
      <c r="AE10" s="24">
        <f t="shared" si="3"/>
        <v>-343.01</v>
      </c>
      <c r="AF10" s="27">
        <f t="shared" si="4"/>
        <v>0</v>
      </c>
    </row>
    <row r="11" spans="1:32" s="29" customFormat="1" ht="23.25" customHeight="1" x14ac:dyDescent="0.2">
      <c r="A11" s="18">
        <v>44071</v>
      </c>
      <c r="B11" s="19"/>
      <c r="C11" s="20" t="s">
        <v>47</v>
      </c>
      <c r="D11" s="20" t="s">
        <v>490</v>
      </c>
      <c r="E11" s="20" t="s">
        <v>519</v>
      </c>
      <c r="F11" s="21">
        <v>246318</v>
      </c>
      <c r="G11" s="21" t="s">
        <v>584</v>
      </c>
      <c r="H11" s="22"/>
      <c r="I11" s="22"/>
      <c r="J11" s="22"/>
      <c r="K11" s="22">
        <v>2619.8000000000002</v>
      </c>
      <c r="L11" s="23"/>
      <c r="M11" s="24">
        <f t="shared" si="0"/>
        <v>2339.1071428571427</v>
      </c>
      <c r="N11" s="24">
        <f t="shared" si="1"/>
        <v>280.69285714285712</v>
      </c>
      <c r="O11" s="24">
        <f t="shared" si="2"/>
        <v>0</v>
      </c>
      <c r="P11" s="24">
        <v>2339.11</v>
      </c>
      <c r="Q11" s="25"/>
      <c r="R11" s="25"/>
      <c r="S11" s="26"/>
      <c r="T11" s="26"/>
      <c r="U11" s="26"/>
      <c r="V11" s="26"/>
      <c r="W11" s="25"/>
      <c r="X11" s="25"/>
      <c r="Y11" s="25"/>
      <c r="Z11" s="25"/>
      <c r="AA11" s="26"/>
      <c r="AB11" s="26"/>
      <c r="AC11" s="25"/>
      <c r="AD11" s="25"/>
      <c r="AE11" s="24">
        <f t="shared" si="3"/>
        <v>-2619.8028571428572</v>
      </c>
      <c r="AF11" s="27">
        <f t="shared" si="4"/>
        <v>-2.8571428570103308E-3</v>
      </c>
    </row>
    <row r="12" spans="1:32" s="29" customFormat="1" ht="23.25" customHeight="1" x14ac:dyDescent="0.2">
      <c r="A12" s="18">
        <v>44072</v>
      </c>
      <c r="B12" s="19"/>
      <c r="C12" s="20" t="s">
        <v>585</v>
      </c>
      <c r="D12" s="20" t="s">
        <v>539</v>
      </c>
      <c r="E12" s="20" t="s">
        <v>586</v>
      </c>
      <c r="F12" s="21">
        <v>28205</v>
      </c>
      <c r="G12" s="21" t="s">
        <v>481</v>
      </c>
      <c r="H12" s="22"/>
      <c r="I12" s="22"/>
      <c r="J12" s="22">
        <v>2340</v>
      </c>
      <c r="K12" s="22"/>
      <c r="L12" s="23"/>
      <c r="M12" s="24">
        <f t="shared" si="0"/>
        <v>2340</v>
      </c>
      <c r="N12" s="24">
        <f t="shared" si="1"/>
        <v>0</v>
      </c>
      <c r="O12" s="24">
        <f t="shared" si="2"/>
        <v>0</v>
      </c>
      <c r="P12" s="25">
        <v>2340</v>
      </c>
      <c r="Q12" s="25"/>
      <c r="R12" s="25"/>
      <c r="S12" s="26"/>
      <c r="T12" s="26"/>
      <c r="U12" s="26"/>
      <c r="V12" s="26"/>
      <c r="W12" s="25"/>
      <c r="X12" s="25"/>
      <c r="Y12" s="25"/>
      <c r="Z12" s="25"/>
      <c r="AA12" s="26"/>
      <c r="AB12" s="26"/>
      <c r="AC12" s="25"/>
      <c r="AD12" s="25"/>
      <c r="AE12" s="24">
        <f t="shared" si="3"/>
        <v>-2340</v>
      </c>
      <c r="AF12" s="27">
        <f t="shared" si="4"/>
        <v>0</v>
      </c>
    </row>
    <row r="13" spans="1:32" s="29" customFormat="1" ht="23.25" customHeight="1" x14ac:dyDescent="0.2">
      <c r="A13" s="18"/>
      <c r="B13" s="19"/>
      <c r="C13" s="20"/>
      <c r="D13" s="20"/>
      <c r="E13" s="20"/>
      <c r="F13" s="21"/>
      <c r="G13" s="21"/>
      <c r="H13" s="22"/>
      <c r="I13" s="22"/>
      <c r="J13" s="22"/>
      <c r="K13" s="22"/>
      <c r="L13" s="23"/>
      <c r="M13" s="24">
        <f t="shared" si="0"/>
        <v>0</v>
      </c>
      <c r="N13" s="24">
        <f t="shared" si="1"/>
        <v>0</v>
      </c>
      <c r="O13" s="24">
        <f t="shared" si="2"/>
        <v>0</v>
      </c>
      <c r="P13" s="24"/>
      <c r="Q13" s="25"/>
      <c r="R13" s="25"/>
      <c r="S13" s="26"/>
      <c r="T13" s="26"/>
      <c r="U13" s="26"/>
      <c r="V13" s="26"/>
      <c r="W13" s="25"/>
      <c r="X13" s="25"/>
      <c r="Y13" s="25"/>
      <c r="Z13" s="25"/>
      <c r="AA13" s="26"/>
      <c r="AB13" s="26"/>
      <c r="AC13" s="25"/>
      <c r="AD13" s="25"/>
      <c r="AE13" s="24">
        <f t="shared" si="3"/>
        <v>0</v>
      </c>
      <c r="AF13" s="27">
        <f t="shared" si="4"/>
        <v>0</v>
      </c>
    </row>
    <row r="14" spans="1:32" s="29" customFormat="1" ht="23.25" customHeight="1" x14ac:dyDescent="0.2">
      <c r="A14" s="18"/>
      <c r="B14" s="19"/>
      <c r="C14" s="20"/>
      <c r="D14" s="20"/>
      <c r="E14" s="20"/>
      <c r="F14" s="21"/>
      <c r="G14" s="21"/>
      <c r="H14" s="22"/>
      <c r="I14" s="22"/>
      <c r="J14" s="22"/>
      <c r="K14" s="22"/>
      <c r="L14" s="23"/>
      <c r="M14" s="24">
        <f t="shared" si="0"/>
        <v>0</v>
      </c>
      <c r="N14" s="24">
        <f t="shared" si="1"/>
        <v>0</v>
      </c>
      <c r="O14" s="24">
        <f t="shared" si="2"/>
        <v>0</v>
      </c>
      <c r="P14" s="24"/>
      <c r="Q14" s="25"/>
      <c r="R14" s="25"/>
      <c r="S14" s="26"/>
      <c r="T14" s="26"/>
      <c r="U14" s="26"/>
      <c r="V14" s="26"/>
      <c r="W14" s="25"/>
      <c r="X14" s="25"/>
      <c r="Y14" s="25"/>
      <c r="Z14" s="25"/>
      <c r="AA14" s="26"/>
      <c r="AB14" s="26"/>
      <c r="AC14" s="25"/>
      <c r="AD14" s="25"/>
      <c r="AE14" s="24">
        <f t="shared" si="3"/>
        <v>0</v>
      </c>
      <c r="AF14" s="27">
        <f t="shared" si="4"/>
        <v>0</v>
      </c>
    </row>
    <row r="15" spans="1:32" s="29" customFormat="1" ht="10.199999999999999" x14ac:dyDescent="0.2">
      <c r="A15" s="18"/>
      <c r="B15" s="19"/>
      <c r="C15" s="43"/>
      <c r="D15" s="43"/>
      <c r="E15" s="43"/>
      <c r="F15" s="21"/>
      <c r="G15" s="30"/>
      <c r="H15" s="22"/>
      <c r="I15" s="22"/>
      <c r="J15" s="22"/>
      <c r="K15" s="22"/>
      <c r="L15" s="23"/>
      <c r="M15" s="25">
        <f t="shared" si="0"/>
        <v>0</v>
      </c>
      <c r="N15" s="25">
        <f t="shared" si="1"/>
        <v>0</v>
      </c>
      <c r="O15" s="25">
        <f t="shared" si="2"/>
        <v>0</v>
      </c>
      <c r="P15" s="25"/>
      <c r="Q15" s="25"/>
      <c r="R15" s="25"/>
      <c r="S15" s="26"/>
      <c r="T15" s="26"/>
      <c r="U15" s="26"/>
      <c r="V15" s="26"/>
      <c r="W15" s="26"/>
      <c r="X15" s="44"/>
      <c r="Y15" s="25"/>
      <c r="Z15" s="25"/>
      <c r="AA15" s="25"/>
      <c r="AB15" s="26"/>
      <c r="AC15" s="26"/>
      <c r="AD15" s="45"/>
      <c r="AE15" s="24">
        <f t="shared" si="3"/>
        <v>0</v>
      </c>
      <c r="AF15" s="27">
        <f t="shared" si="4"/>
        <v>0</v>
      </c>
    </row>
    <row r="16" spans="1:32" s="52" customFormat="1" ht="10.199999999999999" x14ac:dyDescent="0.2">
      <c r="A16" s="46"/>
      <c r="B16" s="47"/>
      <c r="C16" s="48"/>
      <c r="D16" s="49"/>
      <c r="E16" s="49"/>
      <c r="F16" s="50"/>
      <c r="G16" s="48"/>
      <c r="H16" s="51">
        <f t="shared" ref="H16:AF16" si="5">SUM(H5:H15)</f>
        <v>0</v>
      </c>
      <c r="I16" s="51">
        <f t="shared" si="5"/>
        <v>0</v>
      </c>
      <c r="J16" s="51">
        <f t="shared" si="5"/>
        <v>2798.91</v>
      </c>
      <c r="K16" s="51">
        <f t="shared" si="5"/>
        <v>3898.25</v>
      </c>
      <c r="L16" s="51">
        <f t="shared" si="5"/>
        <v>0</v>
      </c>
      <c r="M16" s="51">
        <f t="shared" si="5"/>
        <v>6279.4903571428567</v>
      </c>
      <c r="N16" s="51">
        <f t="shared" si="5"/>
        <v>417.66964285714278</v>
      </c>
      <c r="O16" s="51">
        <f t="shared" si="5"/>
        <v>0</v>
      </c>
      <c r="P16" s="51">
        <f t="shared" si="5"/>
        <v>6090.2</v>
      </c>
      <c r="Q16" s="51">
        <f t="shared" si="5"/>
        <v>37.5</v>
      </c>
      <c r="R16" s="51">
        <f t="shared" si="5"/>
        <v>151.79</v>
      </c>
      <c r="S16" s="51">
        <f t="shared" si="5"/>
        <v>0</v>
      </c>
      <c r="T16" s="51">
        <f t="shared" si="5"/>
        <v>0</v>
      </c>
      <c r="U16" s="51">
        <f t="shared" si="5"/>
        <v>0</v>
      </c>
      <c r="V16" s="51">
        <f t="shared" si="5"/>
        <v>0</v>
      </c>
      <c r="W16" s="51">
        <f t="shared" si="5"/>
        <v>0</v>
      </c>
      <c r="X16" s="51">
        <f t="shared" si="5"/>
        <v>0</v>
      </c>
      <c r="Y16" s="51">
        <f t="shared" si="5"/>
        <v>0</v>
      </c>
      <c r="Z16" s="51">
        <f t="shared" si="5"/>
        <v>0</v>
      </c>
      <c r="AA16" s="51">
        <f t="shared" si="5"/>
        <v>0</v>
      </c>
      <c r="AB16" s="51">
        <f t="shared" si="5"/>
        <v>0</v>
      </c>
      <c r="AC16" s="51">
        <f t="shared" si="5"/>
        <v>0</v>
      </c>
      <c r="AD16" s="51">
        <f t="shared" si="5"/>
        <v>0</v>
      </c>
      <c r="AE16" s="51">
        <f t="shared" si="5"/>
        <v>-6697.1596428571429</v>
      </c>
      <c r="AF16" s="51">
        <f t="shared" si="5"/>
        <v>3.5714285732524331E-4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27"/>
  <sheetViews>
    <sheetView topLeftCell="A16" zoomScaleNormal="100" workbookViewId="0">
      <selection activeCell="J23" sqref="A23:XFD31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3.21875" style="3" customWidth="1"/>
    <col min="4" max="4" width="13" style="4" customWidth="1"/>
    <col min="5" max="5" width="29.109375" style="4" customWidth="1"/>
    <col min="6" max="6" width="6.21875" style="2" customWidth="1"/>
    <col min="7" max="7" width="28.33203125" style="3" customWidth="1"/>
    <col min="8" max="8" width="11" style="5" hidden="1" customWidth="1"/>
    <col min="9" max="9" width="8.44140625" style="5" hidden="1" customWidth="1"/>
    <col min="10" max="10" width="8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9.5546875" style="5" customWidth="1"/>
    <col min="18" max="18" width="10.6640625" style="5" customWidth="1"/>
    <col min="19" max="19" width="9.109375" style="5" customWidth="1"/>
    <col min="20" max="20" width="9.109375" style="5" hidden="1" customWidth="1"/>
    <col min="21" max="21" width="10.5546875" style="5" hidden="1" customWidth="1"/>
    <col min="22" max="22" width="8.109375" style="5" hidden="1" customWidth="1"/>
    <col min="23" max="23" width="9.88671875" style="5" hidden="1" customWidth="1"/>
    <col min="24" max="24" width="9.21875" style="5" hidden="1" customWidth="1"/>
    <col min="25" max="25" width="8.21875" style="5" hidden="1" customWidth="1"/>
    <col min="26" max="26" width="8.6640625" style="5" customWidth="1"/>
    <col min="27" max="27" width="9.5546875" style="5" hidden="1" customWidth="1"/>
    <col min="28" max="28" width="8" style="5" hidden="1" customWidth="1"/>
    <col min="29" max="29" width="8" style="5" customWidth="1"/>
    <col min="30" max="30" width="10.109375" style="5" hidden="1" customWidth="1"/>
    <col min="31" max="31" width="10.6640625" style="5" customWidth="1"/>
    <col min="32" max="32" width="8.88671875" style="3" customWidth="1"/>
    <col min="33" max="1025" width="9.109375" style="3" customWidth="1"/>
  </cols>
  <sheetData>
    <row r="1" spans="1:32" ht="12" customHeight="1" x14ac:dyDescent="0.3">
      <c r="A1" s="7" t="s">
        <v>0</v>
      </c>
      <c r="C1" s="8"/>
    </row>
    <row r="2" spans="1:32" ht="12" customHeight="1" x14ac:dyDescent="0.3">
      <c r="A2" s="7" t="s">
        <v>1</v>
      </c>
    </row>
    <row r="3" spans="1:32" ht="12" customHeight="1" x14ac:dyDescent="0.3">
      <c r="A3" s="7" t="s">
        <v>484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6212</v>
      </c>
      <c r="T3" s="10"/>
      <c r="U3" s="10"/>
      <c r="V3" s="10"/>
      <c r="W3" s="10"/>
      <c r="X3" s="10" t="s">
        <v>3</v>
      </c>
      <c r="Y3" s="10"/>
      <c r="Z3" s="10">
        <v>6230</v>
      </c>
      <c r="AA3" s="10" t="s">
        <v>4</v>
      </c>
      <c r="AB3" s="10">
        <v>6202</v>
      </c>
      <c r="AC3" s="10"/>
      <c r="AD3" s="10">
        <v>6109</v>
      </c>
      <c r="AE3" s="10">
        <v>1002</v>
      </c>
    </row>
    <row r="4" spans="1:32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24</v>
      </c>
      <c r="T4" s="13" t="s">
        <v>25</v>
      </c>
      <c r="U4" s="13" t="s">
        <v>26</v>
      </c>
      <c r="V4" s="13" t="s">
        <v>27</v>
      </c>
      <c r="W4" s="13" t="s">
        <v>28</v>
      </c>
      <c r="X4" s="13" t="s">
        <v>29</v>
      </c>
      <c r="Y4" s="13" t="s">
        <v>30</v>
      </c>
      <c r="Z4" s="13" t="s">
        <v>31</v>
      </c>
      <c r="AA4" s="13" t="s">
        <v>32</v>
      </c>
      <c r="AB4" s="14" t="s">
        <v>33</v>
      </c>
      <c r="AC4" s="13" t="s">
        <v>34</v>
      </c>
      <c r="AD4" s="15" t="s">
        <v>35</v>
      </c>
      <c r="AE4" s="16" t="s">
        <v>36</v>
      </c>
    </row>
    <row r="5" spans="1:32" s="29" customFormat="1" ht="23.25" customHeight="1" x14ac:dyDescent="0.2">
      <c r="A5" s="18">
        <v>44064</v>
      </c>
      <c r="B5" s="19"/>
      <c r="C5" s="20" t="s">
        <v>47</v>
      </c>
      <c r="D5" s="20" t="s">
        <v>490</v>
      </c>
      <c r="E5" s="20" t="s">
        <v>519</v>
      </c>
      <c r="F5" s="21"/>
      <c r="G5" s="21" t="s">
        <v>587</v>
      </c>
      <c r="H5" s="22"/>
      <c r="I5" s="22"/>
      <c r="J5" s="22"/>
      <c r="K5" s="22">
        <f>2865.35-J6</f>
        <v>2777.95</v>
      </c>
      <c r="L5" s="23"/>
      <c r="M5" s="24">
        <f t="shared" ref="M5:M21" si="0">SUM(H5:J5,K5/1.12)</f>
        <v>2480.3124999999995</v>
      </c>
      <c r="N5" s="24">
        <f t="shared" ref="N5:N21" si="1">K5/1.12*0.12</f>
        <v>297.63749999999993</v>
      </c>
      <c r="O5" s="24">
        <f t="shared" ref="O5:O21" si="2">-SUM(I5:J5,K5/1.12)*L5</f>
        <v>0</v>
      </c>
      <c r="P5" s="24">
        <v>2480.31</v>
      </c>
      <c r="Q5" s="25"/>
      <c r="R5" s="25"/>
      <c r="S5" s="26"/>
      <c r="T5" s="26"/>
      <c r="U5" s="26"/>
      <c r="V5" s="26"/>
      <c r="W5" s="25"/>
      <c r="X5" s="25"/>
      <c r="Y5" s="25"/>
      <c r="Z5" s="25"/>
      <c r="AA5" s="26"/>
      <c r="AB5" s="26"/>
      <c r="AC5" s="25"/>
      <c r="AD5" s="25"/>
      <c r="AE5" s="24">
        <f t="shared" ref="AE5:AE21" si="3">-SUM(N5:AD5)</f>
        <v>-2777.9474999999998</v>
      </c>
      <c r="AF5" s="27">
        <f t="shared" ref="AF5:AF18" si="4">SUM(H5:K5)+AE5+O5</f>
        <v>2.5000000000545697E-3</v>
      </c>
    </row>
    <row r="6" spans="1:32" s="29" customFormat="1" ht="23.25" customHeight="1" x14ac:dyDescent="0.2">
      <c r="A6" s="18">
        <v>44064</v>
      </c>
      <c r="B6" s="19"/>
      <c r="C6" s="20" t="s">
        <v>47</v>
      </c>
      <c r="D6" s="20" t="s">
        <v>490</v>
      </c>
      <c r="E6" s="20" t="s">
        <v>519</v>
      </c>
      <c r="F6" s="21"/>
      <c r="G6" s="21" t="s">
        <v>588</v>
      </c>
      <c r="H6" s="22"/>
      <c r="I6" s="22"/>
      <c r="J6" s="22">
        <f>43.7*2</f>
        <v>87.4</v>
      </c>
      <c r="K6" s="22"/>
      <c r="L6" s="23"/>
      <c r="M6" s="24">
        <f t="shared" si="0"/>
        <v>87.4</v>
      </c>
      <c r="N6" s="24">
        <f t="shared" si="1"/>
        <v>0</v>
      </c>
      <c r="O6" s="24">
        <f t="shared" si="2"/>
        <v>0</v>
      </c>
      <c r="P6" s="24">
        <v>87.4</v>
      </c>
      <c r="Q6" s="25"/>
      <c r="R6" s="25"/>
      <c r="S6" s="26"/>
      <c r="T6" s="26"/>
      <c r="U6" s="26"/>
      <c r="V6" s="26"/>
      <c r="W6" s="25"/>
      <c r="X6" s="25"/>
      <c r="Y6" s="25"/>
      <c r="Z6" s="25"/>
      <c r="AA6" s="26"/>
      <c r="AB6" s="26"/>
      <c r="AC6" s="25"/>
      <c r="AD6" s="25"/>
      <c r="AE6" s="24">
        <f t="shared" si="3"/>
        <v>-87.4</v>
      </c>
      <c r="AF6" s="27">
        <f t="shared" si="4"/>
        <v>0</v>
      </c>
    </row>
    <row r="7" spans="1:32" s="29" customFormat="1" ht="23.25" customHeight="1" x14ac:dyDescent="0.2">
      <c r="A7" s="18">
        <v>44064</v>
      </c>
      <c r="B7" s="19"/>
      <c r="C7" s="20" t="s">
        <v>589</v>
      </c>
      <c r="D7" s="20" t="s">
        <v>375</v>
      </c>
      <c r="E7" s="20" t="s">
        <v>590</v>
      </c>
      <c r="F7" s="21"/>
      <c r="G7" s="21" t="s">
        <v>58</v>
      </c>
      <c r="H7" s="22"/>
      <c r="I7" s="22"/>
      <c r="J7" s="22"/>
      <c r="K7" s="22">
        <v>25</v>
      </c>
      <c r="L7" s="23"/>
      <c r="M7" s="24">
        <f t="shared" si="0"/>
        <v>22.321428571428569</v>
      </c>
      <c r="N7" s="24">
        <f t="shared" si="1"/>
        <v>2.6785714285714284</v>
      </c>
      <c r="O7" s="24">
        <f t="shared" si="2"/>
        <v>0</v>
      </c>
      <c r="P7" s="24"/>
      <c r="Q7" s="25">
        <v>22.32</v>
      </c>
      <c r="R7" s="25"/>
      <c r="S7" s="26"/>
      <c r="T7" s="26"/>
      <c r="U7" s="26"/>
      <c r="V7" s="26"/>
      <c r="W7" s="25"/>
      <c r="X7" s="25"/>
      <c r="Y7" s="25"/>
      <c r="Z7" s="25"/>
      <c r="AA7" s="26"/>
      <c r="AB7" s="26"/>
      <c r="AC7" s="25"/>
      <c r="AD7" s="25"/>
      <c r="AE7" s="24">
        <f t="shared" si="3"/>
        <v>-24.998571428571427</v>
      </c>
      <c r="AF7" s="27">
        <f t="shared" si="4"/>
        <v>1.4285714285726669E-3</v>
      </c>
    </row>
    <row r="8" spans="1:32" s="29" customFormat="1" ht="23.25" customHeight="1" x14ac:dyDescent="0.2">
      <c r="A8" s="18">
        <v>44064</v>
      </c>
      <c r="B8" s="19"/>
      <c r="C8" s="20" t="s">
        <v>60</v>
      </c>
      <c r="D8" s="20"/>
      <c r="E8" s="20"/>
      <c r="F8" s="21"/>
      <c r="G8" s="21" t="s">
        <v>591</v>
      </c>
      <c r="H8" s="22"/>
      <c r="I8" s="22"/>
      <c r="J8" s="22">
        <v>60</v>
      </c>
      <c r="K8" s="22"/>
      <c r="L8" s="23"/>
      <c r="M8" s="24">
        <f t="shared" si="0"/>
        <v>60</v>
      </c>
      <c r="N8" s="24">
        <f t="shared" si="1"/>
        <v>0</v>
      </c>
      <c r="O8" s="24">
        <f t="shared" si="2"/>
        <v>0</v>
      </c>
      <c r="P8" s="24"/>
      <c r="Q8" s="25"/>
      <c r="R8" s="25"/>
      <c r="S8" s="26"/>
      <c r="T8" s="26"/>
      <c r="U8" s="26"/>
      <c r="V8" s="26"/>
      <c r="W8" s="25"/>
      <c r="X8" s="25"/>
      <c r="Y8" s="25"/>
      <c r="Z8" s="25">
        <v>60</v>
      </c>
      <c r="AA8" s="26"/>
      <c r="AB8" s="26"/>
      <c r="AC8" s="25"/>
      <c r="AD8" s="25"/>
      <c r="AE8" s="24">
        <f t="shared" si="3"/>
        <v>-60</v>
      </c>
      <c r="AF8" s="27">
        <f t="shared" si="4"/>
        <v>0</v>
      </c>
    </row>
    <row r="9" spans="1:32" s="29" customFormat="1" ht="23.25" customHeight="1" x14ac:dyDescent="0.2">
      <c r="A9" s="18">
        <v>44067</v>
      </c>
      <c r="B9" s="19"/>
      <c r="C9" s="20" t="s">
        <v>592</v>
      </c>
      <c r="D9" s="20" t="s">
        <v>79</v>
      </c>
      <c r="E9" s="20" t="s">
        <v>593</v>
      </c>
      <c r="F9" s="21"/>
      <c r="G9" s="21" t="s">
        <v>594</v>
      </c>
      <c r="H9" s="22"/>
      <c r="I9" s="22"/>
      <c r="J9" s="22"/>
      <c r="K9" s="22">
        <v>1450</v>
      </c>
      <c r="L9" s="23"/>
      <c r="M9" s="24">
        <f t="shared" si="0"/>
        <v>1294.6428571428571</v>
      </c>
      <c r="N9" s="24">
        <f t="shared" si="1"/>
        <v>155.35714285714286</v>
      </c>
      <c r="O9" s="24">
        <f t="shared" si="2"/>
        <v>0</v>
      </c>
      <c r="P9" s="24">
        <v>1294.6400000000001</v>
      </c>
      <c r="Q9" s="25"/>
      <c r="R9" s="25"/>
      <c r="S9" s="26"/>
      <c r="T9" s="26"/>
      <c r="U9" s="26"/>
      <c r="V9" s="26"/>
      <c r="W9" s="25"/>
      <c r="X9" s="25"/>
      <c r="Y9" s="25"/>
      <c r="Z9" s="25"/>
      <c r="AA9" s="26"/>
      <c r="AB9" s="26"/>
      <c r="AC9" s="25"/>
      <c r="AD9" s="25"/>
      <c r="AE9" s="24">
        <f t="shared" si="3"/>
        <v>-1449.997142857143</v>
      </c>
      <c r="AF9" s="27">
        <f t="shared" si="4"/>
        <v>2.8571428570103308E-3</v>
      </c>
    </row>
    <row r="10" spans="1:32" s="29" customFormat="1" ht="27.75" customHeight="1" x14ac:dyDescent="0.2">
      <c r="A10" s="18">
        <v>44067</v>
      </c>
      <c r="B10" s="19"/>
      <c r="C10" s="20" t="s">
        <v>595</v>
      </c>
      <c r="D10" s="20" t="s">
        <v>66</v>
      </c>
      <c r="E10" s="20" t="s">
        <v>596</v>
      </c>
      <c r="F10" s="21"/>
      <c r="G10" s="21" t="s">
        <v>597</v>
      </c>
      <c r="H10" s="22"/>
      <c r="I10" s="22"/>
      <c r="J10" s="22"/>
      <c r="K10" s="22">
        <v>280</v>
      </c>
      <c r="L10" s="23"/>
      <c r="M10" s="24">
        <f t="shared" si="0"/>
        <v>249.99999999999997</v>
      </c>
      <c r="N10" s="24">
        <f t="shared" si="1"/>
        <v>29.999999999999996</v>
      </c>
      <c r="O10" s="24">
        <f t="shared" si="2"/>
        <v>0</v>
      </c>
      <c r="P10" s="24">
        <v>250</v>
      </c>
      <c r="Q10" s="25"/>
      <c r="R10" s="25"/>
      <c r="S10" s="26"/>
      <c r="T10" s="26"/>
      <c r="U10" s="26"/>
      <c r="V10" s="26"/>
      <c r="W10" s="25"/>
      <c r="X10" s="25"/>
      <c r="Y10" s="25"/>
      <c r="Z10" s="25"/>
      <c r="AA10" s="26"/>
      <c r="AB10" s="26"/>
      <c r="AC10" s="25"/>
      <c r="AD10" s="25"/>
      <c r="AE10" s="24">
        <f t="shared" si="3"/>
        <v>-280</v>
      </c>
      <c r="AF10" s="27">
        <f t="shared" si="4"/>
        <v>0</v>
      </c>
    </row>
    <row r="11" spans="1:32" s="29" customFormat="1" ht="23.25" customHeight="1" x14ac:dyDescent="0.2">
      <c r="A11" s="18">
        <v>44067</v>
      </c>
      <c r="B11" s="19"/>
      <c r="C11" s="20" t="s">
        <v>45</v>
      </c>
      <c r="D11" s="20"/>
      <c r="E11" s="20"/>
      <c r="F11" s="21"/>
      <c r="G11" s="21" t="s">
        <v>598</v>
      </c>
      <c r="H11" s="22"/>
      <c r="I11" s="22"/>
      <c r="J11" s="22">
        <v>150</v>
      </c>
      <c r="K11" s="22"/>
      <c r="L11" s="23"/>
      <c r="M11" s="24">
        <f t="shared" si="0"/>
        <v>150</v>
      </c>
      <c r="N11" s="24">
        <f t="shared" si="1"/>
        <v>0</v>
      </c>
      <c r="O11" s="24">
        <f t="shared" si="2"/>
        <v>0</v>
      </c>
      <c r="P11" s="24"/>
      <c r="Q11" s="25"/>
      <c r="R11" s="25"/>
      <c r="S11" s="26"/>
      <c r="T11" s="26"/>
      <c r="U11" s="26"/>
      <c r="V11" s="26"/>
      <c r="W11" s="25"/>
      <c r="X11" s="25"/>
      <c r="Y11" s="25"/>
      <c r="Z11" s="25">
        <v>150</v>
      </c>
      <c r="AA11" s="26"/>
      <c r="AB11" s="26"/>
      <c r="AC11" s="25"/>
      <c r="AD11" s="25"/>
      <c r="AE11" s="24">
        <f t="shared" si="3"/>
        <v>-150</v>
      </c>
      <c r="AF11" s="27">
        <f t="shared" si="4"/>
        <v>0</v>
      </c>
    </row>
    <row r="12" spans="1:32" s="29" customFormat="1" ht="23.25" customHeight="1" x14ac:dyDescent="0.2">
      <c r="A12" s="18">
        <v>44067</v>
      </c>
      <c r="B12" s="19"/>
      <c r="C12" s="20" t="s">
        <v>522</v>
      </c>
      <c r="D12" s="20" t="s">
        <v>225</v>
      </c>
      <c r="E12" s="20" t="s">
        <v>523</v>
      </c>
      <c r="F12" s="21"/>
      <c r="G12" s="21" t="s">
        <v>58</v>
      </c>
      <c r="H12" s="22"/>
      <c r="I12" s="22"/>
      <c r="J12" s="22"/>
      <c r="K12" s="22">
        <v>42</v>
      </c>
      <c r="L12" s="23"/>
      <c r="M12" s="24">
        <f t="shared" si="0"/>
        <v>37.499999999999993</v>
      </c>
      <c r="N12" s="24">
        <f t="shared" si="1"/>
        <v>4.4999999999999991</v>
      </c>
      <c r="O12" s="24">
        <f t="shared" si="2"/>
        <v>0</v>
      </c>
      <c r="P12" s="25"/>
      <c r="Q12" s="25">
        <v>37.5</v>
      </c>
      <c r="R12" s="25"/>
      <c r="S12" s="26"/>
      <c r="T12" s="26"/>
      <c r="U12" s="26"/>
      <c r="V12" s="26"/>
      <c r="W12" s="25"/>
      <c r="X12" s="25"/>
      <c r="Y12" s="25"/>
      <c r="Z12" s="25"/>
      <c r="AA12" s="26"/>
      <c r="AB12" s="26"/>
      <c r="AC12" s="25"/>
      <c r="AD12" s="25"/>
      <c r="AE12" s="24">
        <f t="shared" si="3"/>
        <v>-42</v>
      </c>
      <c r="AF12" s="27">
        <f t="shared" si="4"/>
        <v>0</v>
      </c>
    </row>
    <row r="13" spans="1:32" s="29" customFormat="1" ht="23.25" customHeight="1" x14ac:dyDescent="0.2">
      <c r="A13" s="18">
        <v>44067</v>
      </c>
      <c r="B13" s="19"/>
      <c r="C13" s="20" t="s">
        <v>39</v>
      </c>
      <c r="D13" s="20" t="s">
        <v>40</v>
      </c>
      <c r="E13" s="20" t="s">
        <v>41</v>
      </c>
      <c r="F13" s="21"/>
      <c r="G13" s="21" t="s">
        <v>599</v>
      </c>
      <c r="H13" s="22"/>
      <c r="I13" s="22"/>
      <c r="J13" s="22"/>
      <c r="K13" s="22">
        <v>117</v>
      </c>
      <c r="L13" s="23"/>
      <c r="M13" s="24">
        <f t="shared" si="0"/>
        <v>104.46428571428571</v>
      </c>
      <c r="N13" s="24">
        <f t="shared" si="1"/>
        <v>12.535714285714285</v>
      </c>
      <c r="O13" s="24">
        <f t="shared" si="2"/>
        <v>0</v>
      </c>
      <c r="P13" s="24">
        <v>104.46</v>
      </c>
      <c r="Q13" s="25"/>
      <c r="R13" s="25"/>
      <c r="S13" s="26"/>
      <c r="T13" s="26"/>
      <c r="U13" s="26"/>
      <c r="V13" s="26"/>
      <c r="W13" s="25"/>
      <c r="X13" s="25"/>
      <c r="Y13" s="25"/>
      <c r="Z13" s="25"/>
      <c r="AA13" s="26"/>
      <c r="AB13" s="26"/>
      <c r="AC13" s="25"/>
      <c r="AD13" s="25"/>
      <c r="AE13" s="24">
        <f t="shared" si="3"/>
        <v>-116.99571428571429</v>
      </c>
      <c r="AF13" s="27">
        <f t="shared" si="4"/>
        <v>4.2857142857144481E-3</v>
      </c>
    </row>
    <row r="14" spans="1:32" s="29" customFormat="1" ht="23.25" customHeight="1" x14ac:dyDescent="0.2">
      <c r="A14" s="18">
        <v>44067</v>
      </c>
      <c r="B14" s="19"/>
      <c r="C14" s="20" t="s">
        <v>530</v>
      </c>
      <c r="D14" s="20" t="s">
        <v>107</v>
      </c>
      <c r="E14" s="20" t="s">
        <v>41</v>
      </c>
      <c r="F14" s="21"/>
      <c r="G14" s="21" t="s">
        <v>600</v>
      </c>
      <c r="H14" s="22"/>
      <c r="I14" s="22"/>
      <c r="J14" s="22"/>
      <c r="K14" s="22">
        <v>60.5</v>
      </c>
      <c r="L14" s="23"/>
      <c r="M14" s="24">
        <f t="shared" si="0"/>
        <v>54.017857142857139</v>
      </c>
      <c r="N14" s="24">
        <f t="shared" si="1"/>
        <v>6.4821428571428568</v>
      </c>
      <c r="O14" s="24">
        <f t="shared" si="2"/>
        <v>0</v>
      </c>
      <c r="P14" s="24"/>
      <c r="Q14" s="25"/>
      <c r="R14" s="25"/>
      <c r="S14" s="26">
        <v>54.02</v>
      </c>
      <c r="T14" s="26"/>
      <c r="U14" s="26"/>
      <c r="V14" s="26"/>
      <c r="W14" s="25"/>
      <c r="X14" s="25"/>
      <c r="Y14" s="25"/>
      <c r="Z14" s="25"/>
      <c r="AA14" s="26"/>
      <c r="AB14" s="26"/>
      <c r="AC14" s="25"/>
      <c r="AD14" s="25"/>
      <c r="AE14" s="24">
        <f t="shared" si="3"/>
        <v>-60.502142857142857</v>
      </c>
      <c r="AF14" s="27">
        <f t="shared" si="4"/>
        <v>-2.1428571428572241E-3</v>
      </c>
    </row>
    <row r="15" spans="1:32" s="29" customFormat="1" ht="23.25" customHeight="1" x14ac:dyDescent="0.2">
      <c r="A15" s="18">
        <v>44067</v>
      </c>
      <c r="B15" s="19"/>
      <c r="C15" s="20" t="s">
        <v>39</v>
      </c>
      <c r="D15" s="20" t="s">
        <v>40</v>
      </c>
      <c r="E15" s="20" t="s">
        <v>41</v>
      </c>
      <c r="F15" s="21"/>
      <c r="G15" s="21" t="s">
        <v>601</v>
      </c>
      <c r="H15" s="22"/>
      <c r="I15" s="22"/>
      <c r="J15" s="22">
        <f>364.52-89</f>
        <v>275.52</v>
      </c>
      <c r="K15" s="22"/>
      <c r="L15" s="23"/>
      <c r="M15" s="24">
        <f t="shared" si="0"/>
        <v>275.52</v>
      </c>
      <c r="N15" s="24">
        <f t="shared" si="1"/>
        <v>0</v>
      </c>
      <c r="O15" s="24">
        <f t="shared" si="2"/>
        <v>0</v>
      </c>
      <c r="P15" s="24">
        <v>275.52</v>
      </c>
      <c r="Q15" s="25"/>
      <c r="R15" s="25"/>
      <c r="S15" s="26"/>
      <c r="T15" s="26"/>
      <c r="U15" s="26"/>
      <c r="V15" s="26"/>
      <c r="W15" s="25"/>
      <c r="X15" s="25"/>
      <c r="Y15" s="25"/>
      <c r="Z15" s="25"/>
      <c r="AA15" s="26"/>
      <c r="AB15" s="26"/>
      <c r="AC15" s="25"/>
      <c r="AD15" s="25"/>
      <c r="AE15" s="24">
        <f t="shared" si="3"/>
        <v>-275.52</v>
      </c>
      <c r="AF15" s="27">
        <f t="shared" si="4"/>
        <v>0</v>
      </c>
    </row>
    <row r="16" spans="1:32" s="29" customFormat="1" ht="23.25" customHeight="1" x14ac:dyDescent="0.2">
      <c r="A16" s="18">
        <v>44067</v>
      </c>
      <c r="B16" s="19"/>
      <c r="C16" s="20" t="s">
        <v>39</v>
      </c>
      <c r="D16" s="20" t="s">
        <v>40</v>
      </c>
      <c r="E16" s="20" t="s">
        <v>41</v>
      </c>
      <c r="F16" s="21"/>
      <c r="G16" s="21" t="s">
        <v>602</v>
      </c>
      <c r="H16" s="22"/>
      <c r="I16" s="22"/>
      <c r="J16" s="22"/>
      <c r="K16" s="22">
        <v>89</v>
      </c>
      <c r="L16" s="23"/>
      <c r="M16" s="24">
        <f t="shared" si="0"/>
        <v>79.464285714285708</v>
      </c>
      <c r="N16" s="24">
        <f t="shared" si="1"/>
        <v>9.5357142857142847</v>
      </c>
      <c r="O16" s="24">
        <f t="shared" si="2"/>
        <v>0</v>
      </c>
      <c r="P16" s="24">
        <v>79.459999999999994</v>
      </c>
      <c r="Q16" s="25"/>
      <c r="R16" s="25"/>
      <c r="S16" s="26"/>
      <c r="T16" s="26"/>
      <c r="U16" s="26"/>
      <c r="V16" s="26"/>
      <c r="W16" s="25"/>
      <c r="X16" s="25"/>
      <c r="Y16" s="25"/>
      <c r="Z16" s="25"/>
      <c r="AA16" s="26"/>
      <c r="AB16" s="26"/>
      <c r="AC16" s="25"/>
      <c r="AD16" s="25"/>
      <c r="AE16" s="24">
        <f t="shared" si="3"/>
        <v>-88.995714285714286</v>
      </c>
      <c r="AF16" s="27">
        <f t="shared" si="4"/>
        <v>4.2857142857144481E-3</v>
      </c>
    </row>
    <row r="17" spans="1:32" s="29" customFormat="1" ht="23.25" customHeight="1" x14ac:dyDescent="0.2">
      <c r="A17" s="18">
        <v>44068</v>
      </c>
      <c r="B17" s="19"/>
      <c r="C17" s="20" t="s">
        <v>603</v>
      </c>
      <c r="D17" s="20"/>
      <c r="E17" s="20"/>
      <c r="F17" s="21"/>
      <c r="G17" s="21" t="s">
        <v>604</v>
      </c>
      <c r="H17" s="22"/>
      <c r="I17" s="22"/>
      <c r="J17" s="22">
        <v>163</v>
      </c>
      <c r="K17" s="22"/>
      <c r="L17" s="23"/>
      <c r="M17" s="24">
        <f t="shared" si="0"/>
        <v>163</v>
      </c>
      <c r="N17" s="24">
        <f t="shared" si="1"/>
        <v>0</v>
      </c>
      <c r="O17" s="24">
        <f t="shared" si="2"/>
        <v>0</v>
      </c>
      <c r="P17" s="24"/>
      <c r="Q17" s="25"/>
      <c r="R17" s="25"/>
      <c r="S17" s="26"/>
      <c r="T17" s="26"/>
      <c r="U17" s="26"/>
      <c r="V17" s="26"/>
      <c r="W17" s="25"/>
      <c r="X17" s="25"/>
      <c r="Y17" s="25"/>
      <c r="Z17" s="25">
        <v>163</v>
      </c>
      <c r="AA17" s="26"/>
      <c r="AB17" s="26"/>
      <c r="AC17" s="25"/>
      <c r="AD17" s="25"/>
      <c r="AE17" s="24">
        <f t="shared" si="3"/>
        <v>-163</v>
      </c>
      <c r="AF17" s="27">
        <f t="shared" si="4"/>
        <v>0</v>
      </c>
    </row>
    <row r="18" spans="1:32" s="29" customFormat="1" ht="23.25" customHeight="1" x14ac:dyDescent="0.2">
      <c r="A18" s="18">
        <v>44069</v>
      </c>
      <c r="B18" s="19"/>
      <c r="C18" s="20" t="s">
        <v>605</v>
      </c>
      <c r="D18" s="20"/>
      <c r="E18" s="20"/>
      <c r="F18" s="21"/>
      <c r="G18" s="21" t="s">
        <v>606</v>
      </c>
      <c r="H18" s="22"/>
      <c r="I18" s="22"/>
      <c r="J18" s="22">
        <v>50</v>
      </c>
      <c r="K18" s="22"/>
      <c r="L18" s="23"/>
      <c r="M18" s="24">
        <f t="shared" si="0"/>
        <v>50</v>
      </c>
      <c r="N18" s="24">
        <f t="shared" si="1"/>
        <v>0</v>
      </c>
      <c r="O18" s="24">
        <f t="shared" si="2"/>
        <v>0</v>
      </c>
      <c r="P18" s="24"/>
      <c r="Q18" s="25"/>
      <c r="R18" s="25"/>
      <c r="S18" s="26"/>
      <c r="T18" s="26"/>
      <c r="U18" s="26"/>
      <c r="V18" s="26"/>
      <c r="W18" s="25"/>
      <c r="X18" s="25"/>
      <c r="Y18" s="25"/>
      <c r="Z18" s="25">
        <v>50</v>
      </c>
      <c r="AA18" s="26"/>
      <c r="AB18" s="26"/>
      <c r="AC18" s="25"/>
      <c r="AD18" s="25"/>
      <c r="AE18" s="24">
        <f t="shared" si="3"/>
        <v>-50</v>
      </c>
      <c r="AF18" s="27">
        <f t="shared" si="4"/>
        <v>0</v>
      </c>
    </row>
    <row r="19" spans="1:32" s="29" customFormat="1" ht="23.25" customHeight="1" x14ac:dyDescent="0.2">
      <c r="A19" s="18">
        <v>44069</v>
      </c>
      <c r="B19" s="19"/>
      <c r="C19" s="20" t="s">
        <v>607</v>
      </c>
      <c r="D19" s="20"/>
      <c r="E19" s="20"/>
      <c r="F19" s="21"/>
      <c r="G19" s="21" t="s">
        <v>608</v>
      </c>
      <c r="H19" s="22"/>
      <c r="I19" s="22"/>
      <c r="J19" s="22">
        <v>100</v>
      </c>
      <c r="K19" s="22"/>
      <c r="L19" s="23"/>
      <c r="M19" s="24">
        <f t="shared" si="0"/>
        <v>100</v>
      </c>
      <c r="N19" s="24">
        <f t="shared" si="1"/>
        <v>0</v>
      </c>
      <c r="O19" s="24">
        <f t="shared" si="2"/>
        <v>0</v>
      </c>
      <c r="P19" s="24">
        <v>100</v>
      </c>
      <c r="Q19" s="25"/>
      <c r="R19" s="25"/>
      <c r="S19" s="26"/>
      <c r="T19" s="26"/>
      <c r="U19" s="26"/>
      <c r="V19" s="26"/>
      <c r="W19" s="25"/>
      <c r="X19" s="25"/>
      <c r="Y19" s="25"/>
      <c r="Z19" s="25"/>
      <c r="AA19" s="26"/>
      <c r="AB19" s="26"/>
      <c r="AC19" s="25"/>
      <c r="AD19" s="25"/>
      <c r="AE19" s="24">
        <f t="shared" si="3"/>
        <v>-100</v>
      </c>
      <c r="AF19" s="27"/>
    </row>
    <row r="20" spans="1:32" s="29" customFormat="1" ht="23.25" customHeight="1" x14ac:dyDescent="0.2">
      <c r="A20" s="18">
        <v>44069</v>
      </c>
      <c r="B20" s="19"/>
      <c r="C20" s="20" t="s">
        <v>609</v>
      </c>
      <c r="D20" s="20"/>
      <c r="E20" s="20" t="s">
        <v>610</v>
      </c>
      <c r="F20" s="21"/>
      <c r="G20" s="21" t="s">
        <v>611</v>
      </c>
      <c r="H20" s="22"/>
      <c r="I20" s="22"/>
      <c r="J20" s="22"/>
      <c r="K20" s="22">
        <v>1448</v>
      </c>
      <c r="L20" s="23"/>
      <c r="M20" s="24">
        <f t="shared" si="0"/>
        <v>1292.8571428571427</v>
      </c>
      <c r="N20" s="24">
        <f t="shared" si="1"/>
        <v>155.14285714285711</v>
      </c>
      <c r="O20" s="24">
        <f t="shared" si="2"/>
        <v>0</v>
      </c>
      <c r="P20" s="24"/>
      <c r="Q20" s="25"/>
      <c r="R20" s="25">
        <v>1292.8599999999999</v>
      </c>
      <c r="S20" s="26"/>
      <c r="T20" s="26"/>
      <c r="U20" s="26"/>
      <c r="V20" s="26"/>
      <c r="W20" s="25"/>
      <c r="X20" s="25"/>
      <c r="Y20" s="25"/>
      <c r="Z20" s="25"/>
      <c r="AA20" s="26"/>
      <c r="AB20" s="26"/>
      <c r="AC20" s="25"/>
      <c r="AD20" s="25"/>
      <c r="AE20" s="24">
        <f t="shared" si="3"/>
        <v>-1448.002857142857</v>
      </c>
      <c r="AF20" s="27">
        <f>SUM(H20:K20)+AE20+O20</f>
        <v>-2.8571428570103308E-3</v>
      </c>
    </row>
    <row r="21" spans="1:32" s="29" customFormat="1" ht="10.199999999999999" x14ac:dyDescent="0.2">
      <c r="A21" s="18"/>
      <c r="B21" s="19"/>
      <c r="C21" s="43"/>
      <c r="D21" s="43"/>
      <c r="E21" s="43"/>
      <c r="F21" s="21"/>
      <c r="G21" s="30"/>
      <c r="H21" s="22"/>
      <c r="I21" s="22"/>
      <c r="J21" s="22"/>
      <c r="K21" s="22"/>
      <c r="L21" s="23"/>
      <c r="M21" s="25">
        <f t="shared" si="0"/>
        <v>0</v>
      </c>
      <c r="N21" s="25">
        <f t="shared" si="1"/>
        <v>0</v>
      </c>
      <c r="O21" s="25">
        <f t="shared" si="2"/>
        <v>0</v>
      </c>
      <c r="P21" s="25"/>
      <c r="Q21" s="25"/>
      <c r="R21" s="25"/>
      <c r="S21" s="26"/>
      <c r="T21" s="26"/>
      <c r="U21" s="26"/>
      <c r="V21" s="26"/>
      <c r="W21" s="26"/>
      <c r="X21" s="44"/>
      <c r="Y21" s="25"/>
      <c r="Z21" s="25"/>
      <c r="AA21" s="25"/>
      <c r="AB21" s="26"/>
      <c r="AC21" s="26"/>
      <c r="AD21" s="45"/>
      <c r="AE21" s="24">
        <f t="shared" si="3"/>
        <v>0</v>
      </c>
      <c r="AF21" s="27">
        <f>SUM(H21:K21)+AE21+O21</f>
        <v>0</v>
      </c>
    </row>
    <row r="22" spans="1:32" s="52" customFormat="1" ht="10.199999999999999" x14ac:dyDescent="0.2">
      <c r="A22" s="46"/>
      <c r="B22" s="47"/>
      <c r="C22" s="48"/>
      <c r="D22" s="49"/>
      <c r="E22" s="49"/>
      <c r="F22" s="50"/>
      <c r="G22" s="48"/>
      <c r="H22" s="51">
        <f t="shared" ref="H22:AF22" si="5">SUM(H5:H21)</f>
        <v>0</v>
      </c>
      <c r="I22" s="51">
        <f t="shared" si="5"/>
        <v>0</v>
      </c>
      <c r="J22" s="51">
        <f t="shared" si="5"/>
        <v>885.92</v>
      </c>
      <c r="K22" s="51">
        <f t="shared" si="5"/>
        <v>6289.45</v>
      </c>
      <c r="L22" s="51">
        <f t="shared" si="5"/>
        <v>0</v>
      </c>
      <c r="M22" s="51">
        <f t="shared" si="5"/>
        <v>6501.5003571428551</v>
      </c>
      <c r="N22" s="51">
        <f t="shared" si="5"/>
        <v>673.86964285714282</v>
      </c>
      <c r="O22" s="51">
        <f t="shared" si="5"/>
        <v>0</v>
      </c>
      <c r="P22" s="51">
        <f t="shared" si="5"/>
        <v>4671.79</v>
      </c>
      <c r="Q22" s="51">
        <f t="shared" si="5"/>
        <v>59.82</v>
      </c>
      <c r="R22" s="51">
        <f t="shared" si="5"/>
        <v>1292.8599999999999</v>
      </c>
      <c r="S22" s="51">
        <f t="shared" si="5"/>
        <v>54.02</v>
      </c>
      <c r="T22" s="51">
        <f t="shared" si="5"/>
        <v>0</v>
      </c>
      <c r="U22" s="51">
        <f t="shared" si="5"/>
        <v>0</v>
      </c>
      <c r="V22" s="51">
        <f t="shared" si="5"/>
        <v>0</v>
      </c>
      <c r="W22" s="51">
        <f t="shared" si="5"/>
        <v>0</v>
      </c>
      <c r="X22" s="51">
        <f t="shared" si="5"/>
        <v>0</v>
      </c>
      <c r="Y22" s="51">
        <f t="shared" si="5"/>
        <v>0</v>
      </c>
      <c r="Z22" s="51">
        <f t="shared" si="5"/>
        <v>423</v>
      </c>
      <c r="AA22" s="51">
        <f t="shared" si="5"/>
        <v>0</v>
      </c>
      <c r="AB22" s="51">
        <f t="shared" si="5"/>
        <v>0</v>
      </c>
      <c r="AC22" s="51">
        <f t="shared" si="5"/>
        <v>0</v>
      </c>
      <c r="AD22" s="51">
        <f t="shared" si="5"/>
        <v>0</v>
      </c>
      <c r="AE22" s="51">
        <f t="shared" si="5"/>
        <v>-7175.3596428571436</v>
      </c>
      <c r="AF22" s="51">
        <f t="shared" si="5"/>
        <v>1.0357142857198909E-2</v>
      </c>
    </row>
    <row r="27" spans="1:32" x14ac:dyDescent="0.3">
      <c r="Q27" s="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33"/>
  <sheetViews>
    <sheetView topLeftCell="A19" zoomScale="90" zoomScaleNormal="90" workbookViewId="0">
      <selection activeCell="G23" sqref="G23"/>
    </sheetView>
  </sheetViews>
  <sheetFormatPr defaultRowHeight="14.4" x14ac:dyDescent="0.3"/>
  <cols>
    <col min="1" max="1" width="8.109375" style="1" customWidth="1"/>
    <col min="2" max="2" width="7.21875" style="2" customWidth="1"/>
    <col min="3" max="3" width="23.21875" style="3" customWidth="1"/>
    <col min="4" max="4" width="13" style="4" customWidth="1"/>
    <col min="5" max="5" width="29.109375" style="4" customWidth="1"/>
    <col min="6" max="6" width="6.21875" style="2" customWidth="1"/>
    <col min="7" max="7" width="28.33203125" style="3" customWidth="1"/>
    <col min="8" max="8" width="11" style="5" customWidth="1"/>
    <col min="9" max="9" width="8.44140625" style="5" customWidth="1"/>
    <col min="10" max="10" width="8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9.44140625" style="5" customWidth="1"/>
    <col min="15" max="15" width="9" style="5" customWidth="1"/>
    <col min="16" max="16" width="9.88671875" style="5" customWidth="1"/>
    <col min="17" max="17" width="9.5546875" style="5" customWidth="1"/>
    <col min="18" max="18" width="10.6640625" style="5" customWidth="1"/>
    <col min="19" max="20" width="9.109375" style="5" customWidth="1"/>
    <col min="21" max="21" width="10.5546875" style="5" customWidth="1"/>
    <col min="22" max="22" width="8.109375" style="5" customWidth="1"/>
    <col min="23" max="23" width="9.88671875" style="5" customWidth="1"/>
    <col min="24" max="24" width="9.21875" style="5" customWidth="1"/>
    <col min="25" max="25" width="8.21875" style="5" customWidth="1"/>
    <col min="26" max="26" width="8.6640625" style="5" customWidth="1"/>
    <col min="27" max="27" width="9.5546875" style="5" customWidth="1"/>
    <col min="28" max="29" width="8" style="5" customWidth="1"/>
    <col min="30" max="30" width="10.109375" style="5" customWidth="1"/>
    <col min="31" max="31" width="10.6640625" style="5" customWidth="1"/>
    <col min="32" max="32" width="8.88671875" style="3" customWidth="1"/>
    <col min="33" max="1022" width="9.109375" style="3" customWidth="1"/>
    <col min="1023" max="1025" width="9.109375" customWidth="1"/>
  </cols>
  <sheetData>
    <row r="1" spans="1:1024" ht="12" customHeight="1" x14ac:dyDescent="0.3">
      <c r="A1" s="7" t="s">
        <v>0</v>
      </c>
      <c r="C1" s="8"/>
    </row>
    <row r="2" spans="1:1024" ht="12" customHeight="1" x14ac:dyDescent="0.3">
      <c r="A2" s="7" t="s">
        <v>1</v>
      </c>
    </row>
    <row r="3" spans="1:1024" ht="12" customHeight="1" x14ac:dyDescent="0.3">
      <c r="A3" s="7" t="s">
        <v>612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6212</v>
      </c>
      <c r="T3" s="10"/>
      <c r="U3" s="10"/>
      <c r="V3" s="10"/>
      <c r="W3" s="10"/>
      <c r="X3" s="10" t="s">
        <v>3</v>
      </c>
      <c r="Y3" s="10"/>
      <c r="Z3" s="10">
        <v>6230</v>
      </c>
      <c r="AA3" s="10" t="s">
        <v>4</v>
      </c>
      <c r="AB3" s="10">
        <v>6202</v>
      </c>
      <c r="AC3" s="10"/>
      <c r="AD3" s="10">
        <v>6109</v>
      </c>
      <c r="AE3" s="10">
        <v>1002</v>
      </c>
    </row>
    <row r="4" spans="1:1024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613</v>
      </c>
      <c r="S4" s="13" t="s">
        <v>24</v>
      </c>
      <c r="T4" s="13" t="s">
        <v>25</v>
      </c>
      <c r="U4" s="13" t="s">
        <v>23</v>
      </c>
      <c r="V4" s="13" t="s">
        <v>27</v>
      </c>
      <c r="W4" s="13" t="s">
        <v>28</v>
      </c>
      <c r="X4" s="13" t="s">
        <v>29</v>
      </c>
      <c r="Y4" s="13" t="s">
        <v>30</v>
      </c>
      <c r="Z4" s="13" t="s">
        <v>31</v>
      </c>
      <c r="AA4" s="13" t="s">
        <v>32</v>
      </c>
      <c r="AB4" s="14" t="s">
        <v>33</v>
      </c>
      <c r="AC4" s="13" t="s">
        <v>614</v>
      </c>
      <c r="AD4" s="15" t="s">
        <v>35</v>
      </c>
      <c r="AE4" s="16" t="s">
        <v>36</v>
      </c>
      <c r="AMI4"/>
      <c r="AMJ4"/>
    </row>
    <row r="5" spans="1:1024" s="29" customFormat="1" ht="23.25" customHeight="1" x14ac:dyDescent="0.3">
      <c r="A5" s="18">
        <v>44076</v>
      </c>
      <c r="B5" s="19"/>
      <c r="C5" s="20" t="s">
        <v>392</v>
      </c>
      <c r="D5" s="20" t="s">
        <v>615</v>
      </c>
      <c r="E5" s="20" t="s">
        <v>49</v>
      </c>
      <c r="F5" s="21">
        <v>255492</v>
      </c>
      <c r="G5" s="21" t="s">
        <v>616</v>
      </c>
      <c r="H5" s="22"/>
      <c r="I5" s="22"/>
      <c r="J5" s="22"/>
      <c r="K5" s="22">
        <v>517.5</v>
      </c>
      <c r="L5" s="23"/>
      <c r="M5" s="24">
        <f t="shared" ref="M5:M26" si="0">SUM(H5:J5,K5/1.12)</f>
        <v>462.05357142857139</v>
      </c>
      <c r="N5" s="24">
        <f t="shared" ref="N5:N26" si="1">K5/1.12*0.12</f>
        <v>55.446428571428562</v>
      </c>
      <c r="O5" s="24">
        <f t="shared" ref="O5:O26" si="2">-SUM(I5:J5,K5/1.12)*L5</f>
        <v>0</v>
      </c>
      <c r="P5" s="24">
        <v>462.05</v>
      </c>
      <c r="Q5" s="25"/>
      <c r="R5" s="25"/>
      <c r="S5" s="26"/>
      <c r="T5" s="26"/>
      <c r="U5" s="26"/>
      <c r="V5" s="26"/>
      <c r="W5" s="25"/>
      <c r="X5" s="25"/>
      <c r="Y5" s="25"/>
      <c r="Z5" s="25"/>
      <c r="AA5" s="26"/>
      <c r="AB5" s="26"/>
      <c r="AC5" s="25"/>
      <c r="AD5" s="25"/>
      <c r="AE5" s="24">
        <f t="shared" ref="AE5:AE26" si="3">-SUM(N5:AD5)</f>
        <v>-517.49642857142862</v>
      </c>
      <c r="AF5" s="27">
        <f t="shared" ref="AF5:AF23" si="4">SUM(H5:K5)+AE5+O5</f>
        <v>3.5714285713766003E-3</v>
      </c>
      <c r="AMI5"/>
      <c r="AMJ5"/>
    </row>
    <row r="6" spans="1:1024" s="29" customFormat="1" ht="23.25" customHeight="1" x14ac:dyDescent="0.3">
      <c r="A6" s="18">
        <v>44077</v>
      </c>
      <c r="B6" s="19"/>
      <c r="C6" s="20" t="s">
        <v>39</v>
      </c>
      <c r="D6" s="20" t="s">
        <v>40</v>
      </c>
      <c r="E6" s="20" t="s">
        <v>41</v>
      </c>
      <c r="F6" s="21">
        <v>38638</v>
      </c>
      <c r="G6" s="21" t="s">
        <v>617</v>
      </c>
      <c r="H6" s="22"/>
      <c r="I6" s="22"/>
      <c r="J6" s="22"/>
      <c r="K6" s="22">
        <v>216</v>
      </c>
      <c r="L6" s="23"/>
      <c r="M6" s="24">
        <f t="shared" si="0"/>
        <v>192.85714285714283</v>
      </c>
      <c r="N6" s="24">
        <f t="shared" si="1"/>
        <v>23.142857142857139</v>
      </c>
      <c r="O6" s="24">
        <f t="shared" si="2"/>
        <v>0</v>
      </c>
      <c r="P6" s="24">
        <v>192.86</v>
      </c>
      <c r="Q6" s="25"/>
      <c r="R6" s="25"/>
      <c r="S6" s="26"/>
      <c r="T6" s="26"/>
      <c r="U6" s="26"/>
      <c r="V6" s="26"/>
      <c r="W6" s="25"/>
      <c r="X6" s="25"/>
      <c r="Y6" s="25"/>
      <c r="Z6" s="25"/>
      <c r="AA6" s="26"/>
      <c r="AB6" s="26"/>
      <c r="AC6" s="25"/>
      <c r="AD6" s="25"/>
      <c r="AE6" s="24">
        <f t="shared" si="3"/>
        <v>-216.00285714285715</v>
      </c>
      <c r="AF6" s="27">
        <f t="shared" si="4"/>
        <v>-2.8571428571524393E-3</v>
      </c>
      <c r="AMI6"/>
      <c r="AMJ6"/>
    </row>
    <row r="7" spans="1:1024" s="29" customFormat="1" ht="23.25" customHeight="1" x14ac:dyDescent="0.3">
      <c r="A7" s="18">
        <v>44076</v>
      </c>
      <c r="B7" s="19"/>
      <c r="C7" s="20" t="s">
        <v>106</v>
      </c>
      <c r="D7" s="20" t="s">
        <v>107</v>
      </c>
      <c r="E7" s="20" t="s">
        <v>49</v>
      </c>
      <c r="F7" s="21">
        <v>816414</v>
      </c>
      <c r="G7" s="21" t="s">
        <v>618</v>
      </c>
      <c r="H7" s="22"/>
      <c r="I7" s="22"/>
      <c r="J7" s="22"/>
      <c r="K7" s="22">
        <v>130</v>
      </c>
      <c r="L7" s="23"/>
      <c r="M7" s="24">
        <f t="shared" si="0"/>
        <v>116.07142857142856</v>
      </c>
      <c r="N7" s="24">
        <f t="shared" si="1"/>
        <v>13.928571428571425</v>
      </c>
      <c r="O7" s="24">
        <f t="shared" si="2"/>
        <v>0</v>
      </c>
      <c r="P7" s="24"/>
      <c r="Q7" s="25"/>
      <c r="R7" s="25"/>
      <c r="S7" s="26">
        <v>116.07</v>
      </c>
      <c r="T7" s="26"/>
      <c r="U7" s="26"/>
      <c r="V7" s="26"/>
      <c r="W7" s="25"/>
      <c r="X7" s="25"/>
      <c r="Y7" s="25"/>
      <c r="Z7" s="25"/>
      <c r="AA7" s="26"/>
      <c r="AB7" s="26"/>
      <c r="AC7" s="25"/>
      <c r="AD7" s="25"/>
      <c r="AE7" s="24">
        <f t="shared" si="3"/>
        <v>-129.99857142857141</v>
      </c>
      <c r="AF7" s="27">
        <f t="shared" si="4"/>
        <v>1.4285714285904305E-3</v>
      </c>
      <c r="AMI7"/>
      <c r="AMJ7"/>
    </row>
    <row r="8" spans="1:1024" s="29" customFormat="1" ht="23.25" customHeight="1" x14ac:dyDescent="0.3">
      <c r="A8" s="18">
        <v>44076</v>
      </c>
      <c r="B8" s="19"/>
      <c r="C8" s="20" t="s">
        <v>39</v>
      </c>
      <c r="D8" s="20" t="s">
        <v>40</v>
      </c>
      <c r="E8" s="20" t="s">
        <v>41</v>
      </c>
      <c r="F8" s="21">
        <v>167707</v>
      </c>
      <c r="G8" s="21" t="s">
        <v>193</v>
      </c>
      <c r="H8" s="22"/>
      <c r="I8" s="22"/>
      <c r="J8" s="22"/>
      <c r="K8" s="22">
        <v>158</v>
      </c>
      <c r="L8" s="23"/>
      <c r="M8" s="24">
        <f t="shared" si="0"/>
        <v>141.07142857142856</v>
      </c>
      <c r="N8" s="24">
        <f t="shared" si="1"/>
        <v>16.928571428571427</v>
      </c>
      <c r="O8" s="24">
        <f t="shared" si="2"/>
        <v>0</v>
      </c>
      <c r="P8" s="24"/>
      <c r="Q8" s="25"/>
      <c r="R8" s="25">
        <v>141.07</v>
      </c>
      <c r="S8" s="26"/>
      <c r="T8" s="26"/>
      <c r="U8" s="26"/>
      <c r="V8" s="26"/>
      <c r="W8" s="25"/>
      <c r="X8" s="25"/>
      <c r="Y8" s="25"/>
      <c r="Z8" s="25"/>
      <c r="AA8" s="26"/>
      <c r="AB8" s="26"/>
      <c r="AC8" s="25"/>
      <c r="AD8" s="25"/>
      <c r="AE8" s="24">
        <f t="shared" si="3"/>
        <v>-157.99857142857141</v>
      </c>
      <c r="AF8" s="27">
        <f t="shared" si="4"/>
        <v>1.4285714285904305E-3</v>
      </c>
      <c r="AMI8"/>
      <c r="AMJ8"/>
    </row>
    <row r="9" spans="1:1024" s="29" customFormat="1" ht="23.25" customHeight="1" x14ac:dyDescent="0.3">
      <c r="A9" s="18">
        <v>44077</v>
      </c>
      <c r="B9" s="19"/>
      <c r="C9" s="20" t="s">
        <v>39</v>
      </c>
      <c r="D9" s="20" t="s">
        <v>40</v>
      </c>
      <c r="E9" s="20" t="s">
        <v>41</v>
      </c>
      <c r="F9" s="21">
        <v>38640</v>
      </c>
      <c r="G9" s="21" t="s">
        <v>619</v>
      </c>
      <c r="H9" s="22"/>
      <c r="I9" s="22"/>
      <c r="J9" s="22"/>
      <c r="K9" s="22">
        <v>735</v>
      </c>
      <c r="L9" s="23"/>
      <c r="M9" s="24">
        <f t="shared" si="0"/>
        <v>656.24999999999989</v>
      </c>
      <c r="N9" s="24">
        <f t="shared" si="1"/>
        <v>78.749999999999986</v>
      </c>
      <c r="O9" s="24">
        <f t="shared" si="2"/>
        <v>0</v>
      </c>
      <c r="P9" s="24">
        <v>656.25</v>
      </c>
      <c r="Q9" s="25"/>
      <c r="R9" s="25"/>
      <c r="S9" s="26"/>
      <c r="T9" s="26"/>
      <c r="U9" s="26"/>
      <c r="V9" s="26"/>
      <c r="W9" s="25"/>
      <c r="X9" s="25"/>
      <c r="Y9" s="25"/>
      <c r="Z9" s="25"/>
      <c r="AA9" s="26"/>
      <c r="AB9" s="26"/>
      <c r="AC9" s="25"/>
      <c r="AD9" s="25"/>
      <c r="AE9" s="24">
        <f t="shared" si="3"/>
        <v>-735</v>
      </c>
      <c r="AF9" s="27">
        <f t="shared" si="4"/>
        <v>0</v>
      </c>
      <c r="AMI9"/>
      <c r="AMJ9"/>
    </row>
    <row r="10" spans="1:1024" s="29" customFormat="1" ht="27.75" customHeight="1" x14ac:dyDescent="0.3">
      <c r="A10" s="18">
        <v>44077</v>
      </c>
      <c r="B10" s="19"/>
      <c r="C10" s="20" t="s">
        <v>549</v>
      </c>
      <c r="D10" s="20"/>
      <c r="E10" s="20"/>
      <c r="F10" s="21"/>
      <c r="G10" s="21" t="s">
        <v>620</v>
      </c>
      <c r="H10" s="22"/>
      <c r="I10" s="22"/>
      <c r="J10" s="22">
        <v>1175</v>
      </c>
      <c r="K10" s="22"/>
      <c r="L10" s="23"/>
      <c r="M10" s="24">
        <f t="shared" si="0"/>
        <v>1175</v>
      </c>
      <c r="N10" s="24">
        <f t="shared" si="1"/>
        <v>0</v>
      </c>
      <c r="O10" s="24">
        <f t="shared" si="2"/>
        <v>0</v>
      </c>
      <c r="P10" s="24">
        <v>1175</v>
      </c>
      <c r="Q10" s="25"/>
      <c r="R10" s="25"/>
      <c r="S10" s="26"/>
      <c r="T10" s="26"/>
      <c r="U10" s="26"/>
      <c r="V10" s="26"/>
      <c r="W10" s="25"/>
      <c r="X10" s="25"/>
      <c r="Y10" s="25"/>
      <c r="Z10" s="25"/>
      <c r="AA10" s="26"/>
      <c r="AB10" s="26"/>
      <c r="AC10" s="25"/>
      <c r="AD10" s="25"/>
      <c r="AE10" s="24">
        <f t="shared" si="3"/>
        <v>-1175</v>
      </c>
      <c r="AF10" s="27">
        <f t="shared" si="4"/>
        <v>0</v>
      </c>
      <c r="AMI10"/>
      <c r="AMJ10"/>
    </row>
    <row r="11" spans="1:1024" s="29" customFormat="1" ht="23.25" customHeight="1" x14ac:dyDescent="0.3">
      <c r="A11" s="18">
        <v>44077</v>
      </c>
      <c r="B11" s="19"/>
      <c r="C11" s="20" t="s">
        <v>60</v>
      </c>
      <c r="D11" s="20"/>
      <c r="E11" s="20"/>
      <c r="F11" s="21"/>
      <c r="G11" s="21" t="s">
        <v>439</v>
      </c>
      <c r="H11" s="22"/>
      <c r="I11" s="22"/>
      <c r="J11" s="22">
        <v>25</v>
      </c>
      <c r="K11" s="22"/>
      <c r="L11" s="23"/>
      <c r="M11" s="24">
        <f t="shared" si="0"/>
        <v>25</v>
      </c>
      <c r="N11" s="24">
        <f t="shared" si="1"/>
        <v>0</v>
      </c>
      <c r="O11" s="24">
        <f t="shared" si="2"/>
        <v>0</v>
      </c>
      <c r="P11" s="24"/>
      <c r="Q11" s="25"/>
      <c r="R11" s="25"/>
      <c r="S11" s="26"/>
      <c r="T11" s="26"/>
      <c r="U11" s="26"/>
      <c r="V11" s="26"/>
      <c r="W11" s="25"/>
      <c r="X11" s="25"/>
      <c r="Y11" s="25"/>
      <c r="Z11" s="25">
        <v>25</v>
      </c>
      <c r="AA11" s="26"/>
      <c r="AB11" s="26"/>
      <c r="AC11" s="25"/>
      <c r="AD11" s="25"/>
      <c r="AE11" s="24">
        <f t="shared" si="3"/>
        <v>-25</v>
      </c>
      <c r="AF11" s="27">
        <f t="shared" si="4"/>
        <v>0</v>
      </c>
      <c r="AMI11"/>
      <c r="AMJ11"/>
    </row>
    <row r="12" spans="1:1024" s="29" customFormat="1" ht="23.25" customHeight="1" x14ac:dyDescent="0.3">
      <c r="A12" s="18">
        <v>44078</v>
      </c>
      <c r="B12" s="19"/>
      <c r="C12" s="20" t="s">
        <v>522</v>
      </c>
      <c r="D12" s="20" t="s">
        <v>225</v>
      </c>
      <c r="E12" s="20" t="s">
        <v>523</v>
      </c>
      <c r="F12" s="21">
        <v>2543546</v>
      </c>
      <c r="G12" s="21" t="s">
        <v>621</v>
      </c>
      <c r="H12" s="22"/>
      <c r="I12" s="22"/>
      <c r="J12" s="22"/>
      <c r="K12" s="22">
        <v>42</v>
      </c>
      <c r="L12" s="23"/>
      <c r="M12" s="24">
        <f t="shared" si="0"/>
        <v>37.499999999999993</v>
      </c>
      <c r="N12" s="24">
        <f t="shared" si="1"/>
        <v>4.4999999999999991</v>
      </c>
      <c r="O12" s="24">
        <f t="shared" si="2"/>
        <v>0</v>
      </c>
      <c r="P12" s="25"/>
      <c r="Q12" s="25">
        <v>37.5</v>
      </c>
      <c r="R12" s="25"/>
      <c r="S12" s="26"/>
      <c r="T12" s="26"/>
      <c r="U12" s="26"/>
      <c r="V12" s="26"/>
      <c r="W12" s="25"/>
      <c r="X12" s="25"/>
      <c r="Y12" s="25"/>
      <c r="Z12" s="25"/>
      <c r="AA12" s="26"/>
      <c r="AB12" s="26"/>
      <c r="AC12" s="25"/>
      <c r="AD12" s="25"/>
      <c r="AE12" s="24">
        <f t="shared" si="3"/>
        <v>-42</v>
      </c>
      <c r="AF12" s="27">
        <f t="shared" si="4"/>
        <v>0</v>
      </c>
      <c r="AMI12"/>
      <c r="AMJ12"/>
    </row>
    <row r="13" spans="1:1024" s="29" customFormat="1" ht="23.25" customHeight="1" x14ac:dyDescent="0.3">
      <c r="A13" s="18">
        <v>44078</v>
      </c>
      <c r="B13" s="19"/>
      <c r="C13" s="20" t="s">
        <v>622</v>
      </c>
      <c r="D13" s="20" t="s">
        <v>214</v>
      </c>
      <c r="E13" s="20" t="s">
        <v>49</v>
      </c>
      <c r="F13" s="21">
        <v>202475</v>
      </c>
      <c r="G13" s="21" t="s">
        <v>623</v>
      </c>
      <c r="H13" s="22"/>
      <c r="I13" s="22"/>
      <c r="J13" s="22"/>
      <c r="K13" s="22">
        <v>1030</v>
      </c>
      <c r="L13" s="23"/>
      <c r="M13" s="24">
        <f t="shared" si="0"/>
        <v>919.64285714285711</v>
      </c>
      <c r="N13" s="24">
        <f t="shared" si="1"/>
        <v>110.35714285714285</v>
      </c>
      <c r="O13" s="24">
        <f t="shared" si="2"/>
        <v>0</v>
      </c>
      <c r="P13" s="24"/>
      <c r="Q13" s="25"/>
      <c r="R13" s="25"/>
      <c r="S13" s="26"/>
      <c r="T13" s="26"/>
      <c r="U13" s="26">
        <v>919.64</v>
      </c>
      <c r="V13" s="26"/>
      <c r="W13" s="25"/>
      <c r="X13" s="25"/>
      <c r="Y13" s="25"/>
      <c r="Z13" s="25"/>
      <c r="AA13" s="26"/>
      <c r="AB13" s="26"/>
      <c r="AC13" s="25"/>
      <c r="AD13" s="25"/>
      <c r="AE13" s="24">
        <f t="shared" si="3"/>
        <v>-1029.9971428571428</v>
      </c>
      <c r="AF13" s="27">
        <f t="shared" si="4"/>
        <v>2.8571428572377044E-3</v>
      </c>
      <c r="AMI13"/>
      <c r="AMJ13"/>
    </row>
    <row r="14" spans="1:1024" s="29" customFormat="1" ht="23.25" customHeight="1" x14ac:dyDescent="0.3">
      <c r="A14" s="18">
        <v>44077</v>
      </c>
      <c r="B14" s="19"/>
      <c r="C14" s="20" t="s">
        <v>60</v>
      </c>
      <c r="D14" s="20"/>
      <c r="E14" s="20"/>
      <c r="F14" s="21"/>
      <c r="G14" s="21" t="s">
        <v>474</v>
      </c>
      <c r="H14" s="22"/>
      <c r="I14" s="22"/>
      <c r="J14" s="22">
        <v>55</v>
      </c>
      <c r="K14" s="22"/>
      <c r="L14" s="23"/>
      <c r="M14" s="24">
        <f t="shared" si="0"/>
        <v>55</v>
      </c>
      <c r="N14" s="24">
        <f t="shared" si="1"/>
        <v>0</v>
      </c>
      <c r="O14" s="24">
        <f t="shared" si="2"/>
        <v>0</v>
      </c>
      <c r="P14" s="24"/>
      <c r="Q14" s="25"/>
      <c r="R14" s="25"/>
      <c r="S14" s="26"/>
      <c r="T14" s="26"/>
      <c r="U14" s="26"/>
      <c r="V14" s="26"/>
      <c r="W14" s="25"/>
      <c r="X14" s="25"/>
      <c r="Y14" s="25"/>
      <c r="Z14" s="25">
        <v>55</v>
      </c>
      <c r="AA14" s="26"/>
      <c r="AB14" s="26"/>
      <c r="AC14" s="25"/>
      <c r="AD14" s="25"/>
      <c r="AE14" s="24">
        <f t="shared" si="3"/>
        <v>-55</v>
      </c>
      <c r="AF14" s="27">
        <f t="shared" si="4"/>
        <v>0</v>
      </c>
      <c r="AMI14"/>
      <c r="AMJ14"/>
    </row>
    <row r="15" spans="1:1024" s="29" customFormat="1" ht="23.25" customHeight="1" x14ac:dyDescent="0.3">
      <c r="A15" s="18">
        <v>44078</v>
      </c>
      <c r="B15" s="19"/>
      <c r="C15" s="20" t="s">
        <v>47</v>
      </c>
      <c r="D15" s="20" t="s">
        <v>490</v>
      </c>
      <c r="E15" s="20" t="s">
        <v>519</v>
      </c>
      <c r="F15" s="21"/>
      <c r="G15" s="21" t="s">
        <v>624</v>
      </c>
      <c r="H15" s="22"/>
      <c r="I15" s="22"/>
      <c r="J15" s="22"/>
      <c r="K15" s="22">
        <v>282.5</v>
      </c>
      <c r="L15" s="23"/>
      <c r="M15" s="24">
        <f t="shared" si="0"/>
        <v>252.23214285714283</v>
      </c>
      <c r="N15" s="24">
        <f t="shared" si="1"/>
        <v>30.267857142857139</v>
      </c>
      <c r="O15" s="24">
        <f t="shared" si="2"/>
        <v>0</v>
      </c>
      <c r="P15" s="24"/>
      <c r="Q15" s="25">
        <v>252.23</v>
      </c>
      <c r="R15" s="25"/>
      <c r="S15" s="26"/>
      <c r="T15" s="26"/>
      <c r="U15" s="26"/>
      <c r="V15" s="26"/>
      <c r="W15" s="25"/>
      <c r="X15" s="25"/>
      <c r="Y15" s="25"/>
      <c r="Z15" s="25"/>
      <c r="AA15" s="26"/>
      <c r="AB15" s="26"/>
      <c r="AC15" s="25"/>
      <c r="AD15" s="25"/>
      <c r="AE15" s="24">
        <f t="shared" si="3"/>
        <v>-282.49785714285713</v>
      </c>
      <c r="AF15" s="27">
        <f t="shared" si="4"/>
        <v>2.1428571428714349E-3</v>
      </c>
      <c r="AMI15"/>
      <c r="AMJ15"/>
    </row>
    <row r="16" spans="1:1024" s="29" customFormat="1" ht="23.25" customHeight="1" x14ac:dyDescent="0.3">
      <c r="A16" s="18">
        <v>44078</v>
      </c>
      <c r="B16" s="19"/>
      <c r="C16" s="20" t="s">
        <v>47</v>
      </c>
      <c r="D16" s="20" t="s">
        <v>490</v>
      </c>
      <c r="E16" s="20" t="s">
        <v>519</v>
      </c>
      <c r="F16" s="21"/>
      <c r="G16" s="21" t="s">
        <v>625</v>
      </c>
      <c r="H16" s="22"/>
      <c r="I16" s="22"/>
      <c r="J16" s="22">
        <v>323.14999999999998</v>
      </c>
      <c r="K16" s="22"/>
      <c r="L16" s="23"/>
      <c r="M16" s="24">
        <f t="shared" si="0"/>
        <v>323.14999999999998</v>
      </c>
      <c r="N16" s="24">
        <f t="shared" si="1"/>
        <v>0</v>
      </c>
      <c r="O16" s="24">
        <f t="shared" si="2"/>
        <v>0</v>
      </c>
      <c r="P16" s="24">
        <v>323.14999999999998</v>
      </c>
      <c r="Q16" s="25"/>
      <c r="R16" s="25"/>
      <c r="S16" s="26"/>
      <c r="T16" s="26"/>
      <c r="U16" s="26"/>
      <c r="V16" s="26"/>
      <c r="W16" s="25"/>
      <c r="X16" s="25"/>
      <c r="Y16" s="25"/>
      <c r="Z16" s="25"/>
      <c r="AA16" s="26"/>
      <c r="AB16" s="26"/>
      <c r="AC16" s="25"/>
      <c r="AD16" s="25"/>
      <c r="AE16" s="24">
        <f t="shared" si="3"/>
        <v>-323.14999999999998</v>
      </c>
      <c r="AF16" s="27">
        <f t="shared" si="4"/>
        <v>0</v>
      </c>
      <c r="AMI16"/>
      <c r="AMJ16"/>
    </row>
    <row r="17" spans="1:1024" s="29" customFormat="1" ht="23.25" customHeight="1" x14ac:dyDescent="0.3">
      <c r="A17" s="18">
        <v>44078</v>
      </c>
      <c r="B17" s="19"/>
      <c r="C17" s="20" t="s">
        <v>47</v>
      </c>
      <c r="D17" s="20" t="s">
        <v>490</v>
      </c>
      <c r="E17" s="20" t="s">
        <v>519</v>
      </c>
      <c r="F17" s="21"/>
      <c r="G17" s="21" t="s">
        <v>626</v>
      </c>
      <c r="H17" s="22"/>
      <c r="I17" s="22"/>
      <c r="J17" s="22"/>
      <c r="K17" s="22">
        <v>3505.45</v>
      </c>
      <c r="L17" s="23"/>
      <c r="M17" s="24">
        <f t="shared" si="0"/>
        <v>3129.8660714285711</v>
      </c>
      <c r="N17" s="24">
        <f t="shared" si="1"/>
        <v>375.58392857142854</v>
      </c>
      <c r="O17" s="24">
        <f t="shared" si="2"/>
        <v>0</v>
      </c>
      <c r="P17" s="24">
        <v>3129.87</v>
      </c>
      <c r="Q17" s="25"/>
      <c r="R17" s="25"/>
      <c r="S17" s="26"/>
      <c r="T17" s="26"/>
      <c r="U17" s="26"/>
      <c r="V17" s="26"/>
      <c r="W17" s="25"/>
      <c r="X17" s="25"/>
      <c r="Y17" s="25"/>
      <c r="Z17" s="25"/>
      <c r="AA17" s="26"/>
      <c r="AB17" s="26"/>
      <c r="AC17" s="25"/>
      <c r="AD17" s="25"/>
      <c r="AE17" s="24">
        <f t="shared" si="3"/>
        <v>-3505.4539285714286</v>
      </c>
      <c r="AF17" s="27">
        <f t="shared" si="4"/>
        <v>-3.9285714287871087E-3</v>
      </c>
      <c r="AMI17"/>
      <c r="AMJ17"/>
    </row>
    <row r="18" spans="1:1024" s="29" customFormat="1" ht="23.25" customHeight="1" x14ac:dyDescent="0.3">
      <c r="A18" s="18">
        <v>44078</v>
      </c>
      <c r="B18" s="19"/>
      <c r="C18" s="20" t="s">
        <v>62</v>
      </c>
      <c r="D18" s="20"/>
      <c r="E18" s="20"/>
      <c r="F18" s="21"/>
      <c r="G18" s="21" t="s">
        <v>627</v>
      </c>
      <c r="H18" s="22"/>
      <c r="I18" s="22"/>
      <c r="J18" s="22">
        <v>67.5</v>
      </c>
      <c r="K18" s="22"/>
      <c r="L18" s="23"/>
      <c r="M18" s="24">
        <f t="shared" si="0"/>
        <v>67.5</v>
      </c>
      <c r="N18" s="24">
        <f t="shared" si="1"/>
        <v>0</v>
      </c>
      <c r="O18" s="24">
        <f t="shared" si="2"/>
        <v>0</v>
      </c>
      <c r="P18" s="24"/>
      <c r="Q18" s="25"/>
      <c r="R18" s="25"/>
      <c r="S18" s="26"/>
      <c r="T18" s="26"/>
      <c r="U18" s="26"/>
      <c r="V18" s="26"/>
      <c r="W18" s="25"/>
      <c r="X18" s="25"/>
      <c r="Y18" s="25"/>
      <c r="Z18" s="25">
        <v>67.5</v>
      </c>
      <c r="AA18" s="26"/>
      <c r="AB18" s="26"/>
      <c r="AC18" s="25"/>
      <c r="AD18" s="25"/>
      <c r="AE18" s="24">
        <f t="shared" si="3"/>
        <v>-67.5</v>
      </c>
      <c r="AF18" s="27">
        <f t="shared" si="4"/>
        <v>0</v>
      </c>
      <c r="AMI18"/>
      <c r="AMJ18"/>
    </row>
    <row r="19" spans="1:1024" s="29" customFormat="1" ht="23.25" customHeight="1" x14ac:dyDescent="0.3">
      <c r="A19" s="18">
        <v>44078</v>
      </c>
      <c r="B19" s="19"/>
      <c r="C19" s="20" t="s">
        <v>409</v>
      </c>
      <c r="D19" s="20" t="s">
        <v>410</v>
      </c>
      <c r="E19" s="20" t="s">
        <v>628</v>
      </c>
      <c r="F19" s="21"/>
      <c r="G19" s="21" t="s">
        <v>629</v>
      </c>
      <c r="H19" s="22"/>
      <c r="I19" s="22"/>
      <c r="J19" s="22">
        <v>6532</v>
      </c>
      <c r="K19" s="22"/>
      <c r="L19" s="23"/>
      <c r="M19" s="24">
        <f t="shared" si="0"/>
        <v>6532</v>
      </c>
      <c r="N19" s="24">
        <f t="shared" si="1"/>
        <v>0</v>
      </c>
      <c r="O19" s="24">
        <f t="shared" si="2"/>
        <v>0</v>
      </c>
      <c r="P19" s="24">
        <v>6532</v>
      </c>
      <c r="Q19" s="25"/>
      <c r="R19" s="25"/>
      <c r="S19" s="26"/>
      <c r="T19" s="26"/>
      <c r="U19" s="26"/>
      <c r="V19" s="26"/>
      <c r="W19" s="25"/>
      <c r="X19" s="25"/>
      <c r="Y19" s="25"/>
      <c r="Z19" s="25"/>
      <c r="AA19" s="26"/>
      <c r="AB19" s="26"/>
      <c r="AC19" s="25"/>
      <c r="AD19" s="25"/>
      <c r="AE19" s="24">
        <f t="shared" si="3"/>
        <v>-6532</v>
      </c>
      <c r="AF19" s="27">
        <f t="shared" si="4"/>
        <v>0</v>
      </c>
      <c r="AMI19"/>
      <c r="AMJ19"/>
    </row>
    <row r="20" spans="1:1024" s="29" customFormat="1" ht="27.75" customHeight="1" x14ac:dyDescent="0.3">
      <c r="A20" s="18">
        <v>44081</v>
      </c>
      <c r="B20" s="19"/>
      <c r="C20" s="20" t="s">
        <v>630</v>
      </c>
      <c r="D20" s="20" t="s">
        <v>631</v>
      </c>
      <c r="E20" s="20" t="s">
        <v>632</v>
      </c>
      <c r="F20" s="21"/>
      <c r="G20" s="21" t="s">
        <v>597</v>
      </c>
      <c r="H20" s="22"/>
      <c r="I20" s="22"/>
      <c r="J20" s="22">
        <v>280</v>
      </c>
      <c r="K20" s="22"/>
      <c r="L20" s="23"/>
      <c r="M20" s="24">
        <f t="shared" si="0"/>
        <v>280</v>
      </c>
      <c r="N20" s="24">
        <f t="shared" si="1"/>
        <v>0</v>
      </c>
      <c r="O20" s="24">
        <f t="shared" si="2"/>
        <v>0</v>
      </c>
      <c r="P20" s="24">
        <v>280</v>
      </c>
      <c r="Q20" s="25"/>
      <c r="R20" s="25"/>
      <c r="S20" s="26"/>
      <c r="T20" s="26"/>
      <c r="U20" s="26"/>
      <c r="V20" s="26"/>
      <c r="W20" s="25"/>
      <c r="X20" s="25"/>
      <c r="Y20" s="25"/>
      <c r="Z20" s="25"/>
      <c r="AA20" s="26"/>
      <c r="AB20" s="26"/>
      <c r="AC20" s="25"/>
      <c r="AD20" s="25"/>
      <c r="AE20" s="24">
        <f t="shared" si="3"/>
        <v>-280</v>
      </c>
      <c r="AF20" s="27">
        <f t="shared" si="4"/>
        <v>0</v>
      </c>
      <c r="AMI20"/>
      <c r="AMJ20"/>
    </row>
    <row r="21" spans="1:1024" s="29" customFormat="1" ht="23.25" customHeight="1" x14ac:dyDescent="0.3">
      <c r="A21" s="18">
        <v>44081</v>
      </c>
      <c r="B21" s="19"/>
      <c r="C21" s="20" t="s">
        <v>45</v>
      </c>
      <c r="D21" s="20"/>
      <c r="E21" s="20"/>
      <c r="F21" s="21"/>
      <c r="G21" s="21" t="s">
        <v>633</v>
      </c>
      <c r="H21" s="22"/>
      <c r="I21" s="22"/>
      <c r="J21" s="22">
        <v>50</v>
      </c>
      <c r="K21" s="22"/>
      <c r="L21" s="23"/>
      <c r="M21" s="24">
        <f t="shared" si="0"/>
        <v>50</v>
      </c>
      <c r="N21" s="24">
        <f t="shared" si="1"/>
        <v>0</v>
      </c>
      <c r="O21" s="24">
        <f t="shared" si="2"/>
        <v>0</v>
      </c>
      <c r="P21" s="24"/>
      <c r="Q21" s="25"/>
      <c r="R21" s="25"/>
      <c r="S21" s="26"/>
      <c r="T21" s="26"/>
      <c r="U21" s="26"/>
      <c r="V21" s="26"/>
      <c r="W21" s="25"/>
      <c r="X21" s="25"/>
      <c r="Y21" s="25"/>
      <c r="Z21" s="25">
        <v>50</v>
      </c>
      <c r="AA21" s="26"/>
      <c r="AB21" s="26"/>
      <c r="AC21" s="25"/>
      <c r="AD21" s="25"/>
      <c r="AE21" s="24">
        <f t="shared" si="3"/>
        <v>-50</v>
      </c>
      <c r="AF21" s="27">
        <f t="shared" si="4"/>
        <v>0</v>
      </c>
      <c r="AMI21"/>
      <c r="AMJ21"/>
    </row>
    <row r="22" spans="1:1024" s="29" customFormat="1" ht="23.25" customHeight="1" x14ac:dyDescent="0.3">
      <c r="A22" s="18">
        <v>44081</v>
      </c>
      <c r="B22" s="19"/>
      <c r="C22" s="20" t="s">
        <v>39</v>
      </c>
      <c r="D22" s="20" t="s">
        <v>40</v>
      </c>
      <c r="E22" s="20" t="s">
        <v>41</v>
      </c>
      <c r="F22" s="21"/>
      <c r="G22" s="21" t="s">
        <v>634</v>
      </c>
      <c r="H22" s="22"/>
      <c r="I22" s="22"/>
      <c r="J22" s="22"/>
      <c r="K22" s="22">
        <v>257</v>
      </c>
      <c r="L22" s="23"/>
      <c r="M22" s="24">
        <f t="shared" si="0"/>
        <v>229.46428571428569</v>
      </c>
      <c r="N22" s="24">
        <f t="shared" si="1"/>
        <v>27.535714285714281</v>
      </c>
      <c r="O22" s="24">
        <f t="shared" si="2"/>
        <v>0</v>
      </c>
      <c r="P22" s="25">
        <v>229.46</v>
      </c>
      <c r="Q22" s="25"/>
      <c r="R22" s="25"/>
      <c r="S22" s="26"/>
      <c r="T22" s="26"/>
      <c r="U22" s="26"/>
      <c r="V22" s="26"/>
      <c r="W22" s="25"/>
      <c r="X22" s="25"/>
      <c r="Y22" s="25"/>
      <c r="Z22" s="25"/>
      <c r="AA22" s="26"/>
      <c r="AB22" s="26"/>
      <c r="AC22" s="25"/>
      <c r="AD22" s="25"/>
      <c r="AE22" s="24">
        <f t="shared" si="3"/>
        <v>-256.99571428571431</v>
      </c>
      <c r="AF22" s="27">
        <f t="shared" si="4"/>
        <v>4.2857142856860264E-3</v>
      </c>
      <c r="AMI22"/>
      <c r="AMJ22"/>
    </row>
    <row r="23" spans="1:1024" s="29" customFormat="1" ht="23.25" customHeight="1" x14ac:dyDescent="0.3">
      <c r="A23" s="18">
        <v>44082</v>
      </c>
      <c r="B23" s="19"/>
      <c r="C23" s="20" t="s">
        <v>530</v>
      </c>
      <c r="D23" s="20" t="s">
        <v>107</v>
      </c>
      <c r="E23" s="20" t="s">
        <v>41</v>
      </c>
      <c r="F23" s="21"/>
      <c r="G23" s="21" t="s">
        <v>635</v>
      </c>
      <c r="H23" s="22"/>
      <c r="I23" s="22"/>
      <c r="J23" s="22"/>
      <c r="K23" s="22">
        <v>147</v>
      </c>
      <c r="L23" s="23"/>
      <c r="M23" s="24">
        <f t="shared" si="0"/>
        <v>131.25</v>
      </c>
      <c r="N23" s="24">
        <f t="shared" si="1"/>
        <v>15.75</v>
      </c>
      <c r="O23" s="24">
        <f t="shared" si="2"/>
        <v>0</v>
      </c>
      <c r="P23" s="24"/>
      <c r="Q23" s="25"/>
      <c r="R23" s="25"/>
      <c r="S23" s="26">
        <v>131.25</v>
      </c>
      <c r="T23" s="26"/>
      <c r="U23" s="26"/>
      <c r="V23" s="26"/>
      <c r="W23" s="25"/>
      <c r="X23" s="25"/>
      <c r="Y23" s="25"/>
      <c r="Z23" s="25"/>
      <c r="AA23" s="26"/>
      <c r="AB23" s="26"/>
      <c r="AC23" s="25"/>
      <c r="AD23" s="25"/>
      <c r="AE23" s="24">
        <f t="shared" si="3"/>
        <v>-147</v>
      </c>
      <c r="AF23" s="27">
        <f t="shared" si="4"/>
        <v>0</v>
      </c>
      <c r="AMI23"/>
      <c r="AMJ23"/>
    </row>
    <row r="24" spans="1:1024" s="29" customFormat="1" ht="23.25" customHeight="1" x14ac:dyDescent="0.3">
      <c r="A24" s="18"/>
      <c r="B24" s="19"/>
      <c r="C24" s="20"/>
      <c r="D24" s="20"/>
      <c r="E24" s="20"/>
      <c r="F24" s="21"/>
      <c r="G24" s="21"/>
      <c r="H24" s="22"/>
      <c r="I24" s="22"/>
      <c r="J24" s="22"/>
      <c r="K24" s="22"/>
      <c r="L24" s="23"/>
      <c r="M24" s="24">
        <f t="shared" si="0"/>
        <v>0</v>
      </c>
      <c r="N24" s="24">
        <f t="shared" si="1"/>
        <v>0</v>
      </c>
      <c r="O24" s="24">
        <f t="shared" si="2"/>
        <v>0</v>
      </c>
      <c r="P24" s="24"/>
      <c r="Q24" s="25"/>
      <c r="R24" s="25"/>
      <c r="S24" s="26"/>
      <c r="T24" s="26"/>
      <c r="U24" s="26"/>
      <c r="V24" s="26"/>
      <c r="W24" s="25"/>
      <c r="X24" s="25"/>
      <c r="Y24" s="25"/>
      <c r="Z24" s="25"/>
      <c r="AA24" s="26"/>
      <c r="AB24" s="26"/>
      <c r="AC24" s="25"/>
      <c r="AD24" s="25"/>
      <c r="AE24" s="24">
        <f t="shared" si="3"/>
        <v>0</v>
      </c>
      <c r="AF24" s="27"/>
      <c r="AMI24"/>
      <c r="AMJ24"/>
    </row>
    <row r="25" spans="1:1024" s="29" customFormat="1" ht="23.25" customHeight="1" x14ac:dyDescent="0.3">
      <c r="A25" s="18"/>
      <c r="B25" s="19"/>
      <c r="C25" s="20"/>
      <c r="D25" s="20"/>
      <c r="E25" s="20"/>
      <c r="F25" s="21"/>
      <c r="G25" s="21"/>
      <c r="H25" s="22"/>
      <c r="I25" s="22"/>
      <c r="J25" s="22"/>
      <c r="K25" s="22"/>
      <c r="L25" s="23"/>
      <c r="M25" s="24">
        <f t="shared" si="0"/>
        <v>0</v>
      </c>
      <c r="N25" s="24">
        <f t="shared" si="1"/>
        <v>0</v>
      </c>
      <c r="O25" s="24">
        <f t="shared" si="2"/>
        <v>0</v>
      </c>
      <c r="P25" s="24"/>
      <c r="Q25" s="25"/>
      <c r="R25" s="25"/>
      <c r="S25" s="26"/>
      <c r="T25" s="26"/>
      <c r="U25" s="26"/>
      <c r="V25" s="26"/>
      <c r="W25" s="25"/>
      <c r="X25" s="25"/>
      <c r="Y25" s="25"/>
      <c r="Z25" s="25"/>
      <c r="AA25" s="26"/>
      <c r="AB25" s="26"/>
      <c r="AC25" s="25"/>
      <c r="AD25" s="25"/>
      <c r="AE25" s="24">
        <f t="shared" si="3"/>
        <v>0</v>
      </c>
      <c r="AF25" s="27">
        <f>SUM(H25:K25)+AE25+O25</f>
        <v>0</v>
      </c>
      <c r="AMI25"/>
      <c r="AMJ25"/>
    </row>
    <row r="26" spans="1:1024" s="29" customFormat="1" x14ac:dyDescent="0.3">
      <c r="A26" s="18"/>
      <c r="B26" s="19"/>
      <c r="C26" s="43"/>
      <c r="D26" s="43"/>
      <c r="E26" s="43"/>
      <c r="F26" s="21"/>
      <c r="G26" s="30"/>
      <c r="H26" s="22"/>
      <c r="I26" s="22"/>
      <c r="J26" s="22"/>
      <c r="K26" s="22"/>
      <c r="L26" s="23"/>
      <c r="M26" s="25">
        <f t="shared" si="0"/>
        <v>0</v>
      </c>
      <c r="N26" s="25">
        <f t="shared" si="1"/>
        <v>0</v>
      </c>
      <c r="O26" s="25">
        <f t="shared" si="2"/>
        <v>0</v>
      </c>
      <c r="P26" s="25"/>
      <c r="Q26" s="25"/>
      <c r="R26" s="25"/>
      <c r="S26" s="26"/>
      <c r="T26" s="26"/>
      <c r="U26" s="26"/>
      <c r="V26" s="26"/>
      <c r="W26" s="26"/>
      <c r="X26" s="44"/>
      <c r="Y26" s="25"/>
      <c r="Z26" s="25"/>
      <c r="AA26" s="25"/>
      <c r="AB26" s="26"/>
      <c r="AC26" s="26"/>
      <c r="AD26" s="45"/>
      <c r="AE26" s="24">
        <f t="shared" si="3"/>
        <v>0</v>
      </c>
      <c r="AF26" s="27">
        <f>SUM(H26:K26)+AE26+O26</f>
        <v>0</v>
      </c>
      <c r="AMI26"/>
      <c r="AMJ26"/>
    </row>
    <row r="27" spans="1:1024" s="52" customFormat="1" x14ac:dyDescent="0.3">
      <c r="A27" s="46"/>
      <c r="B27" s="47"/>
      <c r="C27" s="48"/>
      <c r="D27" s="49"/>
      <c r="E27" s="49"/>
      <c r="F27" s="50"/>
      <c r="G27" s="48"/>
      <c r="H27" s="51">
        <f t="shared" ref="H27:AF27" si="5">SUM(H5:H26)</f>
        <v>0</v>
      </c>
      <c r="I27" s="51">
        <f t="shared" si="5"/>
        <v>0</v>
      </c>
      <c r="J27" s="51">
        <f t="shared" si="5"/>
        <v>8507.65</v>
      </c>
      <c r="K27" s="51">
        <f t="shared" si="5"/>
        <v>7020.45</v>
      </c>
      <c r="L27" s="51">
        <f t="shared" si="5"/>
        <v>0</v>
      </c>
      <c r="M27" s="51">
        <f t="shared" si="5"/>
        <v>14775.908928571429</v>
      </c>
      <c r="N27" s="51">
        <f t="shared" si="5"/>
        <v>752.19107142857149</v>
      </c>
      <c r="O27" s="51">
        <f t="shared" si="5"/>
        <v>0</v>
      </c>
      <c r="P27" s="51">
        <f t="shared" si="5"/>
        <v>12980.64</v>
      </c>
      <c r="Q27" s="51">
        <f t="shared" si="5"/>
        <v>289.73</v>
      </c>
      <c r="R27" s="51">
        <f t="shared" si="5"/>
        <v>141.07</v>
      </c>
      <c r="S27" s="51">
        <f t="shared" si="5"/>
        <v>247.32</v>
      </c>
      <c r="T27" s="51">
        <f t="shared" si="5"/>
        <v>0</v>
      </c>
      <c r="U27" s="51">
        <f t="shared" si="5"/>
        <v>919.64</v>
      </c>
      <c r="V27" s="51">
        <f t="shared" si="5"/>
        <v>0</v>
      </c>
      <c r="W27" s="51">
        <f t="shared" si="5"/>
        <v>0</v>
      </c>
      <c r="X27" s="51">
        <f t="shared" si="5"/>
        <v>0</v>
      </c>
      <c r="Y27" s="51">
        <f t="shared" si="5"/>
        <v>0</v>
      </c>
      <c r="Z27" s="51">
        <f t="shared" si="5"/>
        <v>197.5</v>
      </c>
      <c r="AA27" s="51">
        <f t="shared" si="5"/>
        <v>0</v>
      </c>
      <c r="AB27" s="51">
        <f t="shared" si="5"/>
        <v>0</v>
      </c>
      <c r="AC27" s="51">
        <f t="shared" si="5"/>
        <v>0</v>
      </c>
      <c r="AD27" s="51">
        <f t="shared" si="5"/>
        <v>0</v>
      </c>
      <c r="AE27" s="51">
        <f t="shared" si="5"/>
        <v>-15528.091071428571</v>
      </c>
      <c r="AF27" s="51">
        <f t="shared" si="5"/>
        <v>8.928571428413079E-3</v>
      </c>
      <c r="AMI27"/>
      <c r="AMJ27"/>
    </row>
    <row r="33" spans="17:17" x14ac:dyDescent="0.3">
      <c r="Q33" s="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J103"/>
  <sheetViews>
    <sheetView topLeftCell="A94" zoomScale="90" zoomScaleNormal="90" workbookViewId="0">
      <selection activeCell="A99" sqref="A99:XFD107"/>
    </sheetView>
  </sheetViews>
  <sheetFormatPr defaultRowHeight="14.4" x14ac:dyDescent="0.3"/>
  <cols>
    <col min="1" max="1" width="8.109375" style="1" customWidth="1"/>
    <col min="2" max="2" width="7.21875" style="2" customWidth="1"/>
    <col min="3" max="3" width="23.21875" style="3" customWidth="1"/>
    <col min="4" max="4" width="13" style="4" customWidth="1"/>
    <col min="5" max="5" width="29.109375" style="4" customWidth="1"/>
    <col min="6" max="6" width="6.21875" style="2" customWidth="1"/>
    <col min="7" max="7" width="28.33203125" style="3" customWidth="1"/>
    <col min="8" max="8" width="11" style="5" customWidth="1"/>
    <col min="9" max="9" width="8.44140625" style="5" customWidth="1"/>
    <col min="10" max="10" width="8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9.44140625" style="5" customWidth="1"/>
    <col min="15" max="15" width="9" style="5" customWidth="1"/>
    <col min="16" max="16" width="9.88671875" style="5" customWidth="1"/>
    <col min="17" max="17" width="9.5546875" style="5" customWidth="1"/>
    <col min="18" max="18" width="10.6640625" style="5" customWidth="1"/>
    <col min="19" max="20" width="9.109375" style="5" customWidth="1"/>
    <col min="21" max="21" width="10.5546875" style="5" customWidth="1"/>
    <col min="22" max="22" width="8.109375" style="5" customWidth="1"/>
    <col min="23" max="23" width="9.88671875" style="5" customWidth="1"/>
    <col min="24" max="24" width="9.21875" style="5" customWidth="1"/>
    <col min="25" max="25" width="8.21875" style="5" customWidth="1"/>
    <col min="26" max="26" width="8.6640625" style="5" customWidth="1"/>
    <col min="27" max="27" width="9.5546875" style="5" customWidth="1"/>
    <col min="28" max="29" width="8" style="5" customWidth="1"/>
    <col min="30" max="30" width="10.109375" style="5" customWidth="1"/>
    <col min="31" max="31" width="10.6640625" style="5" customWidth="1"/>
    <col min="32" max="32" width="8.88671875" style="3" customWidth="1"/>
    <col min="33" max="1022" width="9.109375" style="3" customWidth="1"/>
    <col min="1023" max="1025" width="9.109375" customWidth="1"/>
  </cols>
  <sheetData>
    <row r="1" spans="1:1024" ht="12" customHeight="1" x14ac:dyDescent="0.3">
      <c r="A1" s="7" t="s">
        <v>0</v>
      </c>
      <c r="C1" s="8"/>
    </row>
    <row r="2" spans="1:1024" ht="12" customHeight="1" x14ac:dyDescent="0.3">
      <c r="A2" s="7" t="s">
        <v>1</v>
      </c>
    </row>
    <row r="3" spans="1:1024" ht="12" customHeight="1" x14ac:dyDescent="0.3">
      <c r="A3" s="7" t="s">
        <v>612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6212</v>
      </c>
      <c r="T3" s="10"/>
      <c r="U3" s="10"/>
      <c r="V3" s="10"/>
      <c r="W3" s="10"/>
      <c r="X3" s="10" t="s">
        <v>3</v>
      </c>
      <c r="Y3" s="10"/>
      <c r="Z3" s="10">
        <v>6230</v>
      </c>
      <c r="AA3" s="10" t="s">
        <v>4</v>
      </c>
      <c r="AB3" s="10">
        <v>6202</v>
      </c>
      <c r="AC3" s="10"/>
      <c r="AD3" s="10">
        <v>6109</v>
      </c>
      <c r="AE3" s="10">
        <v>1002</v>
      </c>
    </row>
    <row r="4" spans="1:1024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613</v>
      </c>
      <c r="S4" s="13" t="s">
        <v>24</v>
      </c>
      <c r="T4" s="13" t="s">
        <v>25</v>
      </c>
      <c r="U4" s="13" t="s">
        <v>23</v>
      </c>
      <c r="V4" s="13" t="s">
        <v>27</v>
      </c>
      <c r="W4" s="13" t="s">
        <v>28</v>
      </c>
      <c r="X4" s="13" t="s">
        <v>29</v>
      </c>
      <c r="Y4" s="13" t="s">
        <v>30</v>
      </c>
      <c r="Z4" s="13" t="s">
        <v>31</v>
      </c>
      <c r="AA4" s="13" t="s">
        <v>32</v>
      </c>
      <c r="AB4" s="14" t="s">
        <v>33</v>
      </c>
      <c r="AC4" s="13" t="s">
        <v>22</v>
      </c>
      <c r="AD4" s="15" t="s">
        <v>35</v>
      </c>
      <c r="AE4" s="16" t="s">
        <v>36</v>
      </c>
      <c r="AMI4"/>
      <c r="AMJ4"/>
    </row>
    <row r="5" spans="1:1024" s="29" customFormat="1" ht="23.25" customHeight="1" x14ac:dyDescent="0.3">
      <c r="A5" s="18">
        <v>44082</v>
      </c>
      <c r="B5" s="19"/>
      <c r="C5" s="20" t="s">
        <v>39</v>
      </c>
      <c r="D5" s="20" t="s">
        <v>40</v>
      </c>
      <c r="E5" s="20" t="s">
        <v>41</v>
      </c>
      <c r="F5" s="21"/>
      <c r="G5" s="21" t="s">
        <v>636</v>
      </c>
      <c r="H5" s="22"/>
      <c r="I5" s="22"/>
      <c r="J5" s="22"/>
      <c r="K5" s="22">
        <f>169.5+177</f>
        <v>346.5</v>
      </c>
      <c r="L5" s="23"/>
      <c r="M5" s="24">
        <f t="shared" ref="M5:M36" si="0">SUM(H5:J5,K5/1.12)</f>
        <v>309.37499999999994</v>
      </c>
      <c r="N5" s="24">
        <f t="shared" ref="N5:N36" si="1">K5/1.12*0.12</f>
        <v>37.124999999999993</v>
      </c>
      <c r="O5" s="24">
        <f t="shared" ref="O5:O36" si="2">-SUM(I5:J5,K5/1.12)*L5</f>
        <v>0</v>
      </c>
      <c r="P5" s="24"/>
      <c r="Q5" s="25">
        <v>309.38</v>
      </c>
      <c r="R5" s="25"/>
      <c r="S5" s="26"/>
      <c r="T5" s="26"/>
      <c r="U5" s="26"/>
      <c r="V5" s="26"/>
      <c r="W5" s="25"/>
      <c r="X5" s="25"/>
      <c r="Y5" s="25"/>
      <c r="Z5" s="25"/>
      <c r="AA5" s="26"/>
      <c r="AB5" s="26"/>
      <c r="AC5" s="25"/>
      <c r="AD5" s="25"/>
      <c r="AE5" s="24">
        <f t="shared" ref="AE5:AE36" si="3">-SUM(N5:AD5)</f>
        <v>-346.505</v>
      </c>
      <c r="AF5" s="27">
        <f>SUM(H5:K5)+AE5+O5</f>
        <v>-4.9999999999954525E-3</v>
      </c>
      <c r="AMI5"/>
      <c r="AMJ5"/>
    </row>
    <row r="6" spans="1:1024" s="29" customFormat="1" ht="23.25" customHeight="1" x14ac:dyDescent="0.3">
      <c r="A6" s="18">
        <v>44082</v>
      </c>
      <c r="B6" s="19"/>
      <c r="C6" s="20" t="s">
        <v>39</v>
      </c>
      <c r="D6" s="20" t="s">
        <v>40</v>
      </c>
      <c r="E6" s="20" t="s">
        <v>41</v>
      </c>
      <c r="F6" s="21"/>
      <c r="G6" s="21" t="s">
        <v>637</v>
      </c>
      <c r="H6" s="22"/>
      <c r="I6" s="22"/>
      <c r="J6" s="22"/>
      <c r="K6" s="22">
        <v>79</v>
      </c>
      <c r="L6" s="23"/>
      <c r="M6" s="24">
        <f t="shared" si="0"/>
        <v>70.535714285714278</v>
      </c>
      <c r="N6" s="24">
        <f t="shared" si="1"/>
        <v>8.4642857142857135</v>
      </c>
      <c r="O6" s="24">
        <f t="shared" si="2"/>
        <v>0</v>
      </c>
      <c r="P6" s="24"/>
      <c r="Q6" s="25"/>
      <c r="R6" s="25"/>
      <c r="S6" s="26"/>
      <c r="T6" s="26"/>
      <c r="U6" s="26"/>
      <c r="V6" s="26"/>
      <c r="W6" s="25"/>
      <c r="X6" s="25"/>
      <c r="Y6" s="25"/>
      <c r="Z6" s="25"/>
      <c r="AA6" s="26"/>
      <c r="AB6" s="26"/>
      <c r="AC6" s="25">
        <v>70.540000000000006</v>
      </c>
      <c r="AD6" s="25"/>
      <c r="AE6" s="24">
        <f t="shared" si="3"/>
        <v>-79.004285714285714</v>
      </c>
      <c r="AF6" s="27">
        <f>SUM(H6:K6)+AE6+O6</f>
        <v>-4.2857142857144481E-3</v>
      </c>
      <c r="AMI6"/>
      <c r="AMJ6"/>
    </row>
    <row r="7" spans="1:1024" s="29" customFormat="1" ht="23.25" customHeight="1" x14ac:dyDescent="0.3">
      <c r="A7" s="18">
        <v>44082</v>
      </c>
      <c r="B7" s="19"/>
      <c r="C7" s="20" t="s">
        <v>39</v>
      </c>
      <c r="D7" s="20" t="s">
        <v>40</v>
      </c>
      <c r="E7" s="20" t="s">
        <v>41</v>
      </c>
      <c r="F7" s="21"/>
      <c r="G7" s="21" t="s">
        <v>638</v>
      </c>
      <c r="H7" s="22"/>
      <c r="I7" s="22"/>
      <c r="J7" s="22"/>
      <c r="K7" s="22">
        <v>79</v>
      </c>
      <c r="L7" s="23"/>
      <c r="M7" s="24">
        <f t="shared" si="0"/>
        <v>70.535714285714278</v>
      </c>
      <c r="N7" s="24">
        <f t="shared" si="1"/>
        <v>8.4642857142857135</v>
      </c>
      <c r="O7" s="24">
        <f t="shared" si="2"/>
        <v>0</v>
      </c>
      <c r="P7" s="24"/>
      <c r="Q7" s="25"/>
      <c r="R7" s="25">
        <v>70.540000000000006</v>
      </c>
      <c r="S7" s="26"/>
      <c r="T7" s="26"/>
      <c r="U7" s="26"/>
      <c r="V7" s="26"/>
      <c r="W7" s="25"/>
      <c r="X7" s="25"/>
      <c r="Y7" s="25"/>
      <c r="Z7" s="25"/>
      <c r="AA7" s="26"/>
      <c r="AB7" s="26"/>
      <c r="AC7" s="25"/>
      <c r="AD7" s="25"/>
      <c r="AE7" s="24">
        <f t="shared" si="3"/>
        <v>-79.004285714285714</v>
      </c>
      <c r="AF7" s="27">
        <f>SUM(H7:K7)+AE7+O7</f>
        <v>-4.2857142857144481E-3</v>
      </c>
      <c r="AMI7"/>
      <c r="AMJ7"/>
    </row>
    <row r="8" spans="1:1024" s="29" customFormat="1" ht="22.5" customHeight="1" x14ac:dyDescent="0.3">
      <c r="A8" s="18">
        <v>44082</v>
      </c>
      <c r="B8" s="19"/>
      <c r="C8" s="20" t="s">
        <v>39</v>
      </c>
      <c r="D8" s="20" t="s">
        <v>40</v>
      </c>
      <c r="E8" s="20" t="s">
        <v>41</v>
      </c>
      <c r="F8" s="21">
        <v>198155</v>
      </c>
      <c r="G8" s="21" t="s">
        <v>512</v>
      </c>
      <c r="H8" s="22"/>
      <c r="I8" s="22"/>
      <c r="J8" s="22"/>
      <c r="K8" s="22">
        <v>135</v>
      </c>
      <c r="L8" s="23"/>
      <c r="M8" s="24">
        <f t="shared" si="0"/>
        <v>120.53571428571428</v>
      </c>
      <c r="N8" s="24">
        <f t="shared" si="1"/>
        <v>14.464285714285714</v>
      </c>
      <c r="O8" s="24">
        <f t="shared" si="2"/>
        <v>0</v>
      </c>
      <c r="P8" s="24">
        <v>120.54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4">
        <f t="shared" si="3"/>
        <v>-135.00428571428571</v>
      </c>
      <c r="AF8" s="24">
        <f t="shared" ref="AF8:AF39" si="4">-SUM(N8:AE8)</f>
        <v>0</v>
      </c>
      <c r="AMI8"/>
      <c r="AMJ8"/>
    </row>
    <row r="9" spans="1:1024" s="29" customFormat="1" ht="23.25" customHeight="1" x14ac:dyDescent="0.3">
      <c r="A9" s="18">
        <v>44082</v>
      </c>
      <c r="B9" s="19"/>
      <c r="C9" s="20" t="s">
        <v>184</v>
      </c>
      <c r="D9" s="20" t="s">
        <v>185</v>
      </c>
      <c r="E9" s="20" t="s">
        <v>519</v>
      </c>
      <c r="F9" s="21">
        <v>30403</v>
      </c>
      <c r="G9" s="21" t="s">
        <v>639</v>
      </c>
      <c r="H9" s="22"/>
      <c r="I9" s="22"/>
      <c r="J9" s="22"/>
      <c r="K9" s="22">
        <v>54.5</v>
      </c>
      <c r="L9" s="23"/>
      <c r="M9" s="24">
        <f t="shared" si="0"/>
        <v>48.660714285714278</v>
      </c>
      <c r="N9" s="24">
        <f t="shared" si="1"/>
        <v>5.8392857142857135</v>
      </c>
      <c r="O9" s="24">
        <f t="shared" si="2"/>
        <v>0</v>
      </c>
      <c r="P9" s="24"/>
      <c r="Q9" s="25"/>
      <c r="R9" s="25"/>
      <c r="S9" s="26"/>
      <c r="T9" s="26">
        <v>48.66</v>
      </c>
      <c r="U9" s="26"/>
      <c r="V9" s="26"/>
      <c r="W9" s="26"/>
      <c r="X9" s="25"/>
      <c r="Y9" s="25"/>
      <c r="Z9" s="25"/>
      <c r="AA9" s="25"/>
      <c r="AB9" s="26"/>
      <c r="AC9" s="26"/>
      <c r="AD9" s="25"/>
      <c r="AE9" s="24">
        <f t="shared" si="3"/>
        <v>-54.499285714285712</v>
      </c>
      <c r="AF9" s="24">
        <f t="shared" si="4"/>
        <v>0</v>
      </c>
      <c r="AMI9"/>
      <c r="AMJ9"/>
    </row>
    <row r="10" spans="1:1024" s="29" customFormat="1" ht="23.25" customHeight="1" x14ac:dyDescent="0.3">
      <c r="A10" s="18">
        <v>44083</v>
      </c>
      <c r="B10" s="19"/>
      <c r="C10" s="20" t="s">
        <v>549</v>
      </c>
      <c r="D10" s="20"/>
      <c r="E10" s="20"/>
      <c r="F10" s="21"/>
      <c r="G10" s="21" t="s">
        <v>640</v>
      </c>
      <c r="H10" s="22">
        <v>125</v>
      </c>
      <c r="I10" s="22"/>
      <c r="J10" s="22"/>
      <c r="K10" s="22"/>
      <c r="L10" s="23"/>
      <c r="M10" s="24">
        <f t="shared" si="0"/>
        <v>125</v>
      </c>
      <c r="N10" s="24">
        <f t="shared" si="1"/>
        <v>0</v>
      </c>
      <c r="O10" s="24">
        <f t="shared" si="2"/>
        <v>0</v>
      </c>
      <c r="P10" s="24">
        <v>125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4">
        <f t="shared" si="3"/>
        <v>-125</v>
      </c>
      <c r="AF10" s="24">
        <f t="shared" si="4"/>
        <v>0</v>
      </c>
      <c r="AMI10"/>
      <c r="AMJ10"/>
    </row>
    <row r="11" spans="1:1024" s="29" customFormat="1" ht="23.25" customHeight="1" x14ac:dyDescent="0.3">
      <c r="A11" s="18">
        <v>44083</v>
      </c>
      <c r="B11" s="19"/>
      <c r="C11" s="20" t="s">
        <v>622</v>
      </c>
      <c r="D11" s="20" t="s">
        <v>214</v>
      </c>
      <c r="E11" s="20" t="s">
        <v>49</v>
      </c>
      <c r="F11" s="21">
        <v>202642</v>
      </c>
      <c r="G11" s="21" t="s">
        <v>641</v>
      </c>
      <c r="H11" s="22"/>
      <c r="I11" s="22"/>
      <c r="J11" s="22"/>
      <c r="K11" s="22">
        <v>959</v>
      </c>
      <c r="L11" s="23"/>
      <c r="M11" s="24">
        <f t="shared" si="0"/>
        <v>856.24999999999989</v>
      </c>
      <c r="N11" s="24">
        <f t="shared" si="1"/>
        <v>102.74999999999999</v>
      </c>
      <c r="O11" s="24">
        <f t="shared" si="2"/>
        <v>0</v>
      </c>
      <c r="P11" s="24"/>
      <c r="Q11" s="25"/>
      <c r="R11" s="25">
        <v>856.25</v>
      </c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4">
        <f t="shared" si="3"/>
        <v>-959</v>
      </c>
      <c r="AF11" s="24">
        <f t="shared" si="4"/>
        <v>0</v>
      </c>
      <c r="AMI11"/>
      <c r="AMJ11"/>
    </row>
    <row r="12" spans="1:1024" s="29" customFormat="1" ht="23.25" customHeight="1" x14ac:dyDescent="0.3">
      <c r="A12" s="18">
        <v>44083</v>
      </c>
      <c r="B12" s="19"/>
      <c r="C12" s="20" t="s">
        <v>605</v>
      </c>
      <c r="D12" s="20"/>
      <c r="E12" s="20"/>
      <c r="F12" s="21"/>
      <c r="G12" s="21" t="s">
        <v>642</v>
      </c>
      <c r="H12" s="22">
        <v>50</v>
      </c>
      <c r="I12" s="22"/>
      <c r="J12" s="22"/>
      <c r="K12" s="22"/>
      <c r="L12" s="23"/>
      <c r="M12" s="24">
        <f t="shared" si="0"/>
        <v>50</v>
      </c>
      <c r="N12" s="24">
        <f t="shared" si="1"/>
        <v>0</v>
      </c>
      <c r="O12" s="24">
        <f t="shared" si="2"/>
        <v>0</v>
      </c>
      <c r="P12" s="24"/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>
        <v>50</v>
      </c>
      <c r="AB12" s="26"/>
      <c r="AC12" s="26"/>
      <c r="AD12" s="25"/>
      <c r="AE12" s="24">
        <f t="shared" si="3"/>
        <v>-50</v>
      </c>
      <c r="AF12" s="24">
        <f t="shared" si="4"/>
        <v>0</v>
      </c>
      <c r="AMI12"/>
      <c r="AMJ12"/>
    </row>
    <row r="13" spans="1:1024" s="29" customFormat="1" ht="41.25" customHeight="1" x14ac:dyDescent="0.3">
      <c r="A13" s="18">
        <v>44085</v>
      </c>
      <c r="B13" s="19"/>
      <c r="C13" s="20" t="s">
        <v>47</v>
      </c>
      <c r="D13" s="20" t="s">
        <v>490</v>
      </c>
      <c r="E13" s="20" t="s">
        <v>519</v>
      </c>
      <c r="F13" s="21">
        <v>238716</v>
      </c>
      <c r="G13" s="21" t="s">
        <v>643</v>
      </c>
      <c r="H13" s="22"/>
      <c r="I13" s="22"/>
      <c r="J13" s="22"/>
      <c r="K13" s="22">
        <v>2907.95</v>
      </c>
      <c r="L13" s="23"/>
      <c r="M13" s="24">
        <f t="shared" si="0"/>
        <v>2596.383928571428</v>
      </c>
      <c r="N13" s="24">
        <f t="shared" si="1"/>
        <v>311.56607142857132</v>
      </c>
      <c r="O13" s="24">
        <f t="shared" si="2"/>
        <v>0</v>
      </c>
      <c r="P13" s="24">
        <v>2596.38</v>
      </c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4">
        <f t="shared" si="3"/>
        <v>-2907.9460714285715</v>
      </c>
      <c r="AF13" s="24">
        <f t="shared" si="4"/>
        <v>0</v>
      </c>
      <c r="AMI13"/>
      <c r="AMJ13"/>
    </row>
    <row r="14" spans="1:1024" s="29" customFormat="1" ht="23.25" customHeight="1" x14ac:dyDescent="0.3">
      <c r="A14" s="18">
        <v>44085</v>
      </c>
      <c r="B14" s="19"/>
      <c r="C14" s="20" t="s">
        <v>39</v>
      </c>
      <c r="D14" s="20" t="s">
        <v>40</v>
      </c>
      <c r="E14" s="20" t="s">
        <v>41</v>
      </c>
      <c r="F14" s="21">
        <v>38674</v>
      </c>
      <c r="G14" s="21" t="s">
        <v>644</v>
      </c>
      <c r="H14" s="22"/>
      <c r="I14" s="22"/>
      <c r="J14" s="22">
        <v>240.96</v>
      </c>
      <c r="K14" s="22"/>
      <c r="L14" s="23"/>
      <c r="M14" s="24">
        <f t="shared" si="0"/>
        <v>240.96</v>
      </c>
      <c r="N14" s="24">
        <f t="shared" si="1"/>
        <v>0</v>
      </c>
      <c r="O14" s="24">
        <f t="shared" si="2"/>
        <v>0</v>
      </c>
      <c r="P14" s="24">
        <v>240.96</v>
      </c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4">
        <f t="shared" si="3"/>
        <v>-240.96</v>
      </c>
      <c r="AF14" s="24">
        <f t="shared" si="4"/>
        <v>0</v>
      </c>
      <c r="AMI14"/>
      <c r="AMJ14"/>
    </row>
    <row r="15" spans="1:1024" s="29" customFormat="1" ht="23.25" customHeight="1" x14ac:dyDescent="0.3">
      <c r="A15" s="18">
        <v>44085</v>
      </c>
      <c r="B15" s="19"/>
      <c r="C15" s="20" t="s">
        <v>37</v>
      </c>
      <c r="D15" s="20"/>
      <c r="E15" s="20"/>
      <c r="F15" s="21"/>
      <c r="G15" s="21" t="s">
        <v>645</v>
      </c>
      <c r="H15" s="22">
        <v>188</v>
      </c>
      <c r="I15" s="22"/>
      <c r="J15" s="22"/>
      <c r="K15" s="22"/>
      <c r="L15" s="23"/>
      <c r="M15" s="24">
        <f t="shared" si="0"/>
        <v>188</v>
      </c>
      <c r="N15" s="24">
        <f t="shared" si="1"/>
        <v>0</v>
      </c>
      <c r="O15" s="24">
        <f t="shared" si="2"/>
        <v>0</v>
      </c>
      <c r="P15" s="24"/>
      <c r="Q15" s="25"/>
      <c r="R15" s="25"/>
      <c r="S15" s="26"/>
      <c r="T15" s="26"/>
      <c r="U15" s="26"/>
      <c r="V15" s="26"/>
      <c r="W15" s="26"/>
      <c r="X15" s="25"/>
      <c r="Y15" s="25"/>
      <c r="Z15" s="25"/>
      <c r="AA15" s="25">
        <v>188</v>
      </c>
      <c r="AB15" s="26"/>
      <c r="AC15" s="26"/>
      <c r="AD15" s="25"/>
      <c r="AE15" s="24">
        <f t="shared" si="3"/>
        <v>-188</v>
      </c>
      <c r="AF15" s="24">
        <f t="shared" si="4"/>
        <v>0</v>
      </c>
      <c r="AMI15"/>
      <c r="AMJ15"/>
    </row>
    <row r="16" spans="1:1024" s="29" customFormat="1" ht="23.25" customHeight="1" x14ac:dyDescent="0.3">
      <c r="A16" s="18">
        <v>44085</v>
      </c>
      <c r="B16" s="19"/>
      <c r="C16" s="20" t="s">
        <v>522</v>
      </c>
      <c r="D16" s="20" t="s">
        <v>225</v>
      </c>
      <c r="E16" s="20" t="s">
        <v>523</v>
      </c>
      <c r="F16" s="21">
        <v>15464565</v>
      </c>
      <c r="G16" s="21" t="s">
        <v>58</v>
      </c>
      <c r="H16" s="22"/>
      <c r="I16" s="22"/>
      <c r="J16" s="22"/>
      <c r="K16" s="22">
        <v>30</v>
      </c>
      <c r="L16" s="23"/>
      <c r="M16" s="24">
        <f t="shared" si="0"/>
        <v>26.785714285714285</v>
      </c>
      <c r="N16" s="24">
        <f t="shared" si="1"/>
        <v>3.214285714285714</v>
      </c>
      <c r="O16" s="24">
        <f t="shared" si="2"/>
        <v>0</v>
      </c>
      <c r="P16" s="24"/>
      <c r="Q16" s="25">
        <v>26.79</v>
      </c>
      <c r="R16" s="25"/>
      <c r="S16" s="26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4">
        <f t="shared" si="3"/>
        <v>-30.004285714285714</v>
      </c>
      <c r="AF16" s="24">
        <f t="shared" si="4"/>
        <v>0</v>
      </c>
      <c r="AMI16"/>
      <c r="AMJ16"/>
    </row>
    <row r="17" spans="1:1024" s="29" customFormat="1" ht="23.25" customHeight="1" x14ac:dyDescent="0.3">
      <c r="A17" s="18">
        <v>44086</v>
      </c>
      <c r="B17" s="19"/>
      <c r="C17" s="20" t="s">
        <v>325</v>
      </c>
      <c r="D17" s="20"/>
      <c r="E17" s="20"/>
      <c r="F17" s="21"/>
      <c r="G17" s="21" t="s">
        <v>646</v>
      </c>
      <c r="H17" s="22">
        <v>500</v>
      </c>
      <c r="I17" s="22"/>
      <c r="J17" s="22"/>
      <c r="K17" s="22"/>
      <c r="L17" s="23"/>
      <c r="M17" s="24">
        <f t="shared" si="0"/>
        <v>500</v>
      </c>
      <c r="N17" s="24">
        <f t="shared" si="1"/>
        <v>0</v>
      </c>
      <c r="O17" s="24">
        <f t="shared" si="2"/>
        <v>0</v>
      </c>
      <c r="P17" s="24"/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>
        <v>500</v>
      </c>
      <c r="AB17" s="26"/>
      <c r="AC17" s="26"/>
      <c r="AD17" s="25"/>
      <c r="AE17" s="24">
        <f t="shared" si="3"/>
        <v>-500</v>
      </c>
      <c r="AF17" s="24">
        <f t="shared" si="4"/>
        <v>0</v>
      </c>
      <c r="AMI17"/>
      <c r="AMJ17"/>
    </row>
    <row r="18" spans="1:1024" s="29" customFormat="1" ht="27.75" customHeight="1" x14ac:dyDescent="0.3">
      <c r="A18" s="18">
        <v>44086</v>
      </c>
      <c r="B18" s="19"/>
      <c r="C18" s="20" t="s">
        <v>609</v>
      </c>
      <c r="D18" s="20" t="s">
        <v>214</v>
      </c>
      <c r="E18" s="20" t="s">
        <v>610</v>
      </c>
      <c r="F18" s="21">
        <v>202761</v>
      </c>
      <c r="G18" s="21" t="s">
        <v>647</v>
      </c>
      <c r="H18" s="22"/>
      <c r="I18" s="22"/>
      <c r="J18" s="22"/>
      <c r="K18" s="22">
        <v>230</v>
      </c>
      <c r="L18" s="23"/>
      <c r="M18" s="24">
        <f t="shared" si="0"/>
        <v>205.35714285714283</v>
      </c>
      <c r="N18" s="24">
        <f t="shared" si="1"/>
        <v>24.642857142857139</v>
      </c>
      <c r="O18" s="24">
        <f t="shared" si="2"/>
        <v>0</v>
      </c>
      <c r="P18" s="24"/>
      <c r="Q18" s="25"/>
      <c r="R18" s="25">
        <v>205.36</v>
      </c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4">
        <f t="shared" si="3"/>
        <v>-230.00285714285715</v>
      </c>
      <c r="AF18" s="24">
        <f t="shared" si="4"/>
        <v>0</v>
      </c>
      <c r="AMI18"/>
      <c r="AMJ18"/>
    </row>
    <row r="19" spans="1:1024" s="29" customFormat="1" ht="23.25" customHeight="1" x14ac:dyDescent="0.3">
      <c r="A19" s="18">
        <v>44086</v>
      </c>
      <c r="B19" s="19"/>
      <c r="C19" s="20" t="s">
        <v>549</v>
      </c>
      <c r="D19" s="20"/>
      <c r="E19" s="20"/>
      <c r="F19" s="21"/>
      <c r="G19" s="21" t="s">
        <v>640</v>
      </c>
      <c r="H19" s="22"/>
      <c r="I19" s="22"/>
      <c r="J19" s="22">
        <v>270</v>
      </c>
      <c r="K19" s="22"/>
      <c r="L19" s="23"/>
      <c r="M19" s="24">
        <f t="shared" si="0"/>
        <v>270</v>
      </c>
      <c r="N19" s="24">
        <f t="shared" si="1"/>
        <v>0</v>
      </c>
      <c r="O19" s="24">
        <f t="shared" si="2"/>
        <v>0</v>
      </c>
      <c r="P19" s="24">
        <v>270</v>
      </c>
      <c r="Q19" s="25"/>
      <c r="R19" s="25"/>
      <c r="S19" s="26"/>
      <c r="T19" s="26"/>
      <c r="U19" s="26"/>
      <c r="V19" s="26"/>
      <c r="W19" s="26"/>
      <c r="X19" s="25"/>
      <c r="Y19" s="25"/>
      <c r="Z19" s="25"/>
      <c r="AA19" s="25"/>
      <c r="AB19" s="26"/>
      <c r="AC19" s="26"/>
      <c r="AD19" s="25"/>
      <c r="AE19" s="24">
        <f t="shared" si="3"/>
        <v>-270</v>
      </c>
      <c r="AF19" s="24">
        <f t="shared" si="4"/>
        <v>0</v>
      </c>
      <c r="AMI19"/>
      <c r="AMJ19"/>
    </row>
    <row r="20" spans="1:1024" s="29" customFormat="1" ht="23.25" customHeight="1" x14ac:dyDescent="0.3">
      <c r="A20" s="18">
        <v>44086</v>
      </c>
      <c r="B20" s="19"/>
      <c r="C20" s="20" t="s">
        <v>605</v>
      </c>
      <c r="D20" s="20"/>
      <c r="E20" s="20"/>
      <c r="F20" s="21"/>
      <c r="G20" s="21" t="s">
        <v>648</v>
      </c>
      <c r="H20" s="22">
        <v>40</v>
      </c>
      <c r="I20" s="22"/>
      <c r="J20" s="22"/>
      <c r="K20" s="22"/>
      <c r="L20" s="23"/>
      <c r="M20" s="24">
        <f t="shared" si="0"/>
        <v>40</v>
      </c>
      <c r="N20" s="24">
        <f t="shared" si="1"/>
        <v>0</v>
      </c>
      <c r="O20" s="24">
        <f t="shared" si="2"/>
        <v>0</v>
      </c>
      <c r="P20" s="25"/>
      <c r="Q20" s="25"/>
      <c r="R20" s="25"/>
      <c r="S20" s="26"/>
      <c r="T20" s="26"/>
      <c r="U20" s="26"/>
      <c r="V20" s="26"/>
      <c r="W20" s="26"/>
      <c r="X20" s="25"/>
      <c r="Y20" s="25"/>
      <c r="Z20" s="25"/>
      <c r="AA20" s="25">
        <v>40</v>
      </c>
      <c r="AB20" s="26"/>
      <c r="AC20" s="26"/>
      <c r="AD20" s="25"/>
      <c r="AE20" s="24">
        <f t="shared" si="3"/>
        <v>-40</v>
      </c>
      <c r="AF20" s="24">
        <f t="shared" si="4"/>
        <v>0</v>
      </c>
      <c r="AMI20"/>
      <c r="AMJ20"/>
    </row>
    <row r="21" spans="1:1024" s="29" customFormat="1" ht="23.25" customHeight="1" x14ac:dyDescent="0.3">
      <c r="A21" s="18">
        <v>44086</v>
      </c>
      <c r="B21" s="19"/>
      <c r="C21" s="20" t="s">
        <v>47</v>
      </c>
      <c r="D21" s="20" t="s">
        <v>490</v>
      </c>
      <c r="E21" s="20" t="s">
        <v>519</v>
      </c>
      <c r="F21" s="21">
        <v>289999</v>
      </c>
      <c r="G21" s="21" t="s">
        <v>649</v>
      </c>
      <c r="H21" s="22"/>
      <c r="I21" s="22"/>
      <c r="J21" s="22"/>
      <c r="K21" s="22">
        <v>2979.05</v>
      </c>
      <c r="L21" s="23"/>
      <c r="M21" s="24">
        <f t="shared" si="0"/>
        <v>2659.8660714285716</v>
      </c>
      <c r="N21" s="24">
        <f t="shared" si="1"/>
        <v>319.18392857142857</v>
      </c>
      <c r="O21" s="24">
        <f t="shared" si="2"/>
        <v>0</v>
      </c>
      <c r="P21" s="24">
        <v>2659.87</v>
      </c>
      <c r="Q21" s="25"/>
      <c r="R21" s="25"/>
      <c r="S21" s="26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4">
        <f t="shared" si="3"/>
        <v>-2979.0539285714285</v>
      </c>
      <c r="AF21" s="24">
        <f t="shared" si="4"/>
        <v>0</v>
      </c>
      <c r="AMI21"/>
      <c r="AMJ21"/>
    </row>
    <row r="22" spans="1:1024" s="29" customFormat="1" ht="23.25" customHeight="1" x14ac:dyDescent="0.3">
      <c r="A22" s="18">
        <v>44086</v>
      </c>
      <c r="B22" s="19"/>
      <c r="C22" s="20" t="s">
        <v>39</v>
      </c>
      <c r="D22" s="20" t="s">
        <v>40</v>
      </c>
      <c r="E22" s="20" t="s">
        <v>41</v>
      </c>
      <c r="F22" s="21">
        <v>166212</v>
      </c>
      <c r="G22" s="21" t="s">
        <v>650</v>
      </c>
      <c r="H22" s="22"/>
      <c r="I22" s="22"/>
      <c r="J22" s="22">
        <v>49.83</v>
      </c>
      <c r="K22" s="22"/>
      <c r="L22" s="23"/>
      <c r="M22" s="24">
        <f t="shared" si="0"/>
        <v>49.83</v>
      </c>
      <c r="N22" s="24">
        <f t="shared" si="1"/>
        <v>0</v>
      </c>
      <c r="O22" s="24">
        <f t="shared" si="2"/>
        <v>0</v>
      </c>
      <c r="P22" s="24">
        <v>49.83</v>
      </c>
      <c r="Q22" s="25"/>
      <c r="R22" s="25"/>
      <c r="S22" s="26"/>
      <c r="T22" s="26"/>
      <c r="U22" s="26"/>
      <c r="V22" s="26"/>
      <c r="W22" s="26"/>
      <c r="X22" s="25"/>
      <c r="Y22" s="25"/>
      <c r="Z22" s="25"/>
      <c r="AA22" s="25"/>
      <c r="AB22" s="26"/>
      <c r="AC22" s="26"/>
      <c r="AD22" s="25"/>
      <c r="AE22" s="24">
        <f t="shared" si="3"/>
        <v>-49.83</v>
      </c>
      <c r="AF22" s="24">
        <f t="shared" si="4"/>
        <v>0</v>
      </c>
      <c r="AMI22"/>
      <c r="AMJ22"/>
    </row>
    <row r="23" spans="1:1024" s="29" customFormat="1" ht="23.25" customHeight="1" x14ac:dyDescent="0.3">
      <c r="A23" s="18">
        <v>44086</v>
      </c>
      <c r="B23" s="19"/>
      <c r="C23" s="20" t="s">
        <v>39</v>
      </c>
      <c r="D23" s="20" t="s">
        <v>40</v>
      </c>
      <c r="E23" s="20" t="s">
        <v>41</v>
      </c>
      <c r="F23" s="21">
        <v>166212</v>
      </c>
      <c r="G23" s="21" t="s">
        <v>138</v>
      </c>
      <c r="H23" s="22"/>
      <c r="I23" s="22"/>
      <c r="J23" s="22"/>
      <c r="K23" s="22">
        <v>117</v>
      </c>
      <c r="L23" s="23"/>
      <c r="M23" s="24">
        <f t="shared" si="0"/>
        <v>104.46428571428571</v>
      </c>
      <c r="N23" s="24">
        <f t="shared" si="1"/>
        <v>12.535714285714285</v>
      </c>
      <c r="O23" s="24">
        <f t="shared" si="2"/>
        <v>0</v>
      </c>
      <c r="P23" s="24">
        <v>104.46</v>
      </c>
      <c r="Q23" s="25"/>
      <c r="R23" s="25"/>
      <c r="S23" s="26"/>
      <c r="T23" s="26"/>
      <c r="U23" s="26"/>
      <c r="V23" s="26"/>
      <c r="W23" s="26"/>
      <c r="X23" s="25"/>
      <c r="Y23" s="25"/>
      <c r="Z23" s="25"/>
      <c r="AA23" s="25"/>
      <c r="AB23" s="26"/>
      <c r="AC23" s="26"/>
      <c r="AD23" s="25"/>
      <c r="AE23" s="24">
        <f t="shared" si="3"/>
        <v>-116.99571428571429</v>
      </c>
      <c r="AF23" s="24">
        <f t="shared" si="4"/>
        <v>0</v>
      </c>
      <c r="AMI23"/>
      <c r="AMJ23"/>
    </row>
    <row r="24" spans="1:1024" s="29" customFormat="1" ht="23.25" customHeight="1" x14ac:dyDescent="0.3">
      <c r="A24" s="18">
        <v>44086</v>
      </c>
      <c r="B24" s="19"/>
      <c r="C24" s="20" t="s">
        <v>37</v>
      </c>
      <c r="D24" s="20"/>
      <c r="E24" s="20"/>
      <c r="F24" s="21"/>
      <c r="G24" s="21" t="s">
        <v>651</v>
      </c>
      <c r="H24" s="22">
        <v>276</v>
      </c>
      <c r="I24" s="22"/>
      <c r="J24" s="22"/>
      <c r="K24" s="22"/>
      <c r="L24" s="23"/>
      <c r="M24" s="24">
        <f t="shared" si="0"/>
        <v>276</v>
      </c>
      <c r="N24" s="24">
        <f t="shared" si="1"/>
        <v>0</v>
      </c>
      <c r="O24" s="24">
        <f t="shared" si="2"/>
        <v>0</v>
      </c>
      <c r="P24" s="24"/>
      <c r="Q24" s="25"/>
      <c r="R24" s="25"/>
      <c r="S24" s="26"/>
      <c r="T24" s="26"/>
      <c r="U24" s="26"/>
      <c r="V24" s="26"/>
      <c r="W24" s="26"/>
      <c r="X24" s="25"/>
      <c r="Y24" s="25"/>
      <c r="Z24" s="25"/>
      <c r="AA24" s="25">
        <v>276</v>
      </c>
      <c r="AB24" s="26"/>
      <c r="AC24" s="26"/>
      <c r="AD24" s="25"/>
      <c r="AE24" s="24">
        <f t="shared" si="3"/>
        <v>-276</v>
      </c>
      <c r="AF24" s="24">
        <f t="shared" si="4"/>
        <v>0</v>
      </c>
      <c r="AMI24"/>
      <c r="AMJ24"/>
    </row>
    <row r="25" spans="1:1024" s="29" customFormat="1" ht="24.75" customHeight="1" x14ac:dyDescent="0.3">
      <c r="A25" s="18">
        <v>44088</v>
      </c>
      <c r="B25" s="19"/>
      <c r="C25" s="20" t="s">
        <v>522</v>
      </c>
      <c r="D25" s="20" t="s">
        <v>225</v>
      </c>
      <c r="E25" s="20" t="s">
        <v>523</v>
      </c>
      <c r="F25" s="21">
        <v>191263</v>
      </c>
      <c r="G25" s="21" t="s">
        <v>652</v>
      </c>
      <c r="H25" s="22"/>
      <c r="I25" s="22"/>
      <c r="J25" s="22"/>
      <c r="K25" s="22">
        <v>37</v>
      </c>
      <c r="L25" s="23"/>
      <c r="M25" s="24">
        <f t="shared" si="0"/>
        <v>33.035714285714285</v>
      </c>
      <c r="N25" s="24">
        <f t="shared" si="1"/>
        <v>3.964285714285714</v>
      </c>
      <c r="O25" s="24">
        <f t="shared" si="2"/>
        <v>0</v>
      </c>
      <c r="P25" s="24"/>
      <c r="Q25" s="25">
        <v>33.04</v>
      </c>
      <c r="R25" s="25"/>
      <c r="S25" s="26"/>
      <c r="T25" s="26"/>
      <c r="U25" s="26"/>
      <c r="V25" s="26"/>
      <c r="W25" s="26"/>
      <c r="X25" s="25"/>
      <c r="Y25" s="25"/>
      <c r="Z25" s="25"/>
      <c r="AA25" s="25"/>
      <c r="AB25" s="26"/>
      <c r="AC25" s="26"/>
      <c r="AD25" s="25"/>
      <c r="AE25" s="24">
        <f t="shared" si="3"/>
        <v>-37.004285714285714</v>
      </c>
      <c r="AF25" s="24">
        <f t="shared" si="4"/>
        <v>0</v>
      </c>
      <c r="AMI25"/>
      <c r="AMJ25"/>
    </row>
    <row r="26" spans="1:1024" s="29" customFormat="1" ht="23.25" customHeight="1" x14ac:dyDescent="0.3">
      <c r="A26" s="18">
        <v>44088</v>
      </c>
      <c r="B26" s="19"/>
      <c r="C26" s="20" t="s">
        <v>39</v>
      </c>
      <c r="D26" s="20" t="s">
        <v>40</v>
      </c>
      <c r="E26" s="20" t="s">
        <v>41</v>
      </c>
      <c r="F26" s="21">
        <v>38690</v>
      </c>
      <c r="G26" s="21" t="s">
        <v>653</v>
      </c>
      <c r="H26" s="22"/>
      <c r="I26" s="22"/>
      <c r="J26" s="22"/>
      <c r="K26" s="22">
        <v>449.25</v>
      </c>
      <c r="L26" s="23"/>
      <c r="M26" s="24">
        <f t="shared" si="0"/>
        <v>401.11607142857139</v>
      </c>
      <c r="N26" s="24">
        <f t="shared" si="1"/>
        <v>48.133928571428562</v>
      </c>
      <c r="O26" s="24">
        <f t="shared" si="2"/>
        <v>0</v>
      </c>
      <c r="P26" s="24">
        <v>401.12</v>
      </c>
      <c r="Q26" s="25"/>
      <c r="R26" s="25"/>
      <c r="S26" s="26"/>
      <c r="T26" s="26"/>
      <c r="U26" s="26"/>
      <c r="V26" s="26"/>
      <c r="W26" s="26"/>
      <c r="X26" s="25"/>
      <c r="Y26" s="25"/>
      <c r="Z26" s="25"/>
      <c r="AA26" s="25"/>
      <c r="AB26" s="26"/>
      <c r="AC26" s="26"/>
      <c r="AD26" s="25"/>
      <c r="AE26" s="24">
        <f t="shared" si="3"/>
        <v>-449.25392857142856</v>
      </c>
      <c r="AF26" s="24">
        <f t="shared" si="4"/>
        <v>0</v>
      </c>
      <c r="AMI26"/>
      <c r="AMJ26"/>
    </row>
    <row r="27" spans="1:1024" s="29" customFormat="1" ht="23.25" customHeight="1" x14ac:dyDescent="0.3">
      <c r="A27" s="18">
        <v>44089</v>
      </c>
      <c r="B27" s="19"/>
      <c r="C27" s="20" t="s">
        <v>39</v>
      </c>
      <c r="D27" s="20" t="s">
        <v>40</v>
      </c>
      <c r="E27" s="20" t="s">
        <v>41</v>
      </c>
      <c r="F27" s="21">
        <v>170112</v>
      </c>
      <c r="G27" s="21" t="s">
        <v>654</v>
      </c>
      <c r="H27" s="22"/>
      <c r="I27" s="22"/>
      <c r="J27" s="22">
        <v>52.58</v>
      </c>
      <c r="K27" s="22"/>
      <c r="L27" s="23"/>
      <c r="M27" s="24">
        <f t="shared" si="0"/>
        <v>52.58</v>
      </c>
      <c r="N27" s="24">
        <f t="shared" si="1"/>
        <v>0</v>
      </c>
      <c r="O27" s="24">
        <f t="shared" si="2"/>
        <v>0</v>
      </c>
      <c r="P27" s="24">
        <v>52.58</v>
      </c>
      <c r="Q27" s="25"/>
      <c r="R27" s="25"/>
      <c r="S27" s="26"/>
      <c r="T27" s="26"/>
      <c r="U27" s="26"/>
      <c r="V27" s="26"/>
      <c r="W27" s="26"/>
      <c r="X27" s="25"/>
      <c r="Y27" s="25"/>
      <c r="Z27" s="25"/>
      <c r="AA27" s="25"/>
      <c r="AB27" s="26"/>
      <c r="AC27" s="26"/>
      <c r="AD27" s="25"/>
      <c r="AE27" s="24">
        <f t="shared" si="3"/>
        <v>-52.58</v>
      </c>
      <c r="AF27" s="24">
        <f t="shared" si="4"/>
        <v>0</v>
      </c>
      <c r="AMI27"/>
      <c r="AMJ27"/>
    </row>
    <row r="28" spans="1:1024" s="29" customFormat="1" ht="23.25" customHeight="1" x14ac:dyDescent="0.3">
      <c r="A28" s="18">
        <v>44089</v>
      </c>
      <c r="B28" s="19"/>
      <c r="C28" s="20" t="s">
        <v>522</v>
      </c>
      <c r="D28" s="20" t="s">
        <v>225</v>
      </c>
      <c r="E28" s="20" t="s">
        <v>523</v>
      </c>
      <c r="F28" s="21">
        <v>174627</v>
      </c>
      <c r="G28" s="21" t="s">
        <v>58</v>
      </c>
      <c r="H28" s="22"/>
      <c r="I28" s="22"/>
      <c r="J28" s="22"/>
      <c r="K28" s="22">
        <v>42</v>
      </c>
      <c r="L28" s="23"/>
      <c r="M28" s="24">
        <f t="shared" si="0"/>
        <v>37.499999999999993</v>
      </c>
      <c r="N28" s="24">
        <f t="shared" si="1"/>
        <v>4.4999999999999991</v>
      </c>
      <c r="O28" s="24">
        <f t="shared" si="2"/>
        <v>0</v>
      </c>
      <c r="P28" s="24"/>
      <c r="Q28" s="25">
        <v>37.5</v>
      </c>
      <c r="R28" s="25"/>
      <c r="S28" s="26"/>
      <c r="T28" s="26"/>
      <c r="U28" s="26"/>
      <c r="V28" s="26"/>
      <c r="W28" s="26"/>
      <c r="X28" s="25"/>
      <c r="Y28" s="25"/>
      <c r="Z28" s="25"/>
      <c r="AA28" s="25"/>
      <c r="AB28" s="26"/>
      <c r="AC28" s="26"/>
      <c r="AD28" s="25"/>
      <c r="AE28" s="24">
        <f t="shared" si="3"/>
        <v>-42</v>
      </c>
      <c r="AF28" s="24">
        <f t="shared" si="4"/>
        <v>0</v>
      </c>
      <c r="AMI28"/>
      <c r="AMJ28"/>
    </row>
    <row r="29" spans="1:1024" s="29" customFormat="1" ht="23.25" customHeight="1" x14ac:dyDescent="0.3">
      <c r="A29" s="18">
        <v>44090</v>
      </c>
      <c r="B29" s="19"/>
      <c r="C29" s="20" t="s">
        <v>60</v>
      </c>
      <c r="D29" s="20"/>
      <c r="E29" s="20"/>
      <c r="F29" s="21"/>
      <c r="G29" s="21" t="s">
        <v>655</v>
      </c>
      <c r="H29" s="22">
        <v>40</v>
      </c>
      <c r="I29" s="22"/>
      <c r="J29" s="22"/>
      <c r="K29" s="22"/>
      <c r="L29" s="23"/>
      <c r="M29" s="24">
        <f t="shared" si="0"/>
        <v>40</v>
      </c>
      <c r="N29" s="24">
        <f t="shared" si="1"/>
        <v>0</v>
      </c>
      <c r="O29" s="24">
        <f t="shared" si="2"/>
        <v>0</v>
      </c>
      <c r="P29" s="24"/>
      <c r="Q29" s="25"/>
      <c r="R29" s="25"/>
      <c r="S29" s="26"/>
      <c r="T29" s="26"/>
      <c r="U29" s="26"/>
      <c r="V29" s="26"/>
      <c r="W29" s="26"/>
      <c r="X29" s="25"/>
      <c r="Y29" s="25"/>
      <c r="Z29" s="25"/>
      <c r="AA29" s="25">
        <v>40</v>
      </c>
      <c r="AB29" s="26"/>
      <c r="AC29" s="26"/>
      <c r="AD29" s="25"/>
      <c r="AE29" s="24">
        <f t="shared" si="3"/>
        <v>-40</v>
      </c>
      <c r="AF29" s="24">
        <f t="shared" si="4"/>
        <v>0</v>
      </c>
      <c r="AMI29"/>
      <c r="AMJ29"/>
    </row>
    <row r="30" spans="1:1024" s="29" customFormat="1" ht="27.75" customHeight="1" x14ac:dyDescent="0.3">
      <c r="A30" s="18">
        <v>44090</v>
      </c>
      <c r="B30" s="19"/>
      <c r="C30" s="20" t="s">
        <v>609</v>
      </c>
      <c r="D30" s="20" t="s">
        <v>214</v>
      </c>
      <c r="E30" s="20" t="s">
        <v>610</v>
      </c>
      <c r="F30" s="21">
        <v>202915</v>
      </c>
      <c r="G30" s="21" t="s">
        <v>656</v>
      </c>
      <c r="H30" s="22"/>
      <c r="I30" s="22"/>
      <c r="J30" s="22"/>
      <c r="K30" s="22">
        <v>560</v>
      </c>
      <c r="L30" s="23"/>
      <c r="M30" s="24">
        <f t="shared" si="0"/>
        <v>499.99999999999994</v>
      </c>
      <c r="N30" s="24">
        <f t="shared" si="1"/>
        <v>59.999999999999993</v>
      </c>
      <c r="O30" s="24">
        <f t="shared" si="2"/>
        <v>0</v>
      </c>
      <c r="P30" s="24"/>
      <c r="Q30" s="25"/>
      <c r="R30" s="25">
        <v>500</v>
      </c>
      <c r="S30" s="26"/>
      <c r="T30" s="26"/>
      <c r="U30" s="26"/>
      <c r="V30" s="26"/>
      <c r="W30" s="26"/>
      <c r="X30" s="25"/>
      <c r="Y30" s="25"/>
      <c r="Z30" s="25"/>
      <c r="AA30" s="25"/>
      <c r="AB30" s="26"/>
      <c r="AC30" s="26"/>
      <c r="AD30" s="25"/>
      <c r="AE30" s="24">
        <f t="shared" si="3"/>
        <v>-560</v>
      </c>
      <c r="AF30" s="24">
        <f t="shared" si="4"/>
        <v>0</v>
      </c>
      <c r="AMI30"/>
      <c r="AMJ30"/>
    </row>
    <row r="31" spans="1:1024" s="29" customFormat="1" ht="23.25" customHeight="1" x14ac:dyDescent="0.3">
      <c r="A31" s="18">
        <v>44090</v>
      </c>
      <c r="B31" s="19"/>
      <c r="C31" s="20" t="s">
        <v>609</v>
      </c>
      <c r="D31" s="20" t="s">
        <v>214</v>
      </c>
      <c r="E31" s="20" t="s">
        <v>610</v>
      </c>
      <c r="F31" s="21">
        <v>202915</v>
      </c>
      <c r="G31" s="21" t="s">
        <v>657</v>
      </c>
      <c r="H31" s="22"/>
      <c r="I31" s="22"/>
      <c r="J31" s="22"/>
      <c r="K31" s="22">
        <v>180</v>
      </c>
      <c r="L31" s="23"/>
      <c r="M31" s="24">
        <f t="shared" si="0"/>
        <v>160.71428571428569</v>
      </c>
      <c r="N31" s="24">
        <f t="shared" si="1"/>
        <v>19.285714285714281</v>
      </c>
      <c r="O31" s="24">
        <f t="shared" si="2"/>
        <v>0</v>
      </c>
      <c r="P31" s="24"/>
      <c r="Q31" s="25"/>
      <c r="R31" s="25"/>
      <c r="S31" s="26">
        <v>160.71</v>
      </c>
      <c r="T31" s="26"/>
      <c r="U31" s="26"/>
      <c r="V31" s="26"/>
      <c r="W31" s="26"/>
      <c r="X31" s="25"/>
      <c r="Y31" s="25"/>
      <c r="Z31" s="25"/>
      <c r="AA31" s="25"/>
      <c r="AB31" s="26"/>
      <c r="AC31" s="26"/>
      <c r="AD31" s="25"/>
      <c r="AE31" s="24">
        <f t="shared" si="3"/>
        <v>-179.99571428571429</v>
      </c>
      <c r="AF31" s="24">
        <f t="shared" si="4"/>
        <v>0</v>
      </c>
      <c r="AMI31"/>
      <c r="AMJ31"/>
    </row>
    <row r="32" spans="1:1024" s="29" customFormat="1" ht="23.25" customHeight="1" x14ac:dyDescent="0.3">
      <c r="A32" s="18">
        <v>44090</v>
      </c>
      <c r="B32" s="19"/>
      <c r="C32" s="20" t="s">
        <v>549</v>
      </c>
      <c r="D32" s="20"/>
      <c r="E32" s="20"/>
      <c r="F32" s="21"/>
      <c r="G32" s="21" t="s">
        <v>620</v>
      </c>
      <c r="H32" s="22"/>
      <c r="I32" s="22"/>
      <c r="J32" s="22">
        <v>1175</v>
      </c>
      <c r="K32" s="22"/>
      <c r="L32" s="23"/>
      <c r="M32" s="24">
        <f t="shared" si="0"/>
        <v>1175</v>
      </c>
      <c r="N32" s="24">
        <f t="shared" si="1"/>
        <v>0</v>
      </c>
      <c r="O32" s="24">
        <f t="shared" si="2"/>
        <v>0</v>
      </c>
      <c r="P32" s="25">
        <v>1175</v>
      </c>
      <c r="Q32" s="25"/>
      <c r="R32" s="25"/>
      <c r="S32" s="26"/>
      <c r="T32" s="26"/>
      <c r="U32" s="26"/>
      <c r="V32" s="26"/>
      <c r="W32" s="26"/>
      <c r="X32" s="25"/>
      <c r="Y32" s="25"/>
      <c r="Z32" s="25"/>
      <c r="AA32" s="25"/>
      <c r="AB32" s="26"/>
      <c r="AC32" s="26"/>
      <c r="AD32" s="25"/>
      <c r="AE32" s="24">
        <f t="shared" si="3"/>
        <v>-1175</v>
      </c>
      <c r="AF32" s="24">
        <f t="shared" si="4"/>
        <v>0</v>
      </c>
      <c r="AMI32"/>
      <c r="AMJ32"/>
    </row>
    <row r="33" spans="1:1024" s="29" customFormat="1" ht="23.25" customHeight="1" x14ac:dyDescent="0.3">
      <c r="A33" s="18">
        <v>44090</v>
      </c>
      <c r="B33" s="19"/>
      <c r="C33" s="20" t="s">
        <v>60</v>
      </c>
      <c r="D33" s="20"/>
      <c r="E33" s="20"/>
      <c r="F33" s="21"/>
      <c r="G33" s="21" t="s">
        <v>439</v>
      </c>
      <c r="H33" s="22">
        <v>60</v>
      </c>
      <c r="I33" s="22"/>
      <c r="J33" s="22"/>
      <c r="K33" s="22"/>
      <c r="L33" s="23"/>
      <c r="M33" s="24">
        <f t="shared" si="0"/>
        <v>60</v>
      </c>
      <c r="N33" s="24">
        <f t="shared" si="1"/>
        <v>0</v>
      </c>
      <c r="O33" s="24">
        <f t="shared" si="2"/>
        <v>0</v>
      </c>
      <c r="P33" s="24"/>
      <c r="Q33" s="25"/>
      <c r="R33" s="25"/>
      <c r="S33" s="26"/>
      <c r="T33" s="26"/>
      <c r="U33" s="26"/>
      <c r="V33" s="26"/>
      <c r="W33" s="26"/>
      <c r="X33" s="25"/>
      <c r="Y33" s="25"/>
      <c r="Z33" s="25"/>
      <c r="AA33" s="25">
        <v>60</v>
      </c>
      <c r="AB33" s="26"/>
      <c r="AC33" s="26"/>
      <c r="AD33" s="25"/>
      <c r="AE33" s="24">
        <f t="shared" si="3"/>
        <v>-60</v>
      </c>
      <c r="AF33" s="24">
        <f t="shared" si="4"/>
        <v>0</v>
      </c>
      <c r="AMI33"/>
      <c r="AMJ33"/>
    </row>
    <row r="34" spans="1:1024" s="29" customFormat="1" ht="23.25" customHeight="1" x14ac:dyDescent="0.3">
      <c r="A34" s="18">
        <v>44090</v>
      </c>
      <c r="B34" s="19"/>
      <c r="C34" s="20" t="s">
        <v>37</v>
      </c>
      <c r="D34" s="20"/>
      <c r="E34" s="20"/>
      <c r="F34" s="21"/>
      <c r="G34" s="21" t="s">
        <v>658</v>
      </c>
      <c r="H34" s="22">
        <v>160</v>
      </c>
      <c r="I34" s="22"/>
      <c r="J34" s="22"/>
      <c r="K34" s="22"/>
      <c r="L34" s="23"/>
      <c r="M34" s="24">
        <f t="shared" si="0"/>
        <v>160</v>
      </c>
      <c r="N34" s="24">
        <f t="shared" si="1"/>
        <v>0</v>
      </c>
      <c r="O34" s="24">
        <f t="shared" si="2"/>
        <v>0</v>
      </c>
      <c r="P34" s="24"/>
      <c r="Q34" s="25"/>
      <c r="R34" s="25"/>
      <c r="S34" s="26"/>
      <c r="T34" s="26"/>
      <c r="U34" s="26"/>
      <c r="V34" s="26"/>
      <c r="W34" s="26"/>
      <c r="X34" s="25"/>
      <c r="Y34" s="25"/>
      <c r="Z34" s="25"/>
      <c r="AA34" s="25">
        <v>160</v>
      </c>
      <c r="AB34" s="26"/>
      <c r="AC34" s="26"/>
      <c r="AD34" s="25"/>
      <c r="AE34" s="24">
        <f t="shared" si="3"/>
        <v>-160</v>
      </c>
      <c r="AF34" s="24">
        <f t="shared" si="4"/>
        <v>0</v>
      </c>
      <c r="AMI34"/>
      <c r="AMJ34"/>
    </row>
    <row r="35" spans="1:1024" s="29" customFormat="1" ht="23.25" customHeight="1" x14ac:dyDescent="0.3">
      <c r="A35" s="18">
        <v>44090</v>
      </c>
      <c r="B35" s="19"/>
      <c r="C35" s="20" t="s">
        <v>549</v>
      </c>
      <c r="D35" s="20"/>
      <c r="E35" s="20"/>
      <c r="F35" s="21"/>
      <c r="G35" s="21" t="s">
        <v>659</v>
      </c>
      <c r="H35" s="22"/>
      <c r="I35" s="22"/>
      <c r="J35" s="22">
        <v>190</v>
      </c>
      <c r="K35" s="22"/>
      <c r="L35" s="23"/>
      <c r="M35" s="24">
        <f t="shared" si="0"/>
        <v>190</v>
      </c>
      <c r="N35" s="24">
        <f t="shared" si="1"/>
        <v>0</v>
      </c>
      <c r="O35" s="24">
        <f t="shared" si="2"/>
        <v>0</v>
      </c>
      <c r="P35" s="24">
        <v>190</v>
      </c>
      <c r="Q35" s="25"/>
      <c r="R35" s="25"/>
      <c r="S35" s="26"/>
      <c r="T35" s="26"/>
      <c r="U35" s="26"/>
      <c r="V35" s="26"/>
      <c r="W35" s="26"/>
      <c r="X35" s="25"/>
      <c r="Y35" s="25"/>
      <c r="Z35" s="25"/>
      <c r="AA35" s="25"/>
      <c r="AB35" s="26"/>
      <c r="AC35" s="26"/>
      <c r="AD35" s="25"/>
      <c r="AE35" s="24">
        <f t="shared" si="3"/>
        <v>-190</v>
      </c>
      <c r="AF35" s="24">
        <f t="shared" si="4"/>
        <v>0</v>
      </c>
      <c r="AMI35"/>
      <c r="AMJ35"/>
    </row>
    <row r="36" spans="1:1024" s="29" customFormat="1" ht="23.25" customHeight="1" x14ac:dyDescent="0.3">
      <c r="A36" s="18">
        <v>44091</v>
      </c>
      <c r="B36" s="19"/>
      <c r="C36" s="20" t="s">
        <v>47</v>
      </c>
      <c r="D36" s="20" t="s">
        <v>490</v>
      </c>
      <c r="E36" s="20" t="s">
        <v>519</v>
      </c>
      <c r="F36" s="21">
        <v>345871</v>
      </c>
      <c r="G36" s="21" t="s">
        <v>563</v>
      </c>
      <c r="H36" s="22"/>
      <c r="I36" s="22"/>
      <c r="J36" s="22"/>
      <c r="K36" s="22">
        <v>226</v>
      </c>
      <c r="L36" s="23"/>
      <c r="M36" s="24">
        <f t="shared" si="0"/>
        <v>201.78571428571428</v>
      </c>
      <c r="N36" s="24">
        <f t="shared" si="1"/>
        <v>24.214285714285712</v>
      </c>
      <c r="O36" s="24">
        <f t="shared" si="2"/>
        <v>0</v>
      </c>
      <c r="P36" s="24"/>
      <c r="Q36" s="25">
        <v>201.79</v>
      </c>
      <c r="R36" s="25"/>
      <c r="S36" s="26"/>
      <c r="T36" s="26"/>
      <c r="U36" s="26"/>
      <c r="V36" s="26"/>
      <c r="W36" s="26"/>
      <c r="X36" s="25"/>
      <c r="Y36" s="25"/>
      <c r="Z36" s="25"/>
      <c r="AA36" s="25"/>
      <c r="AB36" s="26"/>
      <c r="AC36" s="26"/>
      <c r="AD36" s="25"/>
      <c r="AE36" s="24">
        <f t="shared" si="3"/>
        <v>-226.00428571428571</v>
      </c>
      <c r="AF36" s="24">
        <f t="shared" si="4"/>
        <v>0</v>
      </c>
      <c r="AMI36"/>
      <c r="AMJ36"/>
    </row>
    <row r="37" spans="1:1024" s="29" customFormat="1" ht="23.25" customHeight="1" x14ac:dyDescent="0.3">
      <c r="A37" s="18">
        <v>44091</v>
      </c>
      <c r="B37" s="19"/>
      <c r="C37" s="20" t="s">
        <v>47</v>
      </c>
      <c r="D37" s="20" t="s">
        <v>490</v>
      </c>
      <c r="E37" s="20" t="s">
        <v>519</v>
      </c>
      <c r="F37" s="21">
        <v>273267</v>
      </c>
      <c r="G37" s="21" t="s">
        <v>660</v>
      </c>
      <c r="H37" s="22"/>
      <c r="I37" s="22"/>
      <c r="J37" s="22">
        <v>53</v>
      </c>
      <c r="K37" s="22"/>
      <c r="L37" s="23"/>
      <c r="M37" s="24">
        <f t="shared" ref="M37:M68" si="5">SUM(H37:J37,K37/1.12)</f>
        <v>53</v>
      </c>
      <c r="N37" s="24">
        <f t="shared" ref="N37:N68" si="6">K37/1.12*0.12</f>
        <v>0</v>
      </c>
      <c r="O37" s="24">
        <f t="shared" ref="O37:O68" si="7">-SUM(I37:J37,K37/1.12)*L37</f>
        <v>0</v>
      </c>
      <c r="P37" s="24">
        <v>53</v>
      </c>
      <c r="Q37" s="25"/>
      <c r="R37" s="25"/>
      <c r="S37" s="26"/>
      <c r="T37" s="26"/>
      <c r="U37" s="26"/>
      <c r="V37" s="26"/>
      <c r="W37" s="26"/>
      <c r="X37" s="25"/>
      <c r="Y37" s="25"/>
      <c r="Z37" s="25"/>
      <c r="AA37" s="25"/>
      <c r="AB37" s="26"/>
      <c r="AC37" s="26"/>
      <c r="AD37" s="25"/>
      <c r="AE37" s="24">
        <f t="shared" ref="AE37:AE68" si="8">-SUM(N37:AD37)</f>
        <v>-53</v>
      </c>
      <c r="AF37" s="24">
        <f t="shared" si="4"/>
        <v>0</v>
      </c>
      <c r="AMI37"/>
      <c r="AMJ37"/>
    </row>
    <row r="38" spans="1:1024" s="29" customFormat="1" ht="23.25" customHeight="1" x14ac:dyDescent="0.3">
      <c r="A38" s="18">
        <v>44091</v>
      </c>
      <c r="B38" s="19"/>
      <c r="C38" s="20" t="s">
        <v>47</v>
      </c>
      <c r="D38" s="20" t="s">
        <v>490</v>
      </c>
      <c r="E38" s="20" t="s">
        <v>519</v>
      </c>
      <c r="F38" s="21">
        <v>273267</v>
      </c>
      <c r="G38" s="21" t="s">
        <v>661</v>
      </c>
      <c r="H38" s="22"/>
      <c r="I38" s="22"/>
      <c r="J38" s="22"/>
      <c r="K38" s="22">
        <f>1178.39+141.41</f>
        <v>1319.8000000000002</v>
      </c>
      <c r="L38" s="23"/>
      <c r="M38" s="24">
        <f t="shared" si="5"/>
        <v>1178.3928571428571</v>
      </c>
      <c r="N38" s="24">
        <f t="shared" si="6"/>
        <v>141.40714285714284</v>
      </c>
      <c r="O38" s="24">
        <f t="shared" si="7"/>
        <v>0</v>
      </c>
      <c r="P38" s="24">
        <v>1178.3900000000001</v>
      </c>
      <c r="Q38" s="25"/>
      <c r="R38" s="25"/>
      <c r="S38" s="26"/>
      <c r="T38" s="26"/>
      <c r="U38" s="26"/>
      <c r="V38" s="26"/>
      <c r="W38" s="26"/>
      <c r="X38" s="25"/>
      <c r="Y38" s="25"/>
      <c r="Z38" s="25"/>
      <c r="AA38" s="25"/>
      <c r="AB38" s="26"/>
      <c r="AC38" s="26"/>
      <c r="AD38" s="25"/>
      <c r="AE38" s="24">
        <f t="shared" si="8"/>
        <v>-1319.7971428571429</v>
      </c>
      <c r="AF38" s="24">
        <f t="shared" si="4"/>
        <v>0</v>
      </c>
      <c r="AMI38"/>
      <c r="AMJ38"/>
    </row>
    <row r="39" spans="1:1024" s="29" customFormat="1" ht="23.25" customHeight="1" x14ac:dyDescent="0.3">
      <c r="A39" s="18">
        <v>40439</v>
      </c>
      <c r="B39" s="19"/>
      <c r="C39" s="20" t="s">
        <v>39</v>
      </c>
      <c r="D39" s="20"/>
      <c r="E39" s="20"/>
      <c r="F39" s="21">
        <v>38707</v>
      </c>
      <c r="G39" s="21" t="s">
        <v>138</v>
      </c>
      <c r="H39" s="22"/>
      <c r="I39" s="22"/>
      <c r="J39" s="22"/>
      <c r="K39" s="22">
        <v>78</v>
      </c>
      <c r="L39" s="23"/>
      <c r="M39" s="24">
        <f t="shared" si="5"/>
        <v>69.642857142857139</v>
      </c>
      <c r="N39" s="24">
        <f t="shared" si="6"/>
        <v>8.3571428571428559</v>
      </c>
      <c r="O39" s="24">
        <f t="shared" si="7"/>
        <v>0</v>
      </c>
      <c r="P39" s="24">
        <v>69.64</v>
      </c>
      <c r="Q39" s="25"/>
      <c r="R39" s="25"/>
      <c r="S39" s="26"/>
      <c r="T39" s="26"/>
      <c r="U39" s="26"/>
      <c r="V39" s="26"/>
      <c r="W39" s="26"/>
      <c r="X39" s="25"/>
      <c r="Y39" s="25"/>
      <c r="Z39" s="25"/>
      <c r="AA39" s="25"/>
      <c r="AB39" s="26"/>
      <c r="AC39" s="26"/>
      <c r="AD39" s="25"/>
      <c r="AE39" s="24">
        <f t="shared" si="8"/>
        <v>-77.997142857142862</v>
      </c>
      <c r="AF39" s="24">
        <f t="shared" si="4"/>
        <v>0</v>
      </c>
      <c r="AMI39"/>
      <c r="AMJ39"/>
    </row>
    <row r="40" spans="1:1024" s="29" customFormat="1" ht="24.75" customHeight="1" x14ac:dyDescent="0.3">
      <c r="A40" s="18">
        <v>44095</v>
      </c>
      <c r="B40" s="19"/>
      <c r="C40" s="20" t="s">
        <v>522</v>
      </c>
      <c r="D40" s="20"/>
      <c r="E40" s="20"/>
      <c r="F40" s="21"/>
      <c r="G40" s="21" t="s">
        <v>662</v>
      </c>
      <c r="H40" s="22"/>
      <c r="I40" s="22"/>
      <c r="J40" s="22"/>
      <c r="K40" s="22">
        <v>42</v>
      </c>
      <c r="L40" s="23"/>
      <c r="M40" s="24">
        <f t="shared" si="5"/>
        <v>37.499999999999993</v>
      </c>
      <c r="N40" s="24">
        <f t="shared" si="6"/>
        <v>4.4999999999999991</v>
      </c>
      <c r="O40" s="24">
        <f t="shared" si="7"/>
        <v>0</v>
      </c>
      <c r="P40" s="24"/>
      <c r="Q40" s="25">
        <v>37.5</v>
      </c>
      <c r="R40" s="25"/>
      <c r="S40" s="26"/>
      <c r="T40" s="26"/>
      <c r="U40" s="26"/>
      <c r="V40" s="26"/>
      <c r="W40" s="26"/>
      <c r="X40" s="25"/>
      <c r="Y40" s="25"/>
      <c r="Z40" s="25"/>
      <c r="AA40" s="25"/>
      <c r="AB40" s="26"/>
      <c r="AC40" s="26"/>
      <c r="AD40" s="25"/>
      <c r="AE40" s="24">
        <f t="shared" si="8"/>
        <v>-42</v>
      </c>
      <c r="AF40" s="24">
        <f t="shared" ref="AF40:AF71" si="9">-SUM(N40:AE40)</f>
        <v>0</v>
      </c>
      <c r="AMI40"/>
      <c r="AMJ40"/>
    </row>
    <row r="41" spans="1:1024" s="29" customFormat="1" ht="23.25" customHeight="1" x14ac:dyDescent="0.3">
      <c r="A41" s="18">
        <v>44095</v>
      </c>
      <c r="B41" s="19"/>
      <c r="C41" s="20" t="s">
        <v>39</v>
      </c>
      <c r="D41" s="20"/>
      <c r="E41" s="20"/>
      <c r="F41" s="21"/>
      <c r="G41" s="21" t="s">
        <v>663</v>
      </c>
      <c r="H41" s="22"/>
      <c r="I41" s="22"/>
      <c r="J41" s="22"/>
      <c r="K41" s="22">
        <v>989.25</v>
      </c>
      <c r="L41" s="23"/>
      <c r="M41" s="24">
        <f t="shared" si="5"/>
        <v>883.25892857142844</v>
      </c>
      <c r="N41" s="24">
        <f t="shared" si="6"/>
        <v>105.9910714285714</v>
      </c>
      <c r="O41" s="24">
        <f t="shared" si="7"/>
        <v>0</v>
      </c>
      <c r="P41" s="24">
        <v>883.26</v>
      </c>
      <c r="Q41" s="25"/>
      <c r="R41" s="25"/>
      <c r="S41" s="26"/>
      <c r="T41" s="26"/>
      <c r="U41" s="26"/>
      <c r="V41" s="26"/>
      <c r="W41" s="26"/>
      <c r="X41" s="25"/>
      <c r="Y41" s="25"/>
      <c r="Z41" s="25"/>
      <c r="AA41" s="25"/>
      <c r="AB41" s="26"/>
      <c r="AC41" s="26"/>
      <c r="AD41" s="25"/>
      <c r="AE41" s="24">
        <f t="shared" si="8"/>
        <v>-989.25107142857144</v>
      </c>
      <c r="AF41" s="24">
        <f t="shared" si="9"/>
        <v>0</v>
      </c>
      <c r="AMI41"/>
      <c r="AMJ41"/>
    </row>
    <row r="42" spans="1:1024" s="29" customFormat="1" ht="23.25" customHeight="1" x14ac:dyDescent="0.3">
      <c r="A42" s="18">
        <v>44095</v>
      </c>
      <c r="B42" s="19"/>
      <c r="C42" s="20" t="s">
        <v>39</v>
      </c>
      <c r="D42" s="20"/>
      <c r="E42" s="20"/>
      <c r="F42" s="21"/>
      <c r="G42" s="21" t="s">
        <v>664</v>
      </c>
      <c r="H42" s="22"/>
      <c r="I42" s="22"/>
      <c r="J42" s="22"/>
      <c r="K42" s="22">
        <v>79</v>
      </c>
      <c r="L42" s="23"/>
      <c r="M42" s="24">
        <f t="shared" si="5"/>
        <v>70.535714285714278</v>
      </c>
      <c r="N42" s="24">
        <f t="shared" si="6"/>
        <v>8.4642857142857135</v>
      </c>
      <c r="O42" s="24">
        <f t="shared" si="7"/>
        <v>0</v>
      </c>
      <c r="P42" s="24"/>
      <c r="Q42" s="25"/>
      <c r="R42" s="25"/>
      <c r="S42" s="26"/>
      <c r="T42" s="26"/>
      <c r="U42" s="26">
        <v>70.540000000000006</v>
      </c>
      <c r="V42" s="26"/>
      <c r="W42" s="26"/>
      <c r="X42" s="25"/>
      <c r="Y42" s="25"/>
      <c r="Z42" s="25"/>
      <c r="AA42" s="25"/>
      <c r="AB42" s="26"/>
      <c r="AC42" s="26"/>
      <c r="AD42" s="25"/>
      <c r="AE42" s="24">
        <f t="shared" si="8"/>
        <v>-79.004285714285714</v>
      </c>
      <c r="AF42" s="24">
        <f t="shared" si="9"/>
        <v>0</v>
      </c>
      <c r="AMI42"/>
      <c r="AMJ42"/>
    </row>
    <row r="43" spans="1:1024" s="29" customFormat="1" ht="23.25" customHeight="1" x14ac:dyDescent="0.3">
      <c r="A43" s="18">
        <v>44095</v>
      </c>
      <c r="B43" s="19"/>
      <c r="C43" s="20" t="s">
        <v>45</v>
      </c>
      <c r="D43" s="20"/>
      <c r="E43" s="20"/>
      <c r="F43" s="21"/>
      <c r="G43" s="21" t="s">
        <v>665</v>
      </c>
      <c r="H43" s="22">
        <v>100</v>
      </c>
      <c r="I43" s="22"/>
      <c r="J43" s="22"/>
      <c r="K43" s="22"/>
      <c r="L43" s="23"/>
      <c r="M43" s="24">
        <f t="shared" si="5"/>
        <v>100</v>
      </c>
      <c r="N43" s="24">
        <f t="shared" si="6"/>
        <v>0</v>
      </c>
      <c r="O43" s="24">
        <f t="shared" si="7"/>
        <v>0</v>
      </c>
      <c r="P43" s="24"/>
      <c r="Q43" s="25"/>
      <c r="R43" s="25"/>
      <c r="S43" s="26"/>
      <c r="T43" s="26"/>
      <c r="U43" s="26"/>
      <c r="V43" s="26"/>
      <c r="W43" s="26"/>
      <c r="X43" s="25"/>
      <c r="Y43" s="25"/>
      <c r="Z43" s="25"/>
      <c r="AA43" s="25">
        <v>100</v>
      </c>
      <c r="AB43" s="26"/>
      <c r="AC43" s="26"/>
      <c r="AD43" s="25"/>
      <c r="AE43" s="24">
        <f t="shared" si="8"/>
        <v>-100</v>
      </c>
      <c r="AF43" s="24">
        <f t="shared" si="9"/>
        <v>0</v>
      </c>
      <c r="AMI43"/>
      <c r="AMJ43"/>
    </row>
    <row r="44" spans="1:1024" s="29" customFormat="1" ht="23.25" customHeight="1" x14ac:dyDescent="0.3">
      <c r="A44" s="18">
        <v>44095</v>
      </c>
      <c r="B44" s="19"/>
      <c r="C44" s="20" t="s">
        <v>666</v>
      </c>
      <c r="D44" s="20"/>
      <c r="E44" s="20"/>
      <c r="F44" s="21"/>
      <c r="G44" s="21" t="s">
        <v>667</v>
      </c>
      <c r="H44" s="22"/>
      <c r="I44" s="22"/>
      <c r="J44" s="22">
        <v>1450</v>
      </c>
      <c r="K44" s="22"/>
      <c r="L44" s="23"/>
      <c r="M44" s="24">
        <f t="shared" si="5"/>
        <v>1450</v>
      </c>
      <c r="N44" s="24">
        <f t="shared" si="6"/>
        <v>0</v>
      </c>
      <c r="O44" s="24">
        <f t="shared" si="7"/>
        <v>0</v>
      </c>
      <c r="P44" s="24">
        <v>1450</v>
      </c>
      <c r="Q44" s="25"/>
      <c r="R44" s="25"/>
      <c r="S44" s="26"/>
      <c r="T44" s="26"/>
      <c r="U44" s="26"/>
      <c r="V44" s="26"/>
      <c r="W44" s="26"/>
      <c r="X44" s="25"/>
      <c r="Y44" s="25"/>
      <c r="Z44" s="25"/>
      <c r="AA44" s="25"/>
      <c r="AB44" s="26"/>
      <c r="AC44" s="26"/>
      <c r="AD44" s="25"/>
      <c r="AE44" s="24">
        <f t="shared" si="8"/>
        <v>-1450</v>
      </c>
      <c r="AF44" s="24">
        <f t="shared" si="9"/>
        <v>0</v>
      </c>
      <c r="AMI44"/>
      <c r="AMJ44"/>
    </row>
    <row r="45" spans="1:1024" s="29" customFormat="1" ht="27.75" customHeight="1" x14ac:dyDescent="0.3">
      <c r="A45" s="18">
        <v>44095</v>
      </c>
      <c r="B45" s="19"/>
      <c r="C45" s="20" t="s">
        <v>630</v>
      </c>
      <c r="D45" s="20" t="s">
        <v>631</v>
      </c>
      <c r="E45" s="20" t="s">
        <v>632</v>
      </c>
      <c r="F45" s="21"/>
      <c r="G45" s="21" t="s">
        <v>597</v>
      </c>
      <c r="H45" s="22"/>
      <c r="I45" s="22"/>
      <c r="J45" s="22">
        <v>340</v>
      </c>
      <c r="K45" s="22"/>
      <c r="L45" s="23"/>
      <c r="M45" s="24">
        <f t="shared" si="5"/>
        <v>340</v>
      </c>
      <c r="N45" s="24">
        <f t="shared" si="6"/>
        <v>0</v>
      </c>
      <c r="O45" s="24">
        <f t="shared" si="7"/>
        <v>0</v>
      </c>
      <c r="P45" s="24">
        <v>340</v>
      </c>
      <c r="Q45" s="25"/>
      <c r="R45" s="25"/>
      <c r="S45" s="26"/>
      <c r="T45" s="26"/>
      <c r="U45" s="26"/>
      <c r="V45" s="26"/>
      <c r="W45" s="26"/>
      <c r="X45" s="25"/>
      <c r="Y45" s="25"/>
      <c r="Z45" s="25"/>
      <c r="AA45" s="25"/>
      <c r="AB45" s="26"/>
      <c r="AC45" s="26"/>
      <c r="AD45" s="25"/>
      <c r="AE45" s="24">
        <f t="shared" si="8"/>
        <v>-340</v>
      </c>
      <c r="AF45" s="24">
        <f t="shared" si="9"/>
        <v>0</v>
      </c>
      <c r="AMI45"/>
      <c r="AMJ45"/>
    </row>
    <row r="46" spans="1:1024" s="29" customFormat="1" ht="23.25" customHeight="1" x14ac:dyDescent="0.3">
      <c r="A46" s="18">
        <v>44095</v>
      </c>
      <c r="B46" s="19"/>
      <c r="C46" s="20" t="s">
        <v>668</v>
      </c>
      <c r="D46" s="20"/>
      <c r="E46" s="20"/>
      <c r="F46" s="21"/>
      <c r="G46" s="21" t="s">
        <v>669</v>
      </c>
      <c r="H46" s="22">
        <v>500</v>
      </c>
      <c r="I46" s="22"/>
      <c r="J46" s="22"/>
      <c r="K46" s="22"/>
      <c r="L46" s="23"/>
      <c r="M46" s="24">
        <f t="shared" si="5"/>
        <v>500</v>
      </c>
      <c r="N46" s="24">
        <f t="shared" si="6"/>
        <v>0</v>
      </c>
      <c r="O46" s="24">
        <f t="shared" si="7"/>
        <v>0</v>
      </c>
      <c r="P46" s="24"/>
      <c r="Q46" s="25"/>
      <c r="R46" s="25"/>
      <c r="S46" s="26"/>
      <c r="T46" s="26"/>
      <c r="U46" s="26"/>
      <c r="V46" s="26"/>
      <c r="W46" s="26"/>
      <c r="X46" s="25"/>
      <c r="Y46" s="25">
        <v>500</v>
      </c>
      <c r="Z46" s="25"/>
      <c r="AA46" s="25"/>
      <c r="AB46" s="26"/>
      <c r="AC46" s="26"/>
      <c r="AD46" s="25"/>
      <c r="AE46" s="24">
        <f t="shared" si="8"/>
        <v>-500</v>
      </c>
      <c r="AF46" s="24">
        <f t="shared" si="9"/>
        <v>0</v>
      </c>
      <c r="AMI46"/>
      <c r="AMJ46"/>
    </row>
    <row r="47" spans="1:1024" s="29" customFormat="1" ht="23.25" customHeight="1" x14ac:dyDescent="0.3">
      <c r="A47" s="18">
        <v>44096</v>
      </c>
      <c r="B47" s="19"/>
      <c r="C47" s="20" t="s">
        <v>47</v>
      </c>
      <c r="D47" s="20"/>
      <c r="E47" s="20"/>
      <c r="F47" s="21"/>
      <c r="G47" s="21" t="s">
        <v>670</v>
      </c>
      <c r="H47" s="22"/>
      <c r="I47" s="22"/>
      <c r="J47" s="22"/>
      <c r="K47" s="22">
        <v>1817.15</v>
      </c>
      <c r="L47" s="23"/>
      <c r="M47" s="24">
        <f t="shared" si="5"/>
        <v>1622.4553571428571</v>
      </c>
      <c r="N47" s="24">
        <f t="shared" si="6"/>
        <v>194.69464285714284</v>
      </c>
      <c r="O47" s="24">
        <f t="shared" si="7"/>
        <v>0</v>
      </c>
      <c r="P47" s="25">
        <v>1622.46</v>
      </c>
      <c r="Q47" s="25"/>
      <c r="R47" s="25"/>
      <c r="S47" s="26"/>
      <c r="T47" s="26"/>
      <c r="U47" s="26"/>
      <c r="V47" s="26"/>
      <c r="W47" s="26"/>
      <c r="X47" s="25"/>
      <c r="Y47" s="25"/>
      <c r="Z47" s="25"/>
      <c r="AA47" s="25"/>
      <c r="AB47" s="26"/>
      <c r="AC47" s="26"/>
      <c r="AD47" s="25"/>
      <c r="AE47" s="24">
        <f t="shared" si="8"/>
        <v>-1817.1546428571428</v>
      </c>
      <c r="AF47" s="24">
        <f t="shared" si="9"/>
        <v>0</v>
      </c>
      <c r="AMI47"/>
      <c r="AMJ47"/>
    </row>
    <row r="48" spans="1:1024" s="29" customFormat="1" ht="23.25" customHeight="1" x14ac:dyDescent="0.3">
      <c r="A48" s="18">
        <v>44096</v>
      </c>
      <c r="B48" s="19"/>
      <c r="C48" s="20" t="s">
        <v>39</v>
      </c>
      <c r="D48" s="20"/>
      <c r="E48" s="20"/>
      <c r="F48" s="21"/>
      <c r="G48" s="21" t="s">
        <v>671</v>
      </c>
      <c r="H48" s="22"/>
      <c r="I48" s="22"/>
      <c r="J48" s="22"/>
      <c r="K48" s="22">
        <v>82</v>
      </c>
      <c r="L48" s="23"/>
      <c r="M48" s="24">
        <f t="shared" si="5"/>
        <v>73.214285714285708</v>
      </c>
      <c r="N48" s="24">
        <f t="shared" si="6"/>
        <v>8.7857142857142847</v>
      </c>
      <c r="O48" s="24">
        <f t="shared" si="7"/>
        <v>0</v>
      </c>
      <c r="P48" s="24">
        <v>73.209999999999994</v>
      </c>
      <c r="Q48" s="25"/>
      <c r="R48" s="25"/>
      <c r="S48" s="26"/>
      <c r="T48" s="26"/>
      <c r="U48" s="26"/>
      <c r="V48" s="26"/>
      <c r="W48" s="26"/>
      <c r="X48" s="25"/>
      <c r="Y48" s="25"/>
      <c r="Z48" s="25"/>
      <c r="AA48" s="25"/>
      <c r="AB48" s="26"/>
      <c r="AC48" s="26"/>
      <c r="AD48" s="25"/>
      <c r="AE48" s="24">
        <f t="shared" si="8"/>
        <v>-81.995714285714286</v>
      </c>
      <c r="AF48" s="24">
        <f t="shared" si="9"/>
        <v>0</v>
      </c>
      <c r="AMI48"/>
      <c r="AMJ48"/>
    </row>
    <row r="49" spans="1:1024" s="29" customFormat="1" ht="24.75" customHeight="1" x14ac:dyDescent="0.3">
      <c r="A49" s="18">
        <v>44093</v>
      </c>
      <c r="B49" s="19"/>
      <c r="C49" s="20" t="s">
        <v>60</v>
      </c>
      <c r="D49" s="20"/>
      <c r="E49" s="20"/>
      <c r="F49" s="21"/>
      <c r="G49" s="21" t="s">
        <v>672</v>
      </c>
      <c r="H49" s="22">
        <v>22</v>
      </c>
      <c r="I49" s="22"/>
      <c r="J49" s="22"/>
      <c r="K49" s="22"/>
      <c r="L49" s="23"/>
      <c r="M49" s="24">
        <f t="shared" si="5"/>
        <v>22</v>
      </c>
      <c r="N49" s="24">
        <f t="shared" si="6"/>
        <v>0</v>
      </c>
      <c r="O49" s="24">
        <f t="shared" si="7"/>
        <v>0</v>
      </c>
      <c r="P49" s="24"/>
      <c r="Q49" s="25"/>
      <c r="R49" s="25"/>
      <c r="S49" s="26"/>
      <c r="T49" s="26"/>
      <c r="U49" s="26"/>
      <c r="V49" s="26"/>
      <c r="W49" s="26"/>
      <c r="X49" s="25"/>
      <c r="Y49" s="25"/>
      <c r="Z49" s="25"/>
      <c r="AA49" s="25">
        <v>22</v>
      </c>
      <c r="AB49" s="26"/>
      <c r="AC49" s="26"/>
      <c r="AD49" s="25"/>
      <c r="AE49" s="24">
        <f t="shared" si="8"/>
        <v>-22</v>
      </c>
      <c r="AF49" s="24">
        <f t="shared" si="9"/>
        <v>0</v>
      </c>
      <c r="AMI49"/>
      <c r="AMJ49"/>
    </row>
    <row r="50" spans="1:1024" s="29" customFormat="1" ht="23.25" customHeight="1" x14ac:dyDescent="0.3">
      <c r="A50" s="18">
        <v>44093</v>
      </c>
      <c r="B50" s="19"/>
      <c r="C50" s="20" t="s">
        <v>673</v>
      </c>
      <c r="D50" s="20"/>
      <c r="E50" s="20" t="s">
        <v>163</v>
      </c>
      <c r="F50" s="21">
        <v>10371111</v>
      </c>
      <c r="G50" s="21" t="s">
        <v>674</v>
      </c>
      <c r="H50" s="22"/>
      <c r="I50" s="22"/>
      <c r="J50" s="22"/>
      <c r="K50" s="22">
        <v>1078</v>
      </c>
      <c r="L50" s="23"/>
      <c r="M50" s="24">
        <f t="shared" si="5"/>
        <v>962.49999999999989</v>
      </c>
      <c r="N50" s="24">
        <f t="shared" si="6"/>
        <v>115.49999999999999</v>
      </c>
      <c r="O50" s="24">
        <f t="shared" si="7"/>
        <v>0</v>
      </c>
      <c r="P50" s="24"/>
      <c r="Q50" s="25">
        <v>962.5</v>
      </c>
      <c r="R50" s="25"/>
      <c r="S50" s="26"/>
      <c r="T50" s="26"/>
      <c r="U50" s="26"/>
      <c r="V50" s="26"/>
      <c r="W50" s="26"/>
      <c r="X50" s="25"/>
      <c r="Y50" s="25"/>
      <c r="Z50" s="25"/>
      <c r="AA50" s="25"/>
      <c r="AB50" s="26"/>
      <c r="AC50" s="26"/>
      <c r="AD50" s="25"/>
      <c r="AE50" s="24">
        <f t="shared" si="8"/>
        <v>-1078</v>
      </c>
      <c r="AF50" s="24">
        <f t="shared" si="9"/>
        <v>0</v>
      </c>
      <c r="AMI50"/>
      <c r="AMJ50"/>
    </row>
    <row r="51" spans="1:1024" s="29" customFormat="1" ht="23.25" customHeight="1" x14ac:dyDescent="0.3">
      <c r="A51" s="18">
        <v>44093</v>
      </c>
      <c r="B51" s="19"/>
      <c r="C51" s="20" t="s">
        <v>522</v>
      </c>
      <c r="D51" s="20"/>
      <c r="E51" s="20"/>
      <c r="F51" s="21"/>
      <c r="G51" s="21" t="s">
        <v>58</v>
      </c>
      <c r="H51" s="22"/>
      <c r="I51" s="22"/>
      <c r="J51" s="22"/>
      <c r="K51" s="22">
        <v>50</v>
      </c>
      <c r="L51" s="23"/>
      <c r="M51" s="24">
        <f t="shared" si="5"/>
        <v>44.642857142857139</v>
      </c>
      <c r="N51" s="24">
        <f t="shared" si="6"/>
        <v>5.3571428571428568</v>
      </c>
      <c r="O51" s="24">
        <f t="shared" si="7"/>
        <v>0</v>
      </c>
      <c r="P51" s="24"/>
      <c r="Q51" s="25">
        <v>44.64</v>
      </c>
      <c r="R51" s="25"/>
      <c r="S51" s="26"/>
      <c r="T51" s="26"/>
      <c r="U51" s="26"/>
      <c r="V51" s="26"/>
      <c r="W51" s="26"/>
      <c r="X51" s="25"/>
      <c r="Y51" s="25"/>
      <c r="Z51" s="25"/>
      <c r="AA51" s="25"/>
      <c r="AB51" s="26"/>
      <c r="AC51" s="26"/>
      <c r="AD51" s="25"/>
      <c r="AE51" s="24">
        <f t="shared" si="8"/>
        <v>-49.997142857142855</v>
      </c>
      <c r="AF51" s="24">
        <f t="shared" si="9"/>
        <v>0</v>
      </c>
      <c r="AMI51"/>
      <c r="AMJ51"/>
    </row>
    <row r="52" spans="1:1024" s="29" customFormat="1" ht="23.25" customHeight="1" x14ac:dyDescent="0.3">
      <c r="A52" s="18">
        <v>44093</v>
      </c>
      <c r="B52" s="19"/>
      <c r="C52" s="20" t="s">
        <v>39</v>
      </c>
      <c r="D52" s="20" t="s">
        <v>40</v>
      </c>
      <c r="E52" s="20" t="s">
        <v>41</v>
      </c>
      <c r="F52" s="21">
        <v>38715</v>
      </c>
      <c r="G52" s="21" t="s">
        <v>675</v>
      </c>
      <c r="H52" s="22"/>
      <c r="I52" s="22"/>
      <c r="J52" s="22"/>
      <c r="K52" s="22">
        <v>394.25</v>
      </c>
      <c r="L52" s="23"/>
      <c r="M52" s="24">
        <f t="shared" si="5"/>
        <v>352.00892857142856</v>
      </c>
      <c r="N52" s="24">
        <f t="shared" si="6"/>
        <v>42.241071428571423</v>
      </c>
      <c r="O52" s="24">
        <f t="shared" si="7"/>
        <v>0</v>
      </c>
      <c r="P52" s="24">
        <v>352.01</v>
      </c>
      <c r="Q52" s="25"/>
      <c r="R52" s="25"/>
      <c r="S52" s="26"/>
      <c r="T52" s="26"/>
      <c r="U52" s="26"/>
      <c r="V52" s="26"/>
      <c r="W52" s="26"/>
      <c r="X52" s="25"/>
      <c r="Y52" s="25"/>
      <c r="Z52" s="25"/>
      <c r="AA52" s="25"/>
      <c r="AB52" s="26"/>
      <c r="AC52" s="26"/>
      <c r="AD52" s="25"/>
      <c r="AE52" s="24">
        <f t="shared" si="8"/>
        <v>-394.25107142857144</v>
      </c>
      <c r="AF52" s="24">
        <f t="shared" si="9"/>
        <v>0</v>
      </c>
      <c r="AMI52"/>
      <c r="AMJ52"/>
    </row>
    <row r="53" spans="1:1024" s="29" customFormat="1" ht="23.25" customHeight="1" x14ac:dyDescent="0.3">
      <c r="A53" s="18">
        <v>44092</v>
      </c>
      <c r="B53" s="19"/>
      <c r="C53" s="20" t="s">
        <v>522</v>
      </c>
      <c r="D53" s="20"/>
      <c r="E53" s="20"/>
      <c r="F53" s="21">
        <v>1079964</v>
      </c>
      <c r="G53" s="21" t="s">
        <v>58</v>
      </c>
      <c r="H53" s="22"/>
      <c r="I53" s="22"/>
      <c r="J53" s="22"/>
      <c r="K53" s="22">
        <v>50</v>
      </c>
      <c r="L53" s="23"/>
      <c r="M53" s="24">
        <f t="shared" si="5"/>
        <v>44.642857142857139</v>
      </c>
      <c r="N53" s="24">
        <f t="shared" si="6"/>
        <v>5.3571428571428568</v>
      </c>
      <c r="O53" s="24">
        <f t="shared" si="7"/>
        <v>0</v>
      </c>
      <c r="P53" s="24"/>
      <c r="Q53" s="25">
        <v>44.64</v>
      </c>
      <c r="R53" s="25"/>
      <c r="S53" s="26"/>
      <c r="T53" s="26"/>
      <c r="U53" s="26"/>
      <c r="V53" s="26"/>
      <c r="W53" s="26"/>
      <c r="X53" s="25"/>
      <c r="Y53" s="25"/>
      <c r="Z53" s="25"/>
      <c r="AA53" s="25"/>
      <c r="AB53" s="26"/>
      <c r="AC53" s="26"/>
      <c r="AD53" s="25"/>
      <c r="AE53" s="24">
        <f t="shared" si="8"/>
        <v>-49.997142857142855</v>
      </c>
      <c r="AF53" s="24">
        <f t="shared" si="9"/>
        <v>0</v>
      </c>
      <c r="AMI53"/>
      <c r="AMJ53"/>
    </row>
    <row r="54" spans="1:1024" s="29" customFormat="1" ht="23.25" customHeight="1" x14ac:dyDescent="0.3">
      <c r="A54" s="18">
        <v>44092</v>
      </c>
      <c r="B54" s="19"/>
      <c r="C54" s="20" t="s">
        <v>47</v>
      </c>
      <c r="D54" s="20" t="s">
        <v>490</v>
      </c>
      <c r="E54" s="20" t="s">
        <v>519</v>
      </c>
      <c r="F54" s="21">
        <v>208985</v>
      </c>
      <c r="G54" s="21" t="s">
        <v>676</v>
      </c>
      <c r="H54" s="22"/>
      <c r="I54" s="22"/>
      <c r="J54" s="22"/>
      <c r="K54" s="22">
        <f>1008.71+121.04</f>
        <v>1129.75</v>
      </c>
      <c r="L54" s="23"/>
      <c r="M54" s="24">
        <f t="shared" si="5"/>
        <v>1008.705357142857</v>
      </c>
      <c r="N54" s="24">
        <f t="shared" si="6"/>
        <v>121.04464285714283</v>
      </c>
      <c r="O54" s="24">
        <f t="shared" si="7"/>
        <v>0</v>
      </c>
      <c r="P54" s="24">
        <v>1008.71</v>
      </c>
      <c r="Q54" s="25"/>
      <c r="R54" s="25"/>
      <c r="S54" s="26"/>
      <c r="T54" s="26"/>
      <c r="U54" s="26"/>
      <c r="V54" s="26"/>
      <c r="W54" s="26"/>
      <c r="X54" s="25"/>
      <c r="Y54" s="25"/>
      <c r="Z54" s="25"/>
      <c r="AA54" s="25"/>
      <c r="AB54" s="26"/>
      <c r="AC54" s="26"/>
      <c r="AD54" s="25"/>
      <c r="AE54" s="24">
        <f t="shared" si="8"/>
        <v>-1129.7546428571429</v>
      </c>
      <c r="AF54" s="24">
        <f t="shared" si="9"/>
        <v>0</v>
      </c>
      <c r="AMI54"/>
      <c r="AMJ54"/>
    </row>
    <row r="55" spans="1:1024" s="29" customFormat="1" ht="23.25" customHeight="1" x14ac:dyDescent="0.3">
      <c r="A55" s="18">
        <v>44092</v>
      </c>
      <c r="B55" s="19"/>
      <c r="C55" s="20" t="s">
        <v>47</v>
      </c>
      <c r="D55" s="20" t="s">
        <v>490</v>
      </c>
      <c r="E55" s="20" t="s">
        <v>519</v>
      </c>
      <c r="F55" s="21">
        <v>208985</v>
      </c>
      <c r="G55" s="21" t="s">
        <v>399</v>
      </c>
      <c r="H55" s="22"/>
      <c r="I55" s="22"/>
      <c r="J55" s="22">
        <v>273.5</v>
      </c>
      <c r="K55" s="22"/>
      <c r="L55" s="23"/>
      <c r="M55" s="24">
        <f t="shared" si="5"/>
        <v>273.5</v>
      </c>
      <c r="N55" s="24">
        <f t="shared" si="6"/>
        <v>0</v>
      </c>
      <c r="O55" s="24">
        <f t="shared" si="7"/>
        <v>0</v>
      </c>
      <c r="P55" s="24">
        <v>273.5</v>
      </c>
      <c r="Q55" s="25"/>
      <c r="R55" s="25"/>
      <c r="S55" s="26"/>
      <c r="T55" s="26"/>
      <c r="U55" s="26"/>
      <c r="V55" s="26"/>
      <c r="W55" s="26"/>
      <c r="X55" s="25"/>
      <c r="Y55" s="25"/>
      <c r="Z55" s="25"/>
      <c r="AA55" s="25"/>
      <c r="AB55" s="26"/>
      <c r="AC55" s="26"/>
      <c r="AD55" s="25"/>
      <c r="AE55" s="24">
        <f t="shared" si="8"/>
        <v>-273.5</v>
      </c>
      <c r="AF55" s="24">
        <f t="shared" si="9"/>
        <v>0</v>
      </c>
      <c r="AMI55"/>
      <c r="AMJ55"/>
    </row>
    <row r="56" spans="1:1024" s="29" customFormat="1" ht="24.75" customHeight="1" x14ac:dyDescent="0.3">
      <c r="A56" s="18">
        <v>44096</v>
      </c>
      <c r="B56" s="19"/>
      <c r="C56" s="20" t="s">
        <v>39</v>
      </c>
      <c r="D56" s="20" t="s">
        <v>40</v>
      </c>
      <c r="E56" s="20" t="s">
        <v>41</v>
      </c>
      <c r="F56" s="21">
        <v>168108</v>
      </c>
      <c r="G56" s="21" t="s">
        <v>677</v>
      </c>
      <c r="H56" s="22"/>
      <c r="I56" s="22"/>
      <c r="J56" s="22"/>
      <c r="K56" s="22">
        <v>246</v>
      </c>
      <c r="L56" s="23"/>
      <c r="M56" s="24">
        <f t="shared" si="5"/>
        <v>219.64285714285711</v>
      </c>
      <c r="N56" s="24">
        <f t="shared" si="6"/>
        <v>26.357142857142851</v>
      </c>
      <c r="O56" s="24">
        <f t="shared" si="7"/>
        <v>0</v>
      </c>
      <c r="P56" s="24">
        <v>219.64</v>
      </c>
      <c r="Q56" s="25"/>
      <c r="R56" s="25"/>
      <c r="S56" s="26"/>
      <c r="T56" s="26"/>
      <c r="U56" s="26"/>
      <c r="V56" s="26"/>
      <c r="W56" s="26"/>
      <c r="X56" s="25"/>
      <c r="Y56" s="25"/>
      <c r="Z56" s="25"/>
      <c r="AA56" s="25"/>
      <c r="AB56" s="26"/>
      <c r="AC56" s="26"/>
      <c r="AD56" s="25"/>
      <c r="AE56" s="24">
        <f t="shared" si="8"/>
        <v>-245.99714285714285</v>
      </c>
      <c r="AF56" s="24">
        <f t="shared" si="9"/>
        <v>0</v>
      </c>
      <c r="AMI56"/>
      <c r="AMJ56"/>
    </row>
    <row r="57" spans="1:1024" s="29" customFormat="1" ht="24.75" customHeight="1" x14ac:dyDescent="0.3">
      <c r="A57" s="18">
        <v>44096</v>
      </c>
      <c r="B57" s="19"/>
      <c r="C57" s="20" t="s">
        <v>39</v>
      </c>
      <c r="D57" s="20" t="s">
        <v>40</v>
      </c>
      <c r="E57" s="20" t="s">
        <v>41</v>
      </c>
      <c r="F57" s="21">
        <v>200616</v>
      </c>
      <c r="G57" s="21" t="s">
        <v>678</v>
      </c>
      <c r="H57" s="22"/>
      <c r="I57" s="22"/>
      <c r="J57" s="22"/>
      <c r="K57" s="22">
        <v>120</v>
      </c>
      <c r="L57" s="23"/>
      <c r="M57" s="24">
        <f t="shared" si="5"/>
        <v>107.14285714285714</v>
      </c>
      <c r="N57" s="24">
        <f t="shared" si="6"/>
        <v>12.857142857142856</v>
      </c>
      <c r="O57" s="24">
        <f t="shared" si="7"/>
        <v>0</v>
      </c>
      <c r="P57" s="24">
        <v>107.14</v>
      </c>
      <c r="Q57" s="25"/>
      <c r="R57" s="25"/>
      <c r="S57" s="26"/>
      <c r="T57" s="26"/>
      <c r="U57" s="26"/>
      <c r="V57" s="26"/>
      <c r="W57" s="26"/>
      <c r="X57" s="25"/>
      <c r="Y57" s="25"/>
      <c r="Z57" s="25"/>
      <c r="AA57" s="25"/>
      <c r="AB57" s="26"/>
      <c r="AC57" s="26"/>
      <c r="AD57" s="25"/>
      <c r="AE57" s="24">
        <f t="shared" si="8"/>
        <v>-119.99714285714286</v>
      </c>
      <c r="AF57" s="24">
        <f t="shared" si="9"/>
        <v>0</v>
      </c>
      <c r="AMI57"/>
      <c r="AMJ57"/>
    </row>
    <row r="58" spans="1:1024" s="29" customFormat="1" ht="24.75" customHeight="1" x14ac:dyDescent="0.3">
      <c r="A58" s="18">
        <v>44097</v>
      </c>
      <c r="B58" s="19"/>
      <c r="C58" s="20" t="s">
        <v>522</v>
      </c>
      <c r="D58" s="20"/>
      <c r="E58" s="20"/>
      <c r="F58" s="21">
        <v>922595</v>
      </c>
      <c r="G58" s="21" t="s">
        <v>679</v>
      </c>
      <c r="H58" s="22"/>
      <c r="I58" s="22"/>
      <c r="J58" s="22"/>
      <c r="K58" s="22">
        <v>208</v>
      </c>
      <c r="L58" s="23"/>
      <c r="M58" s="24">
        <f t="shared" si="5"/>
        <v>185.71428571428569</v>
      </c>
      <c r="N58" s="24">
        <f t="shared" si="6"/>
        <v>22.285714285714281</v>
      </c>
      <c r="O58" s="24">
        <f t="shared" si="7"/>
        <v>0</v>
      </c>
      <c r="P58" s="24"/>
      <c r="Q58" s="25">
        <v>185.71</v>
      </c>
      <c r="R58" s="25"/>
      <c r="S58" s="26"/>
      <c r="T58" s="26"/>
      <c r="U58" s="26"/>
      <c r="V58" s="26"/>
      <c r="W58" s="26"/>
      <c r="X58" s="25"/>
      <c r="Y58" s="25"/>
      <c r="Z58" s="25"/>
      <c r="AA58" s="25"/>
      <c r="AB58" s="26"/>
      <c r="AC58" s="26"/>
      <c r="AD58" s="25"/>
      <c r="AE58" s="24">
        <f t="shared" si="8"/>
        <v>-207.99571428571429</v>
      </c>
      <c r="AF58" s="24">
        <f t="shared" si="9"/>
        <v>0</v>
      </c>
      <c r="AMI58"/>
      <c r="AMJ58"/>
    </row>
    <row r="59" spans="1:1024" s="29" customFormat="1" ht="24.75" customHeight="1" x14ac:dyDescent="0.3">
      <c r="A59" s="18">
        <v>44098</v>
      </c>
      <c r="B59" s="19"/>
      <c r="C59" s="20" t="s">
        <v>406</v>
      </c>
      <c r="D59" s="20" t="s">
        <v>375</v>
      </c>
      <c r="E59" s="20" t="s">
        <v>41</v>
      </c>
      <c r="F59" s="21">
        <v>2817709</v>
      </c>
      <c r="G59" s="21" t="s">
        <v>662</v>
      </c>
      <c r="H59" s="22"/>
      <c r="I59" s="22"/>
      <c r="J59" s="22"/>
      <c r="K59" s="22">
        <v>25</v>
      </c>
      <c r="L59" s="23"/>
      <c r="M59" s="24">
        <f t="shared" si="5"/>
        <v>22.321428571428569</v>
      </c>
      <c r="N59" s="24">
        <f t="shared" si="6"/>
        <v>2.6785714285714284</v>
      </c>
      <c r="O59" s="24">
        <f t="shared" si="7"/>
        <v>0</v>
      </c>
      <c r="P59" s="24"/>
      <c r="Q59" s="25">
        <v>22.32</v>
      </c>
      <c r="R59" s="25"/>
      <c r="S59" s="26"/>
      <c r="T59" s="26"/>
      <c r="U59" s="26"/>
      <c r="V59" s="26"/>
      <c r="W59" s="26"/>
      <c r="X59" s="25"/>
      <c r="Y59" s="25"/>
      <c r="Z59" s="25"/>
      <c r="AA59" s="25"/>
      <c r="AB59" s="26"/>
      <c r="AC59" s="26"/>
      <c r="AD59" s="25"/>
      <c r="AE59" s="24">
        <f t="shared" si="8"/>
        <v>-24.998571428571427</v>
      </c>
      <c r="AF59" s="24">
        <f t="shared" si="9"/>
        <v>0</v>
      </c>
      <c r="AMI59"/>
      <c r="AMJ59"/>
    </row>
    <row r="60" spans="1:1024" s="29" customFormat="1" ht="24.75" customHeight="1" x14ac:dyDescent="0.3">
      <c r="A60" s="18">
        <v>44099</v>
      </c>
      <c r="B60" s="19"/>
      <c r="C60" s="20" t="s">
        <v>39</v>
      </c>
      <c r="D60" s="20" t="s">
        <v>40</v>
      </c>
      <c r="E60" s="20" t="s">
        <v>41</v>
      </c>
      <c r="F60" s="21">
        <v>38743</v>
      </c>
      <c r="G60" s="21" t="s">
        <v>680</v>
      </c>
      <c r="H60" s="22"/>
      <c r="I60" s="22"/>
      <c r="J60" s="22"/>
      <c r="K60" s="22">
        <v>174</v>
      </c>
      <c r="L60" s="23"/>
      <c r="M60" s="24">
        <f t="shared" si="5"/>
        <v>155.35714285714283</v>
      </c>
      <c r="N60" s="24">
        <f t="shared" si="6"/>
        <v>18.642857142857139</v>
      </c>
      <c r="O60" s="24">
        <f t="shared" si="7"/>
        <v>0</v>
      </c>
      <c r="P60" s="24">
        <v>155.36000000000001</v>
      </c>
      <c r="Q60" s="25"/>
      <c r="R60" s="25"/>
      <c r="S60" s="26"/>
      <c r="T60" s="26"/>
      <c r="U60" s="26"/>
      <c r="V60" s="26"/>
      <c r="W60" s="26"/>
      <c r="X60" s="25"/>
      <c r="Y60" s="25"/>
      <c r="Z60" s="25"/>
      <c r="AA60" s="25"/>
      <c r="AB60" s="26"/>
      <c r="AC60" s="26"/>
      <c r="AD60" s="25"/>
      <c r="AE60" s="24">
        <f t="shared" si="8"/>
        <v>-174.00285714285715</v>
      </c>
      <c r="AF60" s="24">
        <f t="shared" si="9"/>
        <v>0</v>
      </c>
      <c r="AMI60"/>
      <c r="AMJ60"/>
    </row>
    <row r="61" spans="1:1024" s="29" customFormat="1" ht="24.75" customHeight="1" x14ac:dyDescent="0.3">
      <c r="A61" s="18">
        <v>44099</v>
      </c>
      <c r="B61" s="19"/>
      <c r="C61" s="20" t="s">
        <v>39</v>
      </c>
      <c r="D61" s="20" t="s">
        <v>40</v>
      </c>
      <c r="E61" s="20" t="s">
        <v>41</v>
      </c>
      <c r="F61" s="21">
        <v>201108</v>
      </c>
      <c r="G61" s="21" t="s">
        <v>681</v>
      </c>
      <c r="H61" s="22"/>
      <c r="I61" s="22"/>
      <c r="J61" s="22"/>
      <c r="K61" s="22">
        <v>138</v>
      </c>
      <c r="L61" s="23"/>
      <c r="M61" s="24">
        <f t="shared" si="5"/>
        <v>123.21428571428571</v>
      </c>
      <c r="N61" s="24">
        <f t="shared" si="6"/>
        <v>14.785714285714285</v>
      </c>
      <c r="O61" s="24">
        <f t="shared" si="7"/>
        <v>0</v>
      </c>
      <c r="P61" s="24">
        <v>123.21</v>
      </c>
      <c r="Q61" s="25"/>
      <c r="R61" s="25"/>
      <c r="S61" s="26"/>
      <c r="T61" s="26"/>
      <c r="U61" s="26"/>
      <c r="V61" s="26"/>
      <c r="W61" s="26"/>
      <c r="X61" s="25"/>
      <c r="Y61" s="25"/>
      <c r="Z61" s="25"/>
      <c r="AA61" s="25"/>
      <c r="AB61" s="26"/>
      <c r="AC61" s="26"/>
      <c r="AD61" s="25"/>
      <c r="AE61" s="24">
        <f t="shared" si="8"/>
        <v>-137.99571428571429</v>
      </c>
      <c r="AF61" s="24">
        <f t="shared" si="9"/>
        <v>0</v>
      </c>
      <c r="AMI61"/>
      <c r="AMJ61"/>
    </row>
    <row r="62" spans="1:1024" s="29" customFormat="1" ht="24.75" customHeight="1" x14ac:dyDescent="0.3">
      <c r="A62" s="18">
        <v>44099</v>
      </c>
      <c r="B62" s="19"/>
      <c r="C62" s="20" t="s">
        <v>682</v>
      </c>
      <c r="D62" s="20" t="s">
        <v>683</v>
      </c>
      <c r="E62" s="20" t="s">
        <v>684</v>
      </c>
      <c r="F62" s="21">
        <v>287825</v>
      </c>
      <c r="G62" s="21" t="s">
        <v>685</v>
      </c>
      <c r="H62" s="22"/>
      <c r="I62" s="22"/>
      <c r="J62" s="22">
        <v>2210.64</v>
      </c>
      <c r="K62" s="22"/>
      <c r="L62" s="23"/>
      <c r="M62" s="24">
        <f t="shared" si="5"/>
        <v>2210.64</v>
      </c>
      <c r="N62" s="24">
        <f t="shared" si="6"/>
        <v>0</v>
      </c>
      <c r="O62" s="24">
        <f t="shared" si="7"/>
        <v>0</v>
      </c>
      <c r="P62" s="24">
        <v>2210.64</v>
      </c>
      <c r="Q62" s="25"/>
      <c r="R62" s="25"/>
      <c r="S62" s="26"/>
      <c r="T62" s="26"/>
      <c r="U62" s="26"/>
      <c r="V62" s="26"/>
      <c r="W62" s="26"/>
      <c r="X62" s="25"/>
      <c r="Y62" s="25"/>
      <c r="Z62" s="25"/>
      <c r="AA62" s="25"/>
      <c r="AB62" s="26"/>
      <c r="AC62" s="26"/>
      <c r="AD62" s="25"/>
      <c r="AE62" s="24">
        <f t="shared" si="8"/>
        <v>-2210.64</v>
      </c>
      <c r="AF62" s="24">
        <f t="shared" si="9"/>
        <v>0</v>
      </c>
      <c r="AMI62"/>
      <c r="AMJ62"/>
    </row>
    <row r="63" spans="1:1024" s="29" customFormat="1" ht="24.75" customHeight="1" x14ac:dyDescent="0.3">
      <c r="A63" s="18">
        <v>44099</v>
      </c>
      <c r="B63" s="19"/>
      <c r="C63" s="20" t="s">
        <v>45</v>
      </c>
      <c r="D63" s="20"/>
      <c r="E63" s="20"/>
      <c r="F63" s="21"/>
      <c r="G63" s="21" t="s">
        <v>686</v>
      </c>
      <c r="H63" s="22">
        <v>50</v>
      </c>
      <c r="I63" s="22"/>
      <c r="J63" s="22"/>
      <c r="K63" s="22"/>
      <c r="L63" s="23"/>
      <c r="M63" s="24">
        <f t="shared" si="5"/>
        <v>50</v>
      </c>
      <c r="N63" s="24">
        <f t="shared" si="6"/>
        <v>0</v>
      </c>
      <c r="O63" s="24">
        <f t="shared" si="7"/>
        <v>0</v>
      </c>
      <c r="P63" s="24"/>
      <c r="Q63" s="25"/>
      <c r="R63" s="25"/>
      <c r="S63" s="26"/>
      <c r="T63" s="26"/>
      <c r="U63" s="26"/>
      <c r="V63" s="26"/>
      <c r="W63" s="26"/>
      <c r="X63" s="25"/>
      <c r="Y63" s="25"/>
      <c r="Z63" s="25"/>
      <c r="AA63" s="25">
        <v>50</v>
      </c>
      <c r="AB63" s="26"/>
      <c r="AC63" s="26"/>
      <c r="AD63" s="25"/>
      <c r="AE63" s="24">
        <f t="shared" si="8"/>
        <v>-50</v>
      </c>
      <c r="AF63" s="24">
        <f t="shared" si="9"/>
        <v>0</v>
      </c>
      <c r="AMI63"/>
      <c r="AMJ63"/>
    </row>
    <row r="64" spans="1:1024" s="29" customFormat="1" ht="24.75" customHeight="1" x14ac:dyDescent="0.3">
      <c r="A64" s="18">
        <v>44099</v>
      </c>
      <c r="B64" s="19"/>
      <c r="C64" s="20" t="s">
        <v>39</v>
      </c>
      <c r="D64" s="20" t="s">
        <v>40</v>
      </c>
      <c r="E64" s="20" t="s">
        <v>41</v>
      </c>
      <c r="F64" s="21">
        <v>172004</v>
      </c>
      <c r="G64" s="21" t="s">
        <v>687</v>
      </c>
      <c r="H64" s="22"/>
      <c r="I64" s="22"/>
      <c r="J64" s="22"/>
      <c r="K64" s="22">
        <v>99</v>
      </c>
      <c r="L64" s="23"/>
      <c r="M64" s="24">
        <f t="shared" si="5"/>
        <v>88.392857142857139</v>
      </c>
      <c r="N64" s="24">
        <f t="shared" si="6"/>
        <v>10.607142857142856</v>
      </c>
      <c r="O64" s="24">
        <f t="shared" si="7"/>
        <v>0</v>
      </c>
      <c r="P64" s="24"/>
      <c r="Q64" s="25">
        <v>88.39</v>
      </c>
      <c r="R64" s="25"/>
      <c r="S64" s="26"/>
      <c r="T64" s="26"/>
      <c r="U64" s="26"/>
      <c r="V64" s="26"/>
      <c r="W64" s="26"/>
      <c r="X64" s="25"/>
      <c r="Y64" s="25"/>
      <c r="Z64" s="25"/>
      <c r="AA64" s="25"/>
      <c r="AB64" s="26"/>
      <c r="AC64" s="26"/>
      <c r="AD64" s="25"/>
      <c r="AE64" s="24">
        <f t="shared" si="8"/>
        <v>-98.997142857142862</v>
      </c>
      <c r="AF64" s="24">
        <f t="shared" si="9"/>
        <v>0</v>
      </c>
      <c r="AMI64"/>
      <c r="AMJ64"/>
    </row>
    <row r="65" spans="1:1024" s="29" customFormat="1" ht="24.75" customHeight="1" x14ac:dyDescent="0.3">
      <c r="A65" s="18">
        <v>44099</v>
      </c>
      <c r="B65" s="19"/>
      <c r="C65" s="20" t="s">
        <v>233</v>
      </c>
      <c r="D65" s="20" t="s">
        <v>688</v>
      </c>
      <c r="E65" s="20" t="s">
        <v>689</v>
      </c>
      <c r="F65" s="21">
        <v>96201</v>
      </c>
      <c r="G65" s="21" t="s">
        <v>690</v>
      </c>
      <c r="H65" s="22"/>
      <c r="I65" s="22"/>
      <c r="J65" s="22"/>
      <c r="K65" s="22">
        <v>608</v>
      </c>
      <c r="L65" s="23"/>
      <c r="M65" s="24">
        <f t="shared" si="5"/>
        <v>542.85714285714278</v>
      </c>
      <c r="N65" s="24">
        <f t="shared" si="6"/>
        <v>65.142857142857125</v>
      </c>
      <c r="O65" s="24">
        <f t="shared" si="7"/>
        <v>0</v>
      </c>
      <c r="P65" s="24">
        <v>542.86</v>
      </c>
      <c r="Q65" s="25"/>
      <c r="R65" s="25"/>
      <c r="S65" s="26"/>
      <c r="T65" s="26"/>
      <c r="U65" s="26"/>
      <c r="V65" s="26"/>
      <c r="W65" s="26"/>
      <c r="X65" s="25"/>
      <c r="Y65" s="25"/>
      <c r="Z65" s="25"/>
      <c r="AA65" s="25"/>
      <c r="AB65" s="26"/>
      <c r="AC65" s="26"/>
      <c r="AD65" s="25"/>
      <c r="AE65" s="24">
        <f t="shared" si="8"/>
        <v>-608.00285714285712</v>
      </c>
      <c r="AF65" s="24">
        <f t="shared" si="9"/>
        <v>0</v>
      </c>
      <c r="AMI65"/>
      <c r="AMJ65"/>
    </row>
    <row r="66" spans="1:1024" s="29" customFormat="1" ht="24.75" customHeight="1" x14ac:dyDescent="0.3">
      <c r="A66" s="18">
        <v>44099</v>
      </c>
      <c r="B66" s="19"/>
      <c r="C66" s="20" t="s">
        <v>325</v>
      </c>
      <c r="D66" s="20"/>
      <c r="E66" s="20"/>
      <c r="F66" s="21"/>
      <c r="G66" s="21" t="s">
        <v>691</v>
      </c>
      <c r="H66" s="22">
        <v>100</v>
      </c>
      <c r="I66" s="22"/>
      <c r="J66" s="22"/>
      <c r="K66" s="22"/>
      <c r="L66" s="23"/>
      <c r="M66" s="24">
        <f t="shared" si="5"/>
        <v>100</v>
      </c>
      <c r="N66" s="24">
        <f t="shared" si="6"/>
        <v>0</v>
      </c>
      <c r="O66" s="24">
        <f t="shared" si="7"/>
        <v>0</v>
      </c>
      <c r="P66" s="24"/>
      <c r="Q66" s="25"/>
      <c r="R66" s="25"/>
      <c r="S66" s="26"/>
      <c r="T66" s="26"/>
      <c r="U66" s="26"/>
      <c r="V66" s="26"/>
      <c r="W66" s="26"/>
      <c r="X66" s="25"/>
      <c r="Y66" s="25"/>
      <c r="Z66" s="25"/>
      <c r="AA66" s="25">
        <v>100</v>
      </c>
      <c r="AB66" s="26"/>
      <c r="AC66" s="26"/>
      <c r="AD66" s="25"/>
      <c r="AE66" s="24">
        <f t="shared" si="8"/>
        <v>-100</v>
      </c>
      <c r="AF66" s="24">
        <f t="shared" si="9"/>
        <v>0</v>
      </c>
      <c r="AMI66"/>
      <c r="AMJ66"/>
    </row>
    <row r="67" spans="1:1024" s="29" customFormat="1" ht="39" customHeight="1" x14ac:dyDescent="0.3">
      <c r="A67" s="18">
        <v>44099</v>
      </c>
      <c r="B67" s="19"/>
      <c r="C67" s="20" t="s">
        <v>47</v>
      </c>
      <c r="D67" s="20" t="s">
        <v>490</v>
      </c>
      <c r="E67" s="20" t="s">
        <v>519</v>
      </c>
      <c r="F67" s="21">
        <v>254925</v>
      </c>
      <c r="G67" s="21" t="s">
        <v>692</v>
      </c>
      <c r="H67" s="22"/>
      <c r="I67" s="22"/>
      <c r="J67" s="22"/>
      <c r="K67" s="22">
        <v>4765.05</v>
      </c>
      <c r="L67" s="23"/>
      <c r="M67" s="24">
        <f t="shared" si="5"/>
        <v>4254.5089285714284</v>
      </c>
      <c r="N67" s="24">
        <f t="shared" si="6"/>
        <v>510.5410714285714</v>
      </c>
      <c r="O67" s="24">
        <f t="shared" si="7"/>
        <v>0</v>
      </c>
      <c r="P67" s="24">
        <v>4254.51</v>
      </c>
      <c r="Q67" s="25"/>
      <c r="R67" s="25"/>
      <c r="S67" s="26"/>
      <c r="T67" s="26"/>
      <c r="U67" s="26"/>
      <c r="V67" s="26"/>
      <c r="W67" s="26"/>
      <c r="X67" s="25"/>
      <c r="Y67" s="25"/>
      <c r="Z67" s="25"/>
      <c r="AA67" s="25"/>
      <c r="AB67" s="26"/>
      <c r="AC67" s="26"/>
      <c r="AD67" s="25"/>
      <c r="AE67" s="24">
        <f t="shared" si="8"/>
        <v>-4765.051071428572</v>
      </c>
      <c r="AF67" s="24">
        <f t="shared" si="9"/>
        <v>0</v>
      </c>
      <c r="AMI67"/>
      <c r="AMJ67"/>
    </row>
    <row r="68" spans="1:1024" s="29" customFormat="1" ht="23.25" customHeight="1" x14ac:dyDescent="0.3">
      <c r="A68" s="18">
        <v>44099</v>
      </c>
      <c r="B68" s="19"/>
      <c r="C68" s="20" t="s">
        <v>45</v>
      </c>
      <c r="D68" s="20"/>
      <c r="E68" s="20"/>
      <c r="F68" s="21"/>
      <c r="G68" s="21" t="s">
        <v>693</v>
      </c>
      <c r="H68" s="22">
        <v>30</v>
      </c>
      <c r="I68" s="22"/>
      <c r="J68" s="22"/>
      <c r="K68" s="22"/>
      <c r="L68" s="23"/>
      <c r="M68" s="24">
        <f t="shared" si="5"/>
        <v>30</v>
      </c>
      <c r="N68" s="24">
        <f t="shared" si="6"/>
        <v>0</v>
      </c>
      <c r="O68" s="24">
        <f t="shared" si="7"/>
        <v>0</v>
      </c>
      <c r="P68" s="24"/>
      <c r="Q68" s="25"/>
      <c r="R68" s="25"/>
      <c r="S68" s="26"/>
      <c r="T68" s="26"/>
      <c r="U68" s="26"/>
      <c r="V68" s="26"/>
      <c r="W68" s="26"/>
      <c r="X68" s="25"/>
      <c r="Y68" s="25"/>
      <c r="Z68" s="25"/>
      <c r="AA68" s="25">
        <v>30</v>
      </c>
      <c r="AB68" s="26"/>
      <c r="AC68" s="26"/>
      <c r="AD68" s="25"/>
      <c r="AE68" s="24">
        <f t="shared" si="8"/>
        <v>-30</v>
      </c>
      <c r="AF68" s="24">
        <f t="shared" si="9"/>
        <v>0</v>
      </c>
      <c r="AMI68"/>
      <c r="AMJ68"/>
    </row>
    <row r="69" spans="1:1024" s="29" customFormat="1" ht="23.25" customHeight="1" x14ac:dyDescent="0.3">
      <c r="A69" s="18">
        <v>44099</v>
      </c>
      <c r="B69" s="19"/>
      <c r="C69" s="20" t="s">
        <v>522</v>
      </c>
      <c r="D69" s="20"/>
      <c r="E69" s="20"/>
      <c r="F69" s="21">
        <v>193739</v>
      </c>
      <c r="G69" s="21" t="s">
        <v>662</v>
      </c>
      <c r="H69" s="22"/>
      <c r="I69" s="22"/>
      <c r="J69" s="22"/>
      <c r="K69" s="22">
        <v>42</v>
      </c>
      <c r="L69" s="23"/>
      <c r="M69" s="24">
        <f t="shared" ref="M69:M97" si="10">SUM(H69:J69,K69/1.12)</f>
        <v>37.499999999999993</v>
      </c>
      <c r="N69" s="24">
        <f t="shared" ref="N69:N97" si="11">K69/1.12*0.12</f>
        <v>4.4999999999999991</v>
      </c>
      <c r="O69" s="24">
        <f t="shared" ref="O69:O97" si="12">-SUM(I69:J69,K69/1.12)*L69</f>
        <v>0</v>
      </c>
      <c r="P69" s="24"/>
      <c r="Q69" s="25">
        <v>37.5</v>
      </c>
      <c r="R69" s="25"/>
      <c r="S69" s="26"/>
      <c r="T69" s="26"/>
      <c r="U69" s="26"/>
      <c r="V69" s="26"/>
      <c r="W69" s="26"/>
      <c r="X69" s="25"/>
      <c r="Y69" s="25"/>
      <c r="Z69" s="25"/>
      <c r="AA69" s="25"/>
      <c r="AB69" s="26"/>
      <c r="AC69" s="26"/>
      <c r="AD69" s="25"/>
      <c r="AE69" s="24">
        <f t="shared" ref="AE69:AE97" si="13">-SUM(N69:AD69)</f>
        <v>-42</v>
      </c>
      <c r="AF69" s="24">
        <f t="shared" si="9"/>
        <v>0</v>
      </c>
      <c r="AMI69"/>
      <c r="AMJ69"/>
    </row>
    <row r="70" spans="1:1024" s="29" customFormat="1" ht="23.25" customHeight="1" x14ac:dyDescent="0.3">
      <c r="A70" s="18">
        <v>44100</v>
      </c>
      <c r="B70" s="19"/>
      <c r="C70" s="20" t="s">
        <v>325</v>
      </c>
      <c r="D70" s="20"/>
      <c r="E70" s="20"/>
      <c r="F70" s="21"/>
      <c r="G70" s="21" t="s">
        <v>694</v>
      </c>
      <c r="H70" s="22">
        <v>500</v>
      </c>
      <c r="I70" s="22"/>
      <c r="J70" s="22"/>
      <c r="K70" s="22"/>
      <c r="L70" s="23"/>
      <c r="M70" s="24">
        <f t="shared" si="10"/>
        <v>500</v>
      </c>
      <c r="N70" s="24">
        <f t="shared" si="11"/>
        <v>0</v>
      </c>
      <c r="O70" s="24">
        <f t="shared" si="12"/>
        <v>0</v>
      </c>
      <c r="P70" s="24"/>
      <c r="Q70" s="25"/>
      <c r="R70" s="25"/>
      <c r="S70" s="26"/>
      <c r="T70" s="26"/>
      <c r="U70" s="26"/>
      <c r="V70" s="26"/>
      <c r="W70" s="26"/>
      <c r="X70" s="25"/>
      <c r="Y70" s="25"/>
      <c r="Z70" s="25"/>
      <c r="AA70" s="25">
        <v>500</v>
      </c>
      <c r="AB70" s="26"/>
      <c r="AC70" s="26"/>
      <c r="AD70" s="25"/>
      <c r="AE70" s="24">
        <f t="shared" si="13"/>
        <v>-500</v>
      </c>
      <c r="AF70" s="24">
        <f t="shared" si="9"/>
        <v>0</v>
      </c>
      <c r="AMI70"/>
      <c r="AMJ70"/>
    </row>
    <row r="71" spans="1:1024" s="29" customFormat="1" ht="23.25" customHeight="1" x14ac:dyDescent="0.3">
      <c r="A71" s="18">
        <v>44100</v>
      </c>
      <c r="B71" s="19"/>
      <c r="C71" s="20" t="s">
        <v>603</v>
      </c>
      <c r="D71" s="20"/>
      <c r="E71" s="20"/>
      <c r="F71" s="21"/>
      <c r="G71" s="21" t="s">
        <v>695</v>
      </c>
      <c r="H71" s="22">
        <v>120</v>
      </c>
      <c r="I71" s="22"/>
      <c r="J71" s="22"/>
      <c r="K71" s="22"/>
      <c r="L71" s="23"/>
      <c r="M71" s="24">
        <f t="shared" si="10"/>
        <v>120</v>
      </c>
      <c r="N71" s="24">
        <f t="shared" si="11"/>
        <v>0</v>
      </c>
      <c r="O71" s="24">
        <f t="shared" si="12"/>
        <v>0</v>
      </c>
      <c r="P71" s="24"/>
      <c r="Q71" s="25"/>
      <c r="R71" s="25"/>
      <c r="S71" s="26"/>
      <c r="T71" s="26"/>
      <c r="U71" s="26"/>
      <c r="V71" s="26"/>
      <c r="W71" s="26"/>
      <c r="X71" s="25"/>
      <c r="Y71" s="25"/>
      <c r="Z71" s="25"/>
      <c r="AA71" s="25">
        <v>120</v>
      </c>
      <c r="AB71" s="26"/>
      <c r="AC71" s="26"/>
      <c r="AD71" s="25"/>
      <c r="AE71" s="24">
        <f t="shared" si="13"/>
        <v>-120</v>
      </c>
      <c r="AF71" s="24">
        <f t="shared" si="9"/>
        <v>0</v>
      </c>
      <c r="AMI71"/>
      <c r="AMJ71"/>
    </row>
    <row r="72" spans="1:1024" s="29" customFormat="1" ht="23.25" customHeight="1" x14ac:dyDescent="0.3">
      <c r="A72" s="18">
        <v>44100</v>
      </c>
      <c r="B72" s="19"/>
      <c r="C72" s="20" t="s">
        <v>47</v>
      </c>
      <c r="D72" s="20" t="s">
        <v>490</v>
      </c>
      <c r="E72" s="20" t="s">
        <v>519</v>
      </c>
      <c r="F72" s="21">
        <v>280635</v>
      </c>
      <c r="G72" s="21" t="s">
        <v>696</v>
      </c>
      <c r="H72" s="22"/>
      <c r="I72" s="22"/>
      <c r="J72" s="22"/>
      <c r="K72" s="22">
        <v>334.65</v>
      </c>
      <c r="L72" s="23"/>
      <c r="M72" s="24">
        <f t="shared" si="10"/>
        <v>298.79464285714283</v>
      </c>
      <c r="N72" s="24">
        <f t="shared" si="11"/>
        <v>35.855357142857137</v>
      </c>
      <c r="O72" s="24">
        <f t="shared" si="12"/>
        <v>0</v>
      </c>
      <c r="P72" s="24">
        <v>298.79000000000002</v>
      </c>
      <c r="Q72" s="25"/>
      <c r="R72" s="25"/>
      <c r="S72" s="26"/>
      <c r="T72" s="26"/>
      <c r="U72" s="26"/>
      <c r="V72" s="26"/>
      <c r="W72" s="26"/>
      <c r="X72" s="25"/>
      <c r="Y72" s="25"/>
      <c r="Z72" s="25"/>
      <c r="AA72" s="25"/>
      <c r="AB72" s="26"/>
      <c r="AC72" s="26"/>
      <c r="AD72" s="25"/>
      <c r="AE72" s="24">
        <f t="shared" si="13"/>
        <v>-334.64535714285716</v>
      </c>
      <c r="AF72" s="24">
        <f t="shared" ref="AF72:AF94" si="14">-SUM(N72:AE72)</f>
        <v>0</v>
      </c>
      <c r="AMI72"/>
      <c r="AMJ72"/>
    </row>
    <row r="73" spans="1:1024" s="29" customFormat="1" ht="24.75" customHeight="1" x14ac:dyDescent="0.3">
      <c r="A73" s="18">
        <v>44102</v>
      </c>
      <c r="B73" s="19"/>
      <c r="C73" s="20" t="s">
        <v>409</v>
      </c>
      <c r="D73" s="20" t="s">
        <v>410</v>
      </c>
      <c r="E73" s="20" t="s">
        <v>697</v>
      </c>
      <c r="F73" s="21">
        <v>662</v>
      </c>
      <c r="G73" s="21" t="s">
        <v>698</v>
      </c>
      <c r="H73" s="22"/>
      <c r="I73" s="22"/>
      <c r="J73" s="22">
        <v>7417.5</v>
      </c>
      <c r="K73" s="22"/>
      <c r="L73" s="23"/>
      <c r="M73" s="24">
        <f t="shared" si="10"/>
        <v>7417.5</v>
      </c>
      <c r="N73" s="24">
        <f t="shared" si="11"/>
        <v>0</v>
      </c>
      <c r="O73" s="24">
        <f t="shared" si="12"/>
        <v>0</v>
      </c>
      <c r="P73" s="24">
        <v>7417.5</v>
      </c>
      <c r="Q73" s="25"/>
      <c r="R73" s="25"/>
      <c r="S73" s="26"/>
      <c r="T73" s="26"/>
      <c r="U73" s="26"/>
      <c r="V73" s="26"/>
      <c r="W73" s="26"/>
      <c r="X73" s="25"/>
      <c r="Y73" s="25"/>
      <c r="Z73" s="25"/>
      <c r="AA73" s="25"/>
      <c r="AB73" s="26"/>
      <c r="AC73" s="26"/>
      <c r="AD73" s="25"/>
      <c r="AE73" s="24">
        <f t="shared" si="13"/>
        <v>-7417.5</v>
      </c>
      <c r="AF73" s="24">
        <f t="shared" si="14"/>
        <v>0</v>
      </c>
      <c r="AMI73"/>
      <c r="AMJ73"/>
    </row>
    <row r="74" spans="1:1024" s="29" customFormat="1" ht="23.25" customHeight="1" x14ac:dyDescent="0.3">
      <c r="A74" s="18">
        <v>44102</v>
      </c>
      <c r="B74" s="19"/>
      <c r="C74" s="20" t="s">
        <v>549</v>
      </c>
      <c r="D74" s="20"/>
      <c r="E74" s="20"/>
      <c r="F74" s="21"/>
      <c r="G74" s="21" t="s">
        <v>620</v>
      </c>
      <c r="H74" s="22"/>
      <c r="I74" s="22"/>
      <c r="J74" s="22">
        <v>1150</v>
      </c>
      <c r="K74" s="22"/>
      <c r="L74" s="23"/>
      <c r="M74" s="24">
        <f t="shared" si="10"/>
        <v>1150</v>
      </c>
      <c r="N74" s="24">
        <f t="shared" si="11"/>
        <v>0</v>
      </c>
      <c r="O74" s="24">
        <f t="shared" si="12"/>
        <v>0</v>
      </c>
      <c r="P74" s="24">
        <v>1150</v>
      </c>
      <c r="Q74" s="25"/>
      <c r="R74" s="25"/>
      <c r="S74" s="26"/>
      <c r="T74" s="26"/>
      <c r="U74" s="26"/>
      <c r="V74" s="26"/>
      <c r="W74" s="26"/>
      <c r="X74" s="25"/>
      <c r="Y74" s="25"/>
      <c r="Z74" s="25"/>
      <c r="AA74" s="25"/>
      <c r="AB74" s="26"/>
      <c r="AC74" s="26"/>
      <c r="AD74" s="25"/>
      <c r="AE74" s="24">
        <f t="shared" si="13"/>
        <v>-1150</v>
      </c>
      <c r="AF74" s="24">
        <f t="shared" si="14"/>
        <v>0</v>
      </c>
      <c r="AMI74"/>
      <c r="AMJ74"/>
    </row>
    <row r="75" spans="1:1024" s="29" customFormat="1" ht="23.25" customHeight="1" x14ac:dyDescent="0.3">
      <c r="A75" s="18">
        <v>44102</v>
      </c>
      <c r="B75" s="19"/>
      <c r="C75" s="20" t="s">
        <v>60</v>
      </c>
      <c r="D75" s="20"/>
      <c r="E75" s="20"/>
      <c r="F75" s="21"/>
      <c r="G75" s="21" t="s">
        <v>439</v>
      </c>
      <c r="H75" s="22">
        <v>40</v>
      </c>
      <c r="I75" s="22"/>
      <c r="J75" s="22"/>
      <c r="K75" s="22"/>
      <c r="L75" s="23"/>
      <c r="M75" s="24">
        <f t="shared" si="10"/>
        <v>40</v>
      </c>
      <c r="N75" s="24">
        <f t="shared" si="11"/>
        <v>0</v>
      </c>
      <c r="O75" s="24">
        <f t="shared" si="12"/>
        <v>0</v>
      </c>
      <c r="P75" s="24"/>
      <c r="Q75" s="25"/>
      <c r="R75" s="25"/>
      <c r="S75" s="26"/>
      <c r="T75" s="26"/>
      <c r="U75" s="26"/>
      <c r="V75" s="26"/>
      <c r="W75" s="26"/>
      <c r="X75" s="25"/>
      <c r="Y75" s="25"/>
      <c r="Z75" s="25"/>
      <c r="AA75" s="25">
        <v>40</v>
      </c>
      <c r="AB75" s="26"/>
      <c r="AC75" s="26"/>
      <c r="AD75" s="25"/>
      <c r="AE75" s="24">
        <f t="shared" si="13"/>
        <v>-40</v>
      </c>
      <c r="AF75" s="24">
        <f t="shared" si="14"/>
        <v>0</v>
      </c>
      <c r="AMI75"/>
      <c r="AMJ75"/>
    </row>
    <row r="76" spans="1:1024" s="29" customFormat="1" ht="23.25" customHeight="1" x14ac:dyDescent="0.3">
      <c r="A76" s="18">
        <v>44102</v>
      </c>
      <c r="B76" s="19"/>
      <c r="C76" s="20" t="s">
        <v>699</v>
      </c>
      <c r="D76" s="20"/>
      <c r="E76" s="20"/>
      <c r="F76" s="21"/>
      <c r="G76" s="21" t="s">
        <v>509</v>
      </c>
      <c r="H76" s="22"/>
      <c r="I76" s="22"/>
      <c r="J76" s="22"/>
      <c r="K76" s="22">
        <v>1600</v>
      </c>
      <c r="L76" s="23"/>
      <c r="M76" s="24">
        <f t="shared" si="10"/>
        <v>1428.5714285714284</v>
      </c>
      <c r="N76" s="24">
        <f t="shared" si="11"/>
        <v>171.42857142857142</v>
      </c>
      <c r="O76" s="24">
        <f t="shared" si="12"/>
        <v>0</v>
      </c>
      <c r="P76" s="24">
        <v>1428.57</v>
      </c>
      <c r="Q76" s="25"/>
      <c r="R76" s="25"/>
      <c r="S76" s="26"/>
      <c r="T76" s="26"/>
      <c r="U76" s="26"/>
      <c r="V76" s="26"/>
      <c r="W76" s="26"/>
      <c r="X76" s="25"/>
      <c r="Y76" s="25"/>
      <c r="Z76" s="25"/>
      <c r="AA76" s="25"/>
      <c r="AB76" s="26"/>
      <c r="AC76" s="26"/>
      <c r="AD76" s="25"/>
      <c r="AE76" s="24">
        <f t="shared" si="13"/>
        <v>-1599.9985714285713</v>
      </c>
      <c r="AF76" s="24">
        <f t="shared" si="14"/>
        <v>0</v>
      </c>
      <c r="AMI76"/>
      <c r="AMJ76"/>
    </row>
    <row r="77" spans="1:1024" s="29" customFormat="1" ht="23.25" customHeight="1" x14ac:dyDescent="0.3">
      <c r="A77" s="18">
        <v>44103</v>
      </c>
      <c r="B77" s="19"/>
      <c r="C77" s="20" t="s">
        <v>522</v>
      </c>
      <c r="D77" s="20"/>
      <c r="E77" s="20"/>
      <c r="F77" s="21">
        <v>193656</v>
      </c>
      <c r="G77" s="21" t="s">
        <v>700</v>
      </c>
      <c r="H77" s="22"/>
      <c r="I77" s="22"/>
      <c r="J77" s="22"/>
      <c r="K77" s="22">
        <v>30</v>
      </c>
      <c r="L77" s="23"/>
      <c r="M77" s="24">
        <f t="shared" si="10"/>
        <v>26.785714285714285</v>
      </c>
      <c r="N77" s="24">
        <f t="shared" si="11"/>
        <v>3.214285714285714</v>
      </c>
      <c r="O77" s="24">
        <f t="shared" si="12"/>
        <v>0</v>
      </c>
      <c r="P77" s="24">
        <v>26.79</v>
      </c>
      <c r="Q77" s="25"/>
      <c r="R77" s="25"/>
      <c r="S77" s="26"/>
      <c r="T77" s="26"/>
      <c r="U77" s="26"/>
      <c r="V77" s="26"/>
      <c r="W77" s="26"/>
      <c r="X77" s="25"/>
      <c r="Y77" s="25"/>
      <c r="Z77" s="25"/>
      <c r="AA77" s="25"/>
      <c r="AB77" s="26"/>
      <c r="AC77" s="26"/>
      <c r="AD77" s="25"/>
      <c r="AE77" s="24">
        <f t="shared" si="13"/>
        <v>-30.004285714285714</v>
      </c>
      <c r="AF77" s="24">
        <f t="shared" si="14"/>
        <v>0</v>
      </c>
      <c r="AMI77"/>
      <c r="AMJ77"/>
    </row>
    <row r="78" spans="1:1024" s="29" customFormat="1" ht="23.25" customHeight="1" x14ac:dyDescent="0.3">
      <c r="A78" s="18">
        <v>44103</v>
      </c>
      <c r="B78" s="19"/>
      <c r="C78" s="20" t="s">
        <v>522</v>
      </c>
      <c r="D78" s="20"/>
      <c r="E78" s="20"/>
      <c r="F78" s="21"/>
      <c r="G78" s="21" t="s">
        <v>58</v>
      </c>
      <c r="H78" s="22"/>
      <c r="I78" s="22"/>
      <c r="J78" s="22"/>
      <c r="K78" s="22">
        <v>50</v>
      </c>
      <c r="L78" s="23"/>
      <c r="M78" s="24">
        <f t="shared" si="10"/>
        <v>44.642857142857139</v>
      </c>
      <c r="N78" s="24">
        <f t="shared" si="11"/>
        <v>5.3571428571428568</v>
      </c>
      <c r="O78" s="24">
        <f t="shared" si="12"/>
        <v>0</v>
      </c>
      <c r="P78" s="24"/>
      <c r="Q78" s="25">
        <v>44.64</v>
      </c>
      <c r="R78" s="25"/>
      <c r="S78" s="26"/>
      <c r="T78" s="26"/>
      <c r="U78" s="26"/>
      <c r="V78" s="26"/>
      <c r="W78" s="26"/>
      <c r="X78" s="25"/>
      <c r="Y78" s="25"/>
      <c r="Z78" s="25"/>
      <c r="AA78" s="25"/>
      <c r="AB78" s="26"/>
      <c r="AC78" s="26"/>
      <c r="AD78" s="25"/>
      <c r="AE78" s="24">
        <f t="shared" si="13"/>
        <v>-49.997142857142855</v>
      </c>
      <c r="AF78" s="24">
        <f t="shared" si="14"/>
        <v>0</v>
      </c>
      <c r="AMI78"/>
      <c r="AMJ78"/>
    </row>
    <row r="79" spans="1:1024" s="29" customFormat="1" ht="23.25" customHeight="1" x14ac:dyDescent="0.3">
      <c r="A79" s="18">
        <v>44104</v>
      </c>
      <c r="B79" s="19"/>
      <c r="C79" s="20" t="s">
        <v>39</v>
      </c>
      <c r="D79" s="20"/>
      <c r="E79" s="20"/>
      <c r="F79" s="21">
        <v>169224</v>
      </c>
      <c r="G79" s="21" t="s">
        <v>701</v>
      </c>
      <c r="H79" s="22"/>
      <c r="I79" s="22"/>
      <c r="J79" s="22"/>
      <c r="K79" s="22">
        <v>82</v>
      </c>
      <c r="L79" s="23"/>
      <c r="M79" s="24">
        <f t="shared" si="10"/>
        <v>73.214285714285708</v>
      </c>
      <c r="N79" s="24">
        <f t="shared" si="11"/>
        <v>8.7857142857142847</v>
      </c>
      <c r="O79" s="24">
        <f t="shared" si="12"/>
        <v>0</v>
      </c>
      <c r="P79" s="24">
        <v>73.209999999999994</v>
      </c>
      <c r="Q79" s="25"/>
      <c r="R79" s="25"/>
      <c r="S79" s="26"/>
      <c r="T79" s="26"/>
      <c r="U79" s="26"/>
      <c r="V79" s="26"/>
      <c r="W79" s="26"/>
      <c r="X79" s="25"/>
      <c r="Y79" s="25"/>
      <c r="Z79" s="25"/>
      <c r="AA79" s="25"/>
      <c r="AB79" s="26"/>
      <c r="AC79" s="26"/>
      <c r="AD79" s="25"/>
      <c r="AE79" s="24">
        <f t="shared" si="13"/>
        <v>-81.995714285714286</v>
      </c>
      <c r="AF79" s="24">
        <f t="shared" si="14"/>
        <v>0</v>
      </c>
      <c r="AMI79"/>
      <c r="AMJ79"/>
    </row>
    <row r="80" spans="1:1024" s="29" customFormat="1" ht="23.25" customHeight="1" x14ac:dyDescent="0.3">
      <c r="A80" s="18">
        <v>44105</v>
      </c>
      <c r="B80" s="19"/>
      <c r="C80" s="20" t="s">
        <v>45</v>
      </c>
      <c r="D80" s="20"/>
      <c r="E80" s="20"/>
      <c r="F80" s="21"/>
      <c r="G80" s="21" t="s">
        <v>702</v>
      </c>
      <c r="H80" s="22">
        <v>100</v>
      </c>
      <c r="I80" s="22"/>
      <c r="J80" s="22"/>
      <c r="K80" s="22"/>
      <c r="L80" s="23"/>
      <c r="M80" s="24">
        <f t="shared" si="10"/>
        <v>100</v>
      </c>
      <c r="N80" s="24">
        <f t="shared" si="11"/>
        <v>0</v>
      </c>
      <c r="O80" s="24">
        <f t="shared" si="12"/>
        <v>0</v>
      </c>
      <c r="P80" s="24"/>
      <c r="Q80" s="25"/>
      <c r="R80" s="25"/>
      <c r="S80" s="26"/>
      <c r="T80" s="26"/>
      <c r="U80" s="26"/>
      <c r="V80" s="26"/>
      <c r="W80" s="26"/>
      <c r="X80" s="25"/>
      <c r="Y80" s="25"/>
      <c r="Z80" s="25"/>
      <c r="AA80" s="25">
        <v>100</v>
      </c>
      <c r="AB80" s="26"/>
      <c r="AC80" s="26"/>
      <c r="AD80" s="25"/>
      <c r="AE80" s="24">
        <f t="shared" si="13"/>
        <v>-100</v>
      </c>
      <c r="AF80" s="24">
        <f t="shared" si="14"/>
        <v>0</v>
      </c>
      <c r="AMI80"/>
      <c r="AMJ80"/>
    </row>
    <row r="81" spans="1:1024" s="29" customFormat="1" ht="23.25" customHeight="1" x14ac:dyDescent="0.3">
      <c r="A81" s="18">
        <v>44105</v>
      </c>
      <c r="B81" s="19"/>
      <c r="C81" s="20" t="s">
        <v>703</v>
      </c>
      <c r="D81" s="20"/>
      <c r="E81" s="20"/>
      <c r="F81" s="21">
        <v>2254</v>
      </c>
      <c r="G81" s="21" t="s">
        <v>68</v>
      </c>
      <c r="H81" s="22"/>
      <c r="I81" s="22"/>
      <c r="J81" s="22">
        <v>640</v>
      </c>
      <c r="K81" s="22"/>
      <c r="L81" s="23"/>
      <c r="M81" s="24">
        <f t="shared" si="10"/>
        <v>640</v>
      </c>
      <c r="N81" s="24">
        <f t="shared" si="11"/>
        <v>0</v>
      </c>
      <c r="O81" s="24">
        <f t="shared" si="12"/>
        <v>0</v>
      </c>
      <c r="P81" s="24">
        <v>640</v>
      </c>
      <c r="Q81" s="25"/>
      <c r="R81" s="25"/>
      <c r="S81" s="26"/>
      <c r="T81" s="26"/>
      <c r="U81" s="26"/>
      <c r="V81" s="26"/>
      <c r="W81" s="26"/>
      <c r="X81" s="25"/>
      <c r="Y81" s="25"/>
      <c r="Z81" s="25"/>
      <c r="AA81" s="25"/>
      <c r="AB81" s="26"/>
      <c r="AC81" s="26"/>
      <c r="AD81" s="25"/>
      <c r="AE81" s="24">
        <f t="shared" si="13"/>
        <v>-640</v>
      </c>
      <c r="AF81" s="24">
        <f t="shared" si="14"/>
        <v>0</v>
      </c>
      <c r="AMI81"/>
      <c r="AMJ81"/>
    </row>
    <row r="82" spans="1:1024" s="29" customFormat="1" ht="23.25" customHeight="1" x14ac:dyDescent="0.3">
      <c r="A82" s="18">
        <v>44105</v>
      </c>
      <c r="B82" s="19"/>
      <c r="C82" s="20" t="s">
        <v>65</v>
      </c>
      <c r="D82" s="20"/>
      <c r="E82" s="20"/>
      <c r="F82" s="21">
        <v>3481</v>
      </c>
      <c r="G82" s="21" t="s">
        <v>685</v>
      </c>
      <c r="H82" s="22"/>
      <c r="I82" s="22"/>
      <c r="J82" s="22">
        <v>680</v>
      </c>
      <c r="K82" s="22"/>
      <c r="L82" s="23"/>
      <c r="M82" s="24">
        <f t="shared" si="10"/>
        <v>680</v>
      </c>
      <c r="N82" s="24">
        <f t="shared" si="11"/>
        <v>0</v>
      </c>
      <c r="O82" s="24">
        <f t="shared" si="12"/>
        <v>0</v>
      </c>
      <c r="P82" s="24">
        <v>680</v>
      </c>
      <c r="Q82" s="25"/>
      <c r="R82" s="25"/>
      <c r="S82" s="26"/>
      <c r="T82" s="26"/>
      <c r="U82" s="26"/>
      <c r="V82" s="26"/>
      <c r="W82" s="26"/>
      <c r="X82" s="25"/>
      <c r="Y82" s="25"/>
      <c r="Z82" s="25"/>
      <c r="AA82" s="25"/>
      <c r="AB82" s="26"/>
      <c r="AC82" s="26"/>
      <c r="AD82" s="25"/>
      <c r="AE82" s="24">
        <f t="shared" si="13"/>
        <v>-680</v>
      </c>
      <c r="AF82" s="24">
        <f t="shared" si="14"/>
        <v>0</v>
      </c>
      <c r="AMI82"/>
      <c r="AMJ82"/>
    </row>
    <row r="83" spans="1:1024" s="29" customFormat="1" ht="23.25" customHeight="1" x14ac:dyDescent="0.3">
      <c r="A83" s="18">
        <v>44105</v>
      </c>
      <c r="B83" s="19"/>
      <c r="C83" s="20" t="s">
        <v>308</v>
      </c>
      <c r="D83" s="20"/>
      <c r="E83" s="20"/>
      <c r="F83" s="21">
        <v>29509</v>
      </c>
      <c r="G83" s="21" t="s">
        <v>263</v>
      </c>
      <c r="H83" s="22"/>
      <c r="I83" s="22"/>
      <c r="J83" s="22">
        <v>250</v>
      </c>
      <c r="K83" s="22"/>
      <c r="L83" s="23"/>
      <c r="M83" s="24">
        <f t="shared" si="10"/>
        <v>250</v>
      </c>
      <c r="N83" s="24">
        <f t="shared" si="11"/>
        <v>0</v>
      </c>
      <c r="O83" s="24">
        <f t="shared" si="12"/>
        <v>0</v>
      </c>
      <c r="P83" s="24">
        <v>250</v>
      </c>
      <c r="Q83" s="25"/>
      <c r="R83" s="25"/>
      <c r="S83" s="26"/>
      <c r="T83" s="26"/>
      <c r="U83" s="26"/>
      <c r="V83" s="26"/>
      <c r="W83" s="26"/>
      <c r="X83" s="25"/>
      <c r="Y83" s="25"/>
      <c r="Z83" s="25"/>
      <c r="AA83" s="25"/>
      <c r="AB83" s="26"/>
      <c r="AC83" s="26"/>
      <c r="AD83" s="25"/>
      <c r="AE83" s="24">
        <f t="shared" si="13"/>
        <v>-250</v>
      </c>
      <c r="AF83" s="24">
        <f t="shared" si="14"/>
        <v>0</v>
      </c>
      <c r="AMI83"/>
      <c r="AMJ83"/>
    </row>
    <row r="84" spans="1:1024" s="29" customFormat="1" ht="23.25" customHeight="1" x14ac:dyDescent="0.3">
      <c r="A84" s="18">
        <v>44105</v>
      </c>
      <c r="B84" s="19"/>
      <c r="C84" s="20" t="s">
        <v>233</v>
      </c>
      <c r="D84" s="20"/>
      <c r="E84" s="20"/>
      <c r="F84" s="21">
        <v>19118</v>
      </c>
      <c r="G84" s="21" t="s">
        <v>704</v>
      </c>
      <c r="H84" s="22"/>
      <c r="I84" s="22"/>
      <c r="J84" s="22"/>
      <c r="K84" s="22">
        <v>685</v>
      </c>
      <c r="L84" s="23"/>
      <c r="M84" s="24">
        <f t="shared" si="10"/>
        <v>611.60714285714278</v>
      </c>
      <c r="N84" s="24">
        <f t="shared" si="11"/>
        <v>73.392857142857125</v>
      </c>
      <c r="O84" s="24">
        <f t="shared" si="12"/>
        <v>0</v>
      </c>
      <c r="P84" s="24">
        <v>611.61</v>
      </c>
      <c r="Q84" s="25"/>
      <c r="R84" s="25"/>
      <c r="S84" s="26"/>
      <c r="T84" s="26"/>
      <c r="U84" s="26"/>
      <c r="V84" s="26"/>
      <c r="W84" s="26"/>
      <c r="X84" s="25"/>
      <c r="Y84" s="25"/>
      <c r="Z84" s="25"/>
      <c r="AA84" s="25"/>
      <c r="AB84" s="26"/>
      <c r="AC84" s="26"/>
      <c r="AD84" s="25"/>
      <c r="AE84" s="24">
        <f t="shared" si="13"/>
        <v>-685.00285714285712</v>
      </c>
      <c r="AF84" s="24">
        <f t="shared" si="14"/>
        <v>0</v>
      </c>
      <c r="AMI84"/>
      <c r="AMJ84"/>
    </row>
    <row r="85" spans="1:1024" s="29" customFormat="1" ht="23.25" customHeight="1" x14ac:dyDescent="0.3">
      <c r="A85" s="18">
        <v>44105</v>
      </c>
      <c r="B85" s="19"/>
      <c r="C85" s="20" t="s">
        <v>522</v>
      </c>
      <c r="D85" s="20"/>
      <c r="E85" s="20"/>
      <c r="F85" s="21">
        <v>35465</v>
      </c>
      <c r="G85" s="21" t="s">
        <v>58</v>
      </c>
      <c r="H85" s="22"/>
      <c r="I85" s="22"/>
      <c r="J85" s="22"/>
      <c r="K85" s="22">
        <v>42</v>
      </c>
      <c r="L85" s="23"/>
      <c r="M85" s="24">
        <f t="shared" si="10"/>
        <v>37.499999999999993</v>
      </c>
      <c r="N85" s="24">
        <f t="shared" si="11"/>
        <v>4.4999999999999991</v>
      </c>
      <c r="O85" s="24">
        <f t="shared" si="12"/>
        <v>0</v>
      </c>
      <c r="P85" s="24"/>
      <c r="Q85" s="25">
        <v>37.5</v>
      </c>
      <c r="R85" s="25"/>
      <c r="S85" s="26"/>
      <c r="T85" s="26"/>
      <c r="U85" s="26"/>
      <c r="V85" s="26"/>
      <c r="W85" s="26"/>
      <c r="X85" s="25"/>
      <c r="Y85" s="25"/>
      <c r="Z85" s="25"/>
      <c r="AA85" s="25"/>
      <c r="AB85" s="26"/>
      <c r="AC85" s="26"/>
      <c r="AD85" s="25"/>
      <c r="AE85" s="24">
        <f t="shared" si="13"/>
        <v>-42</v>
      </c>
      <c r="AF85" s="24">
        <f t="shared" si="14"/>
        <v>0</v>
      </c>
      <c r="AMI85"/>
      <c r="AMJ85"/>
    </row>
    <row r="86" spans="1:1024" s="29" customFormat="1" ht="39.75" customHeight="1" x14ac:dyDescent="0.3">
      <c r="A86" s="18">
        <v>44105</v>
      </c>
      <c r="B86" s="19"/>
      <c r="C86" s="20" t="s">
        <v>39</v>
      </c>
      <c r="D86" s="20"/>
      <c r="E86" s="20"/>
      <c r="F86" s="21">
        <v>169331</v>
      </c>
      <c r="G86" s="21" t="s">
        <v>705</v>
      </c>
      <c r="H86" s="22"/>
      <c r="I86" s="22"/>
      <c r="J86" s="22"/>
      <c r="K86" s="22">
        <v>405</v>
      </c>
      <c r="L86" s="23"/>
      <c r="M86" s="24">
        <f t="shared" si="10"/>
        <v>361.60714285714283</v>
      </c>
      <c r="N86" s="24">
        <f t="shared" si="11"/>
        <v>43.392857142857139</v>
      </c>
      <c r="O86" s="24">
        <f t="shared" si="12"/>
        <v>0</v>
      </c>
      <c r="P86" s="24">
        <v>361.61</v>
      </c>
      <c r="Q86" s="25"/>
      <c r="R86" s="25"/>
      <c r="S86" s="26"/>
      <c r="T86" s="26"/>
      <c r="U86" s="26"/>
      <c r="V86" s="26"/>
      <c r="W86" s="26"/>
      <c r="X86" s="25"/>
      <c r="Y86" s="25"/>
      <c r="Z86" s="25"/>
      <c r="AA86" s="25"/>
      <c r="AB86" s="26"/>
      <c r="AC86" s="26"/>
      <c r="AD86" s="25"/>
      <c r="AE86" s="24">
        <f t="shared" si="13"/>
        <v>-405.00285714285712</v>
      </c>
      <c r="AF86" s="24">
        <f t="shared" si="14"/>
        <v>0</v>
      </c>
      <c r="AMI86"/>
      <c r="AMJ86"/>
    </row>
    <row r="87" spans="1:1024" s="29" customFormat="1" ht="23.25" customHeight="1" x14ac:dyDescent="0.3">
      <c r="A87" s="18">
        <v>44105</v>
      </c>
      <c r="B87" s="19"/>
      <c r="C87" s="20" t="s">
        <v>39</v>
      </c>
      <c r="D87" s="20"/>
      <c r="E87" s="20"/>
      <c r="F87" s="21">
        <v>169331</v>
      </c>
      <c r="G87" s="21" t="s">
        <v>706</v>
      </c>
      <c r="H87" s="22"/>
      <c r="I87" s="22"/>
      <c r="J87" s="22"/>
      <c r="K87" s="22">
        <f>119.25+40.5+158</f>
        <v>317.75</v>
      </c>
      <c r="L87" s="23"/>
      <c r="M87" s="24">
        <f t="shared" si="10"/>
        <v>283.70535714285711</v>
      </c>
      <c r="N87" s="24">
        <f t="shared" si="11"/>
        <v>34.044642857142854</v>
      </c>
      <c r="O87" s="24">
        <f t="shared" si="12"/>
        <v>0</v>
      </c>
      <c r="P87" s="24"/>
      <c r="Q87" s="25"/>
      <c r="R87" s="25"/>
      <c r="S87" s="26">
        <v>283.70999999999998</v>
      </c>
      <c r="T87" s="26"/>
      <c r="U87" s="26"/>
      <c r="V87" s="26"/>
      <c r="W87" s="26"/>
      <c r="X87" s="25"/>
      <c r="Y87" s="25"/>
      <c r="Z87" s="25"/>
      <c r="AA87" s="25"/>
      <c r="AB87" s="26"/>
      <c r="AC87" s="26"/>
      <c r="AD87" s="25"/>
      <c r="AE87" s="24">
        <f t="shared" si="13"/>
        <v>-317.75464285714281</v>
      </c>
      <c r="AF87" s="24">
        <f t="shared" si="14"/>
        <v>0</v>
      </c>
      <c r="AMI87"/>
      <c r="AMJ87"/>
    </row>
    <row r="88" spans="1:1024" s="29" customFormat="1" ht="23.25" customHeight="1" x14ac:dyDescent="0.3">
      <c r="A88" s="18">
        <v>44105</v>
      </c>
      <c r="B88" s="19"/>
      <c r="C88" s="20" t="s">
        <v>406</v>
      </c>
      <c r="D88" s="20"/>
      <c r="E88" s="20"/>
      <c r="F88" s="21">
        <v>5456</v>
      </c>
      <c r="G88" s="21" t="s">
        <v>707</v>
      </c>
      <c r="H88" s="22"/>
      <c r="I88" s="22"/>
      <c r="J88" s="22"/>
      <c r="K88" s="22">
        <v>40</v>
      </c>
      <c r="L88" s="23"/>
      <c r="M88" s="24">
        <f t="shared" si="10"/>
        <v>35.714285714285708</v>
      </c>
      <c r="N88" s="24">
        <f t="shared" si="11"/>
        <v>4.2857142857142847</v>
      </c>
      <c r="O88" s="24">
        <f t="shared" si="12"/>
        <v>0</v>
      </c>
      <c r="P88" s="24">
        <v>35.71</v>
      </c>
      <c r="Q88" s="25"/>
      <c r="R88" s="25"/>
      <c r="S88" s="26"/>
      <c r="T88" s="26"/>
      <c r="U88" s="26"/>
      <c r="V88" s="26"/>
      <c r="W88" s="26"/>
      <c r="X88" s="25"/>
      <c r="Y88" s="25"/>
      <c r="Z88" s="25"/>
      <c r="AA88" s="25"/>
      <c r="AB88" s="26"/>
      <c r="AC88" s="26"/>
      <c r="AD88" s="25"/>
      <c r="AE88" s="24">
        <f t="shared" si="13"/>
        <v>-39.995714285714286</v>
      </c>
      <c r="AF88" s="24">
        <f t="shared" si="14"/>
        <v>0</v>
      </c>
      <c r="AMI88"/>
      <c r="AMJ88"/>
    </row>
    <row r="89" spans="1:1024" s="29" customFormat="1" ht="30" customHeight="1" x14ac:dyDescent="0.3">
      <c r="A89" s="18">
        <v>44105</v>
      </c>
      <c r="B89" s="19"/>
      <c r="C89" s="20" t="s">
        <v>47</v>
      </c>
      <c r="D89" s="20"/>
      <c r="E89" s="20"/>
      <c r="F89" s="21">
        <v>281233</v>
      </c>
      <c r="G89" s="21" t="s">
        <v>708</v>
      </c>
      <c r="H89" s="22"/>
      <c r="I89" s="22"/>
      <c r="J89" s="22"/>
      <c r="K89" s="22">
        <f>2034.78+244.17</f>
        <v>2278.9499999999998</v>
      </c>
      <c r="L89" s="23"/>
      <c r="M89" s="24">
        <f t="shared" si="10"/>
        <v>2034.7767857142853</v>
      </c>
      <c r="N89" s="24">
        <f t="shared" si="11"/>
        <v>244.17321428571424</v>
      </c>
      <c r="O89" s="24">
        <f t="shared" si="12"/>
        <v>0</v>
      </c>
      <c r="P89" s="24">
        <v>2034.78</v>
      </c>
      <c r="Q89" s="25"/>
      <c r="R89" s="25"/>
      <c r="S89" s="26"/>
      <c r="T89" s="26"/>
      <c r="U89" s="26"/>
      <c r="V89" s="26"/>
      <c r="W89" s="26"/>
      <c r="X89" s="25"/>
      <c r="Y89" s="25"/>
      <c r="Z89" s="25"/>
      <c r="AA89" s="25"/>
      <c r="AB89" s="26"/>
      <c r="AC89" s="26"/>
      <c r="AD89" s="25"/>
      <c r="AE89" s="24">
        <f t="shared" si="13"/>
        <v>-2278.9532142857142</v>
      </c>
      <c r="AF89" s="24">
        <f t="shared" si="14"/>
        <v>0</v>
      </c>
      <c r="AMI89"/>
      <c r="AMJ89"/>
    </row>
    <row r="90" spans="1:1024" s="29" customFormat="1" ht="23.25" customHeight="1" x14ac:dyDescent="0.3">
      <c r="A90" s="18">
        <v>44105</v>
      </c>
      <c r="B90" s="19"/>
      <c r="C90" s="20" t="s">
        <v>47</v>
      </c>
      <c r="D90" s="20"/>
      <c r="E90" s="20"/>
      <c r="F90" s="21">
        <v>281233</v>
      </c>
      <c r="G90" s="21" t="s">
        <v>709</v>
      </c>
      <c r="H90" s="22"/>
      <c r="I90" s="22"/>
      <c r="J90" s="22">
        <v>612.46</v>
      </c>
      <c r="K90" s="22"/>
      <c r="L90" s="23"/>
      <c r="M90" s="24">
        <f t="shared" si="10"/>
        <v>612.46</v>
      </c>
      <c r="N90" s="24">
        <f t="shared" si="11"/>
        <v>0</v>
      </c>
      <c r="O90" s="24">
        <f t="shared" si="12"/>
        <v>0</v>
      </c>
      <c r="P90" s="24">
        <v>612.46</v>
      </c>
      <c r="Q90" s="25"/>
      <c r="R90" s="25"/>
      <c r="S90" s="26"/>
      <c r="T90" s="26"/>
      <c r="U90" s="26"/>
      <c r="V90" s="26"/>
      <c r="W90" s="26"/>
      <c r="X90" s="25"/>
      <c r="Y90" s="25"/>
      <c r="Z90" s="25"/>
      <c r="AA90" s="25"/>
      <c r="AB90" s="26"/>
      <c r="AC90" s="26"/>
      <c r="AD90" s="25"/>
      <c r="AE90" s="24">
        <f t="shared" si="13"/>
        <v>-612.46</v>
      </c>
      <c r="AF90" s="24">
        <f t="shared" si="14"/>
        <v>0</v>
      </c>
      <c r="AMI90"/>
      <c r="AMJ90"/>
    </row>
    <row r="91" spans="1:1024" s="29" customFormat="1" ht="23.25" customHeight="1" x14ac:dyDescent="0.3">
      <c r="A91" s="18">
        <v>44105</v>
      </c>
      <c r="B91" s="19"/>
      <c r="C91" s="20" t="s">
        <v>45</v>
      </c>
      <c r="D91" s="20"/>
      <c r="E91" s="20"/>
      <c r="F91" s="21"/>
      <c r="G91" s="21" t="s">
        <v>710</v>
      </c>
      <c r="H91" s="22">
        <v>80</v>
      </c>
      <c r="I91" s="22"/>
      <c r="J91" s="22"/>
      <c r="K91" s="22"/>
      <c r="L91" s="23"/>
      <c r="M91" s="24">
        <f t="shared" si="10"/>
        <v>80</v>
      </c>
      <c r="N91" s="24">
        <f t="shared" si="11"/>
        <v>0</v>
      </c>
      <c r="O91" s="24">
        <f t="shared" si="12"/>
        <v>0</v>
      </c>
      <c r="P91" s="24"/>
      <c r="Q91" s="25"/>
      <c r="R91" s="25"/>
      <c r="S91" s="26"/>
      <c r="T91" s="26"/>
      <c r="U91" s="26"/>
      <c r="V91" s="26"/>
      <c r="W91" s="26"/>
      <c r="X91" s="25"/>
      <c r="Y91" s="25"/>
      <c r="Z91" s="25"/>
      <c r="AA91" s="25">
        <v>80</v>
      </c>
      <c r="AB91" s="26"/>
      <c r="AC91" s="26"/>
      <c r="AD91" s="25"/>
      <c r="AE91" s="24">
        <f t="shared" si="13"/>
        <v>-80</v>
      </c>
      <c r="AF91" s="24">
        <f t="shared" si="14"/>
        <v>0</v>
      </c>
      <c r="AMI91"/>
      <c r="AMJ91"/>
    </row>
    <row r="92" spans="1:1024" s="29" customFormat="1" ht="23.25" customHeight="1" x14ac:dyDescent="0.3">
      <c r="A92" s="18">
        <v>44106</v>
      </c>
      <c r="B92" s="19"/>
      <c r="C92" s="20" t="s">
        <v>711</v>
      </c>
      <c r="D92" s="20"/>
      <c r="E92" s="20"/>
      <c r="F92" s="21">
        <v>1089996</v>
      </c>
      <c r="G92" s="21" t="s">
        <v>712</v>
      </c>
      <c r="H92" s="22"/>
      <c r="I92" s="22"/>
      <c r="J92" s="22"/>
      <c r="K92" s="22">
        <v>818.5</v>
      </c>
      <c r="L92" s="23"/>
      <c r="M92" s="24">
        <f t="shared" si="10"/>
        <v>730.80357142857133</v>
      </c>
      <c r="N92" s="24">
        <f t="shared" si="11"/>
        <v>87.696428571428555</v>
      </c>
      <c r="O92" s="24">
        <f t="shared" si="12"/>
        <v>0</v>
      </c>
      <c r="P92" s="24"/>
      <c r="Q92" s="25">
        <v>730.8</v>
      </c>
      <c r="R92" s="25"/>
      <c r="S92" s="26"/>
      <c r="T92" s="26"/>
      <c r="U92" s="26"/>
      <c r="V92" s="26"/>
      <c r="W92" s="26"/>
      <c r="X92" s="25"/>
      <c r="Y92" s="25"/>
      <c r="Z92" s="25"/>
      <c r="AA92" s="25"/>
      <c r="AB92" s="26"/>
      <c r="AC92" s="26"/>
      <c r="AD92" s="25"/>
      <c r="AE92" s="24">
        <f t="shared" si="13"/>
        <v>-818.49642857142851</v>
      </c>
      <c r="AF92" s="24">
        <f t="shared" si="14"/>
        <v>0</v>
      </c>
      <c r="AMI92"/>
      <c r="AMJ92"/>
    </row>
    <row r="93" spans="1:1024" s="29" customFormat="1" ht="23.25" customHeight="1" x14ac:dyDescent="0.3">
      <c r="A93" s="18">
        <v>44106</v>
      </c>
      <c r="B93" s="19"/>
      <c r="C93" s="20" t="s">
        <v>47</v>
      </c>
      <c r="D93" s="20"/>
      <c r="E93" s="20"/>
      <c r="F93" s="21">
        <v>139506</v>
      </c>
      <c r="G93" s="21" t="s">
        <v>713</v>
      </c>
      <c r="H93" s="22"/>
      <c r="I93" s="22"/>
      <c r="J93" s="22"/>
      <c r="K93" s="22">
        <v>2550.8000000000002</v>
      </c>
      <c r="L93" s="23"/>
      <c r="M93" s="24">
        <f t="shared" si="10"/>
        <v>2277.5</v>
      </c>
      <c r="N93" s="24">
        <f t="shared" si="11"/>
        <v>273.3</v>
      </c>
      <c r="O93" s="24">
        <f t="shared" si="12"/>
        <v>0</v>
      </c>
      <c r="P93" s="24">
        <v>2277.5</v>
      </c>
      <c r="Q93" s="25"/>
      <c r="R93" s="25"/>
      <c r="S93" s="26"/>
      <c r="T93" s="26"/>
      <c r="U93" s="26"/>
      <c r="V93" s="26"/>
      <c r="W93" s="26"/>
      <c r="X93" s="25"/>
      <c r="Y93" s="25"/>
      <c r="Z93" s="25"/>
      <c r="AA93" s="25"/>
      <c r="AB93" s="26"/>
      <c r="AC93" s="26"/>
      <c r="AD93" s="25"/>
      <c r="AE93" s="24">
        <f t="shared" si="13"/>
        <v>-2550.8000000000002</v>
      </c>
      <c r="AF93" s="24">
        <f t="shared" si="14"/>
        <v>0</v>
      </c>
      <c r="AMI93"/>
      <c r="AMJ93"/>
    </row>
    <row r="94" spans="1:1024" s="29" customFormat="1" ht="23.25" customHeight="1" x14ac:dyDescent="0.3">
      <c r="A94" s="18">
        <v>44106</v>
      </c>
      <c r="B94" s="19"/>
      <c r="C94" s="20" t="s">
        <v>714</v>
      </c>
      <c r="D94" s="20"/>
      <c r="E94" s="20"/>
      <c r="F94" s="21"/>
      <c r="G94" s="21" t="s">
        <v>715</v>
      </c>
      <c r="H94" s="22">
        <v>100</v>
      </c>
      <c r="I94" s="22"/>
      <c r="J94" s="22"/>
      <c r="K94" s="22"/>
      <c r="L94" s="23"/>
      <c r="M94" s="24">
        <f t="shared" si="10"/>
        <v>100</v>
      </c>
      <c r="N94" s="24">
        <f t="shared" si="11"/>
        <v>0</v>
      </c>
      <c r="O94" s="24">
        <f t="shared" si="12"/>
        <v>0</v>
      </c>
      <c r="P94" s="24"/>
      <c r="Q94" s="25"/>
      <c r="R94" s="25"/>
      <c r="S94" s="26"/>
      <c r="T94" s="26"/>
      <c r="U94" s="26"/>
      <c r="V94" s="26"/>
      <c r="W94" s="26"/>
      <c r="X94" s="25"/>
      <c r="Y94" s="25"/>
      <c r="Z94" s="25"/>
      <c r="AA94" s="25">
        <v>100</v>
      </c>
      <c r="AB94" s="26"/>
      <c r="AC94" s="26"/>
      <c r="AD94" s="25"/>
      <c r="AE94" s="24">
        <f t="shared" si="13"/>
        <v>-100</v>
      </c>
      <c r="AF94" s="24">
        <f t="shared" si="14"/>
        <v>0</v>
      </c>
      <c r="AMI94"/>
      <c r="AMJ94"/>
    </row>
    <row r="95" spans="1:1024" s="29" customFormat="1" ht="23.25" customHeight="1" x14ac:dyDescent="0.3">
      <c r="A95" s="18"/>
      <c r="B95" s="19"/>
      <c r="C95" s="20"/>
      <c r="D95" s="20"/>
      <c r="E95" s="20"/>
      <c r="F95" s="21"/>
      <c r="G95" s="21"/>
      <c r="H95" s="22"/>
      <c r="I95" s="22"/>
      <c r="J95" s="22"/>
      <c r="K95" s="22"/>
      <c r="L95" s="23"/>
      <c r="M95" s="24">
        <f t="shared" si="10"/>
        <v>0</v>
      </c>
      <c r="N95" s="24">
        <f t="shared" si="11"/>
        <v>0</v>
      </c>
      <c r="O95" s="24">
        <f t="shared" si="12"/>
        <v>0</v>
      </c>
      <c r="P95" s="24"/>
      <c r="Q95" s="25"/>
      <c r="R95" s="25"/>
      <c r="S95" s="26"/>
      <c r="T95" s="26"/>
      <c r="U95" s="26"/>
      <c r="V95" s="26"/>
      <c r="W95" s="25"/>
      <c r="X95" s="25"/>
      <c r="Y95" s="25"/>
      <c r="Z95" s="25"/>
      <c r="AA95" s="26"/>
      <c r="AB95" s="26"/>
      <c r="AC95" s="25"/>
      <c r="AD95" s="25"/>
      <c r="AE95" s="24">
        <f t="shared" si="13"/>
        <v>0</v>
      </c>
      <c r="AF95" s="27"/>
      <c r="AMI95"/>
      <c r="AMJ95"/>
    </row>
    <row r="96" spans="1:1024" s="29" customFormat="1" ht="23.25" customHeight="1" x14ac:dyDescent="0.3">
      <c r="A96" s="18"/>
      <c r="B96" s="19"/>
      <c r="C96" s="20"/>
      <c r="D96" s="20"/>
      <c r="E96" s="20"/>
      <c r="F96" s="21"/>
      <c r="G96" s="21"/>
      <c r="H96" s="22"/>
      <c r="I96" s="22"/>
      <c r="J96" s="22"/>
      <c r="K96" s="22"/>
      <c r="L96" s="23"/>
      <c r="M96" s="24">
        <f t="shared" si="10"/>
        <v>0</v>
      </c>
      <c r="N96" s="24">
        <f t="shared" si="11"/>
        <v>0</v>
      </c>
      <c r="O96" s="24">
        <f t="shared" si="12"/>
        <v>0</v>
      </c>
      <c r="P96" s="24"/>
      <c r="Q96" s="25"/>
      <c r="R96" s="25"/>
      <c r="S96" s="26"/>
      <c r="T96" s="26"/>
      <c r="U96" s="26"/>
      <c r="V96" s="26"/>
      <c r="W96" s="25"/>
      <c r="X96" s="25"/>
      <c r="Y96" s="25"/>
      <c r="Z96" s="25"/>
      <c r="AA96" s="26"/>
      <c r="AB96" s="26"/>
      <c r="AC96" s="25"/>
      <c r="AD96" s="25"/>
      <c r="AE96" s="24">
        <f t="shared" si="13"/>
        <v>0</v>
      </c>
      <c r="AF96" s="27">
        <f>SUM(H96:K96)+AE96+O96</f>
        <v>0</v>
      </c>
      <c r="AMI96"/>
      <c r="AMJ96"/>
    </row>
    <row r="97" spans="1:1024" s="29" customFormat="1" x14ac:dyDescent="0.3">
      <c r="A97" s="18"/>
      <c r="B97" s="19"/>
      <c r="C97" s="43"/>
      <c r="D97" s="43"/>
      <c r="E97" s="43"/>
      <c r="F97" s="21"/>
      <c r="G97" s="30"/>
      <c r="H97" s="22"/>
      <c r="I97" s="22"/>
      <c r="J97" s="22"/>
      <c r="K97" s="22"/>
      <c r="L97" s="23"/>
      <c r="M97" s="25">
        <f t="shared" si="10"/>
        <v>0</v>
      </c>
      <c r="N97" s="25">
        <f t="shared" si="11"/>
        <v>0</v>
      </c>
      <c r="O97" s="25">
        <f t="shared" si="12"/>
        <v>0</v>
      </c>
      <c r="P97" s="25"/>
      <c r="Q97" s="25"/>
      <c r="R97" s="25"/>
      <c r="S97" s="26"/>
      <c r="T97" s="26"/>
      <c r="U97" s="26"/>
      <c r="V97" s="26"/>
      <c r="W97" s="26"/>
      <c r="X97" s="44"/>
      <c r="Y97" s="25"/>
      <c r="Z97" s="25"/>
      <c r="AA97" s="25"/>
      <c r="AB97" s="26"/>
      <c r="AC97" s="26"/>
      <c r="AD97" s="45"/>
      <c r="AE97" s="24">
        <f t="shared" si="13"/>
        <v>0</v>
      </c>
      <c r="AF97" s="27">
        <f>SUM(H97:K97)+AE97+O97</f>
        <v>0</v>
      </c>
      <c r="AMI97"/>
      <c r="AMJ97"/>
    </row>
    <row r="98" spans="1:1024" s="52" customFormat="1" x14ac:dyDescent="0.3">
      <c r="A98" s="46"/>
      <c r="B98" s="47"/>
      <c r="C98" s="48"/>
      <c r="D98" s="49"/>
      <c r="E98" s="49"/>
      <c r="F98" s="50"/>
      <c r="G98" s="48"/>
      <c r="H98" s="51">
        <f t="shared" ref="H98:AF98" si="15">SUM(H5:H97)</f>
        <v>3181</v>
      </c>
      <c r="I98" s="51">
        <f t="shared" si="15"/>
        <v>0</v>
      </c>
      <c r="J98" s="51">
        <f t="shared" si="15"/>
        <v>17055.47</v>
      </c>
      <c r="K98" s="51">
        <f t="shared" si="15"/>
        <v>32180.149999999998</v>
      </c>
      <c r="L98" s="51">
        <f t="shared" si="15"/>
        <v>0</v>
      </c>
      <c r="M98" s="51">
        <f t="shared" si="15"/>
        <v>48968.746785714284</v>
      </c>
      <c r="N98" s="51">
        <f t="shared" si="15"/>
        <v>3447.8732142857134</v>
      </c>
      <c r="O98" s="51">
        <f t="shared" si="15"/>
        <v>0</v>
      </c>
      <c r="P98" s="51">
        <f t="shared" si="15"/>
        <v>40801.81</v>
      </c>
      <c r="Q98" s="51">
        <f t="shared" si="15"/>
        <v>2844.6400000000003</v>
      </c>
      <c r="R98" s="51">
        <f t="shared" si="15"/>
        <v>1632.15</v>
      </c>
      <c r="S98" s="51">
        <f t="shared" si="15"/>
        <v>444.41999999999996</v>
      </c>
      <c r="T98" s="51">
        <f t="shared" si="15"/>
        <v>48.66</v>
      </c>
      <c r="U98" s="51">
        <f t="shared" si="15"/>
        <v>70.540000000000006</v>
      </c>
      <c r="V98" s="51">
        <f t="shared" si="15"/>
        <v>0</v>
      </c>
      <c r="W98" s="51">
        <f t="shared" si="15"/>
        <v>0</v>
      </c>
      <c r="X98" s="51">
        <f t="shared" si="15"/>
        <v>0</v>
      </c>
      <c r="Y98" s="51">
        <f t="shared" si="15"/>
        <v>500</v>
      </c>
      <c r="Z98" s="51">
        <f t="shared" si="15"/>
        <v>0</v>
      </c>
      <c r="AA98" s="51">
        <f t="shared" si="15"/>
        <v>2556</v>
      </c>
      <c r="AB98" s="51">
        <f t="shared" si="15"/>
        <v>0</v>
      </c>
      <c r="AC98" s="51">
        <f t="shared" si="15"/>
        <v>70.540000000000006</v>
      </c>
      <c r="AD98" s="51">
        <f t="shared" si="15"/>
        <v>0</v>
      </c>
      <c r="AE98" s="51">
        <f t="shared" si="15"/>
        <v>-52416.633214285721</v>
      </c>
      <c r="AF98" s="51">
        <f t="shared" si="15"/>
        <v>-1.3571428571424349E-2</v>
      </c>
      <c r="AMI98"/>
      <c r="AMJ98"/>
    </row>
    <row r="103" spans="1:1024" x14ac:dyDescent="0.3">
      <c r="Q103" s="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K22"/>
  <sheetViews>
    <sheetView topLeftCell="K1" zoomScale="90" zoomScaleNormal="90" workbookViewId="0">
      <selection activeCell="S4" sqref="S4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6.109375" style="3" customWidth="1"/>
    <col min="4" max="4" width="14" style="4" hidden="1" customWidth="1"/>
    <col min="5" max="5" width="29.33203125" style="4" hidden="1" customWidth="1"/>
    <col min="6" max="6" width="7.88671875" style="2" customWidth="1"/>
    <col min="7" max="7" width="26.5546875" style="3" customWidth="1"/>
    <col min="8" max="8" width="11.109375" style="5" customWidth="1"/>
    <col min="9" max="9" width="9.5546875" style="5" hidden="1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10.6640625" style="5" customWidth="1"/>
    <col min="19" max="19" width="9.5546875" style="5" customWidth="1"/>
    <col min="20" max="21" width="9.109375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30" width="8" style="5" customWidth="1"/>
    <col min="31" max="31" width="10.109375" style="5" customWidth="1"/>
    <col min="32" max="32" width="10.6640625" style="5" customWidth="1"/>
    <col min="33" max="33" width="8.88671875" style="3" customWidth="1"/>
    <col min="34" max="1025" width="9.109375" style="3" customWidth="1"/>
  </cols>
  <sheetData>
    <row r="1" spans="1:33" ht="12" customHeight="1" x14ac:dyDescent="0.3">
      <c r="A1" s="7" t="s">
        <v>0</v>
      </c>
      <c r="C1" s="8"/>
    </row>
    <row r="2" spans="1:33" ht="12" customHeight="1" x14ac:dyDescent="0.3">
      <c r="A2" s="7" t="s">
        <v>1</v>
      </c>
    </row>
    <row r="3" spans="1:33" ht="12" customHeight="1" x14ac:dyDescent="0.3">
      <c r="A3" s="7" t="s">
        <v>716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3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22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6" t="s">
        <v>36</v>
      </c>
    </row>
    <row r="5" spans="1:33" s="29" customFormat="1" ht="23.25" customHeight="1" x14ac:dyDescent="0.2">
      <c r="A5" s="18">
        <v>44105</v>
      </c>
      <c r="B5" s="19"/>
      <c r="C5" s="20" t="s">
        <v>45</v>
      </c>
      <c r="D5" s="20"/>
      <c r="E5" s="20"/>
      <c r="F5" s="21"/>
      <c r="G5" s="21" t="s">
        <v>702</v>
      </c>
      <c r="H5" s="22">
        <v>100</v>
      </c>
      <c r="I5" s="22"/>
      <c r="J5" s="22"/>
      <c r="K5" s="22"/>
      <c r="L5" s="23"/>
      <c r="M5" s="24">
        <f t="shared" ref="M5:M21" si="0">SUM(H5:J5,K5/1.12)</f>
        <v>100</v>
      </c>
      <c r="N5" s="24">
        <f t="shared" ref="N5:N21" si="1">K5/1.12*0.12</f>
        <v>0</v>
      </c>
      <c r="O5" s="24">
        <f t="shared" ref="O5:O21" si="2">-SUM(I5:J5,K5/1.12)*L5</f>
        <v>0</v>
      </c>
      <c r="P5" s="24"/>
      <c r="Q5" s="25"/>
      <c r="R5" s="25"/>
      <c r="S5" s="26"/>
      <c r="T5" s="26"/>
      <c r="U5" s="26"/>
      <c r="V5" s="26"/>
      <c r="W5" s="26"/>
      <c r="X5" s="25"/>
      <c r="Y5" s="25"/>
      <c r="Z5" s="25"/>
      <c r="AA5" s="25">
        <v>100</v>
      </c>
      <c r="AB5" s="26"/>
      <c r="AC5" s="26"/>
      <c r="AD5" s="25"/>
      <c r="AE5" s="25"/>
      <c r="AF5" s="24">
        <f t="shared" ref="AF5:AF21" si="3">-SUM(N5:AE5)</f>
        <v>-100</v>
      </c>
      <c r="AG5" s="27">
        <f t="shared" ref="AG5:AG21" si="4">SUM(H5:K5)+AF5+O5</f>
        <v>0</v>
      </c>
    </row>
    <row r="6" spans="1:33" s="29" customFormat="1" ht="23.25" customHeight="1" x14ac:dyDescent="0.2">
      <c r="A6" s="18">
        <v>44105</v>
      </c>
      <c r="B6" s="19"/>
      <c r="C6" s="20" t="s">
        <v>703</v>
      </c>
      <c r="D6" s="20"/>
      <c r="E6" s="20"/>
      <c r="F6" s="21">
        <v>2254</v>
      </c>
      <c r="G6" s="21" t="s">
        <v>68</v>
      </c>
      <c r="H6" s="22"/>
      <c r="I6" s="22"/>
      <c r="J6" s="22">
        <v>640</v>
      </c>
      <c r="K6" s="22"/>
      <c r="L6" s="23"/>
      <c r="M6" s="24">
        <f t="shared" si="0"/>
        <v>640</v>
      </c>
      <c r="N6" s="24">
        <f t="shared" si="1"/>
        <v>0</v>
      </c>
      <c r="O6" s="24">
        <f t="shared" si="2"/>
        <v>0</v>
      </c>
      <c r="P6" s="24">
        <v>640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>
        <f t="shared" si="3"/>
        <v>-640</v>
      </c>
      <c r="AG6" s="27">
        <f t="shared" si="4"/>
        <v>0</v>
      </c>
    </row>
    <row r="7" spans="1:33" s="29" customFormat="1" ht="23.25" customHeight="1" x14ac:dyDescent="0.2">
      <c r="A7" s="18">
        <v>44105</v>
      </c>
      <c r="B7" s="19"/>
      <c r="C7" s="20" t="s">
        <v>65</v>
      </c>
      <c r="D7" s="20"/>
      <c r="E7" s="20"/>
      <c r="F7" s="21">
        <v>3481</v>
      </c>
      <c r="G7" s="21" t="s">
        <v>685</v>
      </c>
      <c r="H7" s="22"/>
      <c r="I7" s="22"/>
      <c r="J7" s="22">
        <v>680</v>
      </c>
      <c r="K7" s="22"/>
      <c r="L7" s="23"/>
      <c r="M7" s="24">
        <f t="shared" si="0"/>
        <v>680</v>
      </c>
      <c r="N7" s="24">
        <f t="shared" si="1"/>
        <v>0</v>
      </c>
      <c r="O7" s="24">
        <f t="shared" si="2"/>
        <v>0</v>
      </c>
      <c r="P7" s="24">
        <v>680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>
        <f t="shared" si="3"/>
        <v>-680</v>
      </c>
      <c r="AG7" s="27">
        <f t="shared" si="4"/>
        <v>0</v>
      </c>
    </row>
    <row r="8" spans="1:33" s="29" customFormat="1" ht="23.25" customHeight="1" x14ac:dyDescent="0.2">
      <c r="A8" s="18">
        <v>44105</v>
      </c>
      <c r="B8" s="19"/>
      <c r="C8" s="20" t="s">
        <v>308</v>
      </c>
      <c r="D8" s="20"/>
      <c r="E8" s="20"/>
      <c r="F8" s="21">
        <v>29509</v>
      </c>
      <c r="G8" s="21" t="s">
        <v>263</v>
      </c>
      <c r="H8" s="22"/>
      <c r="I8" s="22"/>
      <c r="J8" s="22">
        <v>250</v>
      </c>
      <c r="K8" s="22"/>
      <c r="L8" s="23"/>
      <c r="M8" s="24">
        <f t="shared" si="0"/>
        <v>250</v>
      </c>
      <c r="N8" s="24">
        <f t="shared" si="1"/>
        <v>0</v>
      </c>
      <c r="O8" s="24">
        <f t="shared" si="2"/>
        <v>0</v>
      </c>
      <c r="P8" s="24">
        <v>250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>
        <f t="shared" si="3"/>
        <v>-250</v>
      </c>
      <c r="AG8" s="27">
        <f t="shared" si="4"/>
        <v>0</v>
      </c>
    </row>
    <row r="9" spans="1:33" s="29" customFormat="1" ht="23.25" customHeight="1" x14ac:dyDescent="0.2">
      <c r="A9" s="18">
        <v>44105</v>
      </c>
      <c r="B9" s="19"/>
      <c r="C9" s="20" t="s">
        <v>233</v>
      </c>
      <c r="D9" s="20"/>
      <c r="E9" s="20"/>
      <c r="F9" s="21">
        <v>19118</v>
      </c>
      <c r="G9" s="21" t="s">
        <v>704</v>
      </c>
      <c r="H9" s="22"/>
      <c r="I9" s="22"/>
      <c r="J9" s="22"/>
      <c r="K9" s="22">
        <v>685</v>
      </c>
      <c r="L9" s="23"/>
      <c r="M9" s="24">
        <f t="shared" si="0"/>
        <v>611.60714285714278</v>
      </c>
      <c r="N9" s="24">
        <f t="shared" si="1"/>
        <v>73.392857142857125</v>
      </c>
      <c r="O9" s="24">
        <f t="shared" si="2"/>
        <v>0</v>
      </c>
      <c r="P9" s="24">
        <v>611.61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>
        <f t="shared" si="3"/>
        <v>-685.00285714285712</v>
      </c>
      <c r="AG9" s="27">
        <f t="shared" si="4"/>
        <v>-2.8571428571240176E-3</v>
      </c>
    </row>
    <row r="10" spans="1:33" s="29" customFormat="1" ht="23.25" customHeight="1" x14ac:dyDescent="0.2">
      <c r="A10" s="18">
        <v>44105</v>
      </c>
      <c r="B10" s="19"/>
      <c r="C10" s="20" t="s">
        <v>522</v>
      </c>
      <c r="D10" s="20"/>
      <c r="E10" s="20"/>
      <c r="F10" s="21">
        <v>35465</v>
      </c>
      <c r="G10" s="21" t="s">
        <v>58</v>
      </c>
      <c r="H10" s="22"/>
      <c r="I10" s="22"/>
      <c r="J10" s="22"/>
      <c r="K10" s="22">
        <v>42</v>
      </c>
      <c r="L10" s="23"/>
      <c r="M10" s="24">
        <f t="shared" si="0"/>
        <v>37.499999999999993</v>
      </c>
      <c r="N10" s="24">
        <f t="shared" si="1"/>
        <v>4.4999999999999991</v>
      </c>
      <c r="O10" s="24">
        <f t="shared" si="2"/>
        <v>0</v>
      </c>
      <c r="P10" s="24"/>
      <c r="Q10" s="25">
        <v>37.5</v>
      </c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>
        <f t="shared" si="3"/>
        <v>-42</v>
      </c>
      <c r="AG10" s="27">
        <f t="shared" si="4"/>
        <v>0</v>
      </c>
    </row>
    <row r="11" spans="1:33" s="29" customFormat="1" ht="39.75" customHeight="1" x14ac:dyDescent="0.2">
      <c r="A11" s="18">
        <v>44105</v>
      </c>
      <c r="B11" s="19"/>
      <c r="C11" s="20" t="s">
        <v>39</v>
      </c>
      <c r="D11" s="20"/>
      <c r="E11" s="20"/>
      <c r="F11" s="21">
        <v>169331</v>
      </c>
      <c r="G11" s="21" t="s">
        <v>705</v>
      </c>
      <c r="H11" s="22"/>
      <c r="I11" s="22"/>
      <c r="J11" s="22"/>
      <c r="K11" s="22">
        <v>405</v>
      </c>
      <c r="L11" s="23"/>
      <c r="M11" s="24">
        <f t="shared" si="0"/>
        <v>361.60714285714283</v>
      </c>
      <c r="N11" s="24">
        <f t="shared" si="1"/>
        <v>43.392857142857139</v>
      </c>
      <c r="O11" s="24">
        <f t="shared" si="2"/>
        <v>0</v>
      </c>
      <c r="P11" s="24">
        <v>361.61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>
        <f t="shared" si="3"/>
        <v>-405.00285714285712</v>
      </c>
      <c r="AG11" s="27">
        <f t="shared" si="4"/>
        <v>-2.8571428571240176E-3</v>
      </c>
    </row>
    <row r="12" spans="1:33" s="29" customFormat="1" ht="23.25" customHeight="1" x14ac:dyDescent="0.2">
      <c r="A12" s="18">
        <v>44105</v>
      </c>
      <c r="B12" s="19"/>
      <c r="C12" s="20" t="s">
        <v>39</v>
      </c>
      <c r="D12" s="20"/>
      <c r="E12" s="20"/>
      <c r="F12" s="21">
        <v>169331</v>
      </c>
      <c r="G12" s="21" t="s">
        <v>706</v>
      </c>
      <c r="H12" s="22"/>
      <c r="I12" s="22"/>
      <c r="J12" s="22"/>
      <c r="K12" s="22">
        <f>119.25+40.5+158</f>
        <v>317.75</v>
      </c>
      <c r="L12" s="23"/>
      <c r="M12" s="24">
        <f t="shared" si="0"/>
        <v>283.70535714285711</v>
      </c>
      <c r="N12" s="24">
        <f t="shared" si="1"/>
        <v>34.044642857142854</v>
      </c>
      <c r="O12" s="24">
        <f t="shared" si="2"/>
        <v>0</v>
      </c>
      <c r="P12" s="24"/>
      <c r="Q12" s="25"/>
      <c r="R12" s="25"/>
      <c r="S12" s="26">
        <v>283.70999999999998</v>
      </c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>
        <f t="shared" si="3"/>
        <v>-317.75464285714281</v>
      </c>
      <c r="AG12" s="27">
        <f t="shared" si="4"/>
        <v>-4.6428571428123178E-3</v>
      </c>
    </row>
    <row r="13" spans="1:33" s="29" customFormat="1" ht="23.25" customHeight="1" x14ac:dyDescent="0.2">
      <c r="A13" s="18">
        <v>44105</v>
      </c>
      <c r="B13" s="19"/>
      <c r="C13" s="20" t="s">
        <v>406</v>
      </c>
      <c r="D13" s="20"/>
      <c r="E13" s="20"/>
      <c r="F13" s="21">
        <v>5456</v>
      </c>
      <c r="G13" s="21" t="s">
        <v>707</v>
      </c>
      <c r="H13" s="22"/>
      <c r="I13" s="22"/>
      <c r="J13" s="22"/>
      <c r="K13" s="22">
        <v>40</v>
      </c>
      <c r="L13" s="23"/>
      <c r="M13" s="24">
        <f t="shared" si="0"/>
        <v>35.714285714285708</v>
      </c>
      <c r="N13" s="24">
        <f t="shared" si="1"/>
        <v>4.2857142857142847</v>
      </c>
      <c r="O13" s="24">
        <f t="shared" si="2"/>
        <v>0</v>
      </c>
      <c r="P13" s="24">
        <v>35.71</v>
      </c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>
        <f t="shared" si="3"/>
        <v>-39.995714285714286</v>
      </c>
      <c r="AG13" s="27">
        <f t="shared" si="4"/>
        <v>4.2857142857144481E-3</v>
      </c>
    </row>
    <row r="14" spans="1:33" s="29" customFormat="1" ht="30" customHeight="1" x14ac:dyDescent="0.2">
      <c r="A14" s="18">
        <v>44105</v>
      </c>
      <c r="B14" s="19"/>
      <c r="C14" s="20" t="s">
        <v>47</v>
      </c>
      <c r="D14" s="20"/>
      <c r="E14" s="20"/>
      <c r="F14" s="21">
        <v>281233</v>
      </c>
      <c r="G14" s="21" t="s">
        <v>708</v>
      </c>
      <c r="H14" s="22"/>
      <c r="I14" s="22"/>
      <c r="J14" s="22"/>
      <c r="K14" s="22">
        <f>2034.78+244.17</f>
        <v>2278.9499999999998</v>
      </c>
      <c r="L14" s="23"/>
      <c r="M14" s="24">
        <f t="shared" si="0"/>
        <v>2034.7767857142853</v>
      </c>
      <c r="N14" s="24">
        <f t="shared" si="1"/>
        <v>244.17321428571424</v>
      </c>
      <c r="O14" s="24">
        <f t="shared" si="2"/>
        <v>0</v>
      </c>
      <c r="P14" s="24">
        <v>2034.78</v>
      </c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>
        <f t="shared" si="3"/>
        <v>-2278.9532142857142</v>
      </c>
      <c r="AG14" s="27">
        <f t="shared" si="4"/>
        <v>-3.2142857144208392E-3</v>
      </c>
    </row>
    <row r="15" spans="1:33" s="29" customFormat="1" ht="23.25" customHeight="1" x14ac:dyDescent="0.2">
      <c r="A15" s="18">
        <v>44105</v>
      </c>
      <c r="B15" s="19"/>
      <c r="C15" s="20" t="s">
        <v>47</v>
      </c>
      <c r="D15" s="20"/>
      <c r="E15" s="20"/>
      <c r="F15" s="21">
        <v>281233</v>
      </c>
      <c r="G15" s="21" t="s">
        <v>709</v>
      </c>
      <c r="H15" s="22"/>
      <c r="I15" s="22"/>
      <c r="J15" s="22">
        <v>612.46</v>
      </c>
      <c r="K15" s="22"/>
      <c r="L15" s="23"/>
      <c r="M15" s="24">
        <f t="shared" si="0"/>
        <v>612.46</v>
      </c>
      <c r="N15" s="24">
        <f t="shared" si="1"/>
        <v>0</v>
      </c>
      <c r="O15" s="24">
        <f t="shared" si="2"/>
        <v>0</v>
      </c>
      <c r="P15" s="24">
        <v>612.46</v>
      </c>
      <c r="Q15" s="25"/>
      <c r="R15" s="25"/>
      <c r="S15" s="26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>
        <f t="shared" si="3"/>
        <v>-612.46</v>
      </c>
      <c r="AG15" s="27">
        <f t="shared" si="4"/>
        <v>0</v>
      </c>
    </row>
    <row r="16" spans="1:33" s="29" customFormat="1" ht="23.25" customHeight="1" x14ac:dyDescent="0.2">
      <c r="A16" s="18">
        <v>44105</v>
      </c>
      <c r="B16" s="19"/>
      <c r="C16" s="20" t="s">
        <v>45</v>
      </c>
      <c r="D16" s="20"/>
      <c r="E16" s="20"/>
      <c r="F16" s="21"/>
      <c r="G16" s="21" t="s">
        <v>710</v>
      </c>
      <c r="H16" s="22">
        <v>80</v>
      </c>
      <c r="I16" s="22"/>
      <c r="J16" s="22"/>
      <c r="K16" s="22"/>
      <c r="L16" s="23"/>
      <c r="M16" s="24">
        <f t="shared" si="0"/>
        <v>80</v>
      </c>
      <c r="N16" s="24">
        <f t="shared" si="1"/>
        <v>0</v>
      </c>
      <c r="O16" s="24">
        <f t="shared" si="2"/>
        <v>0</v>
      </c>
      <c r="P16" s="24"/>
      <c r="Q16" s="25"/>
      <c r="R16" s="25"/>
      <c r="S16" s="26"/>
      <c r="T16" s="26"/>
      <c r="U16" s="26"/>
      <c r="V16" s="26"/>
      <c r="W16" s="26"/>
      <c r="X16" s="25"/>
      <c r="Y16" s="25"/>
      <c r="Z16" s="25"/>
      <c r="AA16" s="25">
        <v>80</v>
      </c>
      <c r="AB16" s="26"/>
      <c r="AC16" s="26"/>
      <c r="AD16" s="25"/>
      <c r="AE16" s="25"/>
      <c r="AF16" s="24">
        <f t="shared" si="3"/>
        <v>-80</v>
      </c>
      <c r="AG16" s="27">
        <f t="shared" si="4"/>
        <v>0</v>
      </c>
    </row>
    <row r="17" spans="1:33" s="29" customFormat="1" ht="23.25" customHeight="1" x14ac:dyDescent="0.2">
      <c r="A17" s="18">
        <v>44106</v>
      </c>
      <c r="B17" s="19"/>
      <c r="C17" s="20" t="s">
        <v>711</v>
      </c>
      <c r="D17" s="20"/>
      <c r="E17" s="20"/>
      <c r="F17" s="21">
        <v>1089996</v>
      </c>
      <c r="G17" s="21" t="s">
        <v>712</v>
      </c>
      <c r="H17" s="22"/>
      <c r="I17" s="22"/>
      <c r="J17" s="22"/>
      <c r="K17" s="22">
        <v>818.5</v>
      </c>
      <c r="L17" s="23"/>
      <c r="M17" s="24">
        <f t="shared" si="0"/>
        <v>730.80357142857133</v>
      </c>
      <c r="N17" s="24">
        <f t="shared" si="1"/>
        <v>87.696428571428555</v>
      </c>
      <c r="O17" s="24">
        <f t="shared" si="2"/>
        <v>0</v>
      </c>
      <c r="P17" s="24"/>
      <c r="Q17" s="25">
        <v>730.8</v>
      </c>
      <c r="R17" s="25"/>
      <c r="S17" s="26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>
        <f t="shared" si="3"/>
        <v>-818.49642857142851</v>
      </c>
      <c r="AG17" s="27">
        <f t="shared" si="4"/>
        <v>3.5714285714902871E-3</v>
      </c>
    </row>
    <row r="18" spans="1:33" s="29" customFormat="1" ht="23.25" customHeight="1" x14ac:dyDescent="0.2">
      <c r="A18" s="18">
        <v>44106</v>
      </c>
      <c r="B18" s="19"/>
      <c r="C18" s="20" t="s">
        <v>47</v>
      </c>
      <c r="D18" s="20"/>
      <c r="E18" s="20"/>
      <c r="F18" s="21">
        <v>139506</v>
      </c>
      <c r="G18" s="21" t="s">
        <v>713</v>
      </c>
      <c r="H18" s="22"/>
      <c r="I18" s="22"/>
      <c r="J18" s="22"/>
      <c r="K18" s="22">
        <v>2550.8000000000002</v>
      </c>
      <c r="L18" s="23"/>
      <c r="M18" s="24">
        <f t="shared" si="0"/>
        <v>2277.5</v>
      </c>
      <c r="N18" s="24">
        <f t="shared" si="1"/>
        <v>273.3</v>
      </c>
      <c r="O18" s="24">
        <f t="shared" si="2"/>
        <v>0</v>
      </c>
      <c r="P18" s="24">
        <v>2277.5</v>
      </c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>
        <f t="shared" si="3"/>
        <v>-2550.8000000000002</v>
      </c>
      <c r="AG18" s="27">
        <f t="shared" si="4"/>
        <v>0</v>
      </c>
    </row>
    <row r="19" spans="1:33" s="29" customFormat="1" ht="23.25" customHeight="1" x14ac:dyDescent="0.2">
      <c r="A19" s="18">
        <v>44106</v>
      </c>
      <c r="B19" s="19"/>
      <c r="C19" s="20" t="s">
        <v>714</v>
      </c>
      <c r="D19" s="20"/>
      <c r="E19" s="20"/>
      <c r="F19" s="21"/>
      <c r="G19" s="21" t="s">
        <v>715</v>
      </c>
      <c r="H19" s="22">
        <v>100</v>
      </c>
      <c r="I19" s="22"/>
      <c r="J19" s="22"/>
      <c r="K19" s="22"/>
      <c r="L19" s="23"/>
      <c r="M19" s="24">
        <f t="shared" si="0"/>
        <v>100</v>
      </c>
      <c r="N19" s="24">
        <f t="shared" si="1"/>
        <v>0</v>
      </c>
      <c r="O19" s="24">
        <f t="shared" si="2"/>
        <v>0</v>
      </c>
      <c r="P19" s="24"/>
      <c r="Q19" s="25"/>
      <c r="R19" s="25"/>
      <c r="S19" s="26"/>
      <c r="T19" s="26"/>
      <c r="U19" s="26"/>
      <c r="V19" s="26"/>
      <c r="W19" s="26"/>
      <c r="X19" s="25"/>
      <c r="Y19" s="25"/>
      <c r="Z19" s="25"/>
      <c r="AA19" s="25">
        <v>100</v>
      </c>
      <c r="AB19" s="26"/>
      <c r="AC19" s="26"/>
      <c r="AD19" s="25"/>
      <c r="AE19" s="25"/>
      <c r="AF19" s="24">
        <f t="shared" si="3"/>
        <v>-100</v>
      </c>
      <c r="AG19" s="27">
        <f t="shared" si="4"/>
        <v>0</v>
      </c>
    </row>
    <row r="20" spans="1:33" s="29" customFormat="1" ht="23.25" customHeight="1" x14ac:dyDescent="0.2">
      <c r="A20" s="18"/>
      <c r="B20" s="19"/>
      <c r="C20" s="20"/>
      <c r="D20" s="20"/>
      <c r="E20" s="20"/>
      <c r="F20" s="21"/>
      <c r="G20" s="21"/>
      <c r="H20" s="22"/>
      <c r="I20" s="22"/>
      <c r="J20" s="22"/>
      <c r="K20" s="22"/>
      <c r="L20" s="23"/>
      <c r="M20" s="24">
        <f t="shared" si="0"/>
        <v>0</v>
      </c>
      <c r="N20" s="24">
        <f t="shared" si="1"/>
        <v>0</v>
      </c>
      <c r="O20" s="24">
        <f t="shared" si="2"/>
        <v>0</v>
      </c>
      <c r="P20" s="24"/>
      <c r="Q20" s="25"/>
      <c r="R20" s="25"/>
      <c r="S20" s="26"/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>
        <f t="shared" si="3"/>
        <v>0</v>
      </c>
      <c r="AG20" s="27">
        <f t="shared" si="4"/>
        <v>0</v>
      </c>
    </row>
    <row r="21" spans="1:33" s="29" customFormat="1" ht="10.199999999999999" x14ac:dyDescent="0.2">
      <c r="A21" s="18"/>
      <c r="B21" s="19"/>
      <c r="C21" s="43"/>
      <c r="D21" s="43"/>
      <c r="E21" s="43"/>
      <c r="F21" s="21"/>
      <c r="G21" s="30"/>
      <c r="H21" s="22"/>
      <c r="I21" s="22"/>
      <c r="J21" s="22"/>
      <c r="K21" s="22"/>
      <c r="L21" s="23"/>
      <c r="M21" s="25">
        <f t="shared" si="0"/>
        <v>0</v>
      </c>
      <c r="N21" s="25">
        <f t="shared" si="1"/>
        <v>0</v>
      </c>
      <c r="O21" s="25">
        <f t="shared" si="2"/>
        <v>0</v>
      </c>
      <c r="P21" s="25"/>
      <c r="Q21" s="25"/>
      <c r="R21" s="25"/>
      <c r="S21" s="25"/>
      <c r="T21" s="26"/>
      <c r="U21" s="26"/>
      <c r="V21" s="26"/>
      <c r="W21" s="26"/>
      <c r="X21" s="26"/>
      <c r="Y21" s="44"/>
      <c r="Z21" s="25"/>
      <c r="AA21" s="25"/>
      <c r="AB21" s="25"/>
      <c r="AC21" s="26"/>
      <c r="AD21" s="26"/>
      <c r="AE21" s="45"/>
      <c r="AF21" s="24">
        <f t="shared" si="3"/>
        <v>0</v>
      </c>
      <c r="AG21" s="27">
        <f t="shared" si="4"/>
        <v>0</v>
      </c>
    </row>
    <row r="22" spans="1:33" s="52" customFormat="1" ht="10.199999999999999" x14ac:dyDescent="0.2">
      <c r="A22" s="46"/>
      <c r="B22" s="47"/>
      <c r="C22" s="48"/>
      <c r="D22" s="49"/>
      <c r="E22" s="49"/>
      <c r="F22" s="50"/>
      <c r="G22" s="48"/>
      <c r="H22" s="51">
        <f t="shared" ref="H22:AG22" si="5">SUM(H5:H21)</f>
        <v>280</v>
      </c>
      <c r="I22" s="51">
        <f t="shared" si="5"/>
        <v>0</v>
      </c>
      <c r="J22" s="51">
        <f t="shared" si="5"/>
        <v>2182.46</v>
      </c>
      <c r="K22" s="51">
        <f t="shared" si="5"/>
        <v>7138</v>
      </c>
      <c r="L22" s="51">
        <f t="shared" si="5"/>
        <v>0</v>
      </c>
      <c r="M22" s="51">
        <f t="shared" si="5"/>
        <v>8835.6742857142854</v>
      </c>
      <c r="N22" s="51">
        <f t="shared" si="5"/>
        <v>764.78571428571422</v>
      </c>
      <c r="O22" s="51">
        <f t="shared" si="5"/>
        <v>0</v>
      </c>
      <c r="P22" s="51">
        <f t="shared" si="5"/>
        <v>7503.67</v>
      </c>
      <c r="Q22" s="51">
        <f t="shared" si="5"/>
        <v>768.3</v>
      </c>
      <c r="R22" s="51">
        <f t="shared" si="5"/>
        <v>0</v>
      </c>
      <c r="S22" s="51">
        <f t="shared" si="5"/>
        <v>283.70999999999998</v>
      </c>
      <c r="T22" s="51">
        <f t="shared" si="5"/>
        <v>0</v>
      </c>
      <c r="U22" s="51">
        <f t="shared" si="5"/>
        <v>0</v>
      </c>
      <c r="V22" s="51">
        <f t="shared" si="5"/>
        <v>0</v>
      </c>
      <c r="W22" s="51">
        <f t="shared" si="5"/>
        <v>0</v>
      </c>
      <c r="X22" s="51">
        <f t="shared" si="5"/>
        <v>0</v>
      </c>
      <c r="Y22" s="51">
        <f t="shared" si="5"/>
        <v>0</v>
      </c>
      <c r="Z22" s="51">
        <f t="shared" si="5"/>
        <v>0</v>
      </c>
      <c r="AA22" s="51">
        <f t="shared" si="5"/>
        <v>280</v>
      </c>
      <c r="AB22" s="51">
        <f t="shared" si="5"/>
        <v>0</v>
      </c>
      <c r="AC22" s="51">
        <f t="shared" si="5"/>
        <v>0</v>
      </c>
      <c r="AD22" s="51">
        <f t="shared" si="5"/>
        <v>0</v>
      </c>
      <c r="AE22" s="51">
        <f t="shared" si="5"/>
        <v>0</v>
      </c>
      <c r="AF22" s="51">
        <f t="shared" si="5"/>
        <v>-9600.4657142857141</v>
      </c>
      <c r="AG22" s="51">
        <f t="shared" si="5"/>
        <v>-5.7142857142764569E-3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K24"/>
  <sheetViews>
    <sheetView topLeftCell="K1" zoomScaleNormal="100" workbookViewId="0">
      <selection activeCell="S5" sqref="S5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6.109375" style="3" customWidth="1"/>
    <col min="4" max="4" width="14" style="4" hidden="1" customWidth="1"/>
    <col min="5" max="5" width="29.33203125" style="4" hidden="1" customWidth="1"/>
    <col min="6" max="6" width="7.88671875" style="2" customWidth="1"/>
    <col min="7" max="7" width="26.5546875" style="3" customWidth="1"/>
    <col min="8" max="8" width="9.109375" style="5" customWidth="1"/>
    <col min="9" max="9" width="9.5546875" style="5" hidden="1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10.6640625" style="5" customWidth="1"/>
    <col min="19" max="19" width="9.5546875" style="5" customWidth="1"/>
    <col min="20" max="21" width="9.109375" style="5" customWidth="1"/>
    <col min="22" max="22" width="8.109375" style="5" customWidth="1"/>
    <col min="23" max="23" width="9.88671875" style="5" customWidth="1"/>
    <col min="24" max="24" width="9.21875" style="5" customWidth="1"/>
    <col min="25" max="25" width="8.21875" style="5" customWidth="1"/>
    <col min="26" max="26" width="8.6640625" style="5" customWidth="1"/>
    <col min="27" max="27" width="9.5546875" style="5" customWidth="1"/>
    <col min="28" max="29" width="8" style="5" customWidth="1"/>
    <col min="30" max="30" width="10.109375" style="5" customWidth="1"/>
    <col min="31" max="31" width="10.6640625" style="5" customWidth="1"/>
    <col min="32" max="32" width="7.6640625" style="3" customWidth="1"/>
    <col min="33" max="60" width="9.109375" style="3" hidden="1" customWidth="1"/>
    <col min="61" max="1025" width="9.109375" style="3" customWidth="1"/>
  </cols>
  <sheetData>
    <row r="1" spans="1:32" ht="12" customHeight="1" x14ac:dyDescent="0.3">
      <c r="A1" s="7" t="s">
        <v>0</v>
      </c>
      <c r="C1" s="8"/>
    </row>
    <row r="2" spans="1:32" ht="12" customHeight="1" x14ac:dyDescent="0.3">
      <c r="A2" s="7" t="s">
        <v>1</v>
      </c>
    </row>
    <row r="3" spans="1:32" ht="12" customHeight="1" x14ac:dyDescent="0.3">
      <c r="A3" s="7" t="s">
        <v>720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 t="s">
        <v>3</v>
      </c>
      <c r="Y3" s="10"/>
      <c r="Z3" s="10">
        <v>6230</v>
      </c>
      <c r="AA3" s="10" t="s">
        <v>4</v>
      </c>
      <c r="AB3" s="10">
        <v>6202</v>
      </c>
      <c r="AC3" s="10"/>
      <c r="AD3" s="10">
        <v>6109</v>
      </c>
      <c r="AE3" s="10">
        <v>1002</v>
      </c>
    </row>
    <row r="4" spans="1:32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22</v>
      </c>
      <c r="T4" s="13" t="s">
        <v>24</v>
      </c>
      <c r="U4" s="13" t="s">
        <v>25</v>
      </c>
      <c r="V4" s="13" t="s">
        <v>27</v>
      </c>
      <c r="W4" s="13" t="s">
        <v>28</v>
      </c>
      <c r="X4" s="13" t="s">
        <v>29</v>
      </c>
      <c r="Y4" s="13" t="s">
        <v>30</v>
      </c>
      <c r="Z4" s="13" t="s">
        <v>31</v>
      </c>
      <c r="AA4" s="13" t="s">
        <v>32</v>
      </c>
      <c r="AB4" s="14" t="s">
        <v>33</v>
      </c>
      <c r="AC4" s="13" t="s">
        <v>34</v>
      </c>
      <c r="AD4" s="15" t="s">
        <v>35</v>
      </c>
      <c r="AE4" s="16" t="s">
        <v>36</v>
      </c>
    </row>
    <row r="5" spans="1:32" s="29" customFormat="1" ht="24.75" customHeight="1" x14ac:dyDescent="0.2">
      <c r="A5" s="18">
        <v>44106</v>
      </c>
      <c r="B5" s="19"/>
      <c r="C5" s="20" t="s">
        <v>721</v>
      </c>
      <c r="D5" s="20" t="s">
        <v>722</v>
      </c>
      <c r="E5" s="20" t="s">
        <v>723</v>
      </c>
      <c r="F5" s="21"/>
      <c r="G5" s="21" t="s">
        <v>724</v>
      </c>
      <c r="H5" s="22"/>
      <c r="I5" s="22"/>
      <c r="J5" s="22"/>
      <c r="K5" s="22">
        <v>125</v>
      </c>
      <c r="L5" s="23"/>
      <c r="M5" s="24">
        <f t="shared" ref="M5:M22" si="0">SUM(H5:J5,K5/1.12)</f>
        <v>111.60714285714285</v>
      </c>
      <c r="N5" s="24">
        <f t="shared" ref="N5:N22" si="1">K5/1.12*0.12</f>
        <v>13.392857142857141</v>
      </c>
      <c r="O5" s="24">
        <f t="shared" ref="O5:O22" si="2">-SUM(I5:J5,K5/1.12)*L5</f>
        <v>0</v>
      </c>
      <c r="P5" s="24"/>
      <c r="Q5" s="25">
        <v>111.61</v>
      </c>
      <c r="R5" s="25"/>
      <c r="S5" s="26"/>
      <c r="T5" s="26"/>
      <c r="U5" s="26"/>
      <c r="V5" s="26"/>
      <c r="W5" s="25"/>
      <c r="X5" s="25"/>
      <c r="Y5" s="25"/>
      <c r="Z5" s="25"/>
      <c r="AA5" s="26"/>
      <c r="AB5" s="26"/>
      <c r="AC5" s="25"/>
      <c r="AD5" s="25"/>
      <c r="AE5" s="24">
        <f t="shared" ref="AE5:AE22" si="3">-SUM(N5:AD5)</f>
        <v>-125.00285714285714</v>
      </c>
      <c r="AF5" s="27">
        <f t="shared" ref="AF5:AF22" si="4">SUM(H5:K5)+AE5+O5</f>
        <v>-2.8571428571382285E-3</v>
      </c>
    </row>
    <row r="6" spans="1:32" s="29" customFormat="1" ht="23.25" customHeight="1" x14ac:dyDescent="0.2">
      <c r="A6" s="18">
        <v>44109</v>
      </c>
      <c r="B6" s="19"/>
      <c r="C6" s="20" t="s">
        <v>725</v>
      </c>
      <c r="D6" s="20" t="s">
        <v>726</v>
      </c>
      <c r="E6" s="20" t="s">
        <v>727</v>
      </c>
      <c r="F6" s="21"/>
      <c r="G6" s="21" t="s">
        <v>728</v>
      </c>
      <c r="H6" s="22"/>
      <c r="I6" s="22"/>
      <c r="J6" s="22"/>
      <c r="K6" s="22">
        <v>303.5</v>
      </c>
      <c r="L6" s="23"/>
      <c r="M6" s="24">
        <f t="shared" si="0"/>
        <v>270.98214285714283</v>
      </c>
      <c r="N6" s="24">
        <f t="shared" si="1"/>
        <v>32.517857142857139</v>
      </c>
      <c r="O6" s="24">
        <f t="shared" si="2"/>
        <v>0</v>
      </c>
      <c r="P6" s="24"/>
      <c r="Q6" s="25"/>
      <c r="R6" s="25"/>
      <c r="S6" s="26"/>
      <c r="T6" s="26">
        <v>270.98</v>
      </c>
      <c r="U6" s="26"/>
      <c r="V6" s="26"/>
      <c r="W6" s="25"/>
      <c r="X6" s="25"/>
      <c r="Y6" s="25"/>
      <c r="Z6" s="25"/>
      <c r="AA6" s="26"/>
      <c r="AB6" s="26"/>
      <c r="AC6" s="25"/>
      <c r="AD6" s="25"/>
      <c r="AE6" s="24">
        <f t="shared" si="3"/>
        <v>-303.49785714285713</v>
      </c>
      <c r="AF6" s="27">
        <f t="shared" si="4"/>
        <v>2.1428571428714349E-3</v>
      </c>
    </row>
    <row r="7" spans="1:32" s="29" customFormat="1" ht="23.25" customHeight="1" x14ac:dyDescent="0.2">
      <c r="A7" s="18">
        <v>44109</v>
      </c>
      <c r="B7" s="19"/>
      <c r="C7" s="20" t="s">
        <v>729</v>
      </c>
      <c r="D7" s="20" t="s">
        <v>579</v>
      </c>
      <c r="E7" s="20" t="s">
        <v>727</v>
      </c>
      <c r="F7" s="21"/>
      <c r="G7" s="21" t="s">
        <v>730</v>
      </c>
      <c r="H7" s="22"/>
      <c r="I7" s="22"/>
      <c r="J7" s="22"/>
      <c r="K7" s="22">
        <v>117</v>
      </c>
      <c r="L7" s="23"/>
      <c r="M7" s="24">
        <f t="shared" si="0"/>
        <v>104.46428571428571</v>
      </c>
      <c r="N7" s="24">
        <f t="shared" si="1"/>
        <v>12.535714285714285</v>
      </c>
      <c r="O7" s="24">
        <f t="shared" si="2"/>
        <v>0</v>
      </c>
      <c r="P7" s="24">
        <v>104.46</v>
      </c>
      <c r="Q7" s="25"/>
      <c r="R7" s="25"/>
      <c r="S7" s="26"/>
      <c r="T7" s="26"/>
      <c r="U7" s="26"/>
      <c r="V7" s="26"/>
      <c r="W7" s="25"/>
      <c r="X7" s="25"/>
      <c r="Y7" s="25"/>
      <c r="Z7" s="25"/>
      <c r="AA7" s="26"/>
      <c r="AB7" s="26"/>
      <c r="AC7" s="25"/>
      <c r="AD7" s="25"/>
      <c r="AE7" s="24">
        <f t="shared" si="3"/>
        <v>-116.99571428571429</v>
      </c>
      <c r="AF7" s="27">
        <f t="shared" si="4"/>
        <v>4.2857142857144481E-3</v>
      </c>
    </row>
    <row r="8" spans="1:32" s="29" customFormat="1" ht="23.25" customHeight="1" x14ac:dyDescent="0.2">
      <c r="A8" s="18">
        <v>44109</v>
      </c>
      <c r="B8" s="19"/>
      <c r="C8" s="20" t="s">
        <v>729</v>
      </c>
      <c r="D8" s="20" t="s">
        <v>579</v>
      </c>
      <c r="E8" s="20" t="s">
        <v>727</v>
      </c>
      <c r="F8" s="21"/>
      <c r="G8" s="21" t="s">
        <v>638</v>
      </c>
      <c r="H8" s="22"/>
      <c r="I8" s="22"/>
      <c r="J8" s="22"/>
      <c r="K8" s="22">
        <v>158</v>
      </c>
      <c r="L8" s="23"/>
      <c r="M8" s="24">
        <f t="shared" si="0"/>
        <v>141.07142857142856</v>
      </c>
      <c r="N8" s="24">
        <f t="shared" si="1"/>
        <v>16.928571428571427</v>
      </c>
      <c r="O8" s="24">
        <f t="shared" si="2"/>
        <v>0</v>
      </c>
      <c r="P8" s="24"/>
      <c r="Q8" s="25"/>
      <c r="R8" s="25"/>
      <c r="S8" s="26"/>
      <c r="T8" s="26"/>
      <c r="U8" s="26">
        <v>141.07</v>
      </c>
      <c r="V8" s="26"/>
      <c r="W8" s="25"/>
      <c r="X8" s="25"/>
      <c r="Y8" s="25"/>
      <c r="Z8" s="25"/>
      <c r="AA8" s="26"/>
      <c r="AB8" s="26"/>
      <c r="AC8" s="25"/>
      <c r="AD8" s="25"/>
      <c r="AE8" s="24">
        <f t="shared" si="3"/>
        <v>-157.99857142857141</v>
      </c>
      <c r="AF8" s="27">
        <f t="shared" si="4"/>
        <v>1.4285714285904305E-3</v>
      </c>
    </row>
    <row r="9" spans="1:32" s="29" customFormat="1" ht="23.25" customHeight="1" x14ac:dyDescent="0.2">
      <c r="A9" s="18">
        <v>44109</v>
      </c>
      <c r="B9" s="19"/>
      <c r="C9" s="20" t="s">
        <v>47</v>
      </c>
      <c r="D9" s="20" t="s">
        <v>490</v>
      </c>
      <c r="E9" s="20" t="s">
        <v>519</v>
      </c>
      <c r="F9" s="21"/>
      <c r="G9" s="21" t="s">
        <v>731</v>
      </c>
      <c r="H9" s="22"/>
      <c r="I9" s="22"/>
      <c r="J9" s="22"/>
      <c r="K9" s="22">
        <v>170.6</v>
      </c>
      <c r="L9" s="23"/>
      <c r="M9" s="24">
        <f t="shared" si="0"/>
        <v>152.32142857142856</v>
      </c>
      <c r="N9" s="24">
        <f t="shared" si="1"/>
        <v>18.278571428571425</v>
      </c>
      <c r="O9" s="24">
        <f t="shared" si="2"/>
        <v>0</v>
      </c>
      <c r="P9" s="24">
        <v>152.32</v>
      </c>
      <c r="Q9" s="25"/>
      <c r="R9" s="25"/>
      <c r="S9" s="26"/>
      <c r="T9" s="26"/>
      <c r="U9" s="26"/>
      <c r="V9" s="26"/>
      <c r="W9" s="25"/>
      <c r="X9" s="25"/>
      <c r="Y9" s="25"/>
      <c r="Z9" s="25"/>
      <c r="AA9" s="26"/>
      <c r="AB9" s="26"/>
      <c r="AC9" s="25"/>
      <c r="AD9" s="25"/>
      <c r="AE9" s="24">
        <f t="shared" si="3"/>
        <v>-170.5985714285714</v>
      </c>
      <c r="AF9" s="27">
        <f t="shared" si="4"/>
        <v>1.4285714285904305E-3</v>
      </c>
    </row>
    <row r="10" spans="1:32" s="29" customFormat="1" ht="23.25" customHeight="1" x14ac:dyDescent="0.2">
      <c r="A10" s="18">
        <v>44109</v>
      </c>
      <c r="B10" s="19"/>
      <c r="C10" s="20" t="s">
        <v>47</v>
      </c>
      <c r="D10" s="20" t="s">
        <v>490</v>
      </c>
      <c r="E10" s="20" t="s">
        <v>519</v>
      </c>
      <c r="F10" s="21"/>
      <c r="G10" s="21" t="s">
        <v>626</v>
      </c>
      <c r="H10" s="22"/>
      <c r="I10" s="22"/>
      <c r="J10" s="22"/>
      <c r="K10" s="22">
        <v>4590</v>
      </c>
      <c r="L10" s="23"/>
      <c r="M10" s="24">
        <f t="shared" si="0"/>
        <v>4098.2142857142853</v>
      </c>
      <c r="N10" s="24">
        <f t="shared" si="1"/>
        <v>491.78571428571422</v>
      </c>
      <c r="O10" s="24">
        <f t="shared" si="2"/>
        <v>0</v>
      </c>
      <c r="P10" s="24">
        <v>4098.21</v>
      </c>
      <c r="Q10" s="25"/>
      <c r="R10" s="25"/>
      <c r="S10" s="26"/>
      <c r="T10" s="26"/>
      <c r="U10" s="26"/>
      <c r="V10" s="26"/>
      <c r="W10" s="25"/>
      <c r="X10" s="25"/>
      <c r="Y10" s="25"/>
      <c r="Z10" s="25"/>
      <c r="AA10" s="26"/>
      <c r="AB10" s="26"/>
      <c r="AC10" s="25"/>
      <c r="AD10" s="25"/>
      <c r="AE10" s="24">
        <f t="shared" si="3"/>
        <v>-4589.9957142857147</v>
      </c>
      <c r="AF10" s="27">
        <f t="shared" si="4"/>
        <v>4.2857142852881225E-3</v>
      </c>
    </row>
    <row r="11" spans="1:32" s="29" customFormat="1" ht="23.25" customHeight="1" x14ac:dyDescent="0.2">
      <c r="A11" s="18">
        <v>44109</v>
      </c>
      <c r="B11" s="19"/>
      <c r="C11" s="20" t="s">
        <v>47</v>
      </c>
      <c r="D11" s="20" t="s">
        <v>490</v>
      </c>
      <c r="E11" s="20" t="s">
        <v>519</v>
      </c>
      <c r="F11" s="21"/>
      <c r="G11" s="21" t="s">
        <v>732</v>
      </c>
      <c r="H11" s="22"/>
      <c r="I11" s="22"/>
      <c r="J11" s="22">
        <v>47.75</v>
      </c>
      <c r="K11" s="22"/>
      <c r="L11" s="23"/>
      <c r="M11" s="24">
        <f t="shared" si="0"/>
        <v>47.75</v>
      </c>
      <c r="N11" s="24">
        <f t="shared" si="1"/>
        <v>0</v>
      </c>
      <c r="O11" s="24">
        <f t="shared" si="2"/>
        <v>0</v>
      </c>
      <c r="P11" s="24">
        <v>47.75</v>
      </c>
      <c r="Q11" s="25"/>
      <c r="R11" s="25"/>
      <c r="S11" s="26"/>
      <c r="T11" s="26"/>
      <c r="U11" s="26"/>
      <c r="V11" s="26"/>
      <c r="W11" s="25"/>
      <c r="X11" s="25"/>
      <c r="Y11" s="25"/>
      <c r="Z11" s="25"/>
      <c r="AA11" s="26"/>
      <c r="AB11" s="26"/>
      <c r="AC11" s="25"/>
      <c r="AD11" s="25"/>
      <c r="AE11" s="24">
        <f t="shared" si="3"/>
        <v>-47.75</v>
      </c>
      <c r="AF11" s="27">
        <f t="shared" si="4"/>
        <v>0</v>
      </c>
    </row>
    <row r="12" spans="1:32" s="29" customFormat="1" ht="23.25" customHeight="1" x14ac:dyDescent="0.2">
      <c r="A12" s="18">
        <v>44109</v>
      </c>
      <c r="B12" s="19"/>
      <c r="C12" s="20" t="s">
        <v>45</v>
      </c>
      <c r="D12" s="20"/>
      <c r="E12" s="20"/>
      <c r="F12" s="21"/>
      <c r="G12" s="21" t="s">
        <v>733</v>
      </c>
      <c r="H12" s="22">
        <v>100</v>
      </c>
      <c r="I12" s="22"/>
      <c r="J12" s="22"/>
      <c r="K12" s="22"/>
      <c r="L12" s="23"/>
      <c r="M12" s="24">
        <f t="shared" si="0"/>
        <v>100</v>
      </c>
      <c r="N12" s="24">
        <f t="shared" si="1"/>
        <v>0</v>
      </c>
      <c r="O12" s="24">
        <f t="shared" si="2"/>
        <v>0</v>
      </c>
      <c r="P12" s="24"/>
      <c r="Q12" s="25"/>
      <c r="R12" s="25"/>
      <c r="S12" s="26"/>
      <c r="T12" s="26"/>
      <c r="U12" s="26"/>
      <c r="V12" s="26"/>
      <c r="W12" s="25"/>
      <c r="X12" s="25"/>
      <c r="Y12" s="25"/>
      <c r="Z12" s="25">
        <v>100</v>
      </c>
      <c r="AA12" s="26"/>
      <c r="AB12" s="26"/>
      <c r="AC12" s="25"/>
      <c r="AD12" s="25"/>
      <c r="AE12" s="24">
        <f t="shared" si="3"/>
        <v>-100</v>
      </c>
      <c r="AF12" s="27">
        <f t="shared" si="4"/>
        <v>0</v>
      </c>
    </row>
    <row r="13" spans="1:32" s="29" customFormat="1" ht="23.25" customHeight="1" x14ac:dyDescent="0.2">
      <c r="A13" s="18">
        <v>44109</v>
      </c>
      <c r="B13" s="19"/>
      <c r="C13" s="20" t="s">
        <v>308</v>
      </c>
      <c r="D13" s="20" t="s">
        <v>79</v>
      </c>
      <c r="E13" s="20" t="s">
        <v>734</v>
      </c>
      <c r="F13" s="21"/>
      <c r="G13" s="21" t="s">
        <v>735</v>
      </c>
      <c r="H13" s="22"/>
      <c r="I13" s="22"/>
      <c r="J13" s="22"/>
      <c r="K13" s="22">
        <v>440</v>
      </c>
      <c r="L13" s="23"/>
      <c r="M13" s="24">
        <f t="shared" si="0"/>
        <v>392.85714285714283</v>
      </c>
      <c r="N13" s="24">
        <f t="shared" si="1"/>
        <v>47.142857142857139</v>
      </c>
      <c r="O13" s="24">
        <f t="shared" si="2"/>
        <v>0</v>
      </c>
      <c r="P13" s="24">
        <v>392.86</v>
      </c>
      <c r="Q13" s="25"/>
      <c r="R13" s="25"/>
      <c r="S13" s="26"/>
      <c r="T13" s="26"/>
      <c r="U13" s="26"/>
      <c r="V13" s="26"/>
      <c r="W13" s="25"/>
      <c r="X13" s="25"/>
      <c r="Y13" s="25"/>
      <c r="Z13" s="25"/>
      <c r="AA13" s="26"/>
      <c r="AB13" s="26"/>
      <c r="AC13" s="25"/>
      <c r="AD13" s="25"/>
      <c r="AE13" s="24">
        <f t="shared" si="3"/>
        <v>-440.00285714285712</v>
      </c>
      <c r="AF13" s="27">
        <f t="shared" si="4"/>
        <v>-2.8571428571240176E-3</v>
      </c>
    </row>
    <row r="14" spans="1:32" s="29" customFormat="1" ht="23.25" customHeight="1" x14ac:dyDescent="0.2">
      <c r="A14" s="18">
        <v>44109</v>
      </c>
      <c r="B14" s="19"/>
      <c r="C14" s="20" t="s">
        <v>729</v>
      </c>
      <c r="D14" s="20" t="s">
        <v>579</v>
      </c>
      <c r="E14" s="20" t="s">
        <v>727</v>
      </c>
      <c r="F14" s="21"/>
      <c r="G14" s="21" t="s">
        <v>736</v>
      </c>
      <c r="H14" s="22"/>
      <c r="I14" s="22"/>
      <c r="J14" s="22"/>
      <c r="K14" s="22">
        <v>118</v>
      </c>
      <c r="L14" s="23"/>
      <c r="M14" s="24">
        <f t="shared" si="0"/>
        <v>105.35714285714285</v>
      </c>
      <c r="N14" s="24">
        <f t="shared" si="1"/>
        <v>12.642857142857141</v>
      </c>
      <c r="O14" s="24">
        <f t="shared" si="2"/>
        <v>0</v>
      </c>
      <c r="P14" s="24">
        <v>105.36</v>
      </c>
      <c r="Q14" s="25"/>
      <c r="R14" s="25"/>
      <c r="S14" s="26"/>
      <c r="T14" s="26"/>
      <c r="U14" s="26"/>
      <c r="V14" s="26"/>
      <c r="W14" s="25"/>
      <c r="X14" s="25"/>
      <c r="Y14" s="25"/>
      <c r="Z14" s="25"/>
      <c r="AA14" s="26"/>
      <c r="AB14" s="26"/>
      <c r="AC14" s="25"/>
      <c r="AD14" s="25"/>
      <c r="AE14" s="24">
        <f t="shared" si="3"/>
        <v>-118.00285714285714</v>
      </c>
      <c r="AF14" s="27">
        <f t="shared" si="4"/>
        <v>-2.8571428571382285E-3</v>
      </c>
    </row>
    <row r="15" spans="1:32" s="29" customFormat="1" ht="23.25" customHeight="1" x14ac:dyDescent="0.2">
      <c r="A15" s="18">
        <v>44109</v>
      </c>
      <c r="B15" s="19"/>
      <c r="C15" s="20" t="s">
        <v>729</v>
      </c>
      <c r="D15" s="20" t="s">
        <v>579</v>
      </c>
      <c r="E15" s="20" t="s">
        <v>727</v>
      </c>
      <c r="F15" s="21"/>
      <c r="G15" s="21" t="s">
        <v>524</v>
      </c>
      <c r="H15" s="22"/>
      <c r="I15" s="22"/>
      <c r="J15" s="22">
        <v>138.06</v>
      </c>
      <c r="K15" s="22"/>
      <c r="L15" s="23"/>
      <c r="M15" s="24">
        <f t="shared" si="0"/>
        <v>138.06</v>
      </c>
      <c r="N15" s="24">
        <f t="shared" si="1"/>
        <v>0</v>
      </c>
      <c r="O15" s="24">
        <f t="shared" si="2"/>
        <v>0</v>
      </c>
      <c r="P15" s="24">
        <v>138.06</v>
      </c>
      <c r="Q15" s="25"/>
      <c r="R15" s="25"/>
      <c r="S15" s="26"/>
      <c r="T15" s="26"/>
      <c r="U15" s="26"/>
      <c r="V15" s="26"/>
      <c r="W15" s="25"/>
      <c r="X15" s="25"/>
      <c r="Y15" s="25"/>
      <c r="Z15" s="25"/>
      <c r="AA15" s="26"/>
      <c r="AB15" s="26"/>
      <c r="AC15" s="25"/>
      <c r="AD15" s="25"/>
      <c r="AE15" s="24">
        <f t="shared" si="3"/>
        <v>-138.06</v>
      </c>
      <c r="AF15" s="27">
        <f t="shared" si="4"/>
        <v>0</v>
      </c>
    </row>
    <row r="16" spans="1:32" s="29" customFormat="1" ht="23.25" customHeight="1" x14ac:dyDescent="0.2">
      <c r="A16" s="18">
        <v>44109</v>
      </c>
      <c r="B16" s="19"/>
      <c r="C16" s="20" t="s">
        <v>729</v>
      </c>
      <c r="D16" s="20" t="s">
        <v>579</v>
      </c>
      <c r="E16" s="20" t="s">
        <v>727</v>
      </c>
      <c r="F16" s="21"/>
      <c r="G16" s="21" t="s">
        <v>737</v>
      </c>
      <c r="H16" s="22"/>
      <c r="I16" s="22"/>
      <c r="J16" s="22"/>
      <c r="K16" s="22">
        <v>176</v>
      </c>
      <c r="L16" s="23"/>
      <c r="M16" s="24">
        <f t="shared" si="0"/>
        <v>157.14285714285714</v>
      </c>
      <c r="N16" s="24">
        <f t="shared" si="1"/>
        <v>18.857142857142858</v>
      </c>
      <c r="O16" s="24">
        <f t="shared" si="2"/>
        <v>0</v>
      </c>
      <c r="P16" s="24">
        <v>157.13999999999999</v>
      </c>
      <c r="Q16" s="25"/>
      <c r="R16" s="25"/>
      <c r="S16" s="26"/>
      <c r="T16" s="26"/>
      <c r="U16" s="26"/>
      <c r="V16" s="26"/>
      <c r="W16" s="25"/>
      <c r="X16" s="25"/>
      <c r="Y16" s="25"/>
      <c r="Z16" s="25"/>
      <c r="AA16" s="26"/>
      <c r="AB16" s="26"/>
      <c r="AC16" s="25"/>
      <c r="AD16" s="25"/>
      <c r="AE16" s="24">
        <f t="shared" si="3"/>
        <v>-175.99714285714285</v>
      </c>
      <c r="AF16" s="27">
        <f t="shared" si="4"/>
        <v>2.8571428571524393E-3</v>
      </c>
    </row>
    <row r="17" spans="1:32" s="29" customFormat="1" ht="23.25" customHeight="1" x14ac:dyDescent="0.2">
      <c r="A17" s="18">
        <v>44109</v>
      </c>
      <c r="B17" s="19"/>
      <c r="C17" s="20" t="s">
        <v>233</v>
      </c>
      <c r="D17" s="20" t="s">
        <v>71</v>
      </c>
      <c r="E17" s="20" t="s">
        <v>738</v>
      </c>
      <c r="F17" s="21"/>
      <c r="G17" s="21" t="s">
        <v>739</v>
      </c>
      <c r="H17" s="22"/>
      <c r="I17" s="22"/>
      <c r="J17" s="22"/>
      <c r="K17" s="22">
        <v>1258</v>
      </c>
      <c r="L17" s="23"/>
      <c r="M17" s="24">
        <f t="shared" si="0"/>
        <v>1123.2142857142856</v>
      </c>
      <c r="N17" s="24">
        <f t="shared" si="1"/>
        <v>134.78571428571425</v>
      </c>
      <c r="O17" s="24">
        <f t="shared" si="2"/>
        <v>0</v>
      </c>
      <c r="P17" s="24">
        <v>1123.21</v>
      </c>
      <c r="Q17" s="25"/>
      <c r="R17" s="25"/>
      <c r="S17" s="26"/>
      <c r="T17" s="26"/>
      <c r="U17" s="26"/>
      <c r="V17" s="26"/>
      <c r="W17" s="25"/>
      <c r="X17" s="25"/>
      <c r="Y17" s="25"/>
      <c r="Z17" s="25"/>
      <c r="AA17" s="26"/>
      <c r="AB17" s="26"/>
      <c r="AC17" s="25"/>
      <c r="AD17" s="25"/>
      <c r="AE17" s="24">
        <f t="shared" si="3"/>
        <v>-1257.9957142857143</v>
      </c>
      <c r="AF17" s="27">
        <f t="shared" si="4"/>
        <v>4.2857142857428698E-3</v>
      </c>
    </row>
    <row r="18" spans="1:32" s="29" customFormat="1" ht="24" customHeight="1" x14ac:dyDescent="0.2">
      <c r="A18" s="18">
        <v>44109</v>
      </c>
      <c r="B18" s="19"/>
      <c r="C18" s="20" t="s">
        <v>45</v>
      </c>
      <c r="D18" s="20"/>
      <c r="E18" s="20"/>
      <c r="F18" s="21"/>
      <c r="G18" s="21" t="s">
        <v>740</v>
      </c>
      <c r="H18" s="22">
        <v>100</v>
      </c>
      <c r="I18" s="22"/>
      <c r="J18" s="22"/>
      <c r="K18" s="22"/>
      <c r="L18" s="23"/>
      <c r="M18" s="24">
        <f t="shared" si="0"/>
        <v>100</v>
      </c>
      <c r="N18" s="24">
        <f t="shared" si="1"/>
        <v>0</v>
      </c>
      <c r="O18" s="24">
        <f t="shared" si="2"/>
        <v>0</v>
      </c>
      <c r="P18" s="24"/>
      <c r="Q18" s="25"/>
      <c r="R18" s="25"/>
      <c r="S18" s="26"/>
      <c r="T18" s="26"/>
      <c r="U18" s="26"/>
      <c r="V18" s="26"/>
      <c r="W18" s="25"/>
      <c r="X18" s="25"/>
      <c r="Y18" s="25"/>
      <c r="Z18" s="25">
        <v>100</v>
      </c>
      <c r="AA18" s="26"/>
      <c r="AB18" s="26"/>
      <c r="AC18" s="25"/>
      <c r="AD18" s="25"/>
      <c r="AE18" s="24">
        <f t="shared" si="3"/>
        <v>-100</v>
      </c>
      <c r="AF18" s="27">
        <f t="shared" si="4"/>
        <v>0</v>
      </c>
    </row>
    <row r="19" spans="1:32" s="29" customFormat="1" ht="23.25" customHeight="1" x14ac:dyDescent="0.2">
      <c r="A19" s="18">
        <v>44110</v>
      </c>
      <c r="B19" s="19"/>
      <c r="C19" s="21" t="s">
        <v>741</v>
      </c>
      <c r="D19" s="20" t="s">
        <v>539</v>
      </c>
      <c r="E19" s="21" t="s">
        <v>742</v>
      </c>
      <c r="F19" s="21"/>
      <c r="G19" s="21" t="s">
        <v>743</v>
      </c>
      <c r="H19" s="22"/>
      <c r="I19" s="22"/>
      <c r="J19" s="22">
        <v>2718.3</v>
      </c>
      <c r="K19" s="22"/>
      <c r="L19" s="23"/>
      <c r="M19" s="24">
        <f t="shared" si="0"/>
        <v>2718.3</v>
      </c>
      <c r="N19" s="24">
        <f t="shared" si="1"/>
        <v>0</v>
      </c>
      <c r="O19" s="24">
        <f t="shared" si="2"/>
        <v>0</v>
      </c>
      <c r="P19" s="24">
        <v>2718.3</v>
      </c>
      <c r="Q19" s="25"/>
      <c r="R19" s="25"/>
      <c r="S19" s="26"/>
      <c r="T19" s="26"/>
      <c r="U19" s="26"/>
      <c r="V19" s="26"/>
      <c r="W19" s="25"/>
      <c r="X19" s="25"/>
      <c r="Y19" s="25"/>
      <c r="Z19" s="25"/>
      <c r="AA19" s="26"/>
      <c r="AB19" s="26"/>
      <c r="AC19" s="25"/>
      <c r="AD19" s="25"/>
      <c r="AE19" s="24">
        <f t="shared" si="3"/>
        <v>-2718.3</v>
      </c>
      <c r="AF19" s="27">
        <f t="shared" si="4"/>
        <v>0</v>
      </c>
    </row>
    <row r="20" spans="1:32" s="29" customFormat="1" ht="23.25" customHeight="1" x14ac:dyDescent="0.2">
      <c r="A20" s="18">
        <v>44110</v>
      </c>
      <c r="B20" s="19"/>
      <c r="C20" s="20" t="s">
        <v>522</v>
      </c>
      <c r="D20" s="20" t="s">
        <v>744</v>
      </c>
      <c r="E20" s="20" t="s">
        <v>745</v>
      </c>
      <c r="F20" s="21"/>
      <c r="G20" s="21" t="s">
        <v>662</v>
      </c>
      <c r="H20" s="22"/>
      <c r="I20" s="22"/>
      <c r="J20" s="22"/>
      <c r="K20" s="22">
        <v>42</v>
      </c>
      <c r="L20" s="23"/>
      <c r="M20" s="24">
        <f t="shared" si="0"/>
        <v>37.499999999999993</v>
      </c>
      <c r="N20" s="24">
        <f t="shared" si="1"/>
        <v>4.4999999999999991</v>
      </c>
      <c r="O20" s="24">
        <f t="shared" si="2"/>
        <v>0</v>
      </c>
      <c r="P20" s="24"/>
      <c r="Q20" s="25">
        <v>37.5</v>
      </c>
      <c r="R20" s="25"/>
      <c r="S20" s="26"/>
      <c r="T20" s="26"/>
      <c r="U20" s="26"/>
      <c r="V20" s="26"/>
      <c r="W20" s="25"/>
      <c r="X20" s="25"/>
      <c r="Y20" s="25"/>
      <c r="Z20" s="25"/>
      <c r="AA20" s="26"/>
      <c r="AB20" s="26"/>
      <c r="AC20" s="25"/>
      <c r="AD20" s="25"/>
      <c r="AE20" s="24">
        <f t="shared" si="3"/>
        <v>-42</v>
      </c>
      <c r="AF20" s="27">
        <f t="shared" si="4"/>
        <v>0</v>
      </c>
    </row>
    <row r="21" spans="1:32" s="29" customFormat="1" ht="23.25" customHeight="1" x14ac:dyDescent="0.2">
      <c r="A21" s="18"/>
      <c r="B21" s="19"/>
      <c r="C21" s="20"/>
      <c r="D21" s="20"/>
      <c r="E21" s="20"/>
      <c r="F21" s="21"/>
      <c r="G21" s="21"/>
      <c r="H21" s="22"/>
      <c r="I21" s="22"/>
      <c r="J21" s="22"/>
      <c r="K21" s="22"/>
      <c r="L21" s="23"/>
      <c r="M21" s="24">
        <f t="shared" si="0"/>
        <v>0</v>
      </c>
      <c r="N21" s="24">
        <f t="shared" si="1"/>
        <v>0</v>
      </c>
      <c r="O21" s="24">
        <f t="shared" si="2"/>
        <v>0</v>
      </c>
      <c r="P21" s="24"/>
      <c r="Q21" s="25"/>
      <c r="R21" s="25"/>
      <c r="S21" s="26"/>
      <c r="T21" s="26"/>
      <c r="U21" s="26"/>
      <c r="V21" s="26"/>
      <c r="W21" s="25"/>
      <c r="X21" s="25"/>
      <c r="Y21" s="25"/>
      <c r="Z21" s="25"/>
      <c r="AA21" s="26"/>
      <c r="AB21" s="26"/>
      <c r="AC21" s="25"/>
      <c r="AD21" s="25"/>
      <c r="AE21" s="24">
        <f t="shared" si="3"/>
        <v>0</v>
      </c>
      <c r="AF21" s="27">
        <f t="shared" si="4"/>
        <v>0</v>
      </c>
    </row>
    <row r="22" spans="1:32" s="29" customFormat="1" ht="10.199999999999999" x14ac:dyDescent="0.2">
      <c r="A22" s="18"/>
      <c r="B22" s="19"/>
      <c r="C22" s="43"/>
      <c r="D22" s="43"/>
      <c r="E22" s="43"/>
      <c r="F22" s="21"/>
      <c r="G22" s="30"/>
      <c r="H22" s="22"/>
      <c r="I22" s="22"/>
      <c r="J22" s="22"/>
      <c r="K22" s="22"/>
      <c r="L22" s="23"/>
      <c r="M22" s="25">
        <f t="shared" si="0"/>
        <v>0</v>
      </c>
      <c r="N22" s="25">
        <f t="shared" si="1"/>
        <v>0</v>
      </c>
      <c r="O22" s="25">
        <f t="shared" si="2"/>
        <v>0</v>
      </c>
      <c r="P22" s="25"/>
      <c r="Q22" s="25"/>
      <c r="R22" s="25"/>
      <c r="S22" s="25"/>
      <c r="T22" s="26"/>
      <c r="U22" s="26"/>
      <c r="V22" s="26"/>
      <c r="W22" s="26"/>
      <c r="X22" s="44"/>
      <c r="Y22" s="25"/>
      <c r="Z22" s="25"/>
      <c r="AA22" s="25"/>
      <c r="AB22" s="26"/>
      <c r="AC22" s="26"/>
      <c r="AD22" s="45"/>
      <c r="AE22" s="24">
        <f t="shared" si="3"/>
        <v>0</v>
      </c>
      <c r="AF22" s="27">
        <f t="shared" si="4"/>
        <v>0</v>
      </c>
    </row>
    <row r="23" spans="1:32" s="52" customFormat="1" ht="10.199999999999999" x14ac:dyDescent="0.2">
      <c r="A23" s="46"/>
      <c r="B23" s="47"/>
      <c r="C23" s="48"/>
      <c r="D23" s="49"/>
      <c r="E23" s="49"/>
      <c r="F23" s="50"/>
      <c r="G23" s="48"/>
      <c r="H23" s="51">
        <f t="shared" ref="H23:AF23" si="5">SUM(H5:H22)</f>
        <v>200</v>
      </c>
      <c r="I23" s="51">
        <f t="shared" si="5"/>
        <v>0</v>
      </c>
      <c r="J23" s="51">
        <f t="shared" si="5"/>
        <v>2904.11</v>
      </c>
      <c r="K23" s="51">
        <f t="shared" si="5"/>
        <v>7498.1</v>
      </c>
      <c r="L23" s="51">
        <f t="shared" si="5"/>
        <v>0</v>
      </c>
      <c r="M23" s="51">
        <f t="shared" si="5"/>
        <v>9798.8421428571419</v>
      </c>
      <c r="N23" s="51">
        <f t="shared" si="5"/>
        <v>803.36785714285702</v>
      </c>
      <c r="O23" s="51">
        <f t="shared" si="5"/>
        <v>0</v>
      </c>
      <c r="P23" s="51">
        <f t="shared" si="5"/>
        <v>9037.67</v>
      </c>
      <c r="Q23" s="51">
        <f t="shared" si="5"/>
        <v>149.11000000000001</v>
      </c>
      <c r="R23" s="51">
        <f t="shared" si="5"/>
        <v>0</v>
      </c>
      <c r="S23" s="51">
        <f t="shared" si="5"/>
        <v>0</v>
      </c>
      <c r="T23" s="51">
        <f t="shared" si="5"/>
        <v>270.98</v>
      </c>
      <c r="U23" s="51">
        <f t="shared" si="5"/>
        <v>141.07</v>
      </c>
      <c r="V23" s="51">
        <f t="shared" si="5"/>
        <v>0</v>
      </c>
      <c r="W23" s="51">
        <f t="shared" si="5"/>
        <v>0</v>
      </c>
      <c r="X23" s="51">
        <f t="shared" si="5"/>
        <v>0</v>
      </c>
      <c r="Y23" s="51">
        <f t="shared" si="5"/>
        <v>0</v>
      </c>
      <c r="Z23" s="51">
        <f t="shared" si="5"/>
        <v>200</v>
      </c>
      <c r="AA23" s="51">
        <f t="shared" si="5"/>
        <v>0</v>
      </c>
      <c r="AB23" s="51">
        <f t="shared" si="5"/>
        <v>0</v>
      </c>
      <c r="AC23" s="51">
        <f t="shared" si="5"/>
        <v>0</v>
      </c>
      <c r="AD23" s="51">
        <f t="shared" si="5"/>
        <v>0</v>
      </c>
      <c r="AE23" s="51">
        <f t="shared" si="5"/>
        <v>-10602.197857142859</v>
      </c>
      <c r="AF23" s="51">
        <f t="shared" si="5"/>
        <v>1.2142857142549701E-2</v>
      </c>
    </row>
    <row r="24" spans="1:32" s="77" customFormat="1" ht="10.199999999999999" x14ac:dyDescent="0.2"/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K26"/>
  <sheetViews>
    <sheetView topLeftCell="L1" zoomScaleNormal="100" workbookViewId="0">
      <selection activeCell="S5" sqref="S5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6.109375" style="3" customWidth="1"/>
    <col min="4" max="4" width="14" style="4" hidden="1" customWidth="1"/>
    <col min="5" max="5" width="29.33203125" style="4" hidden="1" customWidth="1"/>
    <col min="6" max="6" width="7.88671875" style="2" customWidth="1"/>
    <col min="7" max="7" width="26.5546875" style="3" customWidth="1"/>
    <col min="8" max="8" width="11.109375" style="5" customWidth="1"/>
    <col min="9" max="9" width="9.5546875" style="5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12.5546875" style="5" customWidth="1"/>
    <col min="19" max="19" width="9.5546875" style="5" customWidth="1"/>
    <col min="20" max="21" width="9.109375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30" width="8" style="5" customWidth="1"/>
    <col min="31" max="31" width="10.109375" style="5" customWidth="1"/>
    <col min="32" max="32" width="10.6640625" style="5" customWidth="1"/>
    <col min="33" max="33" width="8.88671875" style="3" customWidth="1"/>
    <col min="34" max="1025" width="9.109375" style="3" customWidth="1"/>
  </cols>
  <sheetData>
    <row r="1" spans="1:33" ht="12" customHeight="1" x14ac:dyDescent="0.3">
      <c r="A1" s="7" t="s">
        <v>0</v>
      </c>
      <c r="C1" s="8"/>
    </row>
    <row r="2" spans="1:33" ht="12" customHeight="1" x14ac:dyDescent="0.3">
      <c r="A2" s="7" t="s">
        <v>1</v>
      </c>
    </row>
    <row r="3" spans="1:33" ht="12" customHeight="1" x14ac:dyDescent="0.3">
      <c r="A3" s="7" t="s">
        <v>746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3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22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6" t="s">
        <v>36</v>
      </c>
    </row>
    <row r="5" spans="1:33" s="17" customFormat="1" ht="20.25" customHeight="1" x14ac:dyDescent="0.2">
      <c r="A5" s="81">
        <v>44113</v>
      </c>
      <c r="B5" s="12"/>
      <c r="C5" s="20" t="s">
        <v>729</v>
      </c>
      <c r="D5" s="12"/>
      <c r="E5" s="12"/>
      <c r="F5" s="82">
        <v>38805</v>
      </c>
      <c r="G5" s="82" t="s">
        <v>747</v>
      </c>
      <c r="H5" s="82"/>
      <c r="I5" s="82"/>
      <c r="J5" s="82">
        <v>178.56</v>
      </c>
      <c r="K5" s="82"/>
      <c r="L5" s="83"/>
      <c r="M5" s="24">
        <f t="shared" ref="M5:M13" si="0">SUM(H5:J5,K5/1.12)</f>
        <v>178.56</v>
      </c>
      <c r="N5" s="24">
        <f t="shared" ref="N5:N13" si="1">K5/1.12*0.12</f>
        <v>0</v>
      </c>
      <c r="O5" s="24">
        <f t="shared" ref="O5:O13" si="2">-SUM(I5:J5,K5/1.12)*L5</f>
        <v>0</v>
      </c>
      <c r="P5" s="24">
        <v>178.56</v>
      </c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>
        <f t="shared" ref="AF5:AF13" si="3">-SUM(N5:AE5)</f>
        <v>-178.56</v>
      </c>
      <c r="AG5" s="27">
        <f t="shared" ref="AG5:AG13" si="4">SUM(H5:K5)+AF5+O5</f>
        <v>0</v>
      </c>
    </row>
    <row r="6" spans="1:33" s="17" customFormat="1" ht="18" customHeight="1" x14ac:dyDescent="0.2">
      <c r="A6" s="81">
        <v>44113</v>
      </c>
      <c r="B6" s="12"/>
      <c r="C6" s="20" t="s">
        <v>729</v>
      </c>
      <c r="D6" s="12"/>
      <c r="E6" s="12"/>
      <c r="F6" s="12">
        <v>38803</v>
      </c>
      <c r="G6" s="12" t="s">
        <v>42</v>
      </c>
      <c r="H6" s="12"/>
      <c r="I6" s="12"/>
      <c r="J6" s="12"/>
      <c r="K6" s="84">
        <v>683</v>
      </c>
      <c r="L6" s="13"/>
      <c r="M6" s="24">
        <f t="shared" si="0"/>
        <v>609.82142857142856</v>
      </c>
      <c r="N6" s="24">
        <f t="shared" si="1"/>
        <v>73.178571428571431</v>
      </c>
      <c r="O6" s="24">
        <f t="shared" si="2"/>
        <v>0</v>
      </c>
      <c r="P6" s="24">
        <v>609.82000000000005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>
        <f t="shared" si="3"/>
        <v>-682.99857142857149</v>
      </c>
      <c r="AG6" s="27">
        <f t="shared" si="4"/>
        <v>1.4285714285051654E-3</v>
      </c>
    </row>
    <row r="7" spans="1:33" s="17" customFormat="1" ht="21.75" customHeight="1" x14ac:dyDescent="0.2">
      <c r="A7" s="81">
        <v>44112</v>
      </c>
      <c r="B7" s="82"/>
      <c r="C7" s="82" t="s">
        <v>605</v>
      </c>
      <c r="D7" s="82"/>
      <c r="E7" s="82"/>
      <c r="F7" s="82"/>
      <c r="G7" s="82" t="s">
        <v>212</v>
      </c>
      <c r="H7" s="84">
        <v>60</v>
      </c>
      <c r="I7" s="82"/>
      <c r="J7" s="82"/>
      <c r="K7" s="82"/>
      <c r="L7" s="13"/>
      <c r="M7" s="24">
        <f t="shared" si="0"/>
        <v>60</v>
      </c>
      <c r="N7" s="24">
        <f t="shared" si="1"/>
        <v>0</v>
      </c>
      <c r="O7" s="24">
        <f t="shared" si="2"/>
        <v>0</v>
      </c>
      <c r="P7" s="24"/>
      <c r="Q7" s="25"/>
      <c r="R7" s="25"/>
      <c r="S7" s="26"/>
      <c r="T7" s="26"/>
      <c r="U7" s="26"/>
      <c r="V7" s="26"/>
      <c r="W7" s="26"/>
      <c r="X7" s="25"/>
      <c r="Y7" s="25"/>
      <c r="Z7" s="25"/>
      <c r="AA7" s="25">
        <v>60</v>
      </c>
      <c r="AB7" s="26"/>
      <c r="AC7" s="26"/>
      <c r="AD7" s="25"/>
      <c r="AE7" s="25"/>
      <c r="AF7" s="24">
        <f t="shared" si="3"/>
        <v>-60</v>
      </c>
      <c r="AG7" s="27">
        <f t="shared" si="4"/>
        <v>0</v>
      </c>
    </row>
    <row r="8" spans="1:33" s="17" customFormat="1" ht="25.5" customHeight="1" x14ac:dyDescent="0.2">
      <c r="A8" s="81">
        <v>44112</v>
      </c>
      <c r="B8" s="82"/>
      <c r="C8" s="82" t="s">
        <v>569</v>
      </c>
      <c r="D8" s="82"/>
      <c r="E8" s="82"/>
      <c r="F8" s="82">
        <v>203812</v>
      </c>
      <c r="G8" s="82" t="s">
        <v>748</v>
      </c>
      <c r="H8" s="82"/>
      <c r="I8" s="82"/>
      <c r="J8" s="82"/>
      <c r="K8" s="84">
        <v>2170</v>
      </c>
      <c r="L8" s="13"/>
      <c r="M8" s="24">
        <f t="shared" si="0"/>
        <v>1937.4999999999998</v>
      </c>
      <c r="N8" s="24">
        <f t="shared" si="1"/>
        <v>232.49999999999997</v>
      </c>
      <c r="O8" s="24">
        <f t="shared" si="2"/>
        <v>0</v>
      </c>
      <c r="P8" s="24"/>
      <c r="Q8" s="25"/>
      <c r="R8" s="25">
        <v>1937.5</v>
      </c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>
        <f t="shared" si="3"/>
        <v>-2170</v>
      </c>
      <c r="AG8" s="27">
        <f t="shared" si="4"/>
        <v>0</v>
      </c>
    </row>
    <row r="9" spans="1:33" s="29" customFormat="1" ht="23.25" customHeight="1" x14ac:dyDescent="0.2">
      <c r="A9" s="18">
        <v>44114</v>
      </c>
      <c r="B9" s="19"/>
      <c r="C9" s="20" t="s">
        <v>409</v>
      </c>
      <c r="D9" s="20"/>
      <c r="E9" s="20"/>
      <c r="F9" s="21">
        <v>669</v>
      </c>
      <c r="G9" s="21" t="s">
        <v>749</v>
      </c>
      <c r="H9" s="22"/>
      <c r="I9" s="22"/>
      <c r="J9" s="22">
        <v>7945</v>
      </c>
      <c r="K9" s="22"/>
      <c r="L9" s="23"/>
      <c r="M9" s="24">
        <f t="shared" si="0"/>
        <v>7945</v>
      </c>
      <c r="N9" s="24">
        <f t="shared" si="1"/>
        <v>0</v>
      </c>
      <c r="O9" s="24">
        <f t="shared" si="2"/>
        <v>0</v>
      </c>
      <c r="P9" s="24">
        <v>7945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>
        <f t="shared" si="3"/>
        <v>-7945</v>
      </c>
      <c r="AG9" s="27">
        <f t="shared" si="4"/>
        <v>0</v>
      </c>
    </row>
    <row r="10" spans="1:33" s="29" customFormat="1" ht="44.25" customHeight="1" x14ac:dyDescent="0.2">
      <c r="A10" s="18">
        <v>44114</v>
      </c>
      <c r="B10" s="19"/>
      <c r="C10" s="20" t="s">
        <v>47</v>
      </c>
      <c r="D10" s="20"/>
      <c r="E10" s="20"/>
      <c r="F10" s="21">
        <v>274901</v>
      </c>
      <c r="G10" s="21" t="s">
        <v>750</v>
      </c>
      <c r="H10" s="22"/>
      <c r="I10" s="22"/>
      <c r="J10" s="22"/>
      <c r="K10" s="22">
        <f>4899.2+587.9</f>
        <v>5487.0999999999995</v>
      </c>
      <c r="L10" s="23"/>
      <c r="M10" s="24">
        <f t="shared" si="0"/>
        <v>4899.1964285714275</v>
      </c>
      <c r="N10" s="24">
        <f t="shared" si="1"/>
        <v>587.90357142857124</v>
      </c>
      <c r="O10" s="24">
        <f t="shared" si="2"/>
        <v>0</v>
      </c>
      <c r="P10" s="24">
        <v>4899.2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>
        <f t="shared" si="3"/>
        <v>-5487.1035714285708</v>
      </c>
      <c r="AG10" s="27">
        <f t="shared" si="4"/>
        <v>-3.5714285713766003E-3</v>
      </c>
    </row>
    <row r="11" spans="1:33" s="29" customFormat="1" ht="23.25" customHeight="1" x14ac:dyDescent="0.2">
      <c r="A11" s="18">
        <v>44114</v>
      </c>
      <c r="B11" s="19"/>
      <c r="C11" s="20" t="s">
        <v>47</v>
      </c>
      <c r="D11" s="20"/>
      <c r="E11" s="20"/>
      <c r="F11" s="21">
        <v>274901</v>
      </c>
      <c r="G11" s="21" t="s">
        <v>399</v>
      </c>
      <c r="H11" s="22"/>
      <c r="I11" s="22"/>
      <c r="J11" s="22">
        <v>183.69</v>
      </c>
      <c r="K11" s="22"/>
      <c r="L11" s="23"/>
      <c r="M11" s="24">
        <f t="shared" si="0"/>
        <v>183.69</v>
      </c>
      <c r="N11" s="24">
        <f t="shared" si="1"/>
        <v>0</v>
      </c>
      <c r="O11" s="24">
        <f t="shared" si="2"/>
        <v>0</v>
      </c>
      <c r="P11" s="24">
        <v>183.69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>
        <f t="shared" si="3"/>
        <v>-183.69</v>
      </c>
      <c r="AG11" s="27">
        <f t="shared" si="4"/>
        <v>0</v>
      </c>
    </row>
    <row r="12" spans="1:33" s="29" customFormat="1" ht="23.25" customHeight="1" x14ac:dyDescent="0.2">
      <c r="A12" s="18"/>
      <c r="B12" s="19"/>
      <c r="C12" s="20"/>
      <c r="D12" s="20"/>
      <c r="E12" s="20"/>
      <c r="F12" s="21"/>
      <c r="G12" s="21"/>
      <c r="H12" s="22"/>
      <c r="I12" s="22"/>
      <c r="J12" s="22"/>
      <c r="K12" s="22"/>
      <c r="L12" s="23"/>
      <c r="M12" s="24">
        <f t="shared" si="0"/>
        <v>0</v>
      </c>
      <c r="N12" s="24">
        <f t="shared" si="1"/>
        <v>0</v>
      </c>
      <c r="O12" s="24">
        <f t="shared" si="2"/>
        <v>0</v>
      </c>
      <c r="P12" s="24"/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>
        <f t="shared" si="3"/>
        <v>0</v>
      </c>
      <c r="AG12" s="27">
        <f t="shared" si="4"/>
        <v>0</v>
      </c>
    </row>
    <row r="13" spans="1:33" s="29" customFormat="1" ht="10.199999999999999" x14ac:dyDescent="0.2">
      <c r="A13" s="18"/>
      <c r="B13" s="19"/>
      <c r="C13" s="43"/>
      <c r="D13" s="43"/>
      <c r="E13" s="43"/>
      <c r="F13" s="21"/>
      <c r="G13" s="30"/>
      <c r="H13" s="22"/>
      <c r="I13" s="22"/>
      <c r="J13" s="22"/>
      <c r="K13" s="22"/>
      <c r="L13" s="23"/>
      <c r="M13" s="25">
        <f t="shared" si="0"/>
        <v>0</v>
      </c>
      <c r="N13" s="25">
        <f t="shared" si="1"/>
        <v>0</v>
      </c>
      <c r="O13" s="25">
        <f t="shared" si="2"/>
        <v>0</v>
      </c>
      <c r="P13" s="25"/>
      <c r="Q13" s="25"/>
      <c r="R13" s="25"/>
      <c r="S13" s="25"/>
      <c r="T13" s="26"/>
      <c r="U13" s="51">
        <f>SUM(U4:U12)</f>
        <v>0</v>
      </c>
      <c r="V13" s="26"/>
      <c r="W13" s="26"/>
      <c r="X13" s="26"/>
      <c r="Y13" s="44"/>
      <c r="Z13" s="25"/>
      <c r="AA13" s="51"/>
      <c r="AB13" s="25"/>
      <c r="AC13" s="26"/>
      <c r="AD13" s="26"/>
      <c r="AE13" s="45"/>
      <c r="AF13" s="24">
        <f t="shared" si="3"/>
        <v>0</v>
      </c>
      <c r="AG13" s="27">
        <f t="shared" si="4"/>
        <v>0</v>
      </c>
    </row>
    <row r="14" spans="1:33" s="52" customFormat="1" ht="10.199999999999999" x14ac:dyDescent="0.2">
      <c r="A14" s="46"/>
      <c r="B14" s="47"/>
      <c r="C14" s="48"/>
      <c r="D14" s="49"/>
      <c r="E14" s="49"/>
      <c r="F14" s="50"/>
      <c r="G14" s="48"/>
      <c r="H14" s="51">
        <f>SUM(H5:H13)</f>
        <v>60</v>
      </c>
      <c r="I14" s="51">
        <f>SUM(I9:I13)</f>
        <v>0</v>
      </c>
      <c r="J14" s="51">
        <f>SUM(J5:J13)</f>
        <v>8307.25</v>
      </c>
      <c r="K14" s="51">
        <f>SUM(K5:K13)</f>
        <v>8340.0999999999985</v>
      </c>
      <c r="L14" s="51">
        <f>SUM(L9:L13)</f>
        <v>0</v>
      </c>
      <c r="M14" s="51">
        <f>SUM(M5:M13)</f>
        <v>15813.767857142857</v>
      </c>
      <c r="N14" s="51">
        <f>SUM(N5:N13)</f>
        <v>893.58214285714257</v>
      </c>
      <c r="O14" s="51">
        <f>SUM(O9:O13)</f>
        <v>0</v>
      </c>
      <c r="P14" s="51">
        <f>SUM(P5:P13)</f>
        <v>13816.270000000002</v>
      </c>
      <c r="Q14" s="51">
        <f>SUM(Q5:Q13)</f>
        <v>0</v>
      </c>
      <c r="R14" s="51">
        <f>SUM(R5:R13)</f>
        <v>1937.5</v>
      </c>
      <c r="S14" s="51">
        <f>SUM(S5:S13)</f>
        <v>0</v>
      </c>
      <c r="T14" s="51">
        <f>SUM(T5:T13)</f>
        <v>0</v>
      </c>
      <c r="U14" s="51">
        <f>SUM(U5:U13)</f>
        <v>0</v>
      </c>
      <c r="V14" s="51">
        <f>SUM(V9:V13)</f>
        <v>0</v>
      </c>
      <c r="W14" s="51">
        <f>SUM(W9:W13)</f>
        <v>0</v>
      </c>
      <c r="X14" s="51">
        <f>SUM(X9:X13)</f>
        <v>0</v>
      </c>
      <c r="Y14" s="51">
        <f>SUM(Y9:Y13)</f>
        <v>0</v>
      </c>
      <c r="Z14" s="51">
        <f>SUM(Z9:Z13)</f>
        <v>0</v>
      </c>
      <c r="AA14" s="51">
        <f>SUM(AA5:AA13)</f>
        <v>60</v>
      </c>
      <c r="AB14" s="51">
        <f>SUM(AB9:AB13)</f>
        <v>0</v>
      </c>
      <c r="AC14" s="51">
        <f>SUM(AC9:AC13)</f>
        <v>0</v>
      </c>
      <c r="AD14" s="51">
        <f>SUM(AD9:AD13)</f>
        <v>0</v>
      </c>
      <c r="AE14" s="51">
        <f>SUM(AE9:AE13)</f>
        <v>0</v>
      </c>
      <c r="AF14" s="51">
        <f>SUM(AF5:AF13)</f>
        <v>-16707.35214285714</v>
      </c>
      <c r="AG14" s="51">
        <f>SUM(AG9:AG13)</f>
        <v>-3.5714285713766003E-3</v>
      </c>
    </row>
    <row r="15" spans="1:33" x14ac:dyDescent="0.3">
      <c r="H15" s="85"/>
      <c r="I15" s="85"/>
      <c r="J15" s="85"/>
      <c r="K15" s="85"/>
    </row>
    <row r="16" spans="1:33" x14ac:dyDescent="0.3">
      <c r="H16" s="85"/>
      <c r="I16" s="85"/>
      <c r="J16" s="85"/>
      <c r="K16" s="85"/>
      <c r="Q16" s="5">
        <v>0</v>
      </c>
    </row>
    <row r="17" spans="8:25" s="3" customFormat="1" ht="11.4" x14ac:dyDescent="0.2">
      <c r="H17" s="86"/>
      <c r="I17" s="86"/>
      <c r="J17" s="86"/>
      <c r="K17" s="86"/>
      <c r="T17" s="5"/>
      <c r="U17" s="5"/>
      <c r="V17" s="5"/>
      <c r="W17" s="5"/>
      <c r="X17" s="5"/>
      <c r="Y17" s="5"/>
    </row>
    <row r="18" spans="8:25" x14ac:dyDescent="0.3">
      <c r="H18" s="85"/>
      <c r="I18" s="85"/>
      <c r="J18" s="85"/>
      <c r="K18" s="85"/>
    </row>
    <row r="19" spans="8:25" x14ac:dyDescent="0.3">
      <c r="H19" s="85"/>
      <c r="I19" s="85"/>
      <c r="J19" s="85"/>
      <c r="K19" s="85"/>
    </row>
    <row r="20" spans="8:25" x14ac:dyDescent="0.3">
      <c r="H20" s="85"/>
      <c r="I20" s="85"/>
      <c r="J20" s="85"/>
      <c r="K20" s="85"/>
    </row>
    <row r="21" spans="8:25" x14ac:dyDescent="0.3">
      <c r="H21" s="85"/>
      <c r="I21" s="85"/>
      <c r="J21" s="85"/>
      <c r="K21" s="85"/>
    </row>
    <row r="22" spans="8:25" x14ac:dyDescent="0.3">
      <c r="H22" s="87"/>
      <c r="I22" s="87"/>
      <c r="J22" s="87"/>
      <c r="K22" s="87"/>
    </row>
    <row r="23" spans="8:25" x14ac:dyDescent="0.3">
      <c r="H23" s="87"/>
      <c r="I23" s="87"/>
      <c r="J23" s="87"/>
      <c r="K23" s="87"/>
    </row>
    <row r="24" spans="8:25" x14ac:dyDescent="0.3">
      <c r="H24" s="87"/>
      <c r="I24" s="87"/>
      <c r="J24" s="87"/>
      <c r="K24" s="87"/>
    </row>
    <row r="25" spans="8:25" x14ac:dyDescent="0.3">
      <c r="H25" s="87"/>
      <c r="I25" s="87"/>
      <c r="J25" s="87"/>
      <c r="K25" s="87"/>
    </row>
    <row r="26" spans="8:25" x14ac:dyDescent="0.3">
      <c r="H26" s="87"/>
      <c r="I26" s="87"/>
      <c r="J26" s="87"/>
      <c r="K26" s="8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K27"/>
  <sheetViews>
    <sheetView zoomScaleNormal="100" workbookViewId="0">
      <selection activeCell="T4" sqref="T4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6.109375" style="3" customWidth="1"/>
    <col min="4" max="4" width="14" style="4" hidden="1" customWidth="1"/>
    <col min="5" max="5" width="29.33203125" style="4" hidden="1" customWidth="1"/>
    <col min="6" max="6" width="7.88671875" style="2" customWidth="1"/>
    <col min="7" max="7" width="26.5546875" style="3" customWidth="1"/>
    <col min="8" max="8" width="11.109375" style="5" customWidth="1"/>
    <col min="9" max="9" width="9.5546875" style="5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10.6640625" style="5" customWidth="1"/>
    <col min="19" max="19" width="9.5546875" style="5" customWidth="1"/>
    <col min="20" max="21" width="9.109375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30" width="8" style="5" customWidth="1"/>
    <col min="31" max="31" width="10.109375" style="5" customWidth="1"/>
    <col min="32" max="32" width="10.6640625" style="5" customWidth="1"/>
    <col min="33" max="33" width="8.88671875" style="3" customWidth="1"/>
    <col min="34" max="1025" width="9.109375" style="3" customWidth="1"/>
  </cols>
  <sheetData>
    <row r="1" spans="1:33" ht="12" customHeight="1" x14ac:dyDescent="0.3">
      <c r="A1" s="7" t="s">
        <v>0</v>
      </c>
      <c r="C1" s="8"/>
    </row>
    <row r="2" spans="1:33" ht="12" customHeight="1" x14ac:dyDescent="0.3">
      <c r="A2" s="7" t="s">
        <v>1</v>
      </c>
    </row>
    <row r="3" spans="1:33" ht="12" customHeight="1" x14ac:dyDescent="0.3">
      <c r="A3" s="7" t="s">
        <v>751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3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22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6" t="s">
        <v>36</v>
      </c>
    </row>
    <row r="5" spans="1:33" s="17" customFormat="1" ht="20.25" customHeight="1" x14ac:dyDescent="0.2">
      <c r="A5" s="81">
        <v>44116</v>
      </c>
      <c r="B5" s="12"/>
      <c r="C5" s="20" t="s">
        <v>549</v>
      </c>
      <c r="D5" s="12"/>
      <c r="E5" s="12"/>
      <c r="F5" s="82"/>
      <c r="G5" s="82" t="s">
        <v>568</v>
      </c>
      <c r="H5" s="82"/>
      <c r="I5" s="82"/>
      <c r="J5" s="84">
        <v>1150</v>
      </c>
      <c r="K5" s="84"/>
      <c r="L5" s="83"/>
      <c r="M5" s="24">
        <f t="shared" ref="M5:M15" si="0">SUM(H5:J5,K5/1.12)</f>
        <v>1150</v>
      </c>
      <c r="N5" s="24">
        <f t="shared" ref="N5:N15" si="1">K5/1.12*0.12</f>
        <v>0</v>
      </c>
      <c r="O5" s="24">
        <f t="shared" ref="O5:O15" si="2">-SUM(I5:J5,K5/1.12)*L5</f>
        <v>0</v>
      </c>
      <c r="P5" s="24">
        <v>1150</v>
      </c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>
        <f t="shared" ref="AF5:AF15" si="3">-SUM(N5:AE5)</f>
        <v>-1150</v>
      </c>
      <c r="AG5" s="27">
        <f t="shared" ref="AG5:AG15" si="4">SUM(H5:K5)+AF5+O5</f>
        <v>0</v>
      </c>
    </row>
    <row r="6" spans="1:33" s="17" customFormat="1" ht="18" customHeight="1" x14ac:dyDescent="0.2">
      <c r="A6" s="81">
        <v>44116</v>
      </c>
      <c r="B6" s="12"/>
      <c r="C6" s="20" t="s">
        <v>60</v>
      </c>
      <c r="D6" s="12"/>
      <c r="E6" s="12"/>
      <c r="F6" s="12"/>
      <c r="G6" s="82" t="s">
        <v>439</v>
      </c>
      <c r="H6" s="84">
        <v>50</v>
      </c>
      <c r="I6" s="12"/>
      <c r="J6" s="12"/>
      <c r="K6" s="84"/>
      <c r="L6" s="13"/>
      <c r="M6" s="24">
        <f t="shared" si="0"/>
        <v>50</v>
      </c>
      <c r="N6" s="24">
        <f t="shared" si="1"/>
        <v>0</v>
      </c>
      <c r="O6" s="24">
        <f t="shared" si="2"/>
        <v>0</v>
      </c>
      <c r="P6" s="24"/>
      <c r="Q6" s="25"/>
      <c r="R6" s="25"/>
      <c r="S6" s="26"/>
      <c r="T6" s="26"/>
      <c r="U6" s="26"/>
      <c r="V6" s="26"/>
      <c r="W6" s="26"/>
      <c r="X6" s="25"/>
      <c r="Y6" s="25"/>
      <c r="Z6" s="25"/>
      <c r="AA6" s="25">
        <v>50</v>
      </c>
      <c r="AB6" s="26"/>
      <c r="AC6" s="26"/>
      <c r="AD6" s="25"/>
      <c r="AE6" s="25"/>
      <c r="AF6" s="24">
        <f t="shared" si="3"/>
        <v>-50</v>
      </c>
      <c r="AG6" s="27">
        <f t="shared" si="4"/>
        <v>0</v>
      </c>
    </row>
    <row r="7" spans="1:33" s="17" customFormat="1" ht="21.75" customHeight="1" x14ac:dyDescent="0.2">
      <c r="A7" s="81">
        <v>44117</v>
      </c>
      <c r="B7" s="82"/>
      <c r="C7" s="82" t="s">
        <v>106</v>
      </c>
      <c r="D7" s="82"/>
      <c r="E7" s="82"/>
      <c r="F7" s="82">
        <v>8222277</v>
      </c>
      <c r="G7" s="82" t="s">
        <v>618</v>
      </c>
      <c r="H7" s="84"/>
      <c r="I7" s="82"/>
      <c r="J7" s="82"/>
      <c r="K7" s="84">
        <v>130</v>
      </c>
      <c r="L7" s="13"/>
      <c r="M7" s="24">
        <f t="shared" si="0"/>
        <v>116.07142857142856</v>
      </c>
      <c r="N7" s="24">
        <f t="shared" si="1"/>
        <v>13.928571428571425</v>
      </c>
      <c r="O7" s="24">
        <f t="shared" si="2"/>
        <v>0</v>
      </c>
      <c r="P7" s="24"/>
      <c r="Q7" s="25"/>
      <c r="R7" s="25"/>
      <c r="S7" s="26"/>
      <c r="T7" s="26">
        <v>116.07</v>
      </c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>
        <f t="shared" si="3"/>
        <v>-129.99857142857141</v>
      </c>
      <c r="AG7" s="27">
        <f t="shared" si="4"/>
        <v>1.4285714285904305E-3</v>
      </c>
    </row>
    <row r="8" spans="1:33" s="17" customFormat="1" ht="25.5" customHeight="1" x14ac:dyDescent="0.2">
      <c r="A8" s="81">
        <v>44118</v>
      </c>
      <c r="B8" s="82"/>
      <c r="C8" s="82" t="s">
        <v>569</v>
      </c>
      <c r="D8" s="82"/>
      <c r="E8" s="82"/>
      <c r="F8" s="82">
        <v>204070</v>
      </c>
      <c r="G8" s="82" t="s">
        <v>752</v>
      </c>
      <c r="H8" s="82"/>
      <c r="I8" s="82"/>
      <c r="J8" s="82"/>
      <c r="K8" s="84">
        <v>852</v>
      </c>
      <c r="L8" s="13"/>
      <c r="M8" s="24">
        <f t="shared" si="0"/>
        <v>760.71428571428567</v>
      </c>
      <c r="N8" s="24">
        <f t="shared" si="1"/>
        <v>91.285714285714278</v>
      </c>
      <c r="O8" s="24">
        <f t="shared" si="2"/>
        <v>0</v>
      </c>
      <c r="P8" s="24"/>
      <c r="Q8" s="25"/>
      <c r="R8" s="25">
        <v>760.71</v>
      </c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>
        <f t="shared" si="3"/>
        <v>-851.99571428571426</v>
      </c>
      <c r="AG8" s="27">
        <f t="shared" si="4"/>
        <v>4.2857142857428698E-3</v>
      </c>
    </row>
    <row r="9" spans="1:33" s="29" customFormat="1" ht="23.25" customHeight="1" x14ac:dyDescent="0.2">
      <c r="A9" s="18">
        <v>44118</v>
      </c>
      <c r="B9" s="19"/>
      <c r="C9" s="20" t="s">
        <v>60</v>
      </c>
      <c r="D9" s="20"/>
      <c r="E9" s="20"/>
      <c r="F9" s="21"/>
      <c r="G9" s="21" t="s">
        <v>212</v>
      </c>
      <c r="H9" s="22">
        <v>50</v>
      </c>
      <c r="I9" s="22"/>
      <c r="J9" s="22"/>
      <c r="K9" s="22"/>
      <c r="L9" s="23"/>
      <c r="M9" s="24">
        <f t="shared" si="0"/>
        <v>50</v>
      </c>
      <c r="N9" s="24">
        <f t="shared" si="1"/>
        <v>0</v>
      </c>
      <c r="O9" s="24">
        <f t="shared" si="2"/>
        <v>0</v>
      </c>
      <c r="P9" s="24"/>
      <c r="Q9" s="25"/>
      <c r="R9" s="25"/>
      <c r="S9" s="26"/>
      <c r="T9" s="26"/>
      <c r="U9" s="26"/>
      <c r="V9" s="26"/>
      <c r="W9" s="26"/>
      <c r="X9" s="25"/>
      <c r="Y9" s="25"/>
      <c r="Z9" s="25"/>
      <c r="AA9" s="25">
        <v>50</v>
      </c>
      <c r="AB9" s="26"/>
      <c r="AC9" s="26"/>
      <c r="AD9" s="25"/>
      <c r="AE9" s="25"/>
      <c r="AF9" s="24">
        <f t="shared" si="3"/>
        <v>-50</v>
      </c>
      <c r="AG9" s="27">
        <f t="shared" si="4"/>
        <v>0</v>
      </c>
    </row>
    <row r="10" spans="1:33" s="29" customFormat="1" ht="21.75" customHeight="1" x14ac:dyDescent="0.2">
      <c r="A10" s="18">
        <v>44118</v>
      </c>
      <c r="B10" s="19"/>
      <c r="C10" s="20" t="s">
        <v>436</v>
      </c>
      <c r="D10" s="20"/>
      <c r="E10" s="20"/>
      <c r="F10" s="21"/>
      <c r="G10" s="21" t="s">
        <v>753</v>
      </c>
      <c r="H10" s="22">
        <v>170</v>
      </c>
      <c r="I10" s="22"/>
      <c r="J10" s="22"/>
      <c r="K10" s="22"/>
      <c r="L10" s="23"/>
      <c r="M10" s="24">
        <f t="shared" si="0"/>
        <v>170</v>
      </c>
      <c r="N10" s="24">
        <f t="shared" si="1"/>
        <v>0</v>
      </c>
      <c r="O10" s="24">
        <f t="shared" si="2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>
        <v>170</v>
      </c>
      <c r="AB10" s="26"/>
      <c r="AC10" s="26"/>
      <c r="AD10" s="25"/>
      <c r="AE10" s="25"/>
      <c r="AF10" s="24">
        <f t="shared" si="3"/>
        <v>-170</v>
      </c>
      <c r="AG10" s="27">
        <f t="shared" si="4"/>
        <v>0</v>
      </c>
    </row>
    <row r="11" spans="1:33" s="29" customFormat="1" ht="21" customHeight="1" x14ac:dyDescent="0.2">
      <c r="A11" s="18">
        <v>44118</v>
      </c>
      <c r="B11" s="19"/>
      <c r="C11" s="20" t="s">
        <v>47</v>
      </c>
      <c r="D11" s="20"/>
      <c r="E11" s="20"/>
      <c r="F11" s="21">
        <v>235953</v>
      </c>
      <c r="G11" s="21" t="s">
        <v>754</v>
      </c>
      <c r="H11" s="22"/>
      <c r="I11" s="22"/>
      <c r="J11" s="22">
        <v>151.69999999999999</v>
      </c>
      <c r="K11" s="22"/>
      <c r="L11" s="23"/>
      <c r="M11" s="24">
        <f t="shared" si="0"/>
        <v>151.69999999999999</v>
      </c>
      <c r="N11" s="24">
        <f t="shared" si="1"/>
        <v>0</v>
      </c>
      <c r="O11" s="24">
        <f t="shared" si="2"/>
        <v>0</v>
      </c>
      <c r="P11" s="24">
        <v>151.69999999999999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>
        <f t="shared" si="3"/>
        <v>-151.69999999999999</v>
      </c>
      <c r="AG11" s="27">
        <f t="shared" si="4"/>
        <v>0</v>
      </c>
    </row>
    <row r="12" spans="1:33" s="29" customFormat="1" ht="18.75" customHeight="1" x14ac:dyDescent="0.2">
      <c r="A12" s="18">
        <v>44118</v>
      </c>
      <c r="B12" s="19"/>
      <c r="C12" s="20" t="s">
        <v>47</v>
      </c>
      <c r="D12" s="20"/>
      <c r="E12" s="20"/>
      <c r="F12" s="21">
        <v>235953</v>
      </c>
      <c r="G12" s="21" t="s">
        <v>755</v>
      </c>
      <c r="H12" s="22"/>
      <c r="I12" s="22"/>
      <c r="J12" s="22"/>
      <c r="K12" s="22">
        <f>2026.7+243.2</f>
        <v>2269.9</v>
      </c>
      <c r="L12" s="23"/>
      <c r="M12" s="24">
        <f t="shared" si="0"/>
        <v>2026.6964285714284</v>
      </c>
      <c r="N12" s="24">
        <f t="shared" si="1"/>
        <v>243.20357142857139</v>
      </c>
      <c r="O12" s="24">
        <f t="shared" si="2"/>
        <v>0</v>
      </c>
      <c r="P12" s="24">
        <v>2026.7</v>
      </c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>
        <f t="shared" si="3"/>
        <v>-2269.9035714285715</v>
      </c>
      <c r="AG12" s="27">
        <f t="shared" si="4"/>
        <v>-3.5714285713766003E-3</v>
      </c>
    </row>
    <row r="13" spans="1:33" s="29" customFormat="1" ht="23.25" customHeight="1" x14ac:dyDescent="0.2">
      <c r="A13" s="18">
        <v>44118</v>
      </c>
      <c r="B13" s="19"/>
      <c r="C13" s="20" t="s">
        <v>81</v>
      </c>
      <c r="D13" s="20"/>
      <c r="E13" s="20"/>
      <c r="F13" s="21">
        <v>654654</v>
      </c>
      <c r="G13" s="21" t="s">
        <v>756</v>
      </c>
      <c r="H13" s="22"/>
      <c r="I13" s="22"/>
      <c r="J13" s="22"/>
      <c r="K13" s="22">
        <v>130</v>
      </c>
      <c r="L13" s="23"/>
      <c r="M13" s="24">
        <f t="shared" si="0"/>
        <v>116.07142857142856</v>
      </c>
      <c r="N13" s="24">
        <f t="shared" si="1"/>
        <v>13.928571428571425</v>
      </c>
      <c r="O13" s="24">
        <f t="shared" si="2"/>
        <v>0</v>
      </c>
      <c r="P13" s="24"/>
      <c r="Q13" s="25"/>
      <c r="R13" s="25">
        <v>116.07</v>
      </c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>
        <f t="shared" si="3"/>
        <v>-129.99857142857141</v>
      </c>
      <c r="AG13" s="27">
        <f t="shared" si="4"/>
        <v>1.4285714285904305E-3</v>
      </c>
    </row>
    <row r="14" spans="1:33" s="29" customFormat="1" ht="23.25" customHeight="1" x14ac:dyDescent="0.2">
      <c r="A14" s="18"/>
      <c r="B14" s="19"/>
      <c r="C14" s="20"/>
      <c r="D14" s="20"/>
      <c r="E14" s="20"/>
      <c r="F14" s="21"/>
      <c r="G14" s="21"/>
      <c r="H14" s="22"/>
      <c r="I14" s="22"/>
      <c r="J14" s="22"/>
      <c r="K14" s="22"/>
      <c r="L14" s="23"/>
      <c r="M14" s="24">
        <f t="shared" si="0"/>
        <v>0</v>
      </c>
      <c r="N14" s="24">
        <f t="shared" si="1"/>
        <v>0</v>
      </c>
      <c r="O14" s="24">
        <f t="shared" si="2"/>
        <v>0</v>
      </c>
      <c r="P14" s="24"/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>
        <f t="shared" si="3"/>
        <v>0</v>
      </c>
      <c r="AG14" s="27">
        <f t="shared" si="4"/>
        <v>0</v>
      </c>
    </row>
    <row r="15" spans="1:33" s="29" customFormat="1" ht="10.199999999999999" x14ac:dyDescent="0.2">
      <c r="A15" s="18"/>
      <c r="B15" s="19"/>
      <c r="C15" s="43"/>
      <c r="D15" s="43"/>
      <c r="E15" s="43"/>
      <c r="F15" s="21"/>
      <c r="G15" s="30"/>
      <c r="H15" s="22"/>
      <c r="I15" s="22"/>
      <c r="J15" s="22"/>
      <c r="K15" s="22"/>
      <c r="L15" s="23"/>
      <c r="M15" s="25">
        <f t="shared" si="0"/>
        <v>0</v>
      </c>
      <c r="N15" s="25">
        <f t="shared" si="1"/>
        <v>0</v>
      </c>
      <c r="O15" s="25">
        <f t="shared" si="2"/>
        <v>0</v>
      </c>
      <c r="P15" s="25"/>
      <c r="Q15" s="25"/>
      <c r="R15" s="25"/>
      <c r="S15" s="25"/>
      <c r="T15" s="26"/>
      <c r="U15" s="51">
        <f>SUM(U4:U14)</f>
        <v>0</v>
      </c>
      <c r="V15" s="26"/>
      <c r="W15" s="26"/>
      <c r="X15" s="26"/>
      <c r="Y15" s="44"/>
      <c r="Z15" s="25"/>
      <c r="AA15" s="51"/>
      <c r="AB15" s="25"/>
      <c r="AC15" s="26"/>
      <c r="AD15" s="26"/>
      <c r="AE15" s="45"/>
      <c r="AF15" s="24">
        <f t="shared" si="3"/>
        <v>0</v>
      </c>
      <c r="AG15" s="27">
        <f t="shared" si="4"/>
        <v>0</v>
      </c>
    </row>
    <row r="16" spans="1:33" s="52" customFormat="1" ht="10.199999999999999" x14ac:dyDescent="0.2">
      <c r="A16" s="46"/>
      <c r="B16" s="47"/>
      <c r="C16" s="48"/>
      <c r="D16" s="49"/>
      <c r="E16" s="49"/>
      <c r="F16" s="50"/>
      <c r="G16" s="48"/>
      <c r="H16" s="51">
        <f>SUM(H5:H15)</f>
        <v>270</v>
      </c>
      <c r="I16" s="51">
        <f>SUM(I9:I15)</f>
        <v>0</v>
      </c>
      <c r="J16" s="51">
        <f>SUM(J5:J15)</f>
        <v>1301.7</v>
      </c>
      <c r="K16" s="51">
        <f>SUM(K5:K15)</f>
        <v>3381.9</v>
      </c>
      <c r="L16" s="51">
        <f>SUM(L9:L15)</f>
        <v>0</v>
      </c>
      <c r="M16" s="51">
        <f>SUM(M5:M15)</f>
        <v>4591.2535714285705</v>
      </c>
      <c r="N16" s="51">
        <f>SUM(N5:N15)</f>
        <v>362.34642857142853</v>
      </c>
      <c r="O16" s="51">
        <f>SUM(O9:O15)</f>
        <v>0</v>
      </c>
      <c r="P16" s="51">
        <f>SUM(P5:P15)</f>
        <v>3328.4</v>
      </c>
      <c r="Q16" s="51">
        <f>SUM(Q5:Q15)</f>
        <v>0</v>
      </c>
      <c r="R16" s="51">
        <f>SUM(R5:R15)</f>
        <v>876.78</v>
      </c>
      <c r="S16" s="51">
        <f>SUM(S5:S15)</f>
        <v>0</v>
      </c>
      <c r="T16" s="51">
        <f>SUM(T5:T15)</f>
        <v>116.07</v>
      </c>
      <c r="U16" s="51">
        <f>SUM(U5:U15)</f>
        <v>0</v>
      </c>
      <c r="V16" s="51">
        <f>SUM(V9:V15)</f>
        <v>0</v>
      </c>
      <c r="W16" s="51">
        <f>SUM(W9:W15)</f>
        <v>0</v>
      </c>
      <c r="X16" s="51">
        <f>SUM(X9:X15)</f>
        <v>0</v>
      </c>
      <c r="Y16" s="51">
        <f>SUM(Y9:Y15)</f>
        <v>0</v>
      </c>
      <c r="Z16" s="51">
        <f>SUM(Z9:Z15)</f>
        <v>0</v>
      </c>
      <c r="AA16" s="51">
        <f>SUM(AA5:AA15)</f>
        <v>270</v>
      </c>
      <c r="AB16" s="51">
        <f>SUM(AB9:AB15)</f>
        <v>0</v>
      </c>
      <c r="AC16" s="51">
        <f>SUM(AC9:AC15)</f>
        <v>0</v>
      </c>
      <c r="AD16" s="51">
        <f>SUM(AD9:AD15)</f>
        <v>0</v>
      </c>
      <c r="AE16" s="51">
        <f>SUM(AE9:AE15)</f>
        <v>0</v>
      </c>
      <c r="AF16" s="51">
        <f>SUM(AF5:AF15)</f>
        <v>-4953.5964285714281</v>
      </c>
      <c r="AG16" s="51">
        <f>SUM(AG9:AG15)</f>
        <v>-2.1428571427861698E-3</v>
      </c>
    </row>
    <row r="17" spans="8:25" s="77" customFormat="1" ht="10.199999999999999" x14ac:dyDescent="0.2"/>
    <row r="18" spans="8:25" s="3" customFormat="1" ht="11.4" x14ac:dyDescent="0.2">
      <c r="H18" s="86"/>
      <c r="I18" s="86"/>
      <c r="J18" s="86"/>
      <c r="K18" s="86"/>
      <c r="T18" s="5"/>
      <c r="U18" s="5"/>
      <c r="V18" s="5"/>
      <c r="W18" s="5"/>
      <c r="X18" s="5"/>
      <c r="Y18" s="5"/>
    </row>
    <row r="19" spans="8:25" x14ac:dyDescent="0.3">
      <c r="H19" s="85"/>
      <c r="I19" s="85"/>
      <c r="J19" s="85"/>
      <c r="K19" s="85"/>
    </row>
    <row r="20" spans="8:25" x14ac:dyDescent="0.3">
      <c r="H20" s="85"/>
      <c r="I20" s="85"/>
      <c r="J20" s="85"/>
      <c r="K20" s="85"/>
    </row>
    <row r="21" spans="8:25" x14ac:dyDescent="0.3">
      <c r="H21" s="85"/>
      <c r="I21" s="85"/>
      <c r="J21" s="85"/>
      <c r="K21" s="85"/>
    </row>
    <row r="22" spans="8:25" x14ac:dyDescent="0.3">
      <c r="H22" s="85"/>
      <c r="I22" s="85"/>
      <c r="J22" s="85"/>
      <c r="K22" s="85"/>
    </row>
    <row r="23" spans="8:25" x14ac:dyDescent="0.3">
      <c r="H23" s="87"/>
      <c r="I23" s="87"/>
      <c r="J23" s="87"/>
      <c r="K23" s="87"/>
    </row>
    <row r="24" spans="8:25" x14ac:dyDescent="0.3">
      <c r="H24" s="87"/>
      <c r="I24" s="87"/>
      <c r="J24" s="87"/>
      <c r="K24" s="87"/>
    </row>
    <row r="25" spans="8:25" x14ac:dyDescent="0.3">
      <c r="H25" s="87"/>
      <c r="I25" s="87"/>
      <c r="J25" s="87"/>
      <c r="K25" s="87"/>
    </row>
    <row r="26" spans="8:25" x14ac:dyDescent="0.3">
      <c r="H26" s="87"/>
      <c r="I26" s="87"/>
      <c r="J26" s="87"/>
      <c r="K26" s="87"/>
    </row>
    <row r="27" spans="8:25" x14ac:dyDescent="0.3">
      <c r="H27" s="87"/>
      <c r="I27" s="87"/>
      <c r="J27" s="87"/>
      <c r="K27" s="8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K36"/>
  <sheetViews>
    <sheetView topLeftCell="K1" zoomScaleNormal="100" workbookViewId="0">
      <selection activeCell="T4" sqref="T4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6.109375" style="3" customWidth="1"/>
    <col min="4" max="4" width="14" style="4" hidden="1" customWidth="1"/>
    <col min="5" max="5" width="29.33203125" style="4" hidden="1" customWidth="1"/>
    <col min="6" max="6" width="7.88671875" style="2" customWidth="1"/>
    <col min="7" max="7" width="26.5546875" style="3" customWidth="1"/>
    <col min="8" max="8" width="11.109375" style="5" customWidth="1"/>
    <col min="9" max="9" width="9.5546875" style="5" hidden="1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10.6640625" style="5" customWidth="1"/>
    <col min="19" max="19" width="9.5546875" style="5" customWidth="1"/>
    <col min="20" max="21" width="9.109375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30" width="8" style="5" customWidth="1"/>
    <col min="31" max="31" width="10.109375" style="5" customWidth="1"/>
    <col min="32" max="32" width="10.6640625" style="5" customWidth="1"/>
    <col min="33" max="33" width="8.88671875" style="3" customWidth="1"/>
    <col min="34" max="1025" width="9.109375" style="3" customWidth="1"/>
  </cols>
  <sheetData>
    <row r="1" spans="1:33" ht="12" customHeight="1" x14ac:dyDescent="0.3">
      <c r="A1" s="7" t="s">
        <v>0</v>
      </c>
      <c r="C1" s="8"/>
    </row>
    <row r="2" spans="1:33" ht="12" customHeight="1" x14ac:dyDescent="0.3">
      <c r="A2" s="7" t="s">
        <v>1</v>
      </c>
    </row>
    <row r="3" spans="1:33" ht="12" customHeight="1" x14ac:dyDescent="0.3">
      <c r="A3" s="7" t="s">
        <v>751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3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22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6" t="s">
        <v>36</v>
      </c>
    </row>
    <row r="5" spans="1:33" s="17" customFormat="1" ht="20.25" customHeight="1" x14ac:dyDescent="0.2">
      <c r="A5" s="81">
        <v>44119</v>
      </c>
      <c r="B5" s="12"/>
      <c r="C5" s="20" t="s">
        <v>729</v>
      </c>
      <c r="D5" s="12"/>
      <c r="E5" s="12"/>
      <c r="F5" s="82"/>
      <c r="G5" s="82" t="s">
        <v>757</v>
      </c>
      <c r="H5" s="82"/>
      <c r="I5" s="82"/>
      <c r="J5" s="84">
        <v>184.14</v>
      </c>
      <c r="K5" s="84"/>
      <c r="L5" s="83"/>
      <c r="M5" s="24">
        <f t="shared" ref="M5:M21" si="0">SUM(H5:J5,K5/1.12)</f>
        <v>184.14</v>
      </c>
      <c r="N5" s="24">
        <f t="shared" ref="N5:N21" si="1">K5/1.12*0.12</f>
        <v>0</v>
      </c>
      <c r="O5" s="24">
        <f t="shared" ref="O5:O21" si="2">-SUM(I5:J5,K5/1.12)*L5</f>
        <v>0</v>
      </c>
      <c r="P5" s="24">
        <v>184.14</v>
      </c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>
        <f t="shared" ref="AF5:AF21" si="3">-SUM(N5:AE5)</f>
        <v>-184.14</v>
      </c>
      <c r="AG5" s="27">
        <f t="shared" ref="AG5:AG12" si="4">SUM(H5:K5)+AF5+O5</f>
        <v>0</v>
      </c>
    </row>
    <row r="6" spans="1:33" s="17" customFormat="1" ht="18" customHeight="1" x14ac:dyDescent="0.2">
      <c r="A6" s="81">
        <v>44119</v>
      </c>
      <c r="B6" s="12"/>
      <c r="C6" s="20" t="s">
        <v>729</v>
      </c>
      <c r="D6" s="12"/>
      <c r="E6" s="12"/>
      <c r="F6" s="12"/>
      <c r="G6" s="82" t="s">
        <v>758</v>
      </c>
      <c r="H6" s="84"/>
      <c r="I6" s="12"/>
      <c r="J6" s="12"/>
      <c r="K6" s="84">
        <f>237+156</f>
        <v>393</v>
      </c>
      <c r="L6" s="13"/>
      <c r="M6" s="24">
        <f t="shared" si="0"/>
        <v>350.89285714285711</v>
      </c>
      <c r="N6" s="24">
        <f t="shared" si="1"/>
        <v>42.107142857142854</v>
      </c>
      <c r="O6" s="24">
        <f t="shared" si="2"/>
        <v>0</v>
      </c>
      <c r="P6" s="24">
        <v>350.89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>
        <f t="shared" si="3"/>
        <v>-392.99714285714282</v>
      </c>
      <c r="AG6" s="27">
        <f t="shared" si="4"/>
        <v>2.857142857180861E-3</v>
      </c>
    </row>
    <row r="7" spans="1:33" s="17" customFormat="1" ht="21.75" customHeight="1" x14ac:dyDescent="0.2">
      <c r="A7" s="81">
        <v>44119</v>
      </c>
      <c r="B7" s="12"/>
      <c r="C7" s="20" t="s">
        <v>729</v>
      </c>
      <c r="D7" s="82"/>
      <c r="E7" s="82"/>
      <c r="F7" s="82"/>
      <c r="G7" s="82" t="s">
        <v>759</v>
      </c>
      <c r="H7" s="84"/>
      <c r="I7" s="82"/>
      <c r="J7" s="82">
        <f>26.73+28.51+29.3</f>
        <v>84.54</v>
      </c>
      <c r="K7" s="84"/>
      <c r="L7" s="13"/>
      <c r="M7" s="24">
        <f t="shared" si="0"/>
        <v>84.54</v>
      </c>
      <c r="N7" s="24">
        <f t="shared" si="1"/>
        <v>0</v>
      </c>
      <c r="O7" s="24">
        <f t="shared" si="2"/>
        <v>0</v>
      </c>
      <c r="P7" s="24">
        <v>84.54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>
        <f t="shared" si="3"/>
        <v>-84.54</v>
      </c>
      <c r="AG7" s="27">
        <f t="shared" si="4"/>
        <v>0</v>
      </c>
    </row>
    <row r="8" spans="1:33" s="17" customFormat="1" ht="25.5" customHeight="1" x14ac:dyDescent="0.2">
      <c r="A8" s="81">
        <v>44120</v>
      </c>
      <c r="B8" s="82"/>
      <c r="C8" s="20" t="s">
        <v>47</v>
      </c>
      <c r="D8" s="82"/>
      <c r="E8" s="82"/>
      <c r="F8" s="82"/>
      <c r="G8" s="82" t="s">
        <v>760</v>
      </c>
      <c r="H8" s="82"/>
      <c r="I8" s="82"/>
      <c r="J8" s="89">
        <v>385.2</v>
      </c>
      <c r="K8" s="84"/>
      <c r="L8" s="13"/>
      <c r="M8" s="24">
        <f t="shared" si="0"/>
        <v>385.2</v>
      </c>
      <c r="N8" s="24">
        <f t="shared" si="1"/>
        <v>0</v>
      </c>
      <c r="O8" s="24">
        <f t="shared" si="2"/>
        <v>0</v>
      </c>
      <c r="P8" s="24">
        <v>385.2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>
        <f t="shared" si="3"/>
        <v>-385.2</v>
      </c>
      <c r="AG8" s="27">
        <f t="shared" si="4"/>
        <v>0</v>
      </c>
    </row>
    <row r="9" spans="1:33" s="29" customFormat="1" ht="23.25" customHeight="1" x14ac:dyDescent="0.2">
      <c r="A9" s="81">
        <v>44120</v>
      </c>
      <c r="B9" s="82"/>
      <c r="C9" s="20" t="s">
        <v>47</v>
      </c>
      <c r="D9" s="20"/>
      <c r="E9" s="20"/>
      <c r="F9" s="21"/>
      <c r="G9" s="21" t="s">
        <v>761</v>
      </c>
      <c r="H9" s="22"/>
      <c r="I9" s="22"/>
      <c r="J9" s="22"/>
      <c r="K9" s="22">
        <f>4414.1-J8</f>
        <v>4028.9000000000005</v>
      </c>
      <c r="L9" s="23"/>
      <c r="M9" s="24">
        <f t="shared" si="0"/>
        <v>3597.2321428571431</v>
      </c>
      <c r="N9" s="24">
        <f t="shared" si="1"/>
        <v>431.66785714285714</v>
      </c>
      <c r="O9" s="24">
        <f t="shared" si="2"/>
        <v>0</v>
      </c>
      <c r="P9" s="24">
        <v>3597.23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>
        <f t="shared" si="3"/>
        <v>-4028.897857142857</v>
      </c>
      <c r="AG9" s="27">
        <f t="shared" si="4"/>
        <v>2.1428571435535559E-3</v>
      </c>
    </row>
    <row r="10" spans="1:33" s="29" customFormat="1" ht="21.75" customHeight="1" x14ac:dyDescent="0.2">
      <c r="A10" s="81">
        <v>44120</v>
      </c>
      <c r="B10" s="19"/>
      <c r="C10" s="20" t="s">
        <v>62</v>
      </c>
      <c r="D10" s="20"/>
      <c r="E10" s="20"/>
      <c r="F10" s="21"/>
      <c r="G10" s="21" t="s">
        <v>762</v>
      </c>
      <c r="H10" s="22">
        <v>70</v>
      </c>
      <c r="I10" s="22"/>
      <c r="J10" s="22"/>
      <c r="K10" s="22"/>
      <c r="L10" s="23"/>
      <c r="M10" s="24">
        <f t="shared" si="0"/>
        <v>70</v>
      </c>
      <c r="N10" s="24">
        <f t="shared" si="1"/>
        <v>0</v>
      </c>
      <c r="O10" s="24">
        <f t="shared" si="2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>
        <v>70</v>
      </c>
      <c r="AB10" s="26"/>
      <c r="AC10" s="26"/>
      <c r="AD10" s="25"/>
      <c r="AE10" s="25"/>
      <c r="AF10" s="24">
        <f t="shared" si="3"/>
        <v>-70</v>
      </c>
      <c r="AG10" s="27">
        <f t="shared" si="4"/>
        <v>0</v>
      </c>
    </row>
    <row r="11" spans="1:33" s="29" customFormat="1" ht="21" customHeight="1" x14ac:dyDescent="0.2">
      <c r="A11" s="81">
        <v>44120</v>
      </c>
      <c r="B11" s="19"/>
      <c r="C11" s="20" t="s">
        <v>763</v>
      </c>
      <c r="D11" s="20"/>
      <c r="E11" s="20"/>
      <c r="F11" s="21"/>
      <c r="G11" s="21" t="s">
        <v>764</v>
      </c>
      <c r="H11" s="22">
        <v>226</v>
      </c>
      <c r="I11" s="22"/>
      <c r="J11" s="22"/>
      <c r="K11" s="22"/>
      <c r="L11" s="23"/>
      <c r="M11" s="24">
        <f t="shared" si="0"/>
        <v>226</v>
      </c>
      <c r="N11" s="24">
        <f t="shared" si="1"/>
        <v>0</v>
      </c>
      <c r="O11" s="24">
        <f t="shared" si="2"/>
        <v>0</v>
      </c>
      <c r="P11" s="24"/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>
        <v>226</v>
      </c>
      <c r="AB11" s="26"/>
      <c r="AC11" s="26"/>
      <c r="AD11" s="25"/>
      <c r="AE11" s="25"/>
      <c r="AF11" s="24">
        <f t="shared" si="3"/>
        <v>-226</v>
      </c>
      <c r="AG11" s="27">
        <f t="shared" si="4"/>
        <v>0</v>
      </c>
    </row>
    <row r="12" spans="1:33" s="29" customFormat="1" ht="18.75" customHeight="1" x14ac:dyDescent="0.2">
      <c r="A12" s="81">
        <v>44120</v>
      </c>
      <c r="B12" s="19"/>
      <c r="C12" s="20" t="s">
        <v>522</v>
      </c>
      <c r="D12" s="20" t="s">
        <v>744</v>
      </c>
      <c r="E12" s="20" t="s">
        <v>745</v>
      </c>
      <c r="F12" s="21"/>
      <c r="G12" s="21" t="s">
        <v>662</v>
      </c>
      <c r="H12" s="22"/>
      <c r="I12" s="22"/>
      <c r="J12" s="22"/>
      <c r="K12" s="22">
        <v>84</v>
      </c>
      <c r="L12" s="23"/>
      <c r="M12" s="24">
        <f t="shared" si="0"/>
        <v>74.999999999999986</v>
      </c>
      <c r="N12" s="24">
        <f t="shared" si="1"/>
        <v>8.9999999999999982</v>
      </c>
      <c r="O12" s="24">
        <f t="shared" si="2"/>
        <v>0</v>
      </c>
      <c r="P12" s="24"/>
      <c r="Q12" s="25">
        <v>75</v>
      </c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>
        <f t="shared" si="3"/>
        <v>-84</v>
      </c>
      <c r="AG12" s="27">
        <f t="shared" si="4"/>
        <v>0</v>
      </c>
    </row>
    <row r="13" spans="1:33" s="29" customFormat="1" ht="18.75" customHeight="1" x14ac:dyDescent="0.2">
      <c r="A13" s="81">
        <v>44121</v>
      </c>
      <c r="B13" s="19"/>
      <c r="C13" s="20" t="s">
        <v>765</v>
      </c>
      <c r="D13" s="20"/>
      <c r="E13" s="20"/>
      <c r="F13" s="21"/>
      <c r="G13" s="21" t="s">
        <v>626</v>
      </c>
      <c r="H13" s="22"/>
      <c r="I13" s="22"/>
      <c r="J13" s="22"/>
      <c r="K13" s="22">
        <v>839</v>
      </c>
      <c r="L13" s="23"/>
      <c r="M13" s="24">
        <f t="shared" si="0"/>
        <v>749.10714285714278</v>
      </c>
      <c r="N13" s="24">
        <f t="shared" si="1"/>
        <v>89.892857142857125</v>
      </c>
      <c r="O13" s="24">
        <f t="shared" si="2"/>
        <v>0</v>
      </c>
      <c r="P13" s="24">
        <v>749.11</v>
      </c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>
        <f t="shared" si="3"/>
        <v>-839.00285714285712</v>
      </c>
      <c r="AG13" s="27"/>
    </row>
    <row r="14" spans="1:33" s="29" customFormat="1" ht="18.75" customHeight="1" x14ac:dyDescent="0.2">
      <c r="A14" s="81">
        <v>44121</v>
      </c>
      <c r="B14" s="19"/>
      <c r="C14" s="20" t="s">
        <v>522</v>
      </c>
      <c r="D14" s="20" t="s">
        <v>744</v>
      </c>
      <c r="E14" s="20" t="s">
        <v>745</v>
      </c>
      <c r="F14" s="21"/>
      <c r="G14" s="21" t="s">
        <v>662</v>
      </c>
      <c r="H14" s="22"/>
      <c r="I14" s="22"/>
      <c r="J14" s="22"/>
      <c r="K14" s="22">
        <v>45</v>
      </c>
      <c r="L14" s="23"/>
      <c r="M14" s="24">
        <f t="shared" si="0"/>
        <v>40.178571428571423</v>
      </c>
      <c r="N14" s="24">
        <f t="shared" si="1"/>
        <v>4.8214285714285703</v>
      </c>
      <c r="O14" s="24">
        <f t="shared" si="2"/>
        <v>0</v>
      </c>
      <c r="P14" s="24"/>
      <c r="Q14" s="25">
        <v>40.18</v>
      </c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>
        <f t="shared" si="3"/>
        <v>-45.001428571428569</v>
      </c>
      <c r="AG14" s="27"/>
    </row>
    <row r="15" spans="1:33" s="29" customFormat="1" ht="18.75" customHeight="1" x14ac:dyDescent="0.2">
      <c r="A15" s="81">
        <v>44121</v>
      </c>
      <c r="B15" s="19"/>
      <c r="C15" s="20" t="s">
        <v>406</v>
      </c>
      <c r="D15" s="20"/>
      <c r="E15" s="20"/>
      <c r="F15" s="21"/>
      <c r="G15" s="21" t="s">
        <v>662</v>
      </c>
      <c r="H15" s="22"/>
      <c r="I15" s="22"/>
      <c r="J15" s="22"/>
      <c r="K15" s="22">
        <v>25</v>
      </c>
      <c r="L15" s="23"/>
      <c r="M15" s="24">
        <f t="shared" si="0"/>
        <v>22.321428571428569</v>
      </c>
      <c r="N15" s="24">
        <f t="shared" si="1"/>
        <v>2.6785714285714284</v>
      </c>
      <c r="O15" s="24">
        <f t="shared" si="2"/>
        <v>0</v>
      </c>
      <c r="P15" s="24"/>
      <c r="Q15" s="25">
        <v>22.32</v>
      </c>
      <c r="R15" s="25"/>
      <c r="S15" s="26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>
        <f t="shared" si="3"/>
        <v>-24.998571428571427</v>
      </c>
      <c r="AG15" s="27"/>
    </row>
    <row r="16" spans="1:33" s="29" customFormat="1" ht="23.25" customHeight="1" x14ac:dyDescent="0.2">
      <c r="A16" s="81">
        <v>44123</v>
      </c>
      <c r="B16" s="19"/>
      <c r="C16" s="20" t="s">
        <v>721</v>
      </c>
      <c r="D16" s="20"/>
      <c r="E16" s="20"/>
      <c r="F16" s="21"/>
      <c r="G16" s="21" t="s">
        <v>766</v>
      </c>
      <c r="H16" s="22"/>
      <c r="I16" s="22"/>
      <c r="J16" s="22"/>
      <c r="K16" s="22">
        <v>125</v>
      </c>
      <c r="L16" s="23"/>
      <c r="M16" s="24">
        <f t="shared" si="0"/>
        <v>111.60714285714285</v>
      </c>
      <c r="N16" s="24">
        <f t="shared" si="1"/>
        <v>13.392857142857141</v>
      </c>
      <c r="O16" s="24">
        <f t="shared" si="2"/>
        <v>0</v>
      </c>
      <c r="P16" s="24"/>
      <c r="Q16" s="25">
        <v>111.61</v>
      </c>
      <c r="R16" s="25"/>
      <c r="S16" s="26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5"/>
      <c r="AF16" s="24">
        <f t="shared" si="3"/>
        <v>-125.00285714285714</v>
      </c>
      <c r="AG16" s="27">
        <f>SUM(H16:K16)+AF16+O16</f>
        <v>-2.8571428571382285E-3</v>
      </c>
    </row>
    <row r="17" spans="1:33" s="29" customFormat="1" ht="23.25" customHeight="1" x14ac:dyDescent="0.2">
      <c r="A17" s="81">
        <v>44123</v>
      </c>
      <c r="B17" s="19"/>
      <c r="C17" s="20" t="s">
        <v>308</v>
      </c>
      <c r="D17" s="20"/>
      <c r="E17" s="20"/>
      <c r="F17" s="21"/>
      <c r="G17" s="21" t="s">
        <v>767</v>
      </c>
      <c r="H17" s="22"/>
      <c r="I17" s="22"/>
      <c r="J17" s="22"/>
      <c r="K17" s="22">
        <v>690</v>
      </c>
      <c r="L17" s="23"/>
      <c r="M17" s="24">
        <f t="shared" si="0"/>
        <v>616.07142857142856</v>
      </c>
      <c r="N17" s="24">
        <f t="shared" si="1"/>
        <v>73.928571428571431</v>
      </c>
      <c r="O17" s="24">
        <f t="shared" si="2"/>
        <v>0</v>
      </c>
      <c r="P17" s="24">
        <v>616.07000000000005</v>
      </c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>
        <f t="shared" si="3"/>
        <v>-689.99857142857149</v>
      </c>
      <c r="AG17" s="27"/>
    </row>
    <row r="18" spans="1:33" s="29" customFormat="1" ht="23.25" customHeight="1" x14ac:dyDescent="0.2">
      <c r="A18" s="81">
        <v>44123</v>
      </c>
      <c r="B18" s="19"/>
      <c r="C18" s="20" t="s">
        <v>123</v>
      </c>
      <c r="D18" s="20"/>
      <c r="E18" s="20"/>
      <c r="F18" s="21"/>
      <c r="G18" s="21" t="s">
        <v>768</v>
      </c>
      <c r="H18" s="22"/>
      <c r="I18" s="22"/>
      <c r="J18" s="22"/>
      <c r="K18" s="22">
        <v>940</v>
      </c>
      <c r="L18" s="23"/>
      <c r="M18" s="24">
        <f t="shared" si="0"/>
        <v>839.28571428571422</v>
      </c>
      <c r="N18" s="24">
        <f t="shared" si="1"/>
        <v>100.71428571428571</v>
      </c>
      <c r="O18" s="24">
        <f t="shared" si="2"/>
        <v>0</v>
      </c>
      <c r="P18" s="24">
        <v>839.29</v>
      </c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>
        <f t="shared" si="3"/>
        <v>-940.00428571428563</v>
      </c>
      <c r="AG18" s="27"/>
    </row>
    <row r="19" spans="1:33" s="29" customFormat="1" ht="23.25" customHeight="1" x14ac:dyDescent="0.2">
      <c r="A19" s="81">
        <v>44123</v>
      </c>
      <c r="B19" s="19"/>
      <c r="C19" s="20" t="s">
        <v>45</v>
      </c>
      <c r="D19" s="20"/>
      <c r="E19" s="20"/>
      <c r="F19" s="21"/>
      <c r="G19" s="21" t="s">
        <v>769</v>
      </c>
      <c r="H19" s="22">
        <v>100</v>
      </c>
      <c r="I19" s="22"/>
      <c r="J19" s="22"/>
      <c r="K19" s="22"/>
      <c r="L19" s="23"/>
      <c r="M19" s="24">
        <f t="shared" si="0"/>
        <v>100</v>
      </c>
      <c r="N19" s="24">
        <f t="shared" si="1"/>
        <v>0</v>
      </c>
      <c r="O19" s="24">
        <f t="shared" si="2"/>
        <v>0</v>
      </c>
      <c r="P19" s="24"/>
      <c r="Q19" s="25"/>
      <c r="R19" s="25"/>
      <c r="S19" s="26"/>
      <c r="T19" s="26"/>
      <c r="U19" s="26"/>
      <c r="V19" s="26"/>
      <c r="W19" s="26"/>
      <c r="X19" s="25"/>
      <c r="Y19" s="25"/>
      <c r="Z19" s="25"/>
      <c r="AA19" s="25">
        <v>100</v>
      </c>
      <c r="AB19" s="26"/>
      <c r="AC19" s="26"/>
      <c r="AD19" s="25"/>
      <c r="AE19" s="25"/>
      <c r="AF19" s="24">
        <f t="shared" si="3"/>
        <v>-100</v>
      </c>
      <c r="AG19" s="27"/>
    </row>
    <row r="20" spans="1:33" s="29" customFormat="1" ht="23.25" customHeight="1" x14ac:dyDescent="0.2">
      <c r="A20" s="18"/>
      <c r="B20" s="19"/>
      <c r="C20" s="20"/>
      <c r="D20" s="20"/>
      <c r="E20" s="20"/>
      <c r="F20" s="21"/>
      <c r="G20" s="21"/>
      <c r="H20" s="22"/>
      <c r="I20" s="22"/>
      <c r="J20" s="22"/>
      <c r="K20" s="22"/>
      <c r="L20" s="23"/>
      <c r="M20" s="24">
        <f t="shared" si="0"/>
        <v>0</v>
      </c>
      <c r="N20" s="24">
        <f t="shared" si="1"/>
        <v>0</v>
      </c>
      <c r="O20" s="24">
        <f t="shared" si="2"/>
        <v>0</v>
      </c>
      <c r="P20" s="24"/>
      <c r="Q20" s="25"/>
      <c r="R20" s="25"/>
      <c r="S20" s="26"/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>
        <f t="shared" si="3"/>
        <v>0</v>
      </c>
      <c r="AG20" s="27">
        <f>SUM(H20:K20)+AF20+O20</f>
        <v>0</v>
      </c>
    </row>
    <row r="21" spans="1:33" s="29" customFormat="1" ht="10.199999999999999" x14ac:dyDescent="0.2">
      <c r="A21" s="18"/>
      <c r="B21" s="19"/>
      <c r="C21" s="43"/>
      <c r="D21" s="43"/>
      <c r="E21" s="43"/>
      <c r="F21" s="21"/>
      <c r="G21" s="30"/>
      <c r="H21" s="22"/>
      <c r="I21" s="22"/>
      <c r="J21" s="22"/>
      <c r="K21" s="22"/>
      <c r="L21" s="23"/>
      <c r="M21" s="25">
        <f t="shared" si="0"/>
        <v>0</v>
      </c>
      <c r="N21" s="25">
        <f t="shared" si="1"/>
        <v>0</v>
      </c>
      <c r="O21" s="25">
        <f t="shared" si="2"/>
        <v>0</v>
      </c>
      <c r="P21" s="25"/>
      <c r="Q21" s="25"/>
      <c r="R21" s="25"/>
      <c r="S21" s="25"/>
      <c r="T21" s="26"/>
      <c r="U21" s="51"/>
      <c r="V21" s="26"/>
      <c r="W21" s="26"/>
      <c r="X21" s="26"/>
      <c r="Y21" s="44"/>
      <c r="Z21" s="25"/>
      <c r="AA21" s="51"/>
      <c r="AB21" s="25"/>
      <c r="AC21" s="26"/>
      <c r="AD21" s="26"/>
      <c r="AE21" s="45"/>
      <c r="AF21" s="24">
        <f t="shared" si="3"/>
        <v>0</v>
      </c>
      <c r="AG21" s="27">
        <f>SUM(H21:K21)+AF21+O21</f>
        <v>0</v>
      </c>
    </row>
    <row r="22" spans="1:33" s="52" customFormat="1" ht="10.199999999999999" x14ac:dyDescent="0.2">
      <c r="A22" s="46"/>
      <c r="B22" s="47"/>
      <c r="C22" s="48"/>
      <c r="D22" s="49"/>
      <c r="E22" s="49"/>
      <c r="F22" s="50"/>
      <c r="G22" s="48"/>
      <c r="H22" s="51">
        <f>SUM(H5:H21)</f>
        <v>396</v>
      </c>
      <c r="I22" s="51">
        <f>SUM(I9:I21)</f>
        <v>0</v>
      </c>
      <c r="J22" s="51">
        <f>SUM(J5:J21)</f>
        <v>653.88</v>
      </c>
      <c r="K22" s="51">
        <f>SUM(K5:K21)</f>
        <v>7169.9000000000005</v>
      </c>
      <c r="L22" s="51">
        <f>SUM(L9:L21)</f>
        <v>0</v>
      </c>
      <c r="M22" s="51">
        <f>SUM(M5:M21)</f>
        <v>7451.5764285714286</v>
      </c>
      <c r="N22" s="51">
        <f>SUM(N5:N21)</f>
        <v>768.20357142857131</v>
      </c>
      <c r="O22" s="51">
        <f>SUM(O9:O21)</f>
        <v>0</v>
      </c>
      <c r="P22" s="51">
        <f t="shared" ref="P22:U22" si="5">SUM(P5:P21)</f>
        <v>6806.4699999999993</v>
      </c>
      <c r="Q22" s="51">
        <f t="shared" si="5"/>
        <v>249.11</v>
      </c>
      <c r="R22" s="51">
        <f t="shared" si="5"/>
        <v>0</v>
      </c>
      <c r="S22" s="51">
        <f t="shared" si="5"/>
        <v>0</v>
      </c>
      <c r="T22" s="51">
        <f t="shared" si="5"/>
        <v>0</v>
      </c>
      <c r="U22" s="51">
        <f t="shared" si="5"/>
        <v>0</v>
      </c>
      <c r="V22" s="51">
        <f>SUM(V9:V21)</f>
        <v>0</v>
      </c>
      <c r="W22" s="51">
        <f>SUM(W9:W21)</f>
        <v>0</v>
      </c>
      <c r="X22" s="51">
        <f>SUM(X9:X21)</f>
        <v>0</v>
      </c>
      <c r="Y22" s="51">
        <f>SUM(Y9:Y21)</f>
        <v>0</v>
      </c>
      <c r="Z22" s="51">
        <f>SUM(Z9:Z21)</f>
        <v>0</v>
      </c>
      <c r="AA22" s="51">
        <f>SUM(AA5:AA21)</f>
        <v>396</v>
      </c>
      <c r="AB22" s="51">
        <f>SUM(AB9:AB21)</f>
        <v>0</v>
      </c>
      <c r="AC22" s="51">
        <f>SUM(AC9:AC21)</f>
        <v>0</v>
      </c>
      <c r="AD22" s="51">
        <f>SUM(AD9:AD21)</f>
        <v>0</v>
      </c>
      <c r="AE22" s="51">
        <f>SUM(AE9:AE21)</f>
        <v>0</v>
      </c>
      <c r="AF22" s="51">
        <f>SUM(AF5:AF21)</f>
        <v>-8219.783571428572</v>
      </c>
      <c r="AG22" s="51">
        <f>SUM(AG9:AG21)</f>
        <v>-7.1428571358467252E-4</v>
      </c>
    </row>
    <row r="23" spans="1:33" s="77" customFormat="1" ht="10.199999999999999" x14ac:dyDescent="0.2"/>
    <row r="24" spans="1:33" x14ac:dyDescent="0.3">
      <c r="H24" s="85"/>
      <c r="I24" s="85"/>
      <c r="J24" s="85"/>
      <c r="K24" s="85"/>
    </row>
    <row r="25" spans="1:33" x14ac:dyDescent="0.3">
      <c r="H25" s="85"/>
      <c r="I25" s="85"/>
      <c r="J25" s="85"/>
      <c r="K25" s="85"/>
    </row>
    <row r="26" spans="1:33" x14ac:dyDescent="0.3">
      <c r="H26" s="85"/>
      <c r="I26" s="85"/>
      <c r="J26" s="85"/>
      <c r="K26" s="85"/>
      <c r="Q26" s="5">
        <v>0</v>
      </c>
    </row>
    <row r="27" spans="1:33" s="3" customFormat="1" ht="11.4" x14ac:dyDescent="0.2">
      <c r="H27" s="86"/>
      <c r="I27" s="86"/>
      <c r="J27" s="86"/>
      <c r="K27" s="86"/>
      <c r="T27" s="5"/>
      <c r="U27" s="5"/>
      <c r="V27" s="5"/>
      <c r="W27" s="5"/>
      <c r="X27" s="5"/>
      <c r="Y27" s="5"/>
    </row>
    <row r="28" spans="1:33" x14ac:dyDescent="0.3">
      <c r="H28" s="85"/>
      <c r="I28" s="85"/>
      <c r="J28" s="85"/>
      <c r="K28" s="85"/>
    </row>
    <row r="29" spans="1:33" x14ac:dyDescent="0.3">
      <c r="H29" s="85"/>
      <c r="I29" s="85"/>
      <c r="J29" s="85"/>
      <c r="K29" s="85"/>
    </row>
    <row r="30" spans="1:33" x14ac:dyDescent="0.3">
      <c r="H30" s="85"/>
      <c r="I30" s="85"/>
      <c r="J30" s="85"/>
      <c r="K30" s="85"/>
    </row>
    <row r="31" spans="1:33" x14ac:dyDescent="0.3">
      <c r="H31" s="85"/>
      <c r="I31" s="85"/>
      <c r="J31" s="85"/>
      <c r="K31" s="85"/>
    </row>
    <row r="32" spans="1:33" x14ac:dyDescent="0.3">
      <c r="H32" s="87"/>
      <c r="I32" s="87"/>
      <c r="J32" s="87"/>
      <c r="K32" s="87"/>
    </row>
    <row r="33" spans="8:11" x14ac:dyDescent="0.3">
      <c r="H33" s="87"/>
      <c r="I33" s="87"/>
      <c r="J33" s="87"/>
      <c r="K33" s="87"/>
    </row>
    <row r="34" spans="8:11" x14ac:dyDescent="0.3">
      <c r="H34" s="87"/>
      <c r="I34" s="87"/>
      <c r="J34" s="87"/>
      <c r="K34" s="87"/>
    </row>
    <row r="35" spans="8:11" x14ac:dyDescent="0.3">
      <c r="H35" s="87"/>
      <c r="I35" s="87"/>
      <c r="J35" s="87"/>
      <c r="K35" s="87"/>
    </row>
    <row r="36" spans="8:11" s="3" customFormat="1" ht="10.199999999999999" x14ac:dyDescent="0.2">
      <c r="H36" s="87"/>
      <c r="I36" s="87"/>
      <c r="J36" s="87"/>
      <c r="K36" s="8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K40"/>
  <sheetViews>
    <sheetView topLeftCell="K1" zoomScaleNormal="100" workbookViewId="0">
      <selection activeCell="R4" sqref="R4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6.109375" style="3" customWidth="1"/>
    <col min="4" max="4" width="14" style="4" hidden="1" customWidth="1"/>
    <col min="5" max="5" width="29.33203125" style="4" hidden="1" customWidth="1"/>
    <col min="6" max="6" width="7.88671875" style="2" customWidth="1"/>
    <col min="7" max="7" width="26.5546875" style="3" customWidth="1"/>
    <col min="8" max="8" width="11.109375" style="5" customWidth="1"/>
    <col min="9" max="9" width="9.5546875" style="5" hidden="1" customWidth="1"/>
    <col min="10" max="10" width="9.6640625" style="5" customWidth="1"/>
    <col min="11" max="11" width="10.44140625" style="5" customWidth="1"/>
    <col min="12" max="12" width="7.88671875" style="6" hidden="1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10.6640625" style="5" customWidth="1"/>
    <col min="19" max="19" width="9.5546875" style="5" customWidth="1"/>
    <col min="20" max="21" width="9.109375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30" width="8" style="5" customWidth="1"/>
    <col min="31" max="31" width="10.109375" style="5" customWidth="1"/>
    <col min="32" max="32" width="10.6640625" style="5" customWidth="1"/>
    <col min="33" max="33" width="8.88671875" style="3" customWidth="1"/>
    <col min="34" max="1025" width="9.109375" style="3" customWidth="1"/>
  </cols>
  <sheetData>
    <row r="1" spans="1:33" ht="12" customHeight="1" x14ac:dyDescent="0.3">
      <c r="A1" s="7" t="s">
        <v>0</v>
      </c>
      <c r="C1" s="8"/>
    </row>
    <row r="2" spans="1:33" ht="12" customHeight="1" x14ac:dyDescent="0.3">
      <c r="A2" s="7" t="s">
        <v>1</v>
      </c>
    </row>
    <row r="3" spans="1:33" ht="12" customHeight="1" x14ac:dyDescent="0.3">
      <c r="A3" s="7" t="s">
        <v>770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3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771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613</v>
      </c>
      <c r="AD4" s="13" t="s">
        <v>34</v>
      </c>
      <c r="AE4" s="15" t="s">
        <v>35</v>
      </c>
      <c r="AF4" s="16" t="s">
        <v>36</v>
      </c>
    </row>
    <row r="5" spans="1:33" s="17" customFormat="1" ht="19.5" customHeight="1" x14ac:dyDescent="0.2">
      <c r="A5" s="81">
        <v>44123</v>
      </c>
      <c r="B5" s="12"/>
      <c r="C5" s="20" t="s">
        <v>729</v>
      </c>
      <c r="D5" s="12"/>
      <c r="E5" s="12"/>
      <c r="F5" s="82"/>
      <c r="G5" s="82" t="s">
        <v>772</v>
      </c>
      <c r="H5" s="82"/>
      <c r="I5" s="82"/>
      <c r="J5" s="84"/>
      <c r="K5" s="84">
        <f>135+72</f>
        <v>207</v>
      </c>
      <c r="L5" s="83"/>
      <c r="M5" s="24">
        <f t="shared" ref="M5:M23" si="0">SUM(H5:J5,K5/1.12)</f>
        <v>184.82142857142856</v>
      </c>
      <c r="N5" s="24">
        <f t="shared" ref="N5:N23" si="1">K5/1.12*0.12</f>
        <v>22.178571428571427</v>
      </c>
      <c r="O5" s="24">
        <f t="shared" ref="O5:O23" si="2">-SUM(I5:J5,K5/1.12)*L5</f>
        <v>0</v>
      </c>
      <c r="P5" s="24">
        <v>184.82</v>
      </c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>
        <f t="shared" ref="AF5:AF23" si="3">-SUM(N5:AE5)</f>
        <v>-206.99857142857141</v>
      </c>
      <c r="AG5" s="27">
        <f t="shared" ref="AG5:AG15" si="4">SUM(H5:K5)+AF5+O5</f>
        <v>1.4285714285904305E-3</v>
      </c>
    </row>
    <row r="6" spans="1:33" s="17" customFormat="1" ht="19.5" customHeight="1" x14ac:dyDescent="0.2">
      <c r="A6" s="81">
        <v>44123</v>
      </c>
      <c r="B6" s="12"/>
      <c r="C6" s="20" t="s">
        <v>729</v>
      </c>
      <c r="D6" s="12"/>
      <c r="E6" s="12"/>
      <c r="F6" s="82"/>
      <c r="G6" s="82" t="s">
        <v>193</v>
      </c>
      <c r="H6" s="82"/>
      <c r="I6" s="82"/>
      <c r="J6" s="84"/>
      <c r="K6" s="84">
        <v>79</v>
      </c>
      <c r="L6" s="83"/>
      <c r="M6" s="24">
        <f t="shared" si="0"/>
        <v>70.535714285714278</v>
      </c>
      <c r="N6" s="24">
        <f t="shared" si="1"/>
        <v>8.4642857142857135</v>
      </c>
      <c r="O6" s="24">
        <f t="shared" si="2"/>
        <v>0</v>
      </c>
      <c r="P6" s="24"/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>
        <v>70.540000000000006</v>
      </c>
      <c r="AD6" s="25"/>
      <c r="AE6" s="25"/>
      <c r="AF6" s="24">
        <f t="shared" si="3"/>
        <v>-79.004285714285714</v>
      </c>
      <c r="AG6" s="27">
        <f t="shared" si="4"/>
        <v>-4.2857142857144481E-3</v>
      </c>
    </row>
    <row r="7" spans="1:33" s="17" customFormat="1" ht="21" customHeight="1" x14ac:dyDescent="0.2">
      <c r="A7" s="81">
        <v>44124</v>
      </c>
      <c r="B7" s="12"/>
      <c r="C7" s="20" t="s">
        <v>773</v>
      </c>
      <c r="D7" s="12"/>
      <c r="E7" s="12"/>
      <c r="F7" s="82"/>
      <c r="G7" s="82" t="s">
        <v>774</v>
      </c>
      <c r="H7" s="82"/>
      <c r="I7" s="82"/>
      <c r="J7" s="84"/>
      <c r="K7" s="84">
        <f>980+500</f>
        <v>1480</v>
      </c>
      <c r="L7" s="83"/>
      <c r="M7" s="24">
        <f t="shared" si="0"/>
        <v>1321.4285714285713</v>
      </c>
      <c r="N7" s="24">
        <f t="shared" si="1"/>
        <v>158.57142857142856</v>
      </c>
      <c r="O7" s="24">
        <f t="shared" si="2"/>
        <v>0</v>
      </c>
      <c r="P7" s="24">
        <v>1321.43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>
        <f t="shared" si="3"/>
        <v>-1480.0014285714287</v>
      </c>
      <c r="AG7" s="27">
        <f t="shared" si="4"/>
        <v>-1.4285714287325391E-3</v>
      </c>
    </row>
    <row r="8" spans="1:33" s="17" customFormat="1" ht="18" customHeight="1" x14ac:dyDescent="0.2">
      <c r="A8" s="81">
        <v>44124</v>
      </c>
      <c r="B8" s="12"/>
      <c r="C8" s="20" t="s">
        <v>773</v>
      </c>
      <c r="D8" s="12"/>
      <c r="E8" s="12"/>
      <c r="F8" s="12"/>
      <c r="G8" s="82" t="s">
        <v>775</v>
      </c>
      <c r="H8" s="84"/>
      <c r="I8" s="12"/>
      <c r="J8" s="12"/>
      <c r="K8" s="84">
        <v>40</v>
      </c>
      <c r="L8" s="13"/>
      <c r="M8" s="24">
        <f t="shared" si="0"/>
        <v>35.714285714285708</v>
      </c>
      <c r="N8" s="24">
        <f t="shared" si="1"/>
        <v>4.2857142857142847</v>
      </c>
      <c r="O8" s="24">
        <f t="shared" si="2"/>
        <v>0</v>
      </c>
      <c r="P8" s="24"/>
      <c r="Q8" s="25"/>
      <c r="R8" s="25"/>
      <c r="S8" s="26">
        <v>35.71</v>
      </c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>
        <f t="shared" si="3"/>
        <v>-39.995714285714286</v>
      </c>
      <c r="AG8" s="27">
        <f t="shared" si="4"/>
        <v>4.2857142857144481E-3</v>
      </c>
    </row>
    <row r="9" spans="1:33" s="17" customFormat="1" ht="21.75" customHeight="1" x14ac:dyDescent="0.2">
      <c r="A9" s="81">
        <v>44124</v>
      </c>
      <c r="B9" s="12"/>
      <c r="C9" s="20" t="s">
        <v>776</v>
      </c>
      <c r="D9" s="82"/>
      <c r="E9" s="82"/>
      <c r="F9" s="82"/>
      <c r="G9" s="82" t="s">
        <v>777</v>
      </c>
      <c r="H9" s="84"/>
      <c r="I9" s="82"/>
      <c r="J9" s="82"/>
      <c r="K9" s="84">
        <v>2134</v>
      </c>
      <c r="L9" s="13"/>
      <c r="M9" s="24">
        <f t="shared" si="0"/>
        <v>1905.3571428571427</v>
      </c>
      <c r="N9" s="24">
        <f t="shared" si="1"/>
        <v>228.64285714285711</v>
      </c>
      <c r="O9" s="24">
        <f t="shared" si="2"/>
        <v>0</v>
      </c>
      <c r="P9" s="24"/>
      <c r="Q9" s="25"/>
      <c r="R9" s="25">
        <v>1905.36</v>
      </c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>
        <f t="shared" si="3"/>
        <v>-2134.002857142857</v>
      </c>
      <c r="AG9" s="27">
        <f t="shared" si="4"/>
        <v>-2.8571428570103308E-3</v>
      </c>
    </row>
    <row r="10" spans="1:33" s="17" customFormat="1" ht="25.5" customHeight="1" x14ac:dyDescent="0.2">
      <c r="A10" s="81">
        <v>44124</v>
      </c>
      <c r="B10" s="82"/>
      <c r="C10" s="20" t="s">
        <v>778</v>
      </c>
      <c r="D10" s="82"/>
      <c r="E10" s="82"/>
      <c r="F10" s="82"/>
      <c r="G10" s="82" t="s">
        <v>779</v>
      </c>
      <c r="H10" s="82">
        <v>150</v>
      </c>
      <c r="I10" s="82"/>
      <c r="J10" s="89"/>
      <c r="K10" s="84"/>
      <c r="L10" s="13"/>
      <c r="M10" s="24">
        <f t="shared" si="0"/>
        <v>150</v>
      </c>
      <c r="N10" s="24">
        <f t="shared" si="1"/>
        <v>0</v>
      </c>
      <c r="O10" s="24">
        <f t="shared" si="2"/>
        <v>0</v>
      </c>
      <c r="P10" s="24"/>
      <c r="Q10" s="25"/>
      <c r="R10" s="25"/>
      <c r="S10" s="26">
        <v>150</v>
      </c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>
        <f t="shared" si="3"/>
        <v>-150</v>
      </c>
      <c r="AG10" s="27">
        <f t="shared" si="4"/>
        <v>0</v>
      </c>
    </row>
    <row r="11" spans="1:33" s="29" customFormat="1" ht="23.25" customHeight="1" x14ac:dyDescent="0.2">
      <c r="A11" s="81">
        <v>44124</v>
      </c>
      <c r="B11" s="82"/>
      <c r="C11" s="20" t="s">
        <v>780</v>
      </c>
      <c r="D11" s="20"/>
      <c r="E11" s="20"/>
      <c r="F11" s="21"/>
      <c r="G11" s="21" t="s">
        <v>781</v>
      </c>
      <c r="H11" s="22"/>
      <c r="I11" s="22"/>
      <c r="J11" s="22"/>
      <c r="K11" s="22">
        <v>160</v>
      </c>
      <c r="L11" s="23"/>
      <c r="M11" s="24">
        <f t="shared" si="0"/>
        <v>142.85714285714283</v>
      </c>
      <c r="N11" s="24">
        <f t="shared" si="1"/>
        <v>17.142857142857139</v>
      </c>
      <c r="O11" s="24">
        <f t="shared" si="2"/>
        <v>0</v>
      </c>
      <c r="P11" s="24"/>
      <c r="Q11" s="25"/>
      <c r="R11" s="25">
        <v>142.86000000000001</v>
      </c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>
        <f t="shared" si="3"/>
        <v>-160.00285714285715</v>
      </c>
      <c r="AG11" s="27">
        <f t="shared" si="4"/>
        <v>-2.8571428571524393E-3</v>
      </c>
    </row>
    <row r="12" spans="1:33" s="29" customFormat="1" ht="21.75" customHeight="1" x14ac:dyDescent="0.2">
      <c r="A12" s="81">
        <v>44124</v>
      </c>
      <c r="B12" s="19"/>
      <c r="C12" s="20" t="s">
        <v>45</v>
      </c>
      <c r="D12" s="20" t="s">
        <v>744</v>
      </c>
      <c r="E12" s="20" t="s">
        <v>745</v>
      </c>
      <c r="F12" s="21"/>
      <c r="G12" s="21" t="s">
        <v>782</v>
      </c>
      <c r="H12" s="22">
        <v>150</v>
      </c>
      <c r="I12" s="22"/>
      <c r="J12" s="22"/>
      <c r="K12" s="22">
        <v>0</v>
      </c>
      <c r="L12" s="23"/>
      <c r="M12" s="24">
        <f t="shared" si="0"/>
        <v>150</v>
      </c>
      <c r="N12" s="24">
        <f t="shared" si="1"/>
        <v>0</v>
      </c>
      <c r="O12" s="24">
        <f t="shared" si="2"/>
        <v>0</v>
      </c>
      <c r="P12" s="24"/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>
        <v>150</v>
      </c>
      <c r="AB12" s="26"/>
      <c r="AC12" s="26"/>
      <c r="AD12" s="25"/>
      <c r="AE12" s="25"/>
      <c r="AF12" s="24">
        <f t="shared" si="3"/>
        <v>-150</v>
      </c>
      <c r="AG12" s="27">
        <f t="shared" si="4"/>
        <v>0</v>
      </c>
    </row>
    <row r="13" spans="1:33" s="29" customFormat="1" ht="21" customHeight="1" x14ac:dyDescent="0.2">
      <c r="A13" s="81">
        <v>44124</v>
      </c>
      <c r="B13" s="19"/>
      <c r="C13" s="20" t="s">
        <v>522</v>
      </c>
      <c r="D13" s="20" t="s">
        <v>744</v>
      </c>
      <c r="E13" s="20" t="s">
        <v>745</v>
      </c>
      <c r="F13" s="21"/>
      <c r="G13" s="21" t="s">
        <v>783</v>
      </c>
      <c r="H13" s="22"/>
      <c r="I13" s="22"/>
      <c r="J13" s="22"/>
      <c r="K13" s="22">
        <v>60</v>
      </c>
      <c r="L13" s="23"/>
      <c r="M13" s="24">
        <f t="shared" si="0"/>
        <v>53.571428571428569</v>
      </c>
      <c r="N13" s="24">
        <f t="shared" si="1"/>
        <v>6.4285714285714279</v>
      </c>
      <c r="O13" s="24">
        <f t="shared" si="2"/>
        <v>0</v>
      </c>
      <c r="P13" s="24"/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>
        <v>53.57</v>
      </c>
      <c r="AE13" s="25"/>
      <c r="AF13" s="24">
        <f t="shared" si="3"/>
        <v>-59.998571428571431</v>
      </c>
      <c r="AG13" s="27">
        <f t="shared" si="4"/>
        <v>1.4285714285691142E-3</v>
      </c>
    </row>
    <row r="14" spans="1:33" s="29" customFormat="1" ht="18.75" customHeight="1" x14ac:dyDescent="0.2">
      <c r="A14" s="81">
        <v>44124</v>
      </c>
      <c r="B14" s="19"/>
      <c r="C14" s="20" t="s">
        <v>47</v>
      </c>
      <c r="D14" s="20"/>
      <c r="E14" s="20"/>
      <c r="F14" s="21"/>
      <c r="G14" s="21" t="s">
        <v>784</v>
      </c>
      <c r="H14" s="22"/>
      <c r="I14" s="22"/>
      <c r="J14" s="22"/>
      <c r="K14" s="22">
        <v>2815</v>
      </c>
      <c r="L14" s="23"/>
      <c r="M14" s="24">
        <f t="shared" si="0"/>
        <v>2513.3928571428569</v>
      </c>
      <c r="N14" s="24">
        <f t="shared" si="1"/>
        <v>301.60714285714283</v>
      </c>
      <c r="O14" s="24">
        <f t="shared" si="2"/>
        <v>0</v>
      </c>
      <c r="P14" s="24"/>
      <c r="Q14" s="25">
        <v>2513.39</v>
      </c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>
        <f t="shared" si="3"/>
        <v>-2814.9971428571425</v>
      </c>
      <c r="AG14" s="27">
        <f t="shared" si="4"/>
        <v>2.8571428574650781E-3</v>
      </c>
    </row>
    <row r="15" spans="1:33" s="29" customFormat="1" ht="18.75" customHeight="1" x14ac:dyDescent="0.2">
      <c r="A15" s="81">
        <v>44124</v>
      </c>
      <c r="B15" s="19"/>
      <c r="C15" s="20" t="s">
        <v>47</v>
      </c>
      <c r="D15" s="20"/>
      <c r="E15" s="20"/>
      <c r="F15" s="21"/>
      <c r="G15" s="21" t="s">
        <v>626</v>
      </c>
      <c r="H15" s="22"/>
      <c r="I15" s="22"/>
      <c r="J15" s="22"/>
      <c r="K15" s="22">
        <v>3486.6</v>
      </c>
      <c r="L15" s="23"/>
      <c r="M15" s="24">
        <f t="shared" si="0"/>
        <v>3113.0357142857138</v>
      </c>
      <c r="N15" s="24">
        <f t="shared" si="1"/>
        <v>373.56428571428563</v>
      </c>
      <c r="O15" s="24">
        <f t="shared" si="2"/>
        <v>0</v>
      </c>
      <c r="P15" s="24"/>
      <c r="Q15" s="25">
        <v>3113.04</v>
      </c>
      <c r="R15" s="25"/>
      <c r="S15" s="26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>
        <f t="shared" si="3"/>
        <v>-3486.6042857142857</v>
      </c>
      <c r="AG15" s="27">
        <f t="shared" si="4"/>
        <v>-4.2857142857428698E-3</v>
      </c>
    </row>
    <row r="16" spans="1:33" s="29" customFormat="1" ht="18.75" customHeight="1" x14ac:dyDescent="0.2">
      <c r="A16" s="81">
        <v>44124</v>
      </c>
      <c r="B16" s="19"/>
      <c r="C16" s="20" t="s">
        <v>325</v>
      </c>
      <c r="D16" s="20"/>
      <c r="E16" s="20"/>
      <c r="F16" s="21"/>
      <c r="G16" s="21" t="s">
        <v>762</v>
      </c>
      <c r="H16" s="22">
        <v>120</v>
      </c>
      <c r="I16" s="22"/>
      <c r="J16" s="22"/>
      <c r="K16" s="22"/>
      <c r="L16" s="23"/>
      <c r="M16" s="24">
        <f t="shared" si="0"/>
        <v>120</v>
      </c>
      <c r="N16" s="24">
        <f t="shared" si="1"/>
        <v>0</v>
      </c>
      <c r="O16" s="24">
        <f t="shared" si="2"/>
        <v>0</v>
      </c>
      <c r="P16" s="24"/>
      <c r="Q16" s="25"/>
      <c r="R16" s="25"/>
      <c r="S16" s="26"/>
      <c r="T16" s="26"/>
      <c r="U16" s="26"/>
      <c r="V16" s="26"/>
      <c r="W16" s="26"/>
      <c r="X16" s="25"/>
      <c r="Y16" s="25"/>
      <c r="Z16" s="25"/>
      <c r="AA16" s="25">
        <v>120</v>
      </c>
      <c r="AB16" s="26"/>
      <c r="AC16" s="26"/>
      <c r="AD16" s="25"/>
      <c r="AE16" s="25"/>
      <c r="AF16" s="24">
        <f t="shared" si="3"/>
        <v>-120</v>
      </c>
      <c r="AG16" s="27"/>
    </row>
    <row r="17" spans="1:33" s="29" customFormat="1" ht="18.75" customHeight="1" x14ac:dyDescent="0.2">
      <c r="A17" s="81"/>
      <c r="B17" s="19"/>
      <c r="C17" s="20"/>
      <c r="D17" s="20"/>
      <c r="E17" s="20"/>
      <c r="F17" s="21"/>
      <c r="G17" s="21"/>
      <c r="H17" s="22"/>
      <c r="I17" s="22"/>
      <c r="J17" s="22"/>
      <c r="K17" s="22"/>
      <c r="L17" s="23"/>
      <c r="M17" s="24">
        <f t="shared" si="0"/>
        <v>0</v>
      </c>
      <c r="N17" s="24">
        <f t="shared" si="1"/>
        <v>0</v>
      </c>
      <c r="O17" s="24">
        <f t="shared" si="2"/>
        <v>0</v>
      </c>
      <c r="P17" s="24"/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>
        <f t="shared" si="3"/>
        <v>0</v>
      </c>
      <c r="AG17" s="27"/>
    </row>
    <row r="18" spans="1:33" s="29" customFormat="1" ht="23.25" customHeight="1" x14ac:dyDescent="0.2">
      <c r="A18" s="81"/>
      <c r="B18" s="19"/>
      <c r="C18" s="20"/>
      <c r="D18" s="20"/>
      <c r="E18" s="20"/>
      <c r="F18" s="21"/>
      <c r="G18" s="21"/>
      <c r="H18" s="22"/>
      <c r="I18" s="22"/>
      <c r="J18" s="22"/>
      <c r="K18" s="22"/>
      <c r="L18" s="23"/>
      <c r="M18" s="24">
        <f t="shared" si="0"/>
        <v>0</v>
      </c>
      <c r="N18" s="24">
        <f t="shared" si="1"/>
        <v>0</v>
      </c>
      <c r="O18" s="24">
        <f t="shared" si="2"/>
        <v>0</v>
      </c>
      <c r="P18" s="24"/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>
        <f t="shared" si="3"/>
        <v>0</v>
      </c>
      <c r="AG18" s="27">
        <f>SUM(H18:K18)+AF18+O18</f>
        <v>0</v>
      </c>
    </row>
    <row r="19" spans="1:33" s="29" customFormat="1" ht="23.25" customHeight="1" x14ac:dyDescent="0.2">
      <c r="A19" s="81"/>
      <c r="B19" s="19"/>
      <c r="C19" s="20"/>
      <c r="D19" s="20"/>
      <c r="E19" s="20"/>
      <c r="F19" s="21"/>
      <c r="G19" s="21"/>
      <c r="H19" s="22"/>
      <c r="I19" s="22"/>
      <c r="J19" s="22"/>
      <c r="K19" s="22"/>
      <c r="L19" s="23"/>
      <c r="M19" s="24">
        <f t="shared" si="0"/>
        <v>0</v>
      </c>
      <c r="N19" s="24">
        <f t="shared" si="1"/>
        <v>0</v>
      </c>
      <c r="O19" s="24">
        <f t="shared" si="2"/>
        <v>0</v>
      </c>
      <c r="P19" s="24"/>
      <c r="Q19" s="25"/>
      <c r="R19" s="25"/>
      <c r="S19" s="26"/>
      <c r="T19" s="26"/>
      <c r="U19" s="26"/>
      <c r="V19" s="26"/>
      <c r="W19" s="26"/>
      <c r="X19" s="25"/>
      <c r="Y19" s="25"/>
      <c r="Z19" s="25"/>
      <c r="AA19" s="25"/>
      <c r="AB19" s="26"/>
      <c r="AC19" s="26"/>
      <c r="AD19" s="25"/>
      <c r="AE19" s="25"/>
      <c r="AF19" s="24">
        <f t="shared" si="3"/>
        <v>0</v>
      </c>
      <c r="AG19" s="27"/>
    </row>
    <row r="20" spans="1:33" s="29" customFormat="1" ht="23.25" customHeight="1" x14ac:dyDescent="0.2">
      <c r="A20" s="81"/>
      <c r="B20" s="19"/>
      <c r="C20" s="20"/>
      <c r="D20" s="20"/>
      <c r="E20" s="20"/>
      <c r="F20" s="21"/>
      <c r="G20" s="21"/>
      <c r="H20" s="22"/>
      <c r="I20" s="22"/>
      <c r="J20" s="22"/>
      <c r="K20" s="22"/>
      <c r="L20" s="23"/>
      <c r="M20" s="24">
        <f t="shared" si="0"/>
        <v>0</v>
      </c>
      <c r="N20" s="24">
        <f t="shared" si="1"/>
        <v>0</v>
      </c>
      <c r="O20" s="24">
        <f t="shared" si="2"/>
        <v>0</v>
      </c>
      <c r="P20" s="24"/>
      <c r="Q20" s="25"/>
      <c r="R20" s="25"/>
      <c r="S20" s="26"/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>
        <f t="shared" si="3"/>
        <v>0</v>
      </c>
      <c r="AG20" s="27"/>
    </row>
    <row r="21" spans="1:33" s="29" customFormat="1" ht="23.25" customHeight="1" x14ac:dyDescent="0.2">
      <c r="A21" s="81"/>
      <c r="B21" s="19"/>
      <c r="C21" s="20"/>
      <c r="D21" s="20"/>
      <c r="E21" s="20"/>
      <c r="F21" s="21"/>
      <c r="G21" s="21"/>
      <c r="H21" s="22"/>
      <c r="I21" s="22"/>
      <c r="J21" s="22"/>
      <c r="K21" s="22"/>
      <c r="L21" s="23"/>
      <c r="M21" s="24">
        <f t="shared" si="0"/>
        <v>0</v>
      </c>
      <c r="N21" s="24">
        <f t="shared" si="1"/>
        <v>0</v>
      </c>
      <c r="O21" s="24">
        <f t="shared" si="2"/>
        <v>0</v>
      </c>
      <c r="P21" s="24"/>
      <c r="Q21" s="25"/>
      <c r="R21" s="25"/>
      <c r="S21" s="26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>
        <f t="shared" si="3"/>
        <v>0</v>
      </c>
      <c r="AG21" s="27"/>
    </row>
    <row r="22" spans="1:33" s="29" customFormat="1" ht="23.25" customHeight="1" x14ac:dyDescent="0.2">
      <c r="A22" s="18"/>
      <c r="B22" s="19"/>
      <c r="C22" s="20"/>
      <c r="D22" s="20"/>
      <c r="E22" s="20"/>
      <c r="F22" s="21"/>
      <c r="G22" s="21"/>
      <c r="H22" s="22"/>
      <c r="I22" s="22"/>
      <c r="J22" s="22"/>
      <c r="K22" s="22"/>
      <c r="L22" s="23"/>
      <c r="M22" s="24">
        <f t="shared" si="0"/>
        <v>0</v>
      </c>
      <c r="N22" s="24">
        <f t="shared" si="1"/>
        <v>0</v>
      </c>
      <c r="O22" s="24">
        <f t="shared" si="2"/>
        <v>0</v>
      </c>
      <c r="P22" s="24"/>
      <c r="Q22" s="25"/>
      <c r="R22" s="25"/>
      <c r="S22" s="26"/>
      <c r="T22" s="26"/>
      <c r="U22" s="26"/>
      <c r="V22" s="26"/>
      <c r="W22" s="26"/>
      <c r="X22" s="25"/>
      <c r="Y22" s="25"/>
      <c r="Z22" s="25"/>
      <c r="AA22" s="25"/>
      <c r="AB22" s="26"/>
      <c r="AC22" s="26"/>
      <c r="AD22" s="25"/>
      <c r="AE22" s="25"/>
      <c r="AF22" s="24">
        <f t="shared" si="3"/>
        <v>0</v>
      </c>
      <c r="AG22" s="27">
        <f>SUM(H22:K22)+AF22+O22</f>
        <v>0</v>
      </c>
    </row>
    <row r="23" spans="1:33" s="29" customFormat="1" ht="10.199999999999999" x14ac:dyDescent="0.2">
      <c r="A23" s="18"/>
      <c r="B23" s="19"/>
      <c r="C23" s="43"/>
      <c r="D23" s="43"/>
      <c r="E23" s="43"/>
      <c r="F23" s="21"/>
      <c r="G23" s="30"/>
      <c r="H23" s="22"/>
      <c r="I23" s="22"/>
      <c r="J23" s="22"/>
      <c r="K23" s="22"/>
      <c r="L23" s="23"/>
      <c r="M23" s="25">
        <f t="shared" si="0"/>
        <v>0</v>
      </c>
      <c r="N23" s="25">
        <f t="shared" si="1"/>
        <v>0</v>
      </c>
      <c r="O23" s="25">
        <f t="shared" si="2"/>
        <v>0</v>
      </c>
      <c r="P23" s="25"/>
      <c r="Q23" s="25"/>
      <c r="R23" s="25"/>
      <c r="S23" s="25"/>
      <c r="T23" s="26"/>
      <c r="U23" s="51"/>
      <c r="V23" s="26"/>
      <c r="W23" s="26"/>
      <c r="X23" s="26"/>
      <c r="Y23" s="44"/>
      <c r="Z23" s="25"/>
      <c r="AA23" s="51"/>
      <c r="AB23" s="25"/>
      <c r="AC23" s="26"/>
      <c r="AD23" s="26"/>
      <c r="AE23" s="45"/>
      <c r="AF23" s="24">
        <f t="shared" si="3"/>
        <v>0</v>
      </c>
      <c r="AG23" s="27">
        <f>SUM(H23:K23)+AF23+O23</f>
        <v>0</v>
      </c>
    </row>
    <row r="24" spans="1:33" s="52" customFormat="1" ht="10.199999999999999" x14ac:dyDescent="0.2">
      <c r="A24" s="46"/>
      <c r="B24" s="47"/>
      <c r="C24" s="48"/>
      <c r="D24" s="49"/>
      <c r="E24" s="49"/>
      <c r="F24" s="50"/>
      <c r="G24" s="48"/>
      <c r="H24" s="51">
        <f>SUM(H5:H22)</f>
        <v>420</v>
      </c>
      <c r="I24" s="51">
        <f>SUM(I11:I23)</f>
        <v>0</v>
      </c>
      <c r="J24" s="51">
        <f>SUM(J5:J22)</f>
        <v>0</v>
      </c>
      <c r="K24" s="51">
        <f>SUM(K5:K22)</f>
        <v>10461.6</v>
      </c>
      <c r="L24" s="51">
        <f>SUM(L11:L23)</f>
        <v>0</v>
      </c>
      <c r="M24" s="51">
        <f>SUM(M5:M22)</f>
        <v>9760.7142857142844</v>
      </c>
      <c r="N24" s="51">
        <f>SUM(N5:N22)</f>
        <v>1120.8857142857141</v>
      </c>
      <c r="O24" s="51">
        <f>SUM(O11:O23)</f>
        <v>0</v>
      </c>
      <c r="P24" s="51">
        <f>SUM(P5:P22)</f>
        <v>1506.25</v>
      </c>
      <c r="Q24" s="51">
        <f>SUM(Q5:Q22)</f>
        <v>5626.43</v>
      </c>
      <c r="R24" s="51">
        <f>SUM(R5:R22)</f>
        <v>2048.2199999999998</v>
      </c>
      <c r="S24" s="51">
        <f>SUM(S7:S23)</f>
        <v>185.71</v>
      </c>
      <c r="T24" s="51">
        <f>SUM(T7:T23)</f>
        <v>0</v>
      </c>
      <c r="U24" s="51">
        <f>SUM(U7:U23)</f>
        <v>0</v>
      </c>
      <c r="V24" s="51">
        <f>SUM(V11:V23)</f>
        <v>0</v>
      </c>
      <c r="W24" s="51">
        <f>SUM(W11:W23)</f>
        <v>0</v>
      </c>
      <c r="X24" s="51">
        <f>SUM(X11:X23)</f>
        <v>0</v>
      </c>
      <c r="Y24" s="51">
        <f>SUM(Y11:Y23)</f>
        <v>0</v>
      </c>
      <c r="Z24" s="51">
        <f>SUM(Z11:Z23)</f>
        <v>0</v>
      </c>
      <c r="AA24" s="51">
        <f>SUM(AA5:AA22)</f>
        <v>270</v>
      </c>
      <c r="AB24" s="51">
        <f>SUM(AB11:AB23)</f>
        <v>0</v>
      </c>
      <c r="AC24" s="51">
        <f>SUM(AC5:AC22)</f>
        <v>70.540000000000006</v>
      </c>
      <c r="AD24" s="51">
        <f>SUM(AD5:AD22)</f>
        <v>53.57</v>
      </c>
      <c r="AE24" s="51">
        <f>SUM(AE11:AE23)</f>
        <v>0</v>
      </c>
      <c r="AF24" s="51">
        <f>SUM(AF5:AF22)</f>
        <v>-10881.605714285713</v>
      </c>
      <c r="AG24" s="51">
        <f>SUM(AG11:AG23)</f>
        <v>-2.8571428568611168E-3</v>
      </c>
    </row>
    <row r="25" spans="1:33" s="77" customFormat="1" ht="10.199999999999999" x14ac:dyDescent="0.2"/>
    <row r="26" spans="1:33" x14ac:dyDescent="0.3">
      <c r="H26" s="85"/>
      <c r="I26" s="85"/>
      <c r="J26" s="85"/>
      <c r="K26" s="85"/>
    </row>
    <row r="27" spans="1:33" x14ac:dyDescent="0.3">
      <c r="H27" s="85"/>
      <c r="I27" s="85"/>
      <c r="J27" s="85"/>
      <c r="K27" s="85"/>
    </row>
    <row r="28" spans="1:33" x14ac:dyDescent="0.3">
      <c r="H28" s="85"/>
      <c r="I28" s="85"/>
      <c r="J28" s="85"/>
      <c r="K28" s="85"/>
    </row>
    <row r="29" spans="1:33" x14ac:dyDescent="0.3">
      <c r="H29" s="85"/>
      <c r="I29" s="85"/>
      <c r="J29" s="85"/>
      <c r="K29" s="85"/>
    </row>
    <row r="30" spans="1:33" x14ac:dyDescent="0.3">
      <c r="H30" s="85"/>
      <c r="I30" s="85"/>
      <c r="J30" s="85"/>
      <c r="K30" s="85"/>
      <c r="Q30" s="5">
        <v>0</v>
      </c>
    </row>
    <row r="31" spans="1:33" s="3" customFormat="1" ht="11.4" x14ac:dyDescent="0.2">
      <c r="H31" s="86"/>
      <c r="I31" s="86"/>
      <c r="J31" s="86"/>
      <c r="K31" s="86"/>
      <c r="T31" s="5"/>
      <c r="U31" s="5"/>
      <c r="V31" s="5"/>
      <c r="W31" s="5"/>
      <c r="X31" s="5"/>
      <c r="Y31" s="5"/>
    </row>
    <row r="32" spans="1:33" x14ac:dyDescent="0.3">
      <c r="H32" s="85"/>
      <c r="I32" s="85"/>
      <c r="J32" s="85"/>
      <c r="K32" s="85"/>
    </row>
    <row r="33" spans="8:11" x14ac:dyDescent="0.3">
      <c r="H33" s="85"/>
      <c r="I33" s="85"/>
      <c r="J33" s="85"/>
      <c r="K33" s="85"/>
    </row>
    <row r="34" spans="8:11" x14ac:dyDescent="0.3">
      <c r="H34" s="85"/>
      <c r="I34" s="85"/>
      <c r="J34" s="85"/>
      <c r="K34" s="85"/>
    </row>
    <row r="35" spans="8:11" x14ac:dyDescent="0.3">
      <c r="H35" s="85"/>
      <c r="I35" s="85"/>
      <c r="J35" s="85"/>
      <c r="K35" s="85"/>
    </row>
    <row r="36" spans="8:11" x14ac:dyDescent="0.3">
      <c r="H36" s="87"/>
      <c r="I36" s="87"/>
      <c r="J36" s="87"/>
      <c r="K36" s="87"/>
    </row>
    <row r="37" spans="8:11" x14ac:dyDescent="0.3">
      <c r="H37" s="87"/>
      <c r="I37" s="87"/>
      <c r="J37" s="87"/>
      <c r="K37" s="87"/>
    </row>
    <row r="38" spans="8:11" s="3" customFormat="1" ht="10.199999999999999" x14ac:dyDescent="0.2">
      <c r="H38" s="87"/>
      <c r="I38" s="87"/>
      <c r="J38" s="87"/>
      <c r="K38" s="87"/>
    </row>
    <row r="39" spans="8:11" s="3" customFormat="1" ht="10.199999999999999" x14ac:dyDescent="0.2">
      <c r="H39" s="87"/>
      <c r="I39" s="87"/>
      <c r="J39" s="87"/>
      <c r="K39" s="87"/>
    </row>
    <row r="40" spans="8:11" s="3" customFormat="1" ht="10.199999999999999" x14ac:dyDescent="0.2">
      <c r="H40" s="87"/>
      <c r="I40" s="87"/>
      <c r="J40" s="87"/>
      <c r="K40" s="8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71"/>
  <sheetViews>
    <sheetView topLeftCell="A163" zoomScale="90" zoomScaleNormal="90" workbookViewId="0">
      <selection activeCell="F167" sqref="A167:XFD175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4" style="3" customWidth="1"/>
    <col min="4" max="4" width="14" style="4" customWidth="1"/>
    <col min="5" max="5" width="28" style="4" customWidth="1"/>
    <col min="6" max="6" width="7.88671875" style="2" customWidth="1"/>
    <col min="7" max="7" width="31.5546875" style="3" customWidth="1"/>
    <col min="8" max="8" width="11" style="5" customWidth="1"/>
    <col min="9" max="9" width="8.44140625" style="5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9.5546875" style="5" customWidth="1"/>
    <col min="18" max="18" width="10.6640625" style="5" customWidth="1"/>
    <col min="19" max="19" width="8.109375" style="5" customWidth="1"/>
    <col min="20" max="21" width="9.109375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30" width="8" style="5" customWidth="1"/>
    <col min="31" max="31" width="10.109375" style="5" customWidth="1"/>
    <col min="32" max="32" width="10.6640625" style="5" customWidth="1"/>
    <col min="33" max="33" width="7.6640625" style="3" customWidth="1"/>
    <col min="34" max="1025" width="9.109375" style="3" customWidth="1"/>
  </cols>
  <sheetData>
    <row r="1" spans="1:33" ht="12" customHeight="1" x14ac:dyDescent="0.3">
      <c r="A1" s="7" t="s">
        <v>0</v>
      </c>
      <c r="C1" s="8"/>
    </row>
    <row r="2" spans="1:33" ht="12" customHeight="1" x14ac:dyDescent="0.3">
      <c r="A2" s="7" t="s">
        <v>1</v>
      </c>
    </row>
    <row r="3" spans="1:33" ht="12" customHeight="1" x14ac:dyDescent="0.3">
      <c r="A3" s="7" t="s">
        <v>191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3" s="17" customFormat="1" ht="43.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6" t="s">
        <v>36</v>
      </c>
    </row>
    <row r="5" spans="1:33" s="29" customFormat="1" ht="23.25" customHeight="1" x14ac:dyDescent="0.2">
      <c r="A5" s="18">
        <v>43862</v>
      </c>
      <c r="B5" s="19"/>
      <c r="C5" s="20" t="s">
        <v>106</v>
      </c>
      <c r="D5" s="20" t="s">
        <v>107</v>
      </c>
      <c r="E5" s="20" t="s">
        <v>49</v>
      </c>
      <c r="F5" s="21">
        <v>798844</v>
      </c>
      <c r="G5" s="21" t="s">
        <v>192</v>
      </c>
      <c r="H5" s="22"/>
      <c r="I5" s="22"/>
      <c r="J5" s="22"/>
      <c r="K5" s="22">
        <v>45</v>
      </c>
      <c r="L5" s="23"/>
      <c r="M5" s="24">
        <f t="shared" ref="M5:M36" si="0">SUM(H5:J5,K5/1.12)</f>
        <v>40.178571428571423</v>
      </c>
      <c r="N5" s="24">
        <f t="shared" ref="N5:N36" si="1">K5/1.12*0.12</f>
        <v>4.8214285714285703</v>
      </c>
      <c r="O5" s="24">
        <f t="shared" ref="O5:O51" si="2">-SUM(I5:J5,K5/1.12)*L5</f>
        <v>0</v>
      </c>
      <c r="P5" s="24"/>
      <c r="Q5" s="25"/>
      <c r="R5" s="25"/>
      <c r="S5" s="26"/>
      <c r="T5" s="26">
        <v>40.18</v>
      </c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>
        <f t="shared" ref="AF5:AF36" si="3">-SUM(N5:AE5)</f>
        <v>-45.001428571428569</v>
      </c>
      <c r="AG5" s="27">
        <f t="shared" ref="AG5:AG36" si="4">SUM(H5:K5)+AF5+O5</f>
        <v>-1.4285714285691142E-3</v>
      </c>
    </row>
    <row r="6" spans="1:33" s="29" customFormat="1" ht="23.25" customHeight="1" x14ac:dyDescent="0.2">
      <c r="A6" s="18">
        <v>43863</v>
      </c>
      <c r="B6" s="19"/>
      <c r="C6" s="20" t="s">
        <v>39</v>
      </c>
      <c r="D6" s="20" t="s">
        <v>40</v>
      </c>
      <c r="E6" s="20" t="s">
        <v>41</v>
      </c>
      <c r="F6" s="21">
        <v>132642</v>
      </c>
      <c r="G6" s="21" t="s">
        <v>193</v>
      </c>
      <c r="H6" s="22"/>
      <c r="I6" s="22"/>
      <c r="J6" s="22"/>
      <c r="K6" s="22">
        <v>105</v>
      </c>
      <c r="L6" s="23"/>
      <c r="M6" s="24">
        <f t="shared" si="0"/>
        <v>93.749999999999986</v>
      </c>
      <c r="N6" s="24">
        <f t="shared" si="1"/>
        <v>11.249999999999998</v>
      </c>
      <c r="O6" s="24">
        <f t="shared" si="2"/>
        <v>0</v>
      </c>
      <c r="P6" s="24"/>
      <c r="Q6" s="25"/>
      <c r="R6" s="25"/>
      <c r="S6" s="26"/>
      <c r="T6" s="26"/>
      <c r="U6" s="26">
        <v>93.75</v>
      </c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>
        <f t="shared" si="3"/>
        <v>-105</v>
      </c>
      <c r="AG6" s="27">
        <f t="shared" si="4"/>
        <v>0</v>
      </c>
    </row>
    <row r="7" spans="1:33" s="29" customFormat="1" ht="23.25" customHeight="1" x14ac:dyDescent="0.2">
      <c r="A7" s="18">
        <v>43864</v>
      </c>
      <c r="B7" s="19"/>
      <c r="C7" s="20" t="s">
        <v>65</v>
      </c>
      <c r="D7" s="20" t="s">
        <v>66</v>
      </c>
      <c r="E7" s="20" t="s">
        <v>67</v>
      </c>
      <c r="F7" s="21">
        <v>3416</v>
      </c>
      <c r="G7" s="21" t="s">
        <v>194</v>
      </c>
      <c r="H7" s="22"/>
      <c r="I7" s="22"/>
      <c r="J7" s="22">
        <v>1398</v>
      </c>
      <c r="K7" s="22"/>
      <c r="L7" s="23"/>
      <c r="M7" s="24">
        <f t="shared" si="0"/>
        <v>1398</v>
      </c>
      <c r="N7" s="24">
        <f t="shared" si="1"/>
        <v>0</v>
      </c>
      <c r="O7" s="24">
        <f t="shared" si="2"/>
        <v>0</v>
      </c>
      <c r="P7" s="24">
        <v>1398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>
        <f t="shared" si="3"/>
        <v>-1398</v>
      </c>
      <c r="AG7" s="27">
        <f t="shared" si="4"/>
        <v>0</v>
      </c>
    </row>
    <row r="8" spans="1:33" s="29" customFormat="1" ht="23.25" customHeight="1" x14ac:dyDescent="0.2">
      <c r="A8" s="18">
        <v>43864</v>
      </c>
      <c r="B8" s="19"/>
      <c r="C8" s="20" t="s">
        <v>45</v>
      </c>
      <c r="D8" s="20"/>
      <c r="E8" s="20"/>
      <c r="F8" s="21"/>
      <c r="G8" s="21" t="s">
        <v>69</v>
      </c>
      <c r="H8" s="22">
        <v>100</v>
      </c>
      <c r="I8" s="22"/>
      <c r="J8" s="22"/>
      <c r="K8" s="22"/>
      <c r="L8" s="23"/>
      <c r="M8" s="24">
        <f t="shared" si="0"/>
        <v>100</v>
      </c>
      <c r="N8" s="24">
        <f t="shared" si="1"/>
        <v>0</v>
      </c>
      <c r="O8" s="24">
        <f t="shared" si="2"/>
        <v>0</v>
      </c>
      <c r="P8" s="24"/>
      <c r="Q8" s="25"/>
      <c r="R8" s="25"/>
      <c r="S8" s="26"/>
      <c r="T8" s="26"/>
      <c r="U8" s="26"/>
      <c r="V8" s="26"/>
      <c r="W8" s="26"/>
      <c r="X8" s="25"/>
      <c r="Y8" s="25"/>
      <c r="Z8" s="25"/>
      <c r="AA8" s="25">
        <v>100</v>
      </c>
      <c r="AB8" s="26"/>
      <c r="AC8" s="26"/>
      <c r="AD8" s="25"/>
      <c r="AE8" s="25"/>
      <c r="AF8" s="24">
        <f t="shared" si="3"/>
        <v>-100</v>
      </c>
      <c r="AG8" s="27">
        <f t="shared" si="4"/>
        <v>0</v>
      </c>
    </row>
    <row r="9" spans="1:33" s="29" customFormat="1" ht="23.25" customHeight="1" x14ac:dyDescent="0.2">
      <c r="A9" s="18">
        <v>43864</v>
      </c>
      <c r="B9" s="19"/>
      <c r="C9" s="20" t="s">
        <v>55</v>
      </c>
      <c r="D9" s="20" t="s">
        <v>56</v>
      </c>
      <c r="E9" s="20" t="s">
        <v>57</v>
      </c>
      <c r="F9" s="21">
        <v>221146</v>
      </c>
      <c r="G9" s="21" t="s">
        <v>58</v>
      </c>
      <c r="H9" s="22"/>
      <c r="I9" s="22"/>
      <c r="J9" s="22"/>
      <c r="K9" s="22">
        <v>180</v>
      </c>
      <c r="L9" s="23"/>
      <c r="M9" s="24">
        <f t="shared" si="0"/>
        <v>160.71428571428569</v>
      </c>
      <c r="N9" s="24">
        <f t="shared" si="1"/>
        <v>19.285714285714281</v>
      </c>
      <c r="O9" s="24">
        <f t="shared" si="2"/>
        <v>0</v>
      </c>
      <c r="P9" s="24"/>
      <c r="Q9" s="25">
        <v>160.71</v>
      </c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>
        <f t="shared" si="3"/>
        <v>-179.99571428571429</v>
      </c>
      <c r="AG9" s="27">
        <f t="shared" si="4"/>
        <v>4.2857142857144481E-3</v>
      </c>
    </row>
    <row r="10" spans="1:33" s="29" customFormat="1" ht="39" customHeight="1" x14ac:dyDescent="0.2">
      <c r="A10" s="18">
        <v>43864</v>
      </c>
      <c r="B10" s="19"/>
      <c r="C10" s="20" t="s">
        <v>47</v>
      </c>
      <c r="D10" s="20" t="s">
        <v>48</v>
      </c>
      <c r="E10" s="20" t="s">
        <v>49</v>
      </c>
      <c r="F10" s="21">
        <v>186532</v>
      </c>
      <c r="G10" s="30" t="s">
        <v>195</v>
      </c>
      <c r="H10" s="22"/>
      <c r="I10" s="22"/>
      <c r="J10" s="22"/>
      <c r="K10" s="22">
        <f>3001.96+360.24</f>
        <v>3362.2</v>
      </c>
      <c r="L10" s="23"/>
      <c r="M10" s="24">
        <f t="shared" si="0"/>
        <v>3001.9642857142853</v>
      </c>
      <c r="N10" s="24">
        <f t="shared" si="1"/>
        <v>360.23571428571421</v>
      </c>
      <c r="O10" s="24">
        <f t="shared" si="2"/>
        <v>0</v>
      </c>
      <c r="P10" s="24">
        <v>3001.96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>
        <f t="shared" si="3"/>
        <v>-3362.1957142857141</v>
      </c>
      <c r="AG10" s="27">
        <f t="shared" si="4"/>
        <v>4.2857142857428698E-3</v>
      </c>
    </row>
    <row r="11" spans="1:33" s="29" customFormat="1" ht="23.25" customHeight="1" x14ac:dyDescent="0.2">
      <c r="A11" s="18">
        <v>43864</v>
      </c>
      <c r="B11" s="19"/>
      <c r="C11" s="20" t="s">
        <v>47</v>
      </c>
      <c r="D11" s="20" t="s">
        <v>48</v>
      </c>
      <c r="E11" s="20" t="s">
        <v>49</v>
      </c>
      <c r="F11" s="21">
        <v>186532</v>
      </c>
      <c r="G11" s="21" t="s">
        <v>196</v>
      </c>
      <c r="H11" s="22"/>
      <c r="I11" s="22"/>
      <c r="J11" s="22">
        <v>2646.2</v>
      </c>
      <c r="K11" s="22"/>
      <c r="L11" s="23"/>
      <c r="M11" s="24">
        <f t="shared" si="0"/>
        <v>2646.2</v>
      </c>
      <c r="N11" s="24">
        <f t="shared" si="1"/>
        <v>0</v>
      </c>
      <c r="O11" s="24">
        <f t="shared" si="2"/>
        <v>0</v>
      </c>
      <c r="P11" s="24">
        <v>2646.2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>
        <f t="shared" si="3"/>
        <v>-2646.2</v>
      </c>
      <c r="AG11" s="27">
        <f t="shared" si="4"/>
        <v>0</v>
      </c>
    </row>
    <row r="12" spans="1:33" s="29" customFormat="1" ht="23.25" customHeight="1" x14ac:dyDescent="0.2">
      <c r="A12" s="18">
        <v>43865</v>
      </c>
      <c r="B12" s="19"/>
      <c r="C12" s="20" t="s">
        <v>39</v>
      </c>
      <c r="D12" s="20" t="s">
        <v>40</v>
      </c>
      <c r="E12" s="20" t="s">
        <v>41</v>
      </c>
      <c r="F12" s="21">
        <v>98239</v>
      </c>
      <c r="G12" s="21" t="s">
        <v>197</v>
      </c>
      <c r="H12" s="22"/>
      <c r="I12" s="22"/>
      <c r="J12" s="22"/>
      <c r="K12" s="22">
        <v>625</v>
      </c>
      <c r="L12" s="23"/>
      <c r="M12" s="24">
        <f t="shared" si="0"/>
        <v>558.03571428571422</v>
      </c>
      <c r="N12" s="24">
        <f t="shared" si="1"/>
        <v>66.964285714285708</v>
      </c>
      <c r="O12" s="24">
        <f t="shared" si="2"/>
        <v>0</v>
      </c>
      <c r="P12" s="25">
        <v>558.04</v>
      </c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>
        <f t="shared" si="3"/>
        <v>-625.00428571428563</v>
      </c>
      <c r="AG12" s="27">
        <f t="shared" si="4"/>
        <v>-4.285714285629183E-3</v>
      </c>
    </row>
    <row r="13" spans="1:33" s="42" customFormat="1" ht="23.25" customHeight="1" x14ac:dyDescent="0.2">
      <c r="A13" s="32">
        <v>43865</v>
      </c>
      <c r="B13" s="33"/>
      <c r="C13" s="34" t="s">
        <v>55</v>
      </c>
      <c r="D13" s="34" t="s">
        <v>56</v>
      </c>
      <c r="E13" s="34" t="s">
        <v>57</v>
      </c>
      <c r="F13" s="35">
        <v>217696</v>
      </c>
      <c r="G13" s="35" t="s">
        <v>58</v>
      </c>
      <c r="H13" s="36"/>
      <c r="I13" s="36"/>
      <c r="J13" s="36"/>
      <c r="K13" s="36">
        <v>180</v>
      </c>
      <c r="L13" s="37"/>
      <c r="M13" s="38">
        <f t="shared" si="0"/>
        <v>160.71428571428569</v>
      </c>
      <c r="N13" s="38">
        <f t="shared" si="1"/>
        <v>19.285714285714281</v>
      </c>
      <c r="O13" s="38">
        <f t="shared" si="2"/>
        <v>0</v>
      </c>
      <c r="P13" s="38"/>
      <c r="Q13" s="39">
        <v>160.71</v>
      </c>
      <c r="R13" s="39"/>
      <c r="S13" s="40"/>
      <c r="T13" s="40"/>
      <c r="U13" s="40"/>
      <c r="V13" s="40"/>
      <c r="W13" s="40"/>
      <c r="X13" s="39"/>
      <c r="Y13" s="39"/>
      <c r="Z13" s="39"/>
      <c r="AA13" s="39"/>
      <c r="AB13" s="40"/>
      <c r="AC13" s="40"/>
      <c r="AD13" s="39"/>
      <c r="AE13" s="39"/>
      <c r="AF13" s="38">
        <f t="shared" si="3"/>
        <v>-179.99571428571429</v>
      </c>
      <c r="AG13" s="41">
        <f t="shared" si="4"/>
        <v>4.2857142857144481E-3</v>
      </c>
    </row>
    <row r="14" spans="1:33" s="29" customFormat="1" ht="23.25" customHeight="1" x14ac:dyDescent="0.2">
      <c r="A14" s="18">
        <v>43864</v>
      </c>
      <c r="B14" s="19"/>
      <c r="C14" s="20" t="s">
        <v>37</v>
      </c>
      <c r="D14" s="20"/>
      <c r="E14" s="20"/>
      <c r="F14" s="21"/>
      <c r="G14" s="21" t="s">
        <v>38</v>
      </c>
      <c r="H14" s="22">
        <v>82</v>
      </c>
      <c r="I14" s="22"/>
      <c r="J14" s="22"/>
      <c r="K14" s="22"/>
      <c r="L14" s="23"/>
      <c r="M14" s="24">
        <f t="shared" si="0"/>
        <v>82</v>
      </c>
      <c r="N14" s="24">
        <f t="shared" si="1"/>
        <v>0</v>
      </c>
      <c r="O14" s="24">
        <f t="shared" si="2"/>
        <v>0</v>
      </c>
      <c r="P14" s="24"/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>
        <v>82</v>
      </c>
      <c r="AB14" s="26"/>
      <c r="AC14" s="26"/>
      <c r="AD14" s="25"/>
      <c r="AE14" s="25"/>
      <c r="AF14" s="24">
        <f t="shared" si="3"/>
        <v>-82</v>
      </c>
      <c r="AG14" s="27">
        <f t="shared" si="4"/>
        <v>0</v>
      </c>
    </row>
    <row r="15" spans="1:33" s="29" customFormat="1" ht="23.25" customHeight="1" x14ac:dyDescent="0.2">
      <c r="A15" s="18">
        <v>43865</v>
      </c>
      <c r="B15" s="19"/>
      <c r="C15" s="20" t="s">
        <v>106</v>
      </c>
      <c r="D15" s="20" t="s">
        <v>107</v>
      </c>
      <c r="E15" s="20" t="s">
        <v>49</v>
      </c>
      <c r="F15" s="21">
        <v>799197</v>
      </c>
      <c r="G15" s="21" t="s">
        <v>198</v>
      </c>
      <c r="H15" s="22"/>
      <c r="I15" s="22"/>
      <c r="J15" s="22"/>
      <c r="K15" s="22">
        <v>419.25</v>
      </c>
      <c r="L15" s="23"/>
      <c r="M15" s="24">
        <f t="shared" si="0"/>
        <v>374.33035714285711</v>
      </c>
      <c r="N15" s="24">
        <f t="shared" si="1"/>
        <v>44.919642857142854</v>
      </c>
      <c r="O15" s="24">
        <f t="shared" si="2"/>
        <v>0</v>
      </c>
      <c r="P15" s="24"/>
      <c r="Q15" s="25"/>
      <c r="R15" s="25"/>
      <c r="S15" s="26"/>
      <c r="T15" s="26">
        <v>374.33</v>
      </c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>
        <f t="shared" si="3"/>
        <v>-419.24964285714282</v>
      </c>
      <c r="AG15" s="27">
        <f t="shared" si="4"/>
        <v>3.5714285718313477E-4</v>
      </c>
    </row>
    <row r="16" spans="1:33" s="29" customFormat="1" ht="23.25" customHeight="1" x14ac:dyDescent="0.2">
      <c r="A16" s="18">
        <v>43865</v>
      </c>
      <c r="B16" s="19"/>
      <c r="C16" s="20" t="s">
        <v>39</v>
      </c>
      <c r="D16" s="20" t="s">
        <v>40</v>
      </c>
      <c r="E16" s="20" t="s">
        <v>41</v>
      </c>
      <c r="F16" s="21">
        <v>98350</v>
      </c>
      <c r="G16" s="21" t="s">
        <v>199</v>
      </c>
      <c r="H16" s="22"/>
      <c r="I16" s="22"/>
      <c r="J16" s="22"/>
      <c r="K16" s="22">
        <v>234.25</v>
      </c>
      <c r="L16" s="23"/>
      <c r="M16" s="24">
        <f t="shared" si="0"/>
        <v>209.15178571428569</v>
      </c>
      <c r="N16" s="24">
        <f t="shared" si="1"/>
        <v>25.098214285714281</v>
      </c>
      <c r="O16" s="24">
        <f t="shared" si="2"/>
        <v>0</v>
      </c>
      <c r="P16" s="24">
        <v>209.15</v>
      </c>
      <c r="Q16" s="25"/>
      <c r="R16" s="25"/>
      <c r="S16" s="26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5"/>
      <c r="AF16" s="24">
        <f t="shared" si="3"/>
        <v>-234.24821428571428</v>
      </c>
      <c r="AG16" s="27">
        <f t="shared" si="4"/>
        <v>1.7857142857167219E-3</v>
      </c>
    </row>
    <row r="17" spans="1:33" s="29" customFormat="1" ht="23.25" customHeight="1" x14ac:dyDescent="0.2">
      <c r="A17" s="18">
        <v>43865</v>
      </c>
      <c r="B17" s="19"/>
      <c r="C17" s="20" t="s">
        <v>200</v>
      </c>
      <c r="D17" s="20" t="s">
        <v>201</v>
      </c>
      <c r="E17" s="20" t="s">
        <v>67</v>
      </c>
      <c r="F17" s="21">
        <v>7907</v>
      </c>
      <c r="G17" s="21" t="s">
        <v>202</v>
      </c>
      <c r="H17" s="22">
        <v>350</v>
      </c>
      <c r="I17" s="22"/>
      <c r="J17" s="22"/>
      <c r="K17" s="22"/>
      <c r="L17" s="23"/>
      <c r="M17" s="24">
        <f t="shared" si="0"/>
        <v>350</v>
      </c>
      <c r="N17" s="24">
        <f t="shared" si="1"/>
        <v>0</v>
      </c>
      <c r="O17" s="24">
        <f t="shared" si="2"/>
        <v>0</v>
      </c>
      <c r="P17" s="24"/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>
        <v>350</v>
      </c>
      <c r="AB17" s="26"/>
      <c r="AC17" s="26"/>
      <c r="AD17" s="25"/>
      <c r="AE17" s="25"/>
      <c r="AF17" s="24">
        <f t="shared" si="3"/>
        <v>-350</v>
      </c>
      <c r="AG17" s="27">
        <f t="shared" si="4"/>
        <v>0</v>
      </c>
    </row>
    <row r="18" spans="1:33" s="29" customFormat="1" ht="23.25" customHeight="1" x14ac:dyDescent="0.2">
      <c r="A18" s="18">
        <v>43865</v>
      </c>
      <c r="B18" s="19"/>
      <c r="C18" s="20" t="s">
        <v>60</v>
      </c>
      <c r="D18" s="20"/>
      <c r="E18" s="20"/>
      <c r="F18" s="21"/>
      <c r="G18" s="21" t="s">
        <v>203</v>
      </c>
      <c r="H18" s="22"/>
      <c r="I18" s="22"/>
      <c r="J18" s="22">
        <v>1150</v>
      </c>
      <c r="K18" s="22"/>
      <c r="L18" s="23"/>
      <c r="M18" s="24">
        <f t="shared" si="0"/>
        <v>1150</v>
      </c>
      <c r="N18" s="24">
        <f t="shared" si="1"/>
        <v>0</v>
      </c>
      <c r="O18" s="24">
        <f t="shared" si="2"/>
        <v>0</v>
      </c>
      <c r="P18" s="24">
        <v>1150</v>
      </c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>
        <f t="shared" si="3"/>
        <v>-1150</v>
      </c>
      <c r="AG18" s="27">
        <f t="shared" si="4"/>
        <v>0</v>
      </c>
    </row>
    <row r="19" spans="1:33" s="29" customFormat="1" ht="23.25" customHeight="1" x14ac:dyDescent="0.2">
      <c r="A19" s="18">
        <v>43865</v>
      </c>
      <c r="B19" s="19"/>
      <c r="C19" s="20" t="s">
        <v>60</v>
      </c>
      <c r="D19" s="20"/>
      <c r="E19" s="20"/>
      <c r="F19" s="21"/>
      <c r="G19" s="21" t="s">
        <v>176</v>
      </c>
      <c r="H19" s="22">
        <v>20</v>
      </c>
      <c r="I19" s="22"/>
      <c r="J19" s="22"/>
      <c r="K19" s="22"/>
      <c r="L19" s="23"/>
      <c r="M19" s="24">
        <f t="shared" si="0"/>
        <v>20</v>
      </c>
      <c r="N19" s="24">
        <f t="shared" si="1"/>
        <v>0</v>
      </c>
      <c r="O19" s="24">
        <f t="shared" si="2"/>
        <v>0</v>
      </c>
      <c r="P19" s="24"/>
      <c r="Q19" s="25"/>
      <c r="R19" s="25"/>
      <c r="S19" s="26"/>
      <c r="T19" s="26"/>
      <c r="U19" s="26"/>
      <c r="V19" s="26"/>
      <c r="W19" s="26"/>
      <c r="X19" s="25"/>
      <c r="Y19" s="25"/>
      <c r="Z19" s="25"/>
      <c r="AA19" s="25">
        <v>20</v>
      </c>
      <c r="AB19" s="26"/>
      <c r="AC19" s="26"/>
      <c r="AD19" s="25"/>
      <c r="AE19" s="25"/>
      <c r="AF19" s="24">
        <f t="shared" si="3"/>
        <v>-20</v>
      </c>
      <c r="AG19" s="27">
        <f t="shared" si="4"/>
        <v>0</v>
      </c>
    </row>
    <row r="20" spans="1:33" s="29" customFormat="1" ht="23.25" customHeight="1" x14ac:dyDescent="0.2">
      <c r="A20" s="18">
        <v>43865</v>
      </c>
      <c r="B20" s="19"/>
      <c r="C20" s="20" t="s">
        <v>204</v>
      </c>
      <c r="D20" s="20"/>
      <c r="E20" s="20"/>
      <c r="F20" s="21"/>
      <c r="G20" s="21" t="s">
        <v>205</v>
      </c>
      <c r="H20" s="22"/>
      <c r="I20" s="22"/>
      <c r="J20" s="22">
        <v>612</v>
      </c>
      <c r="K20" s="22"/>
      <c r="L20" s="23"/>
      <c r="M20" s="24">
        <f t="shared" si="0"/>
        <v>612</v>
      </c>
      <c r="N20" s="24">
        <f t="shared" si="1"/>
        <v>0</v>
      </c>
      <c r="O20" s="24">
        <f t="shared" si="2"/>
        <v>0</v>
      </c>
      <c r="P20" s="24"/>
      <c r="Q20" s="25"/>
      <c r="R20" s="25"/>
      <c r="S20" s="26"/>
      <c r="T20" s="26"/>
      <c r="U20" s="26"/>
      <c r="V20" s="26"/>
      <c r="W20" s="26"/>
      <c r="X20" s="25"/>
      <c r="Y20" s="25"/>
      <c r="Z20" s="25"/>
      <c r="AA20" s="25"/>
      <c r="AB20" s="26"/>
      <c r="AC20" s="26">
        <v>612</v>
      </c>
      <c r="AD20" s="25"/>
      <c r="AE20" s="25"/>
      <c r="AF20" s="24">
        <f t="shared" si="3"/>
        <v>-612</v>
      </c>
      <c r="AG20" s="27">
        <f t="shared" si="4"/>
        <v>0</v>
      </c>
    </row>
    <row r="21" spans="1:33" s="29" customFormat="1" ht="23.25" customHeight="1" x14ac:dyDescent="0.2">
      <c r="A21" s="18">
        <v>43866</v>
      </c>
      <c r="B21" s="19"/>
      <c r="C21" s="20" t="s">
        <v>65</v>
      </c>
      <c r="D21" s="20" t="s">
        <v>66</v>
      </c>
      <c r="E21" s="20" t="s">
        <v>67</v>
      </c>
      <c r="F21" s="21">
        <v>3417</v>
      </c>
      <c r="G21" s="21" t="s">
        <v>68</v>
      </c>
      <c r="H21" s="22"/>
      <c r="I21" s="22"/>
      <c r="J21" s="22">
        <v>961</v>
      </c>
      <c r="K21" s="22"/>
      <c r="L21" s="23"/>
      <c r="M21" s="24">
        <f t="shared" si="0"/>
        <v>961</v>
      </c>
      <c r="N21" s="24">
        <f t="shared" si="1"/>
        <v>0</v>
      </c>
      <c r="O21" s="24">
        <f t="shared" si="2"/>
        <v>0</v>
      </c>
      <c r="P21" s="24">
        <v>961</v>
      </c>
      <c r="Q21" s="25"/>
      <c r="R21" s="25"/>
      <c r="S21" s="26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>
        <f t="shared" si="3"/>
        <v>-961</v>
      </c>
      <c r="AG21" s="27">
        <f t="shared" si="4"/>
        <v>0</v>
      </c>
    </row>
    <row r="22" spans="1:33" s="29" customFormat="1" ht="23.25" customHeight="1" x14ac:dyDescent="0.2">
      <c r="A22" s="18">
        <v>43866</v>
      </c>
      <c r="B22" s="19"/>
      <c r="C22" s="20" t="s">
        <v>206</v>
      </c>
      <c r="D22" s="20" t="s">
        <v>79</v>
      </c>
      <c r="E22" s="20" t="s">
        <v>67</v>
      </c>
      <c r="F22" s="21">
        <v>21219</v>
      </c>
      <c r="G22" s="21" t="s">
        <v>207</v>
      </c>
      <c r="H22" s="22"/>
      <c r="I22" s="22"/>
      <c r="J22" s="22">
        <v>840</v>
      </c>
      <c r="K22" s="22"/>
      <c r="L22" s="23"/>
      <c r="M22" s="24">
        <f t="shared" si="0"/>
        <v>840</v>
      </c>
      <c r="N22" s="24">
        <f t="shared" si="1"/>
        <v>0</v>
      </c>
      <c r="O22" s="24">
        <f t="shared" si="2"/>
        <v>0</v>
      </c>
      <c r="P22" s="24">
        <v>840</v>
      </c>
      <c r="Q22" s="25"/>
      <c r="R22" s="25"/>
      <c r="S22" s="26"/>
      <c r="T22" s="26"/>
      <c r="U22" s="26"/>
      <c r="V22" s="26"/>
      <c r="W22" s="26"/>
      <c r="X22" s="25"/>
      <c r="Y22" s="25"/>
      <c r="Z22" s="25"/>
      <c r="AA22" s="25"/>
      <c r="AB22" s="26"/>
      <c r="AC22" s="26"/>
      <c r="AD22" s="25"/>
      <c r="AE22" s="25"/>
      <c r="AF22" s="24">
        <f t="shared" si="3"/>
        <v>-840</v>
      </c>
      <c r="AG22" s="27">
        <f t="shared" si="4"/>
        <v>0</v>
      </c>
    </row>
    <row r="23" spans="1:33" s="29" customFormat="1" ht="23.25" customHeight="1" x14ac:dyDescent="0.2">
      <c r="A23" s="18">
        <v>43866</v>
      </c>
      <c r="B23" s="19"/>
      <c r="C23" s="20" t="s">
        <v>45</v>
      </c>
      <c r="D23" s="20"/>
      <c r="E23" s="20"/>
      <c r="F23" s="21"/>
      <c r="G23" s="21" t="s">
        <v>208</v>
      </c>
      <c r="H23" s="22">
        <v>100</v>
      </c>
      <c r="I23" s="22"/>
      <c r="J23" s="22"/>
      <c r="K23" s="22"/>
      <c r="L23" s="23"/>
      <c r="M23" s="24">
        <f t="shared" si="0"/>
        <v>100</v>
      </c>
      <c r="N23" s="24">
        <f t="shared" si="1"/>
        <v>0</v>
      </c>
      <c r="O23" s="24">
        <f t="shared" si="2"/>
        <v>0</v>
      </c>
      <c r="P23" s="24"/>
      <c r="Q23" s="25"/>
      <c r="R23" s="25"/>
      <c r="S23" s="26"/>
      <c r="T23" s="26"/>
      <c r="U23" s="26"/>
      <c r="V23" s="26"/>
      <c r="W23" s="26"/>
      <c r="X23" s="25"/>
      <c r="Y23" s="25"/>
      <c r="Z23" s="25"/>
      <c r="AA23" s="25">
        <v>100</v>
      </c>
      <c r="AB23" s="26"/>
      <c r="AC23" s="26"/>
      <c r="AD23" s="25"/>
      <c r="AE23" s="25"/>
      <c r="AF23" s="24">
        <f t="shared" si="3"/>
        <v>-100</v>
      </c>
      <c r="AG23" s="27">
        <f t="shared" si="4"/>
        <v>0</v>
      </c>
    </row>
    <row r="24" spans="1:33" s="29" customFormat="1" ht="23.25" customHeight="1" x14ac:dyDescent="0.2">
      <c r="A24" s="18">
        <v>43866</v>
      </c>
      <c r="B24" s="19"/>
      <c r="C24" s="20" t="s">
        <v>55</v>
      </c>
      <c r="D24" s="20" t="s">
        <v>56</v>
      </c>
      <c r="E24" s="20" t="s">
        <v>57</v>
      </c>
      <c r="F24" s="21">
        <v>217743</v>
      </c>
      <c r="G24" s="21" t="s">
        <v>58</v>
      </c>
      <c r="H24" s="22"/>
      <c r="I24" s="22"/>
      <c r="J24" s="22"/>
      <c r="K24" s="22">
        <v>180</v>
      </c>
      <c r="L24" s="23"/>
      <c r="M24" s="24">
        <f t="shared" si="0"/>
        <v>160.71428571428569</v>
      </c>
      <c r="N24" s="24">
        <f t="shared" si="1"/>
        <v>19.285714285714281</v>
      </c>
      <c r="O24" s="24">
        <f t="shared" si="2"/>
        <v>0</v>
      </c>
      <c r="P24" s="24"/>
      <c r="Q24" s="25">
        <v>160.71</v>
      </c>
      <c r="R24" s="25"/>
      <c r="S24" s="26"/>
      <c r="T24" s="26"/>
      <c r="U24" s="26"/>
      <c r="V24" s="26"/>
      <c r="W24" s="26"/>
      <c r="X24" s="25"/>
      <c r="Y24" s="25"/>
      <c r="Z24" s="25"/>
      <c r="AA24" s="25"/>
      <c r="AB24" s="26"/>
      <c r="AC24" s="26"/>
      <c r="AD24" s="25"/>
      <c r="AE24" s="25"/>
      <c r="AF24" s="24">
        <f t="shared" si="3"/>
        <v>-179.99571428571429</v>
      </c>
      <c r="AG24" s="27">
        <f t="shared" si="4"/>
        <v>4.2857142857144481E-3</v>
      </c>
    </row>
    <row r="25" spans="1:33" s="29" customFormat="1" ht="23.25" customHeight="1" x14ac:dyDescent="0.2">
      <c r="A25" s="18">
        <v>43866</v>
      </c>
      <c r="B25" s="19"/>
      <c r="C25" s="20" t="s">
        <v>62</v>
      </c>
      <c r="D25" s="20"/>
      <c r="E25" s="20"/>
      <c r="F25" s="21"/>
      <c r="G25" s="21" t="s">
        <v>209</v>
      </c>
      <c r="H25" s="22"/>
      <c r="I25" s="22"/>
      <c r="J25" s="22">
        <v>160</v>
      </c>
      <c r="K25" s="22"/>
      <c r="L25" s="23"/>
      <c r="M25" s="24">
        <f t="shared" si="0"/>
        <v>160</v>
      </c>
      <c r="N25" s="24">
        <f t="shared" si="1"/>
        <v>0</v>
      </c>
      <c r="O25" s="24">
        <f t="shared" si="2"/>
        <v>0</v>
      </c>
      <c r="P25" s="24">
        <v>160</v>
      </c>
      <c r="Q25" s="25"/>
      <c r="R25" s="25"/>
      <c r="S25" s="26"/>
      <c r="T25" s="26"/>
      <c r="U25" s="26"/>
      <c r="V25" s="26"/>
      <c r="W25" s="26"/>
      <c r="X25" s="25"/>
      <c r="Y25" s="25"/>
      <c r="Z25" s="25"/>
      <c r="AA25" s="25"/>
      <c r="AB25" s="26"/>
      <c r="AC25" s="26"/>
      <c r="AD25" s="25"/>
      <c r="AE25" s="25"/>
      <c r="AF25" s="24">
        <f t="shared" si="3"/>
        <v>-160</v>
      </c>
      <c r="AG25" s="27">
        <f t="shared" si="4"/>
        <v>0</v>
      </c>
    </row>
    <row r="26" spans="1:33" s="29" customFormat="1" ht="23.25" customHeight="1" x14ac:dyDescent="0.2">
      <c r="A26" s="18">
        <v>43866</v>
      </c>
      <c r="B26" s="19"/>
      <c r="C26" s="20" t="s">
        <v>39</v>
      </c>
      <c r="D26" s="20" t="s">
        <v>40</v>
      </c>
      <c r="E26" s="20" t="s">
        <v>41</v>
      </c>
      <c r="F26" s="21">
        <v>122886</v>
      </c>
      <c r="G26" s="21" t="s">
        <v>210</v>
      </c>
      <c r="H26" s="22"/>
      <c r="I26" s="22"/>
      <c r="J26" s="22"/>
      <c r="K26" s="22">
        <v>162</v>
      </c>
      <c r="L26" s="23"/>
      <c r="M26" s="24">
        <f t="shared" si="0"/>
        <v>144.64285714285714</v>
      </c>
      <c r="N26" s="24">
        <f t="shared" si="1"/>
        <v>17.357142857142858</v>
      </c>
      <c r="O26" s="24">
        <f t="shared" si="2"/>
        <v>0</v>
      </c>
      <c r="P26" s="24">
        <v>144.63999999999999</v>
      </c>
      <c r="Q26" s="25"/>
      <c r="R26" s="25"/>
      <c r="S26" s="26"/>
      <c r="T26" s="26"/>
      <c r="U26" s="26"/>
      <c r="V26" s="26"/>
      <c r="W26" s="26"/>
      <c r="X26" s="25"/>
      <c r="Y26" s="25"/>
      <c r="Z26" s="25"/>
      <c r="AA26" s="25"/>
      <c r="AB26" s="26"/>
      <c r="AC26" s="26"/>
      <c r="AD26" s="25"/>
      <c r="AE26" s="25"/>
      <c r="AF26" s="24">
        <f t="shared" si="3"/>
        <v>-161.99714285714285</v>
      </c>
      <c r="AG26" s="27">
        <f t="shared" si="4"/>
        <v>2.8571428571524393E-3</v>
      </c>
    </row>
    <row r="27" spans="1:33" s="29" customFormat="1" ht="23.25" customHeight="1" x14ac:dyDescent="0.2">
      <c r="A27" s="18">
        <v>43866</v>
      </c>
      <c r="B27" s="19"/>
      <c r="C27" s="20" t="s">
        <v>39</v>
      </c>
      <c r="D27" s="20" t="s">
        <v>40</v>
      </c>
      <c r="E27" s="20" t="s">
        <v>41</v>
      </c>
      <c r="F27" s="21">
        <v>152169</v>
      </c>
      <c r="G27" s="21" t="s">
        <v>211</v>
      </c>
      <c r="H27" s="22"/>
      <c r="I27" s="22"/>
      <c r="J27" s="22"/>
      <c r="K27" s="22">
        <v>242.5</v>
      </c>
      <c r="L27" s="23"/>
      <c r="M27" s="24">
        <f t="shared" si="0"/>
        <v>216.51785714285711</v>
      </c>
      <c r="N27" s="24">
        <f t="shared" si="1"/>
        <v>25.982142857142851</v>
      </c>
      <c r="O27" s="24">
        <f t="shared" si="2"/>
        <v>0</v>
      </c>
      <c r="P27" s="24">
        <v>216.52</v>
      </c>
      <c r="Q27" s="25"/>
      <c r="R27" s="25"/>
      <c r="S27" s="26"/>
      <c r="T27" s="26"/>
      <c r="U27" s="26"/>
      <c r="V27" s="26"/>
      <c r="W27" s="26"/>
      <c r="X27" s="25"/>
      <c r="Y27" s="25"/>
      <c r="Z27" s="25"/>
      <c r="AA27" s="25"/>
      <c r="AB27" s="26"/>
      <c r="AC27" s="26"/>
      <c r="AD27" s="25"/>
      <c r="AE27" s="25"/>
      <c r="AF27" s="24">
        <f t="shared" si="3"/>
        <v>-242.50214285714287</v>
      </c>
      <c r="AG27" s="27">
        <f t="shared" si="4"/>
        <v>-2.1428571428714349E-3</v>
      </c>
    </row>
    <row r="28" spans="1:33" s="29" customFormat="1" ht="23.25" customHeight="1" x14ac:dyDescent="0.2">
      <c r="A28" s="18">
        <v>43866</v>
      </c>
      <c r="B28" s="19"/>
      <c r="C28" s="20" t="s">
        <v>60</v>
      </c>
      <c r="D28" s="20"/>
      <c r="E28" s="20"/>
      <c r="F28" s="21"/>
      <c r="G28" s="21" t="s">
        <v>212</v>
      </c>
      <c r="H28" s="22">
        <v>45</v>
      </c>
      <c r="I28" s="22"/>
      <c r="J28" s="22"/>
      <c r="K28" s="22"/>
      <c r="L28" s="23"/>
      <c r="M28" s="24">
        <f t="shared" si="0"/>
        <v>45</v>
      </c>
      <c r="N28" s="24">
        <f t="shared" si="1"/>
        <v>0</v>
      </c>
      <c r="O28" s="24">
        <f t="shared" si="2"/>
        <v>0</v>
      </c>
      <c r="P28" s="24"/>
      <c r="Q28" s="25"/>
      <c r="R28" s="25"/>
      <c r="S28" s="26"/>
      <c r="T28" s="26"/>
      <c r="U28" s="26"/>
      <c r="V28" s="26"/>
      <c r="W28" s="26"/>
      <c r="X28" s="25"/>
      <c r="Y28" s="25"/>
      <c r="Z28" s="25"/>
      <c r="AA28" s="25">
        <v>45</v>
      </c>
      <c r="AB28" s="26"/>
      <c r="AC28" s="26"/>
      <c r="AD28" s="25"/>
      <c r="AE28" s="25"/>
      <c r="AF28" s="24">
        <f t="shared" si="3"/>
        <v>-45</v>
      </c>
      <c r="AG28" s="27">
        <f t="shared" si="4"/>
        <v>0</v>
      </c>
    </row>
    <row r="29" spans="1:33" s="29" customFormat="1" ht="23.25" customHeight="1" x14ac:dyDescent="0.2">
      <c r="A29" s="18">
        <v>43866</v>
      </c>
      <c r="B29" s="19"/>
      <c r="C29" s="20" t="s">
        <v>213</v>
      </c>
      <c r="D29" s="20" t="s">
        <v>214</v>
      </c>
      <c r="E29" s="20" t="s">
        <v>49</v>
      </c>
      <c r="F29" s="21">
        <v>194464</v>
      </c>
      <c r="G29" s="21" t="s">
        <v>215</v>
      </c>
      <c r="H29" s="22"/>
      <c r="I29" s="22"/>
      <c r="J29" s="22"/>
      <c r="K29" s="22">
        <v>955</v>
      </c>
      <c r="L29" s="23"/>
      <c r="M29" s="24">
        <f t="shared" si="0"/>
        <v>852.67857142857133</v>
      </c>
      <c r="N29" s="24">
        <f t="shared" si="1"/>
        <v>102.32142857142856</v>
      </c>
      <c r="O29" s="24">
        <f t="shared" si="2"/>
        <v>0</v>
      </c>
      <c r="P29" s="24"/>
      <c r="Q29" s="25"/>
      <c r="R29" s="25"/>
      <c r="S29" s="26">
        <v>852.68</v>
      </c>
      <c r="T29" s="26"/>
      <c r="U29" s="26"/>
      <c r="V29" s="26"/>
      <c r="W29" s="26"/>
      <c r="X29" s="25"/>
      <c r="Y29" s="25"/>
      <c r="Z29" s="25"/>
      <c r="AA29" s="25"/>
      <c r="AB29" s="26"/>
      <c r="AC29" s="26"/>
      <c r="AD29" s="25"/>
      <c r="AE29" s="25"/>
      <c r="AF29" s="24">
        <f t="shared" si="3"/>
        <v>-955.00142857142851</v>
      </c>
      <c r="AG29" s="27">
        <f t="shared" si="4"/>
        <v>-1.4285714285051654E-3</v>
      </c>
    </row>
    <row r="30" spans="1:33" s="29" customFormat="1" ht="23.25" customHeight="1" x14ac:dyDescent="0.2">
      <c r="A30" s="18">
        <v>43866</v>
      </c>
      <c r="B30" s="19"/>
      <c r="C30" s="20" t="s">
        <v>103</v>
      </c>
      <c r="D30" s="20"/>
      <c r="E30" s="20"/>
      <c r="F30" s="21"/>
      <c r="G30" s="21" t="s">
        <v>104</v>
      </c>
      <c r="H30" s="22"/>
      <c r="I30" s="22"/>
      <c r="J30" s="22">
        <v>300</v>
      </c>
      <c r="K30" s="22"/>
      <c r="L30" s="23"/>
      <c r="M30" s="24">
        <f t="shared" si="0"/>
        <v>300</v>
      </c>
      <c r="N30" s="24">
        <f t="shared" si="1"/>
        <v>0</v>
      </c>
      <c r="O30" s="24">
        <f t="shared" si="2"/>
        <v>0</v>
      </c>
      <c r="P30" s="24">
        <v>300</v>
      </c>
      <c r="Q30" s="25"/>
      <c r="R30" s="25"/>
      <c r="S30" s="26"/>
      <c r="T30" s="26"/>
      <c r="U30" s="26"/>
      <c r="V30" s="26"/>
      <c r="W30" s="26"/>
      <c r="X30" s="25"/>
      <c r="Y30" s="25"/>
      <c r="Z30" s="25"/>
      <c r="AA30" s="25"/>
      <c r="AB30" s="26"/>
      <c r="AC30" s="26"/>
      <c r="AD30" s="25"/>
      <c r="AE30" s="25"/>
      <c r="AF30" s="24">
        <f t="shared" si="3"/>
        <v>-300</v>
      </c>
      <c r="AG30" s="27">
        <f t="shared" si="4"/>
        <v>0</v>
      </c>
    </row>
    <row r="31" spans="1:33" s="29" customFormat="1" ht="23.25" customHeight="1" x14ac:dyDescent="0.2">
      <c r="A31" s="18">
        <v>43866</v>
      </c>
      <c r="B31" s="19"/>
      <c r="C31" s="20" t="s">
        <v>39</v>
      </c>
      <c r="D31" s="20" t="s">
        <v>40</v>
      </c>
      <c r="E31" s="20" t="s">
        <v>41</v>
      </c>
      <c r="F31" s="21">
        <v>101477</v>
      </c>
      <c r="G31" s="30" t="s">
        <v>216</v>
      </c>
      <c r="H31" s="22"/>
      <c r="I31" s="22"/>
      <c r="J31" s="22"/>
      <c r="K31" s="22">
        <v>752</v>
      </c>
      <c r="L31" s="23"/>
      <c r="M31" s="24">
        <f t="shared" si="0"/>
        <v>671.42857142857133</v>
      </c>
      <c r="N31" s="24">
        <f t="shared" si="1"/>
        <v>80.571428571428555</v>
      </c>
      <c r="O31" s="24">
        <f t="shared" si="2"/>
        <v>0</v>
      </c>
      <c r="P31" s="24">
        <v>671.43</v>
      </c>
      <c r="Q31" s="25"/>
      <c r="R31" s="25"/>
      <c r="S31" s="26"/>
      <c r="T31" s="26"/>
      <c r="U31" s="26"/>
      <c r="V31" s="26"/>
      <c r="W31" s="26"/>
      <c r="X31" s="25"/>
      <c r="Y31" s="25"/>
      <c r="Z31" s="25"/>
      <c r="AA31" s="25"/>
      <c r="AB31" s="26"/>
      <c r="AC31" s="26"/>
      <c r="AD31" s="25"/>
      <c r="AE31" s="25"/>
      <c r="AF31" s="24">
        <f t="shared" si="3"/>
        <v>-752.00142857142851</v>
      </c>
      <c r="AG31" s="27">
        <f t="shared" si="4"/>
        <v>-1.4285714285051654E-3</v>
      </c>
    </row>
    <row r="32" spans="1:33" s="29" customFormat="1" ht="23.25" customHeight="1" x14ac:dyDescent="0.2">
      <c r="A32" s="18">
        <v>43866</v>
      </c>
      <c r="B32" s="19"/>
      <c r="C32" s="20" t="s">
        <v>217</v>
      </c>
      <c r="D32" s="20" t="s">
        <v>185</v>
      </c>
      <c r="E32" s="20" t="s">
        <v>49</v>
      </c>
      <c r="F32" s="21">
        <v>6235</v>
      </c>
      <c r="G32" s="30" t="s">
        <v>218</v>
      </c>
      <c r="H32" s="22"/>
      <c r="I32" s="22"/>
      <c r="J32" s="22"/>
      <c r="K32" s="22">
        <v>107</v>
      </c>
      <c r="L32" s="23"/>
      <c r="M32" s="24">
        <f t="shared" si="0"/>
        <v>95.535714285714278</v>
      </c>
      <c r="N32" s="24">
        <f t="shared" si="1"/>
        <v>11.464285714285714</v>
      </c>
      <c r="O32" s="24">
        <f t="shared" si="2"/>
        <v>0</v>
      </c>
      <c r="P32" s="24"/>
      <c r="Q32" s="25"/>
      <c r="R32" s="25"/>
      <c r="S32" s="26"/>
      <c r="T32" s="26"/>
      <c r="U32" s="26"/>
      <c r="V32" s="26"/>
      <c r="W32" s="26"/>
      <c r="X32" s="25"/>
      <c r="Y32" s="25">
        <v>95.54</v>
      </c>
      <c r="Z32" s="25"/>
      <c r="AA32" s="25"/>
      <c r="AB32" s="26"/>
      <c r="AC32" s="26"/>
      <c r="AD32" s="25"/>
      <c r="AE32" s="25"/>
      <c r="AF32" s="24">
        <f t="shared" si="3"/>
        <v>-107.00428571428571</v>
      </c>
      <c r="AG32" s="27">
        <f t="shared" si="4"/>
        <v>-4.2857142857144481E-3</v>
      </c>
    </row>
    <row r="33" spans="1:33" s="42" customFormat="1" ht="23.25" customHeight="1" x14ac:dyDescent="0.2">
      <c r="A33" s="54">
        <v>43866</v>
      </c>
      <c r="B33" s="55"/>
      <c r="C33" s="56" t="s">
        <v>45</v>
      </c>
      <c r="D33" s="56"/>
      <c r="E33" s="56"/>
      <c r="F33" s="57"/>
      <c r="G33" s="57"/>
      <c r="H33" s="58">
        <v>300</v>
      </c>
      <c r="I33" s="58"/>
      <c r="J33" s="58"/>
      <c r="K33" s="58"/>
      <c r="L33" s="59"/>
      <c r="M33" s="60">
        <f t="shared" si="0"/>
        <v>300</v>
      </c>
      <c r="N33" s="60">
        <f t="shared" si="1"/>
        <v>0</v>
      </c>
      <c r="O33" s="60">
        <f t="shared" si="2"/>
        <v>0</v>
      </c>
      <c r="P33" s="60">
        <v>300</v>
      </c>
      <c r="Q33" s="44"/>
      <c r="R33" s="44"/>
      <c r="S33" s="61"/>
      <c r="T33" s="61"/>
      <c r="U33" s="61"/>
      <c r="V33" s="61"/>
      <c r="W33" s="61"/>
      <c r="X33" s="44"/>
      <c r="Y33" s="44"/>
      <c r="Z33" s="44"/>
      <c r="AA33" s="44"/>
      <c r="AB33" s="61"/>
      <c r="AC33" s="61"/>
      <c r="AD33" s="44"/>
      <c r="AE33" s="44"/>
      <c r="AF33" s="60">
        <f t="shared" si="3"/>
        <v>-300</v>
      </c>
      <c r="AG33" s="41">
        <f t="shared" si="4"/>
        <v>0</v>
      </c>
    </row>
    <row r="34" spans="1:33" s="29" customFormat="1" ht="23.25" customHeight="1" x14ac:dyDescent="0.2">
      <c r="A34" s="18">
        <v>43867</v>
      </c>
      <c r="B34" s="19"/>
      <c r="C34" s="20" t="s">
        <v>55</v>
      </c>
      <c r="D34" s="20" t="s">
        <v>56</v>
      </c>
      <c r="E34" s="20" t="s">
        <v>57</v>
      </c>
      <c r="F34" s="21">
        <v>217794</v>
      </c>
      <c r="G34" s="21" t="s">
        <v>58</v>
      </c>
      <c r="H34" s="22"/>
      <c r="I34" s="22"/>
      <c r="J34" s="22"/>
      <c r="K34" s="22">
        <v>180</v>
      </c>
      <c r="L34" s="23"/>
      <c r="M34" s="24">
        <f t="shared" si="0"/>
        <v>160.71428571428569</v>
      </c>
      <c r="N34" s="24">
        <f t="shared" si="1"/>
        <v>19.285714285714281</v>
      </c>
      <c r="O34" s="24">
        <f t="shared" si="2"/>
        <v>0</v>
      </c>
      <c r="P34" s="24"/>
      <c r="Q34" s="25">
        <v>160.71</v>
      </c>
      <c r="R34" s="25"/>
      <c r="S34" s="26"/>
      <c r="T34" s="26"/>
      <c r="U34" s="26"/>
      <c r="V34" s="26"/>
      <c r="W34" s="26"/>
      <c r="X34" s="25"/>
      <c r="Y34" s="25"/>
      <c r="Z34" s="25"/>
      <c r="AA34" s="25"/>
      <c r="AB34" s="26"/>
      <c r="AC34" s="26"/>
      <c r="AD34" s="25"/>
      <c r="AE34" s="25"/>
      <c r="AF34" s="24">
        <f t="shared" si="3"/>
        <v>-179.99571428571429</v>
      </c>
      <c r="AG34" s="27">
        <f t="shared" si="4"/>
        <v>4.2857142857144481E-3</v>
      </c>
    </row>
    <row r="35" spans="1:33" s="29" customFormat="1" ht="23.25" customHeight="1" x14ac:dyDescent="0.2">
      <c r="A35" s="18">
        <v>43867</v>
      </c>
      <c r="B35" s="19"/>
      <c r="C35" s="20" t="s">
        <v>47</v>
      </c>
      <c r="D35" s="20" t="s">
        <v>48</v>
      </c>
      <c r="E35" s="20" t="s">
        <v>49</v>
      </c>
      <c r="F35" s="21">
        <v>184665</v>
      </c>
      <c r="G35" s="21" t="s">
        <v>219</v>
      </c>
      <c r="H35" s="22"/>
      <c r="I35" s="22"/>
      <c r="J35" s="22"/>
      <c r="K35" s="22">
        <v>130</v>
      </c>
      <c r="L35" s="23"/>
      <c r="M35" s="24">
        <f t="shared" si="0"/>
        <v>116.07142857142856</v>
      </c>
      <c r="N35" s="24">
        <f t="shared" si="1"/>
        <v>13.928571428571425</v>
      </c>
      <c r="O35" s="24">
        <f t="shared" si="2"/>
        <v>0</v>
      </c>
      <c r="P35" s="24">
        <v>116.07</v>
      </c>
      <c r="Q35" s="25"/>
      <c r="R35" s="25"/>
      <c r="S35" s="26"/>
      <c r="T35" s="26"/>
      <c r="U35" s="26"/>
      <c r="V35" s="26"/>
      <c r="W35" s="26"/>
      <c r="X35" s="25"/>
      <c r="Y35" s="25"/>
      <c r="Z35" s="25"/>
      <c r="AA35" s="25"/>
      <c r="AB35" s="26"/>
      <c r="AC35" s="26"/>
      <c r="AD35" s="25"/>
      <c r="AE35" s="25"/>
      <c r="AF35" s="24">
        <f t="shared" si="3"/>
        <v>-129.99857142857141</v>
      </c>
      <c r="AG35" s="27">
        <f t="shared" si="4"/>
        <v>1.4285714285904305E-3</v>
      </c>
    </row>
    <row r="36" spans="1:33" s="29" customFormat="1" ht="23.25" customHeight="1" x14ac:dyDescent="0.2">
      <c r="A36" s="18">
        <v>43867</v>
      </c>
      <c r="B36" s="19"/>
      <c r="C36" s="20" t="s">
        <v>39</v>
      </c>
      <c r="D36" s="20" t="s">
        <v>40</v>
      </c>
      <c r="E36" s="20" t="s">
        <v>41</v>
      </c>
      <c r="F36" s="21">
        <v>123298</v>
      </c>
      <c r="G36" s="21" t="s">
        <v>220</v>
      </c>
      <c r="H36" s="22"/>
      <c r="I36" s="22"/>
      <c r="J36" s="22"/>
      <c r="K36" s="22">
        <v>964</v>
      </c>
      <c r="L36" s="23"/>
      <c r="M36" s="24">
        <f t="shared" si="0"/>
        <v>860.71428571428567</v>
      </c>
      <c r="N36" s="24">
        <f t="shared" si="1"/>
        <v>103.28571428571428</v>
      </c>
      <c r="O36" s="24">
        <f t="shared" si="2"/>
        <v>0</v>
      </c>
      <c r="P36" s="24">
        <v>860.71</v>
      </c>
      <c r="Q36" s="25"/>
      <c r="R36" s="25"/>
      <c r="S36" s="26"/>
      <c r="T36" s="26"/>
      <c r="U36" s="26"/>
      <c r="V36" s="26"/>
      <c r="W36" s="26"/>
      <c r="X36" s="25"/>
      <c r="Y36" s="25"/>
      <c r="Z36" s="25"/>
      <c r="AA36" s="25"/>
      <c r="AB36" s="26"/>
      <c r="AC36" s="26"/>
      <c r="AD36" s="25"/>
      <c r="AE36" s="25"/>
      <c r="AF36" s="24">
        <f t="shared" si="3"/>
        <v>-963.99571428571426</v>
      </c>
      <c r="AG36" s="27">
        <f t="shared" si="4"/>
        <v>4.2857142857428698E-3</v>
      </c>
    </row>
    <row r="37" spans="1:33" s="29" customFormat="1" ht="23.25" customHeight="1" x14ac:dyDescent="0.2">
      <c r="A37" s="18">
        <v>43867</v>
      </c>
      <c r="B37" s="19"/>
      <c r="C37" s="20" t="s">
        <v>45</v>
      </c>
      <c r="D37" s="20"/>
      <c r="E37" s="20"/>
      <c r="F37" s="21"/>
      <c r="G37" s="21" t="s">
        <v>98</v>
      </c>
      <c r="H37" s="22"/>
      <c r="I37" s="22"/>
      <c r="J37" s="22">
        <v>500</v>
      </c>
      <c r="K37" s="22"/>
      <c r="L37" s="23"/>
      <c r="M37" s="24">
        <f t="shared" ref="M37:M68" si="5">SUM(H37:J37,K37/1.12)</f>
        <v>500</v>
      </c>
      <c r="N37" s="24">
        <f t="shared" ref="N37:N68" si="6">K37/1.12*0.12</f>
        <v>0</v>
      </c>
      <c r="O37" s="24">
        <f t="shared" si="2"/>
        <v>0</v>
      </c>
      <c r="P37" s="24">
        <v>500</v>
      </c>
      <c r="Q37" s="25"/>
      <c r="R37" s="25"/>
      <c r="S37" s="26"/>
      <c r="T37" s="26"/>
      <c r="U37" s="26"/>
      <c r="V37" s="26"/>
      <c r="W37" s="26"/>
      <c r="X37" s="25"/>
      <c r="Y37" s="25"/>
      <c r="Z37" s="25"/>
      <c r="AA37" s="25"/>
      <c r="AB37" s="26"/>
      <c r="AC37" s="26"/>
      <c r="AD37" s="25"/>
      <c r="AE37" s="25"/>
      <c r="AF37" s="24">
        <f t="shared" ref="AF37:AF68" si="7">-SUM(N37:AE37)</f>
        <v>-500</v>
      </c>
      <c r="AG37" s="27">
        <f t="shared" ref="AG37:AG68" si="8">SUM(H37:K37)+AF37+O37</f>
        <v>0</v>
      </c>
    </row>
    <row r="38" spans="1:33" s="29" customFormat="1" ht="23.25" customHeight="1" x14ac:dyDescent="0.2">
      <c r="A38" s="18">
        <v>43867</v>
      </c>
      <c r="B38" s="19"/>
      <c r="C38" s="20" t="s">
        <v>39</v>
      </c>
      <c r="D38" s="20" t="s">
        <v>40</v>
      </c>
      <c r="E38" s="20" t="s">
        <v>41</v>
      </c>
      <c r="F38" s="21">
        <v>98882</v>
      </c>
      <c r="G38" s="21" t="s">
        <v>221</v>
      </c>
      <c r="H38" s="22"/>
      <c r="I38" s="22"/>
      <c r="J38" s="22"/>
      <c r="K38" s="22">
        <v>122</v>
      </c>
      <c r="L38" s="23"/>
      <c r="M38" s="24">
        <f t="shared" si="5"/>
        <v>108.92857142857142</v>
      </c>
      <c r="N38" s="24">
        <f t="shared" si="6"/>
        <v>13.071428571428569</v>
      </c>
      <c r="O38" s="24">
        <f t="shared" si="2"/>
        <v>0</v>
      </c>
      <c r="P38" s="24"/>
      <c r="Q38" s="25">
        <v>108.93</v>
      </c>
      <c r="R38" s="25"/>
      <c r="S38" s="26"/>
      <c r="T38" s="26"/>
      <c r="U38" s="26"/>
      <c r="V38" s="26"/>
      <c r="W38" s="26"/>
      <c r="X38" s="25"/>
      <c r="Y38" s="25"/>
      <c r="Z38" s="25"/>
      <c r="AA38" s="25"/>
      <c r="AB38" s="26"/>
      <c r="AC38" s="26"/>
      <c r="AD38" s="25"/>
      <c r="AE38" s="25"/>
      <c r="AF38" s="24">
        <f t="shared" si="7"/>
        <v>-122.00142857142858</v>
      </c>
      <c r="AG38" s="27">
        <f t="shared" si="8"/>
        <v>-1.4285714285762197E-3</v>
      </c>
    </row>
    <row r="39" spans="1:33" s="29" customFormat="1" ht="23.25" customHeight="1" x14ac:dyDescent="0.2">
      <c r="A39" s="18">
        <v>43867</v>
      </c>
      <c r="B39" s="19"/>
      <c r="C39" s="20" t="s">
        <v>37</v>
      </c>
      <c r="D39" s="20"/>
      <c r="E39" s="20"/>
      <c r="F39" s="21"/>
      <c r="G39" s="21" t="s">
        <v>38</v>
      </c>
      <c r="H39" s="22">
        <v>164</v>
      </c>
      <c r="I39" s="22"/>
      <c r="J39" s="22"/>
      <c r="K39" s="22"/>
      <c r="L39" s="23"/>
      <c r="M39" s="24">
        <f t="shared" si="5"/>
        <v>164</v>
      </c>
      <c r="N39" s="24">
        <f t="shared" si="6"/>
        <v>0</v>
      </c>
      <c r="O39" s="24">
        <f t="shared" si="2"/>
        <v>0</v>
      </c>
      <c r="P39" s="24"/>
      <c r="Q39" s="25"/>
      <c r="R39" s="25"/>
      <c r="S39" s="26"/>
      <c r="T39" s="26"/>
      <c r="U39" s="26"/>
      <c r="V39" s="26"/>
      <c r="W39" s="26"/>
      <c r="X39" s="25"/>
      <c r="Y39" s="25"/>
      <c r="Z39" s="25"/>
      <c r="AA39" s="25">
        <v>164</v>
      </c>
      <c r="AB39" s="26"/>
      <c r="AC39" s="26"/>
      <c r="AD39" s="25"/>
      <c r="AE39" s="25"/>
      <c r="AF39" s="24">
        <f t="shared" si="7"/>
        <v>-164</v>
      </c>
      <c r="AG39" s="27">
        <f t="shared" si="8"/>
        <v>0</v>
      </c>
    </row>
    <row r="40" spans="1:33" s="29" customFormat="1" ht="23.25" customHeight="1" x14ac:dyDescent="0.2">
      <c r="A40" s="18">
        <v>43867</v>
      </c>
      <c r="B40" s="19"/>
      <c r="C40" s="20" t="s">
        <v>143</v>
      </c>
      <c r="D40" s="20" t="s">
        <v>144</v>
      </c>
      <c r="E40" s="20" t="s">
        <v>41</v>
      </c>
      <c r="F40" s="21">
        <v>35760</v>
      </c>
      <c r="G40" s="21" t="s">
        <v>145</v>
      </c>
      <c r="H40" s="22"/>
      <c r="I40" s="22"/>
      <c r="J40" s="22"/>
      <c r="K40" s="22">
        <v>130</v>
      </c>
      <c r="L40" s="23"/>
      <c r="M40" s="24">
        <f t="shared" si="5"/>
        <v>116.07142857142856</v>
      </c>
      <c r="N40" s="24">
        <f t="shared" si="6"/>
        <v>13.928571428571425</v>
      </c>
      <c r="O40" s="24">
        <f t="shared" si="2"/>
        <v>0</v>
      </c>
      <c r="P40" s="24">
        <v>116.07</v>
      </c>
      <c r="Q40" s="25"/>
      <c r="R40" s="25"/>
      <c r="S40" s="26"/>
      <c r="T40" s="26"/>
      <c r="U40" s="26"/>
      <c r="V40" s="26"/>
      <c r="W40" s="26"/>
      <c r="X40" s="25"/>
      <c r="Y40" s="25"/>
      <c r="Z40" s="25"/>
      <c r="AA40" s="25"/>
      <c r="AB40" s="26"/>
      <c r="AC40" s="26"/>
      <c r="AD40" s="25"/>
      <c r="AE40" s="25"/>
      <c r="AF40" s="24">
        <f t="shared" si="7"/>
        <v>-129.99857142857141</v>
      </c>
      <c r="AG40" s="27">
        <f t="shared" si="8"/>
        <v>1.4285714285904305E-3</v>
      </c>
    </row>
    <row r="41" spans="1:33" s="29" customFormat="1" ht="23.25" customHeight="1" x14ac:dyDescent="0.2">
      <c r="A41" s="18">
        <v>43868</v>
      </c>
      <c r="B41" s="19"/>
      <c r="C41" s="20" t="s">
        <v>39</v>
      </c>
      <c r="D41" s="20" t="s">
        <v>40</v>
      </c>
      <c r="E41" s="20" t="s">
        <v>41</v>
      </c>
      <c r="F41" s="21">
        <v>134019</v>
      </c>
      <c r="G41" s="21" t="s">
        <v>222</v>
      </c>
      <c r="H41" s="22"/>
      <c r="I41" s="22"/>
      <c r="J41" s="22"/>
      <c r="K41" s="22">
        <v>260.25</v>
      </c>
      <c r="L41" s="23"/>
      <c r="M41" s="24">
        <f t="shared" si="5"/>
        <v>232.36607142857142</v>
      </c>
      <c r="N41" s="24">
        <f t="shared" si="6"/>
        <v>27.883928571428569</v>
      </c>
      <c r="O41" s="24">
        <f t="shared" si="2"/>
        <v>0</v>
      </c>
      <c r="P41" s="25">
        <v>232.37</v>
      </c>
      <c r="Q41" s="25"/>
      <c r="R41" s="25"/>
      <c r="S41" s="26"/>
      <c r="T41" s="26"/>
      <c r="U41" s="26"/>
      <c r="V41" s="26"/>
      <c r="W41" s="26"/>
      <c r="X41" s="25"/>
      <c r="Y41" s="25"/>
      <c r="Z41" s="25"/>
      <c r="AA41" s="25"/>
      <c r="AB41" s="26"/>
      <c r="AC41" s="26"/>
      <c r="AD41" s="25"/>
      <c r="AE41" s="25"/>
      <c r="AF41" s="24">
        <f t="shared" si="7"/>
        <v>-260.25392857142856</v>
      </c>
      <c r="AG41" s="27">
        <f t="shared" si="8"/>
        <v>-3.9285714285597351E-3</v>
      </c>
    </row>
    <row r="42" spans="1:33" s="29" customFormat="1" ht="23.25" customHeight="1" x14ac:dyDescent="0.2">
      <c r="A42" s="18">
        <v>43868</v>
      </c>
      <c r="B42" s="19"/>
      <c r="C42" s="20" t="s">
        <v>47</v>
      </c>
      <c r="D42" s="20" t="s">
        <v>48</v>
      </c>
      <c r="E42" s="20" t="s">
        <v>49</v>
      </c>
      <c r="F42" s="21">
        <v>201041</v>
      </c>
      <c r="G42" s="21" t="s">
        <v>223</v>
      </c>
      <c r="H42" s="22"/>
      <c r="I42" s="22"/>
      <c r="J42" s="22"/>
      <c r="K42" s="22">
        <v>1888.95</v>
      </c>
      <c r="L42" s="23"/>
      <c r="M42" s="24">
        <f t="shared" si="5"/>
        <v>1686.5624999999998</v>
      </c>
      <c r="N42" s="24">
        <f t="shared" si="6"/>
        <v>202.38749999999996</v>
      </c>
      <c r="O42" s="24">
        <f t="shared" si="2"/>
        <v>0</v>
      </c>
      <c r="P42" s="24">
        <v>1686.56</v>
      </c>
      <c r="Q42" s="25"/>
      <c r="R42" s="25"/>
      <c r="S42" s="26"/>
      <c r="T42" s="26"/>
      <c r="U42" s="26"/>
      <c r="V42" s="26"/>
      <c r="W42" s="26"/>
      <c r="X42" s="25"/>
      <c r="Y42" s="25"/>
      <c r="Z42" s="25"/>
      <c r="AA42" s="25"/>
      <c r="AB42" s="26"/>
      <c r="AC42" s="26"/>
      <c r="AD42" s="25"/>
      <c r="AE42" s="25"/>
      <c r="AF42" s="24">
        <f t="shared" si="7"/>
        <v>-1888.9475</v>
      </c>
      <c r="AG42" s="27">
        <f t="shared" si="8"/>
        <v>2.5000000000545697E-3</v>
      </c>
    </row>
    <row r="43" spans="1:33" s="29" customFormat="1" ht="23.25" customHeight="1" x14ac:dyDescent="0.2">
      <c r="A43" s="18">
        <v>43868</v>
      </c>
      <c r="B43" s="19"/>
      <c r="C43" s="20" t="s">
        <v>55</v>
      </c>
      <c r="D43" s="20" t="s">
        <v>56</v>
      </c>
      <c r="E43" s="20" t="s">
        <v>57</v>
      </c>
      <c r="F43" s="21">
        <v>223742</v>
      </c>
      <c r="G43" s="21" t="s">
        <v>58</v>
      </c>
      <c r="H43" s="22"/>
      <c r="I43" s="22"/>
      <c r="J43" s="22"/>
      <c r="K43" s="22">
        <v>180</v>
      </c>
      <c r="L43" s="23"/>
      <c r="M43" s="24">
        <f t="shared" si="5"/>
        <v>160.71428571428569</v>
      </c>
      <c r="N43" s="24">
        <f t="shared" si="6"/>
        <v>19.285714285714281</v>
      </c>
      <c r="O43" s="24">
        <f t="shared" si="2"/>
        <v>0</v>
      </c>
      <c r="P43" s="24"/>
      <c r="Q43" s="25">
        <v>160.71</v>
      </c>
      <c r="R43" s="25"/>
      <c r="S43" s="26"/>
      <c r="T43" s="26"/>
      <c r="U43" s="26"/>
      <c r="V43" s="26"/>
      <c r="W43" s="26"/>
      <c r="X43" s="25"/>
      <c r="Y43" s="25"/>
      <c r="Z43" s="25"/>
      <c r="AA43" s="25"/>
      <c r="AB43" s="26"/>
      <c r="AC43" s="26"/>
      <c r="AD43" s="25"/>
      <c r="AE43" s="25"/>
      <c r="AF43" s="24">
        <f t="shared" si="7"/>
        <v>-179.99571428571429</v>
      </c>
      <c r="AG43" s="27">
        <f t="shared" si="8"/>
        <v>4.2857142857144481E-3</v>
      </c>
    </row>
    <row r="44" spans="1:33" s="29" customFormat="1" ht="23.25" customHeight="1" x14ac:dyDescent="0.2">
      <c r="A44" s="18">
        <v>43868</v>
      </c>
      <c r="B44" s="19"/>
      <c r="C44" s="20" t="s">
        <v>224</v>
      </c>
      <c r="D44" s="20" t="s">
        <v>225</v>
      </c>
      <c r="E44" s="20" t="s">
        <v>49</v>
      </c>
      <c r="F44" s="21">
        <v>145250</v>
      </c>
      <c r="G44" s="21" t="s">
        <v>226</v>
      </c>
      <c r="H44" s="22"/>
      <c r="I44" s="22"/>
      <c r="J44" s="22"/>
      <c r="K44" s="22">
        <v>19</v>
      </c>
      <c r="L44" s="23"/>
      <c r="M44" s="24">
        <f t="shared" si="5"/>
        <v>16.964285714285712</v>
      </c>
      <c r="N44" s="24">
        <f t="shared" si="6"/>
        <v>2.0357142857142851</v>
      </c>
      <c r="O44" s="24">
        <f t="shared" si="2"/>
        <v>0</v>
      </c>
      <c r="P44" s="24">
        <v>16.96</v>
      </c>
      <c r="Q44" s="25"/>
      <c r="R44" s="25"/>
      <c r="S44" s="26"/>
      <c r="T44" s="26"/>
      <c r="U44" s="26"/>
      <c r="V44" s="26"/>
      <c r="W44" s="26"/>
      <c r="X44" s="25"/>
      <c r="Y44" s="25"/>
      <c r="Z44" s="25"/>
      <c r="AA44" s="25"/>
      <c r="AB44" s="26"/>
      <c r="AC44" s="26"/>
      <c r="AD44" s="25"/>
      <c r="AE44" s="25"/>
      <c r="AF44" s="24">
        <f t="shared" si="7"/>
        <v>-18.995714285714286</v>
      </c>
      <c r="AG44" s="27">
        <f t="shared" si="8"/>
        <v>4.2857142857144481E-3</v>
      </c>
    </row>
    <row r="45" spans="1:33" s="29" customFormat="1" ht="23.25" customHeight="1" x14ac:dyDescent="0.2">
      <c r="A45" s="18">
        <v>43869</v>
      </c>
      <c r="B45" s="19"/>
      <c r="C45" s="20" t="s">
        <v>39</v>
      </c>
      <c r="D45" s="20" t="s">
        <v>40</v>
      </c>
      <c r="E45" s="20" t="s">
        <v>41</v>
      </c>
      <c r="F45" s="21">
        <v>700759</v>
      </c>
      <c r="G45" s="21" t="s">
        <v>190</v>
      </c>
      <c r="H45" s="22"/>
      <c r="I45" s="22"/>
      <c r="J45" s="22"/>
      <c r="K45" s="22">
        <v>239</v>
      </c>
      <c r="L45" s="23"/>
      <c r="M45" s="24">
        <f t="shared" si="5"/>
        <v>213.39285714285711</v>
      </c>
      <c r="N45" s="24">
        <f t="shared" si="6"/>
        <v>25.607142857142851</v>
      </c>
      <c r="O45" s="24">
        <f t="shared" si="2"/>
        <v>0</v>
      </c>
      <c r="P45" s="24">
        <v>213.39</v>
      </c>
      <c r="Q45" s="25"/>
      <c r="R45" s="25"/>
      <c r="S45" s="26"/>
      <c r="T45" s="26"/>
      <c r="U45" s="26"/>
      <c r="V45" s="26"/>
      <c r="W45" s="26"/>
      <c r="X45" s="25"/>
      <c r="Y45" s="25"/>
      <c r="Z45" s="25"/>
      <c r="AA45" s="25"/>
      <c r="AB45" s="26"/>
      <c r="AC45" s="26"/>
      <c r="AD45" s="25"/>
      <c r="AE45" s="25"/>
      <c r="AF45" s="24">
        <f t="shared" si="7"/>
        <v>-238.99714285714285</v>
      </c>
      <c r="AG45" s="27">
        <f t="shared" si="8"/>
        <v>2.8571428571524393E-3</v>
      </c>
    </row>
    <row r="46" spans="1:33" s="29" customFormat="1" ht="23.25" customHeight="1" x14ac:dyDescent="0.2">
      <c r="A46" s="18">
        <v>43869</v>
      </c>
      <c r="B46" s="19"/>
      <c r="C46" s="20" t="s">
        <v>106</v>
      </c>
      <c r="D46" s="20" t="s">
        <v>107</v>
      </c>
      <c r="E46" s="20" t="s">
        <v>49</v>
      </c>
      <c r="F46" s="21">
        <v>800151</v>
      </c>
      <c r="G46" s="21" t="s">
        <v>227</v>
      </c>
      <c r="H46" s="22"/>
      <c r="I46" s="22"/>
      <c r="J46" s="22"/>
      <c r="K46" s="22">
        <f>27.5+260</f>
        <v>287.5</v>
      </c>
      <c r="L46" s="23"/>
      <c r="M46" s="24">
        <f t="shared" si="5"/>
        <v>256.69642857142856</v>
      </c>
      <c r="N46" s="24">
        <f t="shared" si="6"/>
        <v>30.803571428571427</v>
      </c>
      <c r="O46" s="24">
        <f t="shared" si="2"/>
        <v>0</v>
      </c>
      <c r="P46" s="24">
        <v>256.7</v>
      </c>
      <c r="Q46" s="25"/>
      <c r="R46" s="25"/>
      <c r="S46" s="26"/>
      <c r="T46" s="26"/>
      <c r="U46" s="26"/>
      <c r="V46" s="26"/>
      <c r="W46" s="26"/>
      <c r="X46" s="25"/>
      <c r="Y46" s="25"/>
      <c r="Z46" s="25"/>
      <c r="AA46" s="25"/>
      <c r="AB46" s="26"/>
      <c r="AC46" s="26"/>
      <c r="AD46" s="25"/>
      <c r="AE46" s="25"/>
      <c r="AF46" s="24">
        <f t="shared" si="7"/>
        <v>-287.50357142857143</v>
      </c>
      <c r="AG46" s="27">
        <f t="shared" si="8"/>
        <v>-3.5714285714334437E-3</v>
      </c>
    </row>
    <row r="47" spans="1:33" s="29" customFormat="1" ht="23.25" customHeight="1" x14ac:dyDescent="0.2">
      <c r="A47" s="18">
        <v>43869</v>
      </c>
      <c r="B47" s="19"/>
      <c r="C47" s="20" t="s">
        <v>106</v>
      </c>
      <c r="D47" s="20" t="s">
        <v>107</v>
      </c>
      <c r="E47" s="20" t="s">
        <v>49</v>
      </c>
      <c r="F47" s="21">
        <v>800151</v>
      </c>
      <c r="G47" s="21" t="s">
        <v>228</v>
      </c>
      <c r="H47" s="22"/>
      <c r="I47" s="22"/>
      <c r="J47" s="22"/>
      <c r="K47" s="22">
        <v>45</v>
      </c>
      <c r="L47" s="23"/>
      <c r="M47" s="24">
        <f t="shared" si="5"/>
        <v>40.178571428571423</v>
      </c>
      <c r="N47" s="24">
        <f t="shared" si="6"/>
        <v>4.8214285714285703</v>
      </c>
      <c r="O47" s="24">
        <f t="shared" si="2"/>
        <v>0</v>
      </c>
      <c r="P47" s="24"/>
      <c r="Q47" s="25"/>
      <c r="R47" s="25"/>
      <c r="S47" s="26"/>
      <c r="T47" s="26"/>
      <c r="U47" s="26"/>
      <c r="V47" s="26"/>
      <c r="W47" s="26"/>
      <c r="X47" s="25"/>
      <c r="Y47" s="25"/>
      <c r="Z47" s="25">
        <v>40.18</v>
      </c>
      <c r="AA47" s="25"/>
      <c r="AB47" s="26"/>
      <c r="AC47" s="26"/>
      <c r="AD47" s="25"/>
      <c r="AE47" s="25"/>
      <c r="AF47" s="24">
        <f t="shared" si="7"/>
        <v>-45.001428571428569</v>
      </c>
      <c r="AG47" s="27">
        <f t="shared" si="8"/>
        <v>-1.4285714285691142E-3</v>
      </c>
    </row>
    <row r="48" spans="1:33" s="29" customFormat="1" ht="23.25" customHeight="1" x14ac:dyDescent="0.2">
      <c r="A48" s="18">
        <v>43869</v>
      </c>
      <c r="B48" s="19"/>
      <c r="C48" s="20" t="s">
        <v>39</v>
      </c>
      <c r="D48" s="20" t="s">
        <v>40</v>
      </c>
      <c r="E48" s="20" t="s">
        <v>41</v>
      </c>
      <c r="F48" s="21">
        <v>134313</v>
      </c>
      <c r="G48" s="21" t="s">
        <v>229</v>
      </c>
      <c r="H48" s="22"/>
      <c r="I48" s="22"/>
      <c r="J48" s="22"/>
      <c r="K48" s="22">
        <v>465</v>
      </c>
      <c r="L48" s="23"/>
      <c r="M48" s="24">
        <f t="shared" si="5"/>
        <v>415.17857142857139</v>
      </c>
      <c r="N48" s="24">
        <f t="shared" si="6"/>
        <v>49.821428571428562</v>
      </c>
      <c r="O48" s="24">
        <f t="shared" si="2"/>
        <v>0</v>
      </c>
      <c r="P48" s="24">
        <v>415.18</v>
      </c>
      <c r="Q48" s="25"/>
      <c r="R48" s="25"/>
      <c r="S48" s="26"/>
      <c r="T48" s="26"/>
      <c r="U48" s="26"/>
      <c r="V48" s="26"/>
      <c r="W48" s="26"/>
      <c r="X48" s="25"/>
      <c r="Y48" s="25"/>
      <c r="Z48" s="25"/>
      <c r="AA48" s="25"/>
      <c r="AB48" s="26"/>
      <c r="AC48" s="26"/>
      <c r="AD48" s="25"/>
      <c r="AE48" s="25"/>
      <c r="AF48" s="24">
        <f t="shared" si="7"/>
        <v>-465.00142857142856</v>
      </c>
      <c r="AG48" s="27">
        <f t="shared" si="8"/>
        <v>-1.4285714285620088E-3</v>
      </c>
    </row>
    <row r="49" spans="1:33" s="29" customFormat="1" ht="23.25" customHeight="1" x14ac:dyDescent="0.2">
      <c r="A49" s="18">
        <v>43871</v>
      </c>
      <c r="B49" s="19"/>
      <c r="C49" s="20" t="s">
        <v>55</v>
      </c>
      <c r="D49" s="20" t="s">
        <v>56</v>
      </c>
      <c r="E49" s="20" t="s">
        <v>57</v>
      </c>
      <c r="F49" s="21">
        <v>231291</v>
      </c>
      <c r="G49" s="21" t="s">
        <v>58</v>
      </c>
      <c r="H49" s="22"/>
      <c r="I49" s="22"/>
      <c r="J49" s="22"/>
      <c r="K49" s="22">
        <v>180</v>
      </c>
      <c r="L49" s="23"/>
      <c r="M49" s="24">
        <f t="shared" si="5"/>
        <v>160.71428571428569</v>
      </c>
      <c r="N49" s="24">
        <f t="shared" si="6"/>
        <v>19.285714285714281</v>
      </c>
      <c r="O49" s="24">
        <f t="shared" si="2"/>
        <v>0</v>
      </c>
      <c r="P49" s="24"/>
      <c r="Q49" s="25">
        <v>160.71</v>
      </c>
      <c r="R49" s="25"/>
      <c r="S49" s="26"/>
      <c r="T49" s="26"/>
      <c r="U49" s="26"/>
      <c r="V49" s="26"/>
      <c r="W49" s="26"/>
      <c r="X49" s="25"/>
      <c r="Y49" s="25"/>
      <c r="Z49" s="25"/>
      <c r="AA49" s="25"/>
      <c r="AB49" s="26"/>
      <c r="AC49" s="26"/>
      <c r="AD49" s="25"/>
      <c r="AE49" s="25"/>
      <c r="AF49" s="24">
        <f t="shared" si="7"/>
        <v>-179.99571428571429</v>
      </c>
      <c r="AG49" s="27">
        <f t="shared" si="8"/>
        <v>4.2857142857144481E-3</v>
      </c>
    </row>
    <row r="50" spans="1:33" s="29" customFormat="1" ht="23.25" customHeight="1" x14ac:dyDescent="0.2">
      <c r="A50" s="18">
        <v>43871</v>
      </c>
      <c r="B50" s="19"/>
      <c r="C50" s="20" t="s">
        <v>47</v>
      </c>
      <c r="D50" s="20" t="s">
        <v>48</v>
      </c>
      <c r="E50" s="20" t="s">
        <v>49</v>
      </c>
      <c r="F50" s="21">
        <v>270192</v>
      </c>
      <c r="G50" s="21" t="s">
        <v>230</v>
      </c>
      <c r="H50" s="22"/>
      <c r="I50" s="22"/>
      <c r="J50" s="22"/>
      <c r="K50" s="22">
        <v>752.25</v>
      </c>
      <c r="L50" s="23"/>
      <c r="M50" s="24">
        <f t="shared" si="5"/>
        <v>671.65178571428567</v>
      </c>
      <c r="N50" s="24">
        <f t="shared" si="6"/>
        <v>80.598214285714278</v>
      </c>
      <c r="O50" s="24">
        <f t="shared" si="2"/>
        <v>0</v>
      </c>
      <c r="P50" s="24">
        <v>671.65</v>
      </c>
      <c r="Q50" s="25"/>
      <c r="R50" s="25"/>
      <c r="S50" s="26"/>
      <c r="T50" s="26"/>
      <c r="U50" s="26"/>
      <c r="V50" s="26"/>
      <c r="W50" s="26"/>
      <c r="X50" s="25"/>
      <c r="Y50" s="25"/>
      <c r="Z50" s="25"/>
      <c r="AA50" s="25"/>
      <c r="AB50" s="26"/>
      <c r="AC50" s="26"/>
      <c r="AD50" s="25"/>
      <c r="AE50" s="25"/>
      <c r="AF50" s="24">
        <f t="shared" si="7"/>
        <v>-752.24821428571431</v>
      </c>
      <c r="AG50" s="27">
        <f t="shared" si="8"/>
        <v>1.7857142856883002E-3</v>
      </c>
    </row>
    <row r="51" spans="1:33" s="29" customFormat="1" ht="23.25" customHeight="1" x14ac:dyDescent="0.2">
      <c r="A51" s="18">
        <v>43871</v>
      </c>
      <c r="B51" s="19"/>
      <c r="C51" s="20" t="s">
        <v>39</v>
      </c>
      <c r="D51" s="20" t="s">
        <v>40</v>
      </c>
      <c r="E51" s="20" t="s">
        <v>41</v>
      </c>
      <c r="F51" s="21">
        <v>701471</v>
      </c>
      <c r="G51" s="21" t="s">
        <v>231</v>
      </c>
      <c r="H51" s="22"/>
      <c r="I51" s="22"/>
      <c r="J51" s="22"/>
      <c r="K51" s="22">
        <v>110</v>
      </c>
      <c r="L51" s="23"/>
      <c r="M51" s="24">
        <f t="shared" si="5"/>
        <v>98.214285714285708</v>
      </c>
      <c r="N51" s="24">
        <f t="shared" si="6"/>
        <v>11.785714285714285</v>
      </c>
      <c r="O51" s="24">
        <f t="shared" si="2"/>
        <v>0</v>
      </c>
      <c r="P51" s="24">
        <v>98.21</v>
      </c>
      <c r="Q51" s="25"/>
      <c r="R51" s="25"/>
      <c r="S51" s="26"/>
      <c r="T51" s="26"/>
      <c r="U51" s="26"/>
      <c r="V51" s="26"/>
      <c r="W51" s="26"/>
      <c r="X51" s="25"/>
      <c r="Y51" s="25"/>
      <c r="Z51" s="25"/>
      <c r="AA51" s="25"/>
      <c r="AB51" s="26"/>
      <c r="AC51" s="26"/>
      <c r="AD51" s="25"/>
      <c r="AE51" s="25"/>
      <c r="AF51" s="24">
        <f t="shared" si="7"/>
        <v>-109.99571428571429</v>
      </c>
      <c r="AG51" s="27">
        <f t="shared" si="8"/>
        <v>4.2857142857144481E-3</v>
      </c>
    </row>
    <row r="52" spans="1:33" s="29" customFormat="1" ht="23.25" customHeight="1" x14ac:dyDescent="0.2">
      <c r="A52" s="18">
        <v>43871</v>
      </c>
      <c r="B52" s="19"/>
      <c r="C52" s="20" t="s">
        <v>206</v>
      </c>
      <c r="D52" s="20" t="s">
        <v>79</v>
      </c>
      <c r="E52" s="20" t="s">
        <v>67</v>
      </c>
      <c r="F52" s="21">
        <v>20633</v>
      </c>
      <c r="G52" s="21" t="s">
        <v>80</v>
      </c>
      <c r="H52" s="22"/>
      <c r="I52" s="22"/>
      <c r="J52" s="22">
        <v>400</v>
      </c>
      <c r="K52" s="22"/>
      <c r="L52" s="23"/>
      <c r="M52" s="24">
        <f t="shared" si="5"/>
        <v>400</v>
      </c>
      <c r="N52" s="24">
        <f t="shared" si="6"/>
        <v>0</v>
      </c>
      <c r="O52" s="24">
        <v>0</v>
      </c>
      <c r="P52" s="24">
        <v>400</v>
      </c>
      <c r="Q52" s="25"/>
      <c r="R52" s="25"/>
      <c r="S52" s="26"/>
      <c r="T52" s="26"/>
      <c r="U52" s="26"/>
      <c r="V52" s="26"/>
      <c r="W52" s="26"/>
      <c r="X52" s="25"/>
      <c r="Y52" s="25"/>
      <c r="Z52" s="25"/>
      <c r="AA52" s="25"/>
      <c r="AB52" s="26"/>
      <c r="AC52" s="26"/>
      <c r="AD52" s="25"/>
      <c r="AE52" s="25"/>
      <c r="AF52" s="24">
        <f t="shared" si="7"/>
        <v>-400</v>
      </c>
      <c r="AG52" s="27">
        <f t="shared" si="8"/>
        <v>0</v>
      </c>
    </row>
    <row r="53" spans="1:33" s="29" customFormat="1" ht="23.25" customHeight="1" x14ac:dyDescent="0.2">
      <c r="A53" s="18">
        <v>43871</v>
      </c>
      <c r="B53" s="19"/>
      <c r="C53" s="20" t="s">
        <v>65</v>
      </c>
      <c r="D53" s="20" t="s">
        <v>66</v>
      </c>
      <c r="E53" s="20" t="s">
        <v>67</v>
      </c>
      <c r="F53" s="21">
        <v>3420</v>
      </c>
      <c r="G53" s="21" t="s">
        <v>232</v>
      </c>
      <c r="H53" s="22"/>
      <c r="I53" s="22"/>
      <c r="J53" s="22">
        <v>1560</v>
      </c>
      <c r="K53" s="22"/>
      <c r="L53" s="23"/>
      <c r="M53" s="24">
        <f t="shared" si="5"/>
        <v>1560</v>
      </c>
      <c r="N53" s="24">
        <f t="shared" si="6"/>
        <v>0</v>
      </c>
      <c r="O53" s="24">
        <f t="shared" ref="O53:O89" si="9">-SUM(I53:J53,K53/1.12)*L53</f>
        <v>0</v>
      </c>
      <c r="P53" s="24">
        <v>1560</v>
      </c>
      <c r="Q53" s="25"/>
      <c r="R53" s="25"/>
      <c r="S53" s="26"/>
      <c r="T53" s="26"/>
      <c r="U53" s="26"/>
      <c r="V53" s="26"/>
      <c r="W53" s="26"/>
      <c r="X53" s="25"/>
      <c r="Y53" s="25"/>
      <c r="Z53" s="25"/>
      <c r="AA53" s="25"/>
      <c r="AB53" s="26"/>
      <c r="AC53" s="26"/>
      <c r="AD53" s="25"/>
      <c r="AE53" s="25"/>
      <c r="AF53" s="24">
        <f t="shared" si="7"/>
        <v>-1560</v>
      </c>
      <c r="AG53" s="27">
        <f t="shared" si="8"/>
        <v>0</v>
      </c>
    </row>
    <row r="54" spans="1:33" s="29" customFormat="1" ht="23.25" customHeight="1" x14ac:dyDescent="0.2">
      <c r="A54" s="18">
        <v>43871</v>
      </c>
      <c r="B54" s="19"/>
      <c r="C54" s="20" t="s">
        <v>233</v>
      </c>
      <c r="D54" s="20" t="s">
        <v>71</v>
      </c>
      <c r="E54" s="20" t="s">
        <v>72</v>
      </c>
      <c r="F54" s="21">
        <v>18420</v>
      </c>
      <c r="G54" s="21" t="s">
        <v>234</v>
      </c>
      <c r="H54" s="22"/>
      <c r="I54" s="22"/>
      <c r="J54" s="22"/>
      <c r="K54" s="22">
        <v>852</v>
      </c>
      <c r="L54" s="23"/>
      <c r="M54" s="24">
        <f t="shared" si="5"/>
        <v>760.71428571428567</v>
      </c>
      <c r="N54" s="24">
        <f t="shared" si="6"/>
        <v>91.285714285714278</v>
      </c>
      <c r="O54" s="24">
        <f t="shared" si="9"/>
        <v>0</v>
      </c>
      <c r="P54" s="24">
        <v>760.71</v>
      </c>
      <c r="Q54" s="25"/>
      <c r="R54" s="25"/>
      <c r="S54" s="26"/>
      <c r="T54" s="26"/>
      <c r="U54" s="26"/>
      <c r="V54" s="26"/>
      <c r="W54" s="26"/>
      <c r="X54" s="25"/>
      <c r="Y54" s="25"/>
      <c r="Z54" s="25"/>
      <c r="AA54" s="25"/>
      <c r="AB54" s="26"/>
      <c r="AC54" s="26"/>
      <c r="AD54" s="25"/>
      <c r="AE54" s="25"/>
      <c r="AF54" s="24">
        <f t="shared" si="7"/>
        <v>-851.99571428571426</v>
      </c>
      <c r="AG54" s="27">
        <f t="shared" si="8"/>
        <v>4.2857142857428698E-3</v>
      </c>
    </row>
    <row r="55" spans="1:33" s="29" customFormat="1" ht="23.25" customHeight="1" x14ac:dyDescent="0.2">
      <c r="A55" s="18">
        <v>43871</v>
      </c>
      <c r="B55" s="19"/>
      <c r="C55" s="20" t="s">
        <v>39</v>
      </c>
      <c r="D55" s="20" t="s">
        <v>40</v>
      </c>
      <c r="E55" s="20" t="s">
        <v>41</v>
      </c>
      <c r="F55" s="21">
        <v>134569</v>
      </c>
      <c r="G55" s="21" t="s">
        <v>235</v>
      </c>
      <c r="H55" s="22"/>
      <c r="I55" s="22"/>
      <c r="J55" s="22"/>
      <c r="K55" s="22">
        <v>430.75</v>
      </c>
      <c r="L55" s="23"/>
      <c r="M55" s="24">
        <f t="shared" si="5"/>
        <v>384.59821428571422</v>
      </c>
      <c r="N55" s="24">
        <f t="shared" si="6"/>
        <v>46.151785714285708</v>
      </c>
      <c r="O55" s="24">
        <f t="shared" si="9"/>
        <v>0</v>
      </c>
      <c r="P55" s="24">
        <v>384.6</v>
      </c>
      <c r="Q55" s="25"/>
      <c r="R55" s="25"/>
      <c r="S55" s="26"/>
      <c r="T55" s="26"/>
      <c r="U55" s="26"/>
      <c r="V55" s="26"/>
      <c r="W55" s="26"/>
      <c r="X55" s="25"/>
      <c r="Y55" s="25"/>
      <c r="Z55" s="25"/>
      <c r="AA55" s="25"/>
      <c r="AB55" s="26"/>
      <c r="AC55" s="26"/>
      <c r="AD55" s="25"/>
      <c r="AE55" s="25"/>
      <c r="AF55" s="24">
        <f t="shared" si="7"/>
        <v>-430.75178571428575</v>
      </c>
      <c r="AG55" s="27">
        <f t="shared" si="8"/>
        <v>-1.7857142857451436E-3</v>
      </c>
    </row>
    <row r="56" spans="1:33" s="29" customFormat="1" ht="23.25" customHeight="1" x14ac:dyDescent="0.2">
      <c r="A56" s="18">
        <v>43871</v>
      </c>
      <c r="B56" s="19"/>
      <c r="C56" s="20" t="s">
        <v>45</v>
      </c>
      <c r="D56" s="20"/>
      <c r="E56" s="20"/>
      <c r="F56" s="21"/>
      <c r="G56" s="21" t="s">
        <v>69</v>
      </c>
      <c r="H56" s="22">
        <v>100</v>
      </c>
      <c r="I56" s="22"/>
      <c r="J56" s="22"/>
      <c r="K56" s="22"/>
      <c r="L56" s="23"/>
      <c r="M56" s="24">
        <f t="shared" si="5"/>
        <v>100</v>
      </c>
      <c r="N56" s="24">
        <f t="shared" si="6"/>
        <v>0</v>
      </c>
      <c r="O56" s="24">
        <f t="shared" si="9"/>
        <v>0</v>
      </c>
      <c r="P56" s="24"/>
      <c r="Q56" s="25"/>
      <c r="R56" s="25"/>
      <c r="S56" s="26"/>
      <c r="T56" s="26"/>
      <c r="U56" s="26"/>
      <c r="V56" s="26"/>
      <c r="W56" s="26"/>
      <c r="X56" s="25"/>
      <c r="Y56" s="25"/>
      <c r="Z56" s="25"/>
      <c r="AA56" s="25">
        <v>100</v>
      </c>
      <c r="AB56" s="26"/>
      <c r="AC56" s="26"/>
      <c r="AD56" s="25"/>
      <c r="AE56" s="25"/>
      <c r="AF56" s="24">
        <f t="shared" si="7"/>
        <v>-100</v>
      </c>
      <c r="AG56" s="27">
        <f t="shared" si="8"/>
        <v>0</v>
      </c>
    </row>
    <row r="57" spans="1:33" s="29" customFormat="1" ht="23.25" customHeight="1" x14ac:dyDescent="0.2">
      <c r="A57" s="18">
        <v>43871</v>
      </c>
      <c r="B57" s="19"/>
      <c r="C57" s="20" t="s">
        <v>39</v>
      </c>
      <c r="D57" s="20" t="s">
        <v>40</v>
      </c>
      <c r="E57" s="20" t="s">
        <v>41</v>
      </c>
      <c r="F57" s="21">
        <v>153750</v>
      </c>
      <c r="G57" s="21" t="s">
        <v>138</v>
      </c>
      <c r="H57" s="22"/>
      <c r="I57" s="22"/>
      <c r="J57" s="22"/>
      <c r="K57" s="22">
        <v>351</v>
      </c>
      <c r="L57" s="23"/>
      <c r="M57" s="24">
        <f t="shared" si="5"/>
        <v>313.39285714285711</v>
      </c>
      <c r="N57" s="24">
        <f t="shared" si="6"/>
        <v>37.607142857142854</v>
      </c>
      <c r="O57" s="24">
        <f t="shared" si="9"/>
        <v>0</v>
      </c>
      <c r="P57" s="24">
        <v>313.39</v>
      </c>
      <c r="Q57" s="25"/>
      <c r="R57" s="25"/>
      <c r="S57" s="26"/>
      <c r="T57" s="26"/>
      <c r="U57" s="26"/>
      <c r="V57" s="26"/>
      <c r="W57" s="26"/>
      <c r="X57" s="25"/>
      <c r="Y57" s="25"/>
      <c r="Z57" s="25"/>
      <c r="AA57" s="25"/>
      <c r="AB57" s="26"/>
      <c r="AC57" s="26"/>
      <c r="AD57" s="25"/>
      <c r="AE57" s="25"/>
      <c r="AF57" s="24">
        <f t="shared" si="7"/>
        <v>-350.99714285714282</v>
      </c>
      <c r="AG57" s="27">
        <f t="shared" si="8"/>
        <v>2.857142857180861E-3</v>
      </c>
    </row>
    <row r="58" spans="1:33" s="29" customFormat="1" ht="23.25" customHeight="1" x14ac:dyDescent="0.2">
      <c r="A58" s="18">
        <v>43871</v>
      </c>
      <c r="B58" s="19"/>
      <c r="C58" s="20" t="s">
        <v>47</v>
      </c>
      <c r="D58" s="20" t="s">
        <v>48</v>
      </c>
      <c r="E58" s="20" t="s">
        <v>49</v>
      </c>
      <c r="F58" s="21">
        <v>254019</v>
      </c>
      <c r="G58" s="21" t="s">
        <v>236</v>
      </c>
      <c r="H58" s="22"/>
      <c r="I58" s="22"/>
      <c r="J58" s="22">
        <v>364.75</v>
      </c>
      <c r="K58" s="22"/>
      <c r="L58" s="23"/>
      <c r="M58" s="24">
        <f t="shared" si="5"/>
        <v>364.75</v>
      </c>
      <c r="N58" s="24">
        <f t="shared" si="6"/>
        <v>0</v>
      </c>
      <c r="O58" s="24">
        <f t="shared" si="9"/>
        <v>0</v>
      </c>
      <c r="P58" s="24">
        <v>364.75</v>
      </c>
      <c r="Q58" s="25"/>
      <c r="R58" s="25"/>
      <c r="S58" s="26"/>
      <c r="T58" s="26"/>
      <c r="U58" s="26"/>
      <c r="V58" s="26"/>
      <c r="W58" s="26"/>
      <c r="X58" s="25"/>
      <c r="Y58" s="25"/>
      <c r="Z58" s="25"/>
      <c r="AA58" s="25"/>
      <c r="AB58" s="26"/>
      <c r="AC58" s="26"/>
      <c r="AD58" s="25"/>
      <c r="AE58" s="25"/>
      <c r="AF58" s="24">
        <f t="shared" si="7"/>
        <v>-364.75</v>
      </c>
      <c r="AG58" s="27">
        <f t="shared" si="8"/>
        <v>0</v>
      </c>
    </row>
    <row r="59" spans="1:33" s="29" customFormat="1" ht="23.25" customHeight="1" x14ac:dyDescent="0.2">
      <c r="A59" s="18">
        <v>43871</v>
      </c>
      <c r="B59" s="19"/>
      <c r="C59" s="20" t="s">
        <v>47</v>
      </c>
      <c r="D59" s="20" t="s">
        <v>48</v>
      </c>
      <c r="E59" s="20" t="s">
        <v>49</v>
      </c>
      <c r="F59" s="21">
        <v>254019</v>
      </c>
      <c r="G59" s="21" t="s">
        <v>237</v>
      </c>
      <c r="H59" s="22"/>
      <c r="I59" s="22"/>
      <c r="J59" s="22"/>
      <c r="K59" s="22">
        <f>213.3+25.6</f>
        <v>238.9</v>
      </c>
      <c r="L59" s="23"/>
      <c r="M59" s="24">
        <f t="shared" si="5"/>
        <v>213.30357142857142</v>
      </c>
      <c r="N59" s="24">
        <f t="shared" si="6"/>
        <v>25.596428571428568</v>
      </c>
      <c r="O59" s="24">
        <f t="shared" si="9"/>
        <v>0</v>
      </c>
      <c r="P59" s="24">
        <v>213.3</v>
      </c>
      <c r="Q59" s="25"/>
      <c r="R59" s="25"/>
      <c r="S59" s="26"/>
      <c r="T59" s="26"/>
      <c r="U59" s="26"/>
      <c r="V59" s="26"/>
      <c r="W59" s="26"/>
      <c r="X59" s="25"/>
      <c r="Y59" s="25"/>
      <c r="Z59" s="25"/>
      <c r="AA59" s="25"/>
      <c r="AB59" s="26"/>
      <c r="AC59" s="26"/>
      <c r="AD59" s="25"/>
      <c r="AE59" s="25"/>
      <c r="AF59" s="24">
        <f t="shared" si="7"/>
        <v>-238.89642857142857</v>
      </c>
      <c r="AG59" s="27">
        <f t="shared" si="8"/>
        <v>3.5714285714334437E-3</v>
      </c>
    </row>
    <row r="60" spans="1:33" s="29" customFormat="1" ht="23.25" customHeight="1" x14ac:dyDescent="0.2">
      <c r="A60" s="18">
        <v>43871</v>
      </c>
      <c r="B60" s="19"/>
      <c r="C60" s="20" t="s">
        <v>39</v>
      </c>
      <c r="D60" s="20" t="s">
        <v>40</v>
      </c>
      <c r="E60" s="20" t="s">
        <v>41</v>
      </c>
      <c r="F60" s="21">
        <v>124563</v>
      </c>
      <c r="G60" s="21" t="s">
        <v>238</v>
      </c>
      <c r="H60" s="22"/>
      <c r="I60" s="22"/>
      <c r="J60" s="22"/>
      <c r="K60" s="22">
        <v>36.43</v>
      </c>
      <c r="L60" s="23"/>
      <c r="M60" s="24">
        <f t="shared" si="5"/>
        <v>32.526785714285708</v>
      </c>
      <c r="N60" s="24">
        <f t="shared" si="6"/>
        <v>3.9032142857142849</v>
      </c>
      <c r="O60" s="24">
        <f t="shared" si="9"/>
        <v>0</v>
      </c>
      <c r="P60" s="24">
        <v>32.53</v>
      </c>
      <c r="Q60" s="25"/>
      <c r="R60" s="25"/>
      <c r="S60" s="26"/>
      <c r="T60" s="26"/>
      <c r="U60" s="26"/>
      <c r="V60" s="26"/>
      <c r="W60" s="26"/>
      <c r="X60" s="25"/>
      <c r="Y60" s="25"/>
      <c r="Z60" s="25"/>
      <c r="AA60" s="25"/>
      <c r="AB60" s="26"/>
      <c r="AC60" s="26"/>
      <c r="AD60" s="25"/>
      <c r="AE60" s="25"/>
      <c r="AF60" s="24">
        <f t="shared" si="7"/>
        <v>-36.433214285714286</v>
      </c>
      <c r="AG60" s="27">
        <f t="shared" si="8"/>
        <v>-3.2142857142858361E-3</v>
      </c>
    </row>
    <row r="61" spans="1:33" s="29" customFormat="1" ht="23.25" customHeight="1" x14ac:dyDescent="0.2">
      <c r="A61" s="18">
        <v>43872</v>
      </c>
      <c r="B61" s="19"/>
      <c r="C61" s="20" t="s">
        <v>37</v>
      </c>
      <c r="D61" s="20"/>
      <c r="E61" s="20"/>
      <c r="F61" s="21"/>
      <c r="G61" s="21" t="s">
        <v>38</v>
      </c>
      <c r="H61" s="22">
        <v>165</v>
      </c>
      <c r="I61" s="22"/>
      <c r="J61" s="22"/>
      <c r="K61" s="22"/>
      <c r="L61" s="23"/>
      <c r="M61" s="24">
        <f t="shared" si="5"/>
        <v>165</v>
      </c>
      <c r="N61" s="24">
        <f t="shared" si="6"/>
        <v>0</v>
      </c>
      <c r="O61" s="24">
        <f t="shared" si="9"/>
        <v>0</v>
      </c>
      <c r="P61" s="24"/>
      <c r="Q61" s="25"/>
      <c r="R61" s="25"/>
      <c r="S61" s="26"/>
      <c r="T61" s="26"/>
      <c r="U61" s="26"/>
      <c r="V61" s="26"/>
      <c r="W61" s="26"/>
      <c r="X61" s="25"/>
      <c r="Y61" s="25"/>
      <c r="Z61" s="25"/>
      <c r="AA61" s="25">
        <v>165</v>
      </c>
      <c r="AB61" s="26"/>
      <c r="AC61" s="26"/>
      <c r="AD61" s="25"/>
      <c r="AE61" s="25"/>
      <c r="AF61" s="24">
        <f t="shared" si="7"/>
        <v>-165</v>
      </c>
      <c r="AG61" s="27">
        <f t="shared" si="8"/>
        <v>0</v>
      </c>
    </row>
    <row r="62" spans="1:33" s="29" customFormat="1" ht="23.25" customHeight="1" x14ac:dyDescent="0.2">
      <c r="A62" s="18">
        <v>43872</v>
      </c>
      <c r="B62" s="19"/>
      <c r="C62" s="20" t="s">
        <v>55</v>
      </c>
      <c r="D62" s="20" t="s">
        <v>56</v>
      </c>
      <c r="E62" s="20" t="s">
        <v>57</v>
      </c>
      <c r="F62" s="21">
        <v>231337</v>
      </c>
      <c r="G62" s="21" t="s">
        <v>58</v>
      </c>
      <c r="H62" s="22"/>
      <c r="I62" s="22"/>
      <c r="J62" s="22"/>
      <c r="K62" s="22">
        <v>180</v>
      </c>
      <c r="L62" s="23"/>
      <c r="M62" s="24">
        <f t="shared" si="5"/>
        <v>160.71428571428569</v>
      </c>
      <c r="N62" s="24">
        <f t="shared" si="6"/>
        <v>19.285714285714281</v>
      </c>
      <c r="O62" s="24">
        <f t="shared" si="9"/>
        <v>0</v>
      </c>
      <c r="P62" s="24"/>
      <c r="Q62" s="25">
        <v>160.71</v>
      </c>
      <c r="R62" s="25"/>
      <c r="S62" s="26"/>
      <c r="T62" s="26"/>
      <c r="U62" s="26"/>
      <c r="V62" s="26"/>
      <c r="W62" s="26"/>
      <c r="X62" s="25"/>
      <c r="Y62" s="25"/>
      <c r="Z62" s="25"/>
      <c r="AA62" s="25"/>
      <c r="AB62" s="26"/>
      <c r="AC62" s="26"/>
      <c r="AD62" s="25"/>
      <c r="AE62" s="25"/>
      <c r="AF62" s="24">
        <f t="shared" si="7"/>
        <v>-179.99571428571429</v>
      </c>
      <c r="AG62" s="27">
        <f t="shared" si="8"/>
        <v>4.2857142857144481E-3</v>
      </c>
    </row>
    <row r="63" spans="1:33" s="29" customFormat="1" ht="23.25" customHeight="1" x14ac:dyDescent="0.2">
      <c r="A63" s="18">
        <v>43841</v>
      </c>
      <c r="B63" s="19"/>
      <c r="C63" s="20" t="s">
        <v>39</v>
      </c>
      <c r="D63" s="20" t="s">
        <v>40</v>
      </c>
      <c r="E63" s="20" t="s">
        <v>41</v>
      </c>
      <c r="F63" s="21">
        <v>100356</v>
      </c>
      <c r="G63" s="21" t="s">
        <v>239</v>
      </c>
      <c r="H63" s="22"/>
      <c r="I63" s="22"/>
      <c r="J63" s="22"/>
      <c r="K63" s="22">
        <v>147</v>
      </c>
      <c r="L63" s="23"/>
      <c r="M63" s="24">
        <f t="shared" si="5"/>
        <v>131.25</v>
      </c>
      <c r="N63" s="24">
        <f t="shared" si="6"/>
        <v>15.75</v>
      </c>
      <c r="O63" s="24">
        <f t="shared" si="9"/>
        <v>0</v>
      </c>
      <c r="P63" s="24">
        <v>131.25</v>
      </c>
      <c r="Q63" s="25"/>
      <c r="R63" s="25"/>
      <c r="S63" s="26"/>
      <c r="T63" s="26"/>
      <c r="U63" s="26"/>
      <c r="V63" s="26"/>
      <c r="W63" s="26"/>
      <c r="X63" s="25"/>
      <c r="Y63" s="25"/>
      <c r="Z63" s="25"/>
      <c r="AA63" s="25"/>
      <c r="AB63" s="26"/>
      <c r="AC63" s="26"/>
      <c r="AD63" s="25"/>
      <c r="AE63" s="25"/>
      <c r="AF63" s="24">
        <f t="shared" si="7"/>
        <v>-147</v>
      </c>
      <c r="AG63" s="27">
        <f t="shared" si="8"/>
        <v>0</v>
      </c>
    </row>
    <row r="64" spans="1:33" s="29" customFormat="1" ht="23.25" customHeight="1" x14ac:dyDescent="0.2">
      <c r="A64" s="18">
        <v>43872</v>
      </c>
      <c r="B64" s="19"/>
      <c r="C64" s="20" t="s">
        <v>240</v>
      </c>
      <c r="D64" s="20" t="s">
        <v>111</v>
      </c>
      <c r="E64" s="20" t="s">
        <v>49</v>
      </c>
      <c r="F64" s="21">
        <v>576311</v>
      </c>
      <c r="G64" s="21" t="s">
        <v>241</v>
      </c>
      <c r="H64" s="22"/>
      <c r="I64" s="22"/>
      <c r="J64" s="22"/>
      <c r="K64" s="22">
        <v>1313.8</v>
      </c>
      <c r="L64" s="23"/>
      <c r="M64" s="24">
        <f t="shared" si="5"/>
        <v>1173.0357142857142</v>
      </c>
      <c r="N64" s="24">
        <f t="shared" si="6"/>
        <v>140.76428571428571</v>
      </c>
      <c r="O64" s="24">
        <f t="shared" si="9"/>
        <v>0</v>
      </c>
      <c r="P64" s="24">
        <v>1173.04</v>
      </c>
      <c r="Q64" s="25"/>
      <c r="R64" s="25"/>
      <c r="S64" s="26"/>
      <c r="T64" s="26"/>
      <c r="U64" s="26"/>
      <c r="V64" s="26"/>
      <c r="W64" s="26"/>
      <c r="X64" s="25"/>
      <c r="Y64" s="25"/>
      <c r="Z64" s="25"/>
      <c r="AA64" s="25"/>
      <c r="AB64" s="26"/>
      <c r="AC64" s="26"/>
      <c r="AD64" s="25"/>
      <c r="AE64" s="25"/>
      <c r="AF64" s="24">
        <f t="shared" si="7"/>
        <v>-1313.8042857142857</v>
      </c>
      <c r="AG64" s="27">
        <f t="shared" si="8"/>
        <v>-4.2857142857428698E-3</v>
      </c>
    </row>
    <row r="65" spans="1:33" s="42" customFormat="1" ht="23.25" customHeight="1" x14ac:dyDescent="0.2">
      <c r="A65" s="32">
        <v>43873</v>
      </c>
      <c r="B65" s="33"/>
      <c r="C65" s="34" t="s">
        <v>55</v>
      </c>
      <c r="D65" s="34" t="s">
        <v>56</v>
      </c>
      <c r="E65" s="34" t="s">
        <v>57</v>
      </c>
      <c r="F65" s="35">
        <v>223840</v>
      </c>
      <c r="G65" s="35" t="s">
        <v>58</v>
      </c>
      <c r="H65" s="36"/>
      <c r="I65" s="36"/>
      <c r="J65" s="36"/>
      <c r="K65" s="36">
        <v>180</v>
      </c>
      <c r="L65" s="37"/>
      <c r="M65" s="38">
        <f t="shared" si="5"/>
        <v>160.71428571428569</v>
      </c>
      <c r="N65" s="38">
        <f t="shared" si="6"/>
        <v>19.285714285714281</v>
      </c>
      <c r="O65" s="38">
        <f t="shared" si="9"/>
        <v>0</v>
      </c>
      <c r="P65" s="38"/>
      <c r="Q65" s="39">
        <v>160.71</v>
      </c>
      <c r="R65" s="39"/>
      <c r="S65" s="40"/>
      <c r="T65" s="40"/>
      <c r="U65" s="40"/>
      <c r="V65" s="40"/>
      <c r="W65" s="40"/>
      <c r="X65" s="39"/>
      <c r="Y65" s="39"/>
      <c r="Z65" s="39"/>
      <c r="AA65" s="39"/>
      <c r="AB65" s="40"/>
      <c r="AC65" s="40"/>
      <c r="AD65" s="39"/>
      <c r="AE65" s="39"/>
      <c r="AF65" s="38">
        <f t="shared" si="7"/>
        <v>-179.99571428571429</v>
      </c>
      <c r="AG65" s="41">
        <f t="shared" si="8"/>
        <v>4.2857142857144481E-3</v>
      </c>
    </row>
    <row r="66" spans="1:33" s="29" customFormat="1" ht="23.25" customHeight="1" x14ac:dyDescent="0.2">
      <c r="A66" s="18">
        <v>43873</v>
      </c>
      <c r="B66" s="19"/>
      <c r="C66" s="20" t="s">
        <v>47</v>
      </c>
      <c r="D66" s="20" t="s">
        <v>48</v>
      </c>
      <c r="E66" s="20" t="s">
        <v>49</v>
      </c>
      <c r="F66" s="21">
        <v>229820</v>
      </c>
      <c r="G66" s="21" t="s">
        <v>242</v>
      </c>
      <c r="H66" s="22"/>
      <c r="I66" s="22"/>
      <c r="J66" s="22">
        <v>1546.05</v>
      </c>
      <c r="K66" s="22"/>
      <c r="L66" s="23"/>
      <c r="M66" s="24">
        <f t="shared" si="5"/>
        <v>1546.05</v>
      </c>
      <c r="N66" s="24">
        <f t="shared" si="6"/>
        <v>0</v>
      </c>
      <c r="O66" s="24">
        <f t="shared" si="9"/>
        <v>0</v>
      </c>
      <c r="P66" s="24">
        <v>1546.05</v>
      </c>
      <c r="Q66" s="25"/>
      <c r="R66" s="25"/>
      <c r="S66" s="26"/>
      <c r="T66" s="26"/>
      <c r="U66" s="26"/>
      <c r="V66" s="26"/>
      <c r="W66" s="26"/>
      <c r="X66" s="25"/>
      <c r="Y66" s="25"/>
      <c r="Z66" s="25"/>
      <c r="AA66" s="25"/>
      <c r="AB66" s="26"/>
      <c r="AC66" s="26"/>
      <c r="AD66" s="25"/>
      <c r="AE66" s="25"/>
      <c r="AF66" s="24">
        <f t="shared" si="7"/>
        <v>-1546.05</v>
      </c>
      <c r="AG66" s="27">
        <f t="shared" si="8"/>
        <v>0</v>
      </c>
    </row>
    <row r="67" spans="1:33" s="29" customFormat="1" ht="23.25" customHeight="1" x14ac:dyDescent="0.2">
      <c r="A67" s="18">
        <v>43873</v>
      </c>
      <c r="B67" s="19"/>
      <c r="C67" s="20" t="s">
        <v>47</v>
      </c>
      <c r="D67" s="20" t="s">
        <v>48</v>
      </c>
      <c r="E67" s="20" t="s">
        <v>49</v>
      </c>
      <c r="F67" s="21">
        <v>229820</v>
      </c>
      <c r="G67" s="21" t="s">
        <v>243</v>
      </c>
      <c r="H67" s="22"/>
      <c r="I67" s="22"/>
      <c r="J67" s="22"/>
      <c r="K67" s="22">
        <f>177.81+21.34</f>
        <v>199.15</v>
      </c>
      <c r="L67" s="23"/>
      <c r="M67" s="24">
        <f t="shared" si="5"/>
        <v>177.8125</v>
      </c>
      <c r="N67" s="24">
        <f t="shared" si="6"/>
        <v>21.337499999999999</v>
      </c>
      <c r="O67" s="24">
        <f t="shared" si="9"/>
        <v>0</v>
      </c>
      <c r="P67" s="24">
        <v>177.81</v>
      </c>
      <c r="Q67" s="25"/>
      <c r="R67" s="25"/>
      <c r="S67" s="26"/>
      <c r="T67" s="26"/>
      <c r="U67" s="26"/>
      <c r="V67" s="26"/>
      <c r="W67" s="26"/>
      <c r="X67" s="25"/>
      <c r="Y67" s="25"/>
      <c r="Z67" s="25"/>
      <c r="AA67" s="25"/>
      <c r="AB67" s="26"/>
      <c r="AC67" s="26"/>
      <c r="AD67" s="25"/>
      <c r="AE67" s="25"/>
      <c r="AF67" s="24">
        <f t="shared" si="7"/>
        <v>-199.14750000000001</v>
      </c>
      <c r="AG67" s="27">
        <f t="shared" si="8"/>
        <v>2.4999999999977263E-3</v>
      </c>
    </row>
    <row r="68" spans="1:33" s="29" customFormat="1" ht="23.25" customHeight="1" x14ac:dyDescent="0.2">
      <c r="A68" s="18">
        <v>43874</v>
      </c>
      <c r="B68" s="19"/>
      <c r="C68" s="20" t="s">
        <v>55</v>
      </c>
      <c r="D68" s="20" t="s">
        <v>56</v>
      </c>
      <c r="E68" s="20" t="s">
        <v>57</v>
      </c>
      <c r="F68" s="21">
        <v>227475</v>
      </c>
      <c r="G68" s="21" t="s">
        <v>58</v>
      </c>
      <c r="H68" s="22"/>
      <c r="I68" s="22"/>
      <c r="J68" s="22"/>
      <c r="K68" s="22">
        <v>180</v>
      </c>
      <c r="L68" s="23"/>
      <c r="M68" s="24">
        <f t="shared" si="5"/>
        <v>160.71428571428569</v>
      </c>
      <c r="N68" s="24">
        <f t="shared" si="6"/>
        <v>19.285714285714281</v>
      </c>
      <c r="O68" s="24">
        <f t="shared" si="9"/>
        <v>0</v>
      </c>
      <c r="P68" s="24"/>
      <c r="Q68" s="25">
        <v>160.71</v>
      </c>
      <c r="R68" s="25"/>
      <c r="S68" s="26"/>
      <c r="T68" s="26"/>
      <c r="U68" s="26"/>
      <c r="V68" s="26"/>
      <c r="W68" s="26"/>
      <c r="X68" s="25"/>
      <c r="Y68" s="25"/>
      <c r="Z68" s="25"/>
      <c r="AA68" s="25"/>
      <c r="AB68" s="26"/>
      <c r="AC68" s="26"/>
      <c r="AD68" s="25"/>
      <c r="AE68" s="25"/>
      <c r="AF68" s="24">
        <f t="shared" si="7"/>
        <v>-179.99571428571429</v>
      </c>
      <c r="AG68" s="27">
        <f t="shared" si="8"/>
        <v>4.2857142857144481E-3</v>
      </c>
    </row>
    <row r="69" spans="1:33" s="29" customFormat="1" ht="23.25" customHeight="1" x14ac:dyDescent="0.2">
      <c r="A69" s="18">
        <v>43874</v>
      </c>
      <c r="B69" s="19"/>
      <c r="C69" s="20" t="s">
        <v>45</v>
      </c>
      <c r="D69" s="20"/>
      <c r="E69" s="20"/>
      <c r="F69" s="21"/>
      <c r="G69" s="21" t="s">
        <v>244</v>
      </c>
      <c r="H69" s="22"/>
      <c r="I69" s="22"/>
      <c r="J69" s="22">
        <v>500</v>
      </c>
      <c r="K69" s="22"/>
      <c r="L69" s="23"/>
      <c r="M69" s="24">
        <f t="shared" ref="M69:M100" si="10">SUM(H69:J69,K69/1.12)</f>
        <v>500</v>
      </c>
      <c r="N69" s="24">
        <f t="shared" ref="N69:N100" si="11">K69/1.12*0.12</f>
        <v>0</v>
      </c>
      <c r="O69" s="24">
        <f t="shared" si="9"/>
        <v>0</v>
      </c>
      <c r="P69" s="24">
        <v>500</v>
      </c>
      <c r="Q69" s="25"/>
      <c r="R69" s="25"/>
      <c r="S69" s="26"/>
      <c r="T69" s="26"/>
      <c r="U69" s="26"/>
      <c r="V69" s="26"/>
      <c r="W69" s="26"/>
      <c r="X69" s="25"/>
      <c r="Y69" s="25"/>
      <c r="Z69" s="25"/>
      <c r="AA69" s="25"/>
      <c r="AB69" s="26"/>
      <c r="AC69" s="26"/>
      <c r="AD69" s="25"/>
      <c r="AE69" s="25"/>
      <c r="AF69" s="24">
        <f t="shared" ref="AF69:AF100" si="12">-SUM(N69:AE69)</f>
        <v>-500</v>
      </c>
      <c r="AG69" s="27">
        <f t="shared" ref="AG69:AG100" si="13">SUM(H69:K69)+AF69+O69</f>
        <v>0</v>
      </c>
    </row>
    <row r="70" spans="1:33" s="29" customFormat="1" ht="23.25" customHeight="1" x14ac:dyDescent="0.2">
      <c r="A70" s="18">
        <v>43874</v>
      </c>
      <c r="B70" s="19"/>
      <c r="C70" s="20" t="s">
        <v>45</v>
      </c>
      <c r="D70" s="20"/>
      <c r="E70" s="20"/>
      <c r="F70" s="21"/>
      <c r="G70" s="21" t="s">
        <v>245</v>
      </c>
      <c r="H70" s="22">
        <v>100</v>
      </c>
      <c r="I70" s="22"/>
      <c r="J70" s="22"/>
      <c r="K70" s="22"/>
      <c r="L70" s="23"/>
      <c r="M70" s="24">
        <f t="shared" si="10"/>
        <v>100</v>
      </c>
      <c r="N70" s="24">
        <f t="shared" si="11"/>
        <v>0</v>
      </c>
      <c r="O70" s="24">
        <f t="shared" si="9"/>
        <v>0</v>
      </c>
      <c r="P70" s="24"/>
      <c r="Q70" s="25"/>
      <c r="R70" s="25"/>
      <c r="S70" s="26"/>
      <c r="T70" s="26"/>
      <c r="U70" s="26"/>
      <c r="V70" s="26"/>
      <c r="W70" s="26"/>
      <c r="X70" s="25"/>
      <c r="Y70" s="25"/>
      <c r="Z70" s="25"/>
      <c r="AA70" s="25">
        <v>100</v>
      </c>
      <c r="AB70" s="26"/>
      <c r="AC70" s="26"/>
      <c r="AD70" s="25"/>
      <c r="AE70" s="25"/>
      <c r="AF70" s="24">
        <f t="shared" si="12"/>
        <v>-100</v>
      </c>
      <c r="AG70" s="27">
        <f t="shared" si="13"/>
        <v>0</v>
      </c>
    </row>
    <row r="71" spans="1:33" s="29" customFormat="1" ht="23.25" customHeight="1" x14ac:dyDescent="0.2">
      <c r="A71" s="18">
        <v>43874</v>
      </c>
      <c r="B71" s="19"/>
      <c r="C71" s="20" t="s">
        <v>246</v>
      </c>
      <c r="D71" s="20"/>
      <c r="E71" s="20"/>
      <c r="F71" s="21"/>
      <c r="G71" s="21" t="s">
        <v>247</v>
      </c>
      <c r="H71" s="22">
        <v>537</v>
      </c>
      <c r="I71" s="22"/>
      <c r="J71" s="22"/>
      <c r="K71" s="22"/>
      <c r="L71" s="23"/>
      <c r="M71" s="24">
        <f t="shared" si="10"/>
        <v>537</v>
      </c>
      <c r="N71" s="24">
        <f t="shared" si="11"/>
        <v>0</v>
      </c>
      <c r="O71" s="24">
        <f t="shared" si="9"/>
        <v>0</v>
      </c>
      <c r="P71" s="24"/>
      <c r="Q71" s="25"/>
      <c r="R71" s="25"/>
      <c r="S71" s="26"/>
      <c r="T71" s="26"/>
      <c r="U71" s="26"/>
      <c r="V71" s="26"/>
      <c r="W71" s="26"/>
      <c r="X71" s="25"/>
      <c r="Y71" s="25"/>
      <c r="Z71" s="25"/>
      <c r="AA71" s="25"/>
      <c r="AB71" s="26">
        <v>537</v>
      </c>
      <c r="AC71" s="26"/>
      <c r="AD71" s="25"/>
      <c r="AE71" s="25"/>
      <c r="AF71" s="24">
        <f t="shared" si="12"/>
        <v>-537</v>
      </c>
      <c r="AG71" s="27">
        <f t="shared" si="13"/>
        <v>0</v>
      </c>
    </row>
    <row r="72" spans="1:33" s="29" customFormat="1" ht="23.25" customHeight="1" x14ac:dyDescent="0.2">
      <c r="A72" s="18">
        <v>43874</v>
      </c>
      <c r="B72" s="19"/>
      <c r="C72" s="20" t="s">
        <v>65</v>
      </c>
      <c r="D72" s="20" t="s">
        <v>66</v>
      </c>
      <c r="E72" s="20" t="s">
        <v>67</v>
      </c>
      <c r="F72" s="21">
        <v>3421</v>
      </c>
      <c r="G72" s="21" t="s">
        <v>68</v>
      </c>
      <c r="H72" s="22"/>
      <c r="I72" s="22"/>
      <c r="J72" s="22">
        <v>560</v>
      </c>
      <c r="K72" s="22"/>
      <c r="L72" s="23"/>
      <c r="M72" s="24">
        <f t="shared" si="10"/>
        <v>560</v>
      </c>
      <c r="N72" s="24">
        <f t="shared" si="11"/>
        <v>0</v>
      </c>
      <c r="O72" s="24">
        <f t="shared" si="9"/>
        <v>0</v>
      </c>
      <c r="P72" s="24">
        <v>560</v>
      </c>
      <c r="Q72" s="25"/>
      <c r="R72" s="25"/>
      <c r="S72" s="26"/>
      <c r="T72" s="26"/>
      <c r="U72" s="26"/>
      <c r="V72" s="26"/>
      <c r="W72" s="26"/>
      <c r="X72" s="25"/>
      <c r="Y72" s="25"/>
      <c r="Z72" s="25"/>
      <c r="AA72" s="25"/>
      <c r="AB72" s="26"/>
      <c r="AC72" s="26"/>
      <c r="AD72" s="25"/>
      <c r="AE72" s="25"/>
      <c r="AF72" s="24">
        <f t="shared" si="12"/>
        <v>-560</v>
      </c>
      <c r="AG72" s="27">
        <f t="shared" si="13"/>
        <v>0</v>
      </c>
    </row>
    <row r="73" spans="1:33" s="29" customFormat="1" ht="23.25" customHeight="1" x14ac:dyDescent="0.2">
      <c r="A73" s="18">
        <v>43874</v>
      </c>
      <c r="B73" s="19"/>
      <c r="C73" s="20" t="s">
        <v>47</v>
      </c>
      <c r="D73" s="20" t="s">
        <v>48</v>
      </c>
      <c r="E73" s="20" t="s">
        <v>49</v>
      </c>
      <c r="F73" s="21">
        <v>102453</v>
      </c>
      <c r="G73" s="21" t="s">
        <v>248</v>
      </c>
      <c r="H73" s="22"/>
      <c r="I73" s="22"/>
      <c r="J73" s="22"/>
      <c r="K73" s="22">
        <v>435.55</v>
      </c>
      <c r="L73" s="23"/>
      <c r="M73" s="24">
        <f t="shared" si="10"/>
        <v>388.88392857142856</v>
      </c>
      <c r="N73" s="24">
        <f t="shared" si="11"/>
        <v>46.666071428571428</v>
      </c>
      <c r="O73" s="24">
        <f t="shared" si="9"/>
        <v>0</v>
      </c>
      <c r="P73" s="24"/>
      <c r="Q73" s="25"/>
      <c r="R73" s="25"/>
      <c r="S73" s="26"/>
      <c r="T73" s="26"/>
      <c r="U73" s="26"/>
      <c r="V73" s="26"/>
      <c r="W73" s="26"/>
      <c r="X73" s="25"/>
      <c r="Y73" s="25">
        <v>388.88</v>
      </c>
      <c r="Z73" s="25"/>
      <c r="AA73" s="25"/>
      <c r="AB73" s="26"/>
      <c r="AC73" s="26"/>
      <c r="AD73" s="25"/>
      <c r="AE73" s="25"/>
      <c r="AF73" s="24">
        <f t="shared" si="12"/>
        <v>-435.54607142857139</v>
      </c>
      <c r="AG73" s="27">
        <f t="shared" si="13"/>
        <v>3.9285714286165785E-3</v>
      </c>
    </row>
    <row r="74" spans="1:33" s="29" customFormat="1" ht="23.25" customHeight="1" x14ac:dyDescent="0.2">
      <c r="A74" s="18">
        <v>43874</v>
      </c>
      <c r="B74" s="19"/>
      <c r="C74" s="20" t="s">
        <v>47</v>
      </c>
      <c r="D74" s="20" t="s">
        <v>48</v>
      </c>
      <c r="E74" s="20" t="s">
        <v>49</v>
      </c>
      <c r="F74" s="21">
        <v>102452</v>
      </c>
      <c r="G74" s="30" t="s">
        <v>249</v>
      </c>
      <c r="H74" s="22"/>
      <c r="I74" s="22"/>
      <c r="J74" s="22"/>
      <c r="K74" s="22">
        <v>1062.67</v>
      </c>
      <c r="L74" s="23"/>
      <c r="M74" s="24">
        <f t="shared" si="10"/>
        <v>948.8125</v>
      </c>
      <c r="N74" s="24">
        <f t="shared" si="11"/>
        <v>113.8575</v>
      </c>
      <c r="O74" s="24">
        <f t="shared" si="9"/>
        <v>0</v>
      </c>
      <c r="P74" s="24"/>
      <c r="Q74" s="25"/>
      <c r="R74" s="25"/>
      <c r="S74" s="26"/>
      <c r="T74" s="26"/>
      <c r="U74" s="26"/>
      <c r="V74" s="26"/>
      <c r="W74" s="26"/>
      <c r="X74" s="25">
        <v>948.81</v>
      </c>
      <c r="Y74" s="25"/>
      <c r="Z74" s="25"/>
      <c r="AA74" s="25"/>
      <c r="AB74" s="26"/>
      <c r="AC74" s="26"/>
      <c r="AD74" s="25"/>
      <c r="AE74" s="25"/>
      <c r="AF74" s="24">
        <f t="shared" si="12"/>
        <v>-1062.6675</v>
      </c>
      <c r="AG74" s="27">
        <f t="shared" si="13"/>
        <v>2.5000000000545697E-3</v>
      </c>
    </row>
    <row r="75" spans="1:33" s="29" customFormat="1" ht="23.25" customHeight="1" x14ac:dyDescent="0.2">
      <c r="A75" s="18">
        <v>43875</v>
      </c>
      <c r="B75" s="19"/>
      <c r="C75" s="20" t="s">
        <v>39</v>
      </c>
      <c r="D75" s="20" t="s">
        <v>40</v>
      </c>
      <c r="E75" s="20" t="s">
        <v>41</v>
      </c>
      <c r="F75" s="21">
        <v>135859</v>
      </c>
      <c r="G75" s="21" t="s">
        <v>250</v>
      </c>
      <c r="H75" s="22"/>
      <c r="I75" s="22"/>
      <c r="J75" s="22"/>
      <c r="K75" s="22">
        <v>759.2</v>
      </c>
      <c r="L75" s="23"/>
      <c r="M75" s="24">
        <f t="shared" si="10"/>
        <v>677.85714285714289</v>
      </c>
      <c r="N75" s="24">
        <f t="shared" si="11"/>
        <v>81.342857142857142</v>
      </c>
      <c r="O75" s="24">
        <f t="shared" si="9"/>
        <v>0</v>
      </c>
      <c r="P75" s="24">
        <v>677.86</v>
      </c>
      <c r="Q75" s="25"/>
      <c r="R75" s="25"/>
      <c r="S75" s="26"/>
      <c r="T75" s="26"/>
      <c r="U75" s="26"/>
      <c r="V75" s="26"/>
      <c r="W75" s="26"/>
      <c r="X75" s="25"/>
      <c r="Y75" s="25"/>
      <c r="Z75" s="25"/>
      <c r="AA75" s="25"/>
      <c r="AB75" s="26"/>
      <c r="AC75" s="26"/>
      <c r="AD75" s="25"/>
      <c r="AE75" s="25"/>
      <c r="AF75" s="24">
        <f t="shared" si="12"/>
        <v>-759.20285714285717</v>
      </c>
      <c r="AG75" s="27">
        <f t="shared" si="13"/>
        <v>-2.8571428571240176E-3</v>
      </c>
    </row>
    <row r="76" spans="1:33" s="29" customFormat="1" ht="23.25" customHeight="1" x14ac:dyDescent="0.2">
      <c r="A76" s="18">
        <v>43875</v>
      </c>
      <c r="B76" s="19"/>
      <c r="C76" s="20" t="s">
        <v>39</v>
      </c>
      <c r="D76" s="20" t="s">
        <v>40</v>
      </c>
      <c r="E76" s="20" t="s">
        <v>41</v>
      </c>
      <c r="F76" s="21">
        <v>703526</v>
      </c>
      <c r="G76" s="21" t="s">
        <v>138</v>
      </c>
      <c r="H76" s="22"/>
      <c r="I76" s="22"/>
      <c r="J76" s="22"/>
      <c r="K76" s="22">
        <v>390</v>
      </c>
      <c r="L76" s="23"/>
      <c r="M76" s="24">
        <f t="shared" si="10"/>
        <v>348.21428571428567</v>
      </c>
      <c r="N76" s="24">
        <f t="shared" si="11"/>
        <v>41.785714285714278</v>
      </c>
      <c r="O76" s="24">
        <f t="shared" si="9"/>
        <v>0</v>
      </c>
      <c r="P76" s="24">
        <v>348.21</v>
      </c>
      <c r="Q76" s="25"/>
      <c r="R76" s="25"/>
      <c r="S76" s="26"/>
      <c r="T76" s="26"/>
      <c r="U76" s="26"/>
      <c r="V76" s="26"/>
      <c r="W76" s="26"/>
      <c r="X76" s="25"/>
      <c r="Y76" s="25"/>
      <c r="Z76" s="25"/>
      <c r="AA76" s="25"/>
      <c r="AB76" s="26"/>
      <c r="AC76" s="26"/>
      <c r="AD76" s="25"/>
      <c r="AE76" s="25"/>
      <c r="AF76" s="24">
        <f t="shared" si="12"/>
        <v>-389.99571428571426</v>
      </c>
      <c r="AG76" s="27">
        <f t="shared" si="13"/>
        <v>4.2857142857428698E-3</v>
      </c>
    </row>
    <row r="77" spans="1:33" s="29" customFormat="1" ht="23.25" customHeight="1" x14ac:dyDescent="0.2">
      <c r="A77" s="18">
        <v>43875</v>
      </c>
      <c r="B77" s="19"/>
      <c r="C77" s="20" t="s">
        <v>47</v>
      </c>
      <c r="D77" s="20" t="s">
        <v>48</v>
      </c>
      <c r="E77" s="20" t="s">
        <v>49</v>
      </c>
      <c r="F77" s="21">
        <v>299018</v>
      </c>
      <c r="G77" s="21" t="s">
        <v>251</v>
      </c>
      <c r="H77" s="22"/>
      <c r="I77" s="22"/>
      <c r="J77" s="22"/>
      <c r="K77" s="22">
        <v>807.5</v>
      </c>
      <c r="L77" s="23"/>
      <c r="M77" s="24">
        <f t="shared" si="10"/>
        <v>720.98214285714278</v>
      </c>
      <c r="N77" s="24">
        <f t="shared" si="11"/>
        <v>86.517857142857125</v>
      </c>
      <c r="O77" s="24">
        <f t="shared" si="9"/>
        <v>0</v>
      </c>
      <c r="P77" s="24">
        <v>720.98</v>
      </c>
      <c r="Q77" s="25"/>
      <c r="R77" s="25"/>
      <c r="S77" s="26"/>
      <c r="T77" s="26"/>
      <c r="U77" s="26"/>
      <c r="V77" s="26"/>
      <c r="W77" s="26"/>
      <c r="X77" s="25"/>
      <c r="Y77" s="25"/>
      <c r="Z77" s="25"/>
      <c r="AA77" s="25"/>
      <c r="AB77" s="26"/>
      <c r="AC77" s="26"/>
      <c r="AD77" s="25"/>
      <c r="AE77" s="25"/>
      <c r="AF77" s="24">
        <f t="shared" si="12"/>
        <v>-807.49785714285713</v>
      </c>
      <c r="AG77" s="27">
        <f t="shared" si="13"/>
        <v>2.1428571428714349E-3</v>
      </c>
    </row>
    <row r="78" spans="1:33" s="29" customFormat="1" ht="23.25" customHeight="1" x14ac:dyDescent="0.2">
      <c r="A78" s="18">
        <v>43875</v>
      </c>
      <c r="B78" s="19"/>
      <c r="C78" s="20" t="s">
        <v>39</v>
      </c>
      <c r="D78" s="20" t="s">
        <v>40</v>
      </c>
      <c r="E78" s="20" t="s">
        <v>41</v>
      </c>
      <c r="F78" s="21">
        <v>155306</v>
      </c>
      <c r="G78" s="21" t="s">
        <v>252</v>
      </c>
      <c r="H78" s="22"/>
      <c r="I78" s="22"/>
      <c r="J78" s="22">
        <v>454.16</v>
      </c>
      <c r="K78" s="22"/>
      <c r="L78" s="23"/>
      <c r="M78" s="24">
        <f t="shared" si="10"/>
        <v>454.16</v>
      </c>
      <c r="N78" s="24">
        <f t="shared" si="11"/>
        <v>0</v>
      </c>
      <c r="O78" s="24">
        <f t="shared" si="9"/>
        <v>0</v>
      </c>
      <c r="P78" s="24">
        <v>454.16</v>
      </c>
      <c r="Q78" s="25"/>
      <c r="R78" s="25"/>
      <c r="S78" s="26"/>
      <c r="T78" s="26"/>
      <c r="U78" s="26"/>
      <c r="V78" s="26"/>
      <c r="W78" s="26"/>
      <c r="X78" s="25"/>
      <c r="Y78" s="25"/>
      <c r="Z78" s="25"/>
      <c r="AA78" s="25"/>
      <c r="AB78" s="26"/>
      <c r="AC78" s="26"/>
      <c r="AD78" s="25"/>
      <c r="AE78" s="25"/>
      <c r="AF78" s="24">
        <f t="shared" si="12"/>
        <v>-454.16</v>
      </c>
      <c r="AG78" s="27">
        <f t="shared" si="13"/>
        <v>0</v>
      </c>
    </row>
    <row r="79" spans="1:33" s="29" customFormat="1" ht="23.25" customHeight="1" x14ac:dyDescent="0.2">
      <c r="A79" s="18">
        <v>43875</v>
      </c>
      <c r="B79" s="19"/>
      <c r="C79" s="20" t="s">
        <v>55</v>
      </c>
      <c r="D79" s="20" t="s">
        <v>56</v>
      </c>
      <c r="E79" s="20" t="s">
        <v>57</v>
      </c>
      <c r="F79" s="21">
        <v>228034</v>
      </c>
      <c r="G79" s="21" t="s">
        <v>58</v>
      </c>
      <c r="H79" s="22"/>
      <c r="I79" s="22"/>
      <c r="J79" s="22"/>
      <c r="K79" s="22">
        <v>180</v>
      </c>
      <c r="L79" s="23"/>
      <c r="M79" s="24">
        <f t="shared" si="10"/>
        <v>160.71428571428569</v>
      </c>
      <c r="N79" s="24">
        <f t="shared" si="11"/>
        <v>19.285714285714281</v>
      </c>
      <c r="O79" s="24">
        <f t="shared" si="9"/>
        <v>0</v>
      </c>
      <c r="P79" s="24"/>
      <c r="Q79" s="25">
        <v>160.71</v>
      </c>
      <c r="R79" s="25"/>
      <c r="S79" s="26"/>
      <c r="T79" s="26"/>
      <c r="U79" s="26"/>
      <c r="V79" s="26"/>
      <c r="W79" s="26"/>
      <c r="X79" s="25"/>
      <c r="Y79" s="25"/>
      <c r="Z79" s="25"/>
      <c r="AA79" s="25"/>
      <c r="AB79" s="26"/>
      <c r="AC79" s="26"/>
      <c r="AD79" s="25"/>
      <c r="AE79" s="25"/>
      <c r="AF79" s="24">
        <f t="shared" si="12"/>
        <v>-179.99571428571429</v>
      </c>
      <c r="AG79" s="27">
        <f t="shared" si="13"/>
        <v>4.2857142857144481E-3</v>
      </c>
    </row>
    <row r="80" spans="1:33" s="29" customFormat="1" ht="23.25" customHeight="1" x14ac:dyDescent="0.2">
      <c r="A80" s="18">
        <v>43875</v>
      </c>
      <c r="B80" s="19"/>
      <c r="C80" s="20" t="s">
        <v>62</v>
      </c>
      <c r="D80" s="20"/>
      <c r="E80" s="20"/>
      <c r="F80" s="21"/>
      <c r="G80" s="21" t="s">
        <v>253</v>
      </c>
      <c r="H80" s="22">
        <v>90</v>
      </c>
      <c r="I80" s="22"/>
      <c r="J80" s="22"/>
      <c r="K80" s="22"/>
      <c r="L80" s="23"/>
      <c r="M80" s="24">
        <f t="shared" si="10"/>
        <v>90</v>
      </c>
      <c r="N80" s="24">
        <f t="shared" si="11"/>
        <v>0</v>
      </c>
      <c r="O80" s="24">
        <f t="shared" si="9"/>
        <v>0</v>
      </c>
      <c r="P80" s="24">
        <v>90</v>
      </c>
      <c r="Q80" s="25"/>
      <c r="R80" s="25"/>
      <c r="S80" s="26"/>
      <c r="T80" s="26"/>
      <c r="U80" s="26"/>
      <c r="V80" s="26"/>
      <c r="W80" s="26"/>
      <c r="X80" s="25"/>
      <c r="Y80" s="25"/>
      <c r="Z80" s="25"/>
      <c r="AA80" s="25"/>
      <c r="AB80" s="26"/>
      <c r="AC80" s="26"/>
      <c r="AD80" s="25"/>
      <c r="AE80" s="25"/>
      <c r="AF80" s="24">
        <f t="shared" si="12"/>
        <v>-90</v>
      </c>
      <c r="AG80" s="27">
        <f t="shared" si="13"/>
        <v>0</v>
      </c>
    </row>
    <row r="81" spans="1:33" s="29" customFormat="1" ht="23.25" customHeight="1" x14ac:dyDescent="0.2">
      <c r="A81" s="18">
        <v>43875</v>
      </c>
      <c r="B81" s="19"/>
      <c r="C81" s="20" t="s">
        <v>45</v>
      </c>
      <c r="D81" s="20"/>
      <c r="E81" s="20"/>
      <c r="F81" s="21"/>
      <c r="G81" s="21" t="s">
        <v>104</v>
      </c>
      <c r="H81" s="22"/>
      <c r="I81" s="22"/>
      <c r="J81" s="22">
        <v>200</v>
      </c>
      <c r="K81" s="22"/>
      <c r="L81" s="23"/>
      <c r="M81" s="24">
        <f t="shared" si="10"/>
        <v>200</v>
      </c>
      <c r="N81" s="24">
        <f t="shared" si="11"/>
        <v>0</v>
      </c>
      <c r="O81" s="24">
        <f t="shared" si="9"/>
        <v>0</v>
      </c>
      <c r="P81" s="24">
        <v>200</v>
      </c>
      <c r="Q81" s="25"/>
      <c r="R81" s="25"/>
      <c r="S81" s="26"/>
      <c r="T81" s="26"/>
      <c r="U81" s="26"/>
      <c r="V81" s="26"/>
      <c r="W81" s="26"/>
      <c r="X81" s="25"/>
      <c r="Y81" s="25"/>
      <c r="Z81" s="25"/>
      <c r="AA81" s="25"/>
      <c r="AB81" s="26"/>
      <c r="AC81" s="26"/>
      <c r="AD81" s="25"/>
      <c r="AE81" s="25"/>
      <c r="AF81" s="24">
        <f t="shared" si="12"/>
        <v>-200</v>
      </c>
      <c r="AG81" s="27">
        <f t="shared" si="13"/>
        <v>0</v>
      </c>
    </row>
    <row r="82" spans="1:33" s="29" customFormat="1" ht="23.25" customHeight="1" x14ac:dyDescent="0.2">
      <c r="A82" s="18">
        <v>43875</v>
      </c>
      <c r="B82" s="19"/>
      <c r="C82" s="20" t="s">
        <v>45</v>
      </c>
      <c r="D82" s="20"/>
      <c r="E82" s="20"/>
      <c r="F82" s="21"/>
      <c r="G82" s="21" t="s">
        <v>254</v>
      </c>
      <c r="H82" s="22">
        <v>50</v>
      </c>
      <c r="I82" s="22"/>
      <c r="J82" s="22"/>
      <c r="K82" s="22"/>
      <c r="L82" s="23"/>
      <c r="M82" s="24">
        <f t="shared" si="10"/>
        <v>50</v>
      </c>
      <c r="N82" s="24">
        <f t="shared" si="11"/>
        <v>0</v>
      </c>
      <c r="O82" s="24">
        <f t="shared" si="9"/>
        <v>0</v>
      </c>
      <c r="P82" s="25"/>
      <c r="Q82" s="25"/>
      <c r="R82" s="25"/>
      <c r="S82" s="26"/>
      <c r="T82" s="26"/>
      <c r="U82" s="26"/>
      <c r="V82" s="26"/>
      <c r="W82" s="26"/>
      <c r="X82" s="25"/>
      <c r="Y82" s="25"/>
      <c r="Z82" s="25"/>
      <c r="AA82" s="25">
        <v>50</v>
      </c>
      <c r="AB82" s="26"/>
      <c r="AC82" s="26"/>
      <c r="AD82" s="25"/>
      <c r="AE82" s="25"/>
      <c r="AF82" s="24">
        <f t="shared" si="12"/>
        <v>-50</v>
      </c>
      <c r="AG82" s="27">
        <f t="shared" si="13"/>
        <v>0</v>
      </c>
    </row>
    <row r="83" spans="1:33" s="29" customFormat="1" ht="23.25" customHeight="1" x14ac:dyDescent="0.2">
      <c r="A83" s="18">
        <v>43875</v>
      </c>
      <c r="B83" s="19"/>
      <c r="C83" s="20" t="s">
        <v>45</v>
      </c>
      <c r="D83" s="20"/>
      <c r="E83" s="20"/>
      <c r="F83" s="21"/>
      <c r="G83" s="21" t="s">
        <v>255</v>
      </c>
      <c r="H83" s="22">
        <v>50</v>
      </c>
      <c r="I83" s="22"/>
      <c r="J83" s="22"/>
      <c r="K83" s="22"/>
      <c r="L83" s="23"/>
      <c r="M83" s="24">
        <f t="shared" si="10"/>
        <v>50</v>
      </c>
      <c r="N83" s="24">
        <f t="shared" si="11"/>
        <v>0</v>
      </c>
      <c r="O83" s="24">
        <f t="shared" si="9"/>
        <v>0</v>
      </c>
      <c r="P83" s="24"/>
      <c r="Q83" s="25"/>
      <c r="R83" s="25"/>
      <c r="S83" s="26"/>
      <c r="T83" s="26"/>
      <c r="U83" s="26"/>
      <c r="V83" s="26"/>
      <c r="W83" s="26"/>
      <c r="X83" s="25"/>
      <c r="Y83" s="25"/>
      <c r="Z83" s="25"/>
      <c r="AA83" s="25">
        <v>50</v>
      </c>
      <c r="AB83" s="26"/>
      <c r="AC83" s="26"/>
      <c r="AD83" s="25"/>
      <c r="AE83" s="25"/>
      <c r="AF83" s="24">
        <f t="shared" si="12"/>
        <v>-50</v>
      </c>
      <c r="AG83" s="27">
        <f t="shared" si="13"/>
        <v>0</v>
      </c>
    </row>
    <row r="84" spans="1:33" s="29" customFormat="1" ht="23.25" customHeight="1" x14ac:dyDescent="0.2">
      <c r="A84" s="18">
        <v>43875</v>
      </c>
      <c r="B84" s="19"/>
      <c r="C84" s="20" t="s">
        <v>240</v>
      </c>
      <c r="D84" s="20" t="s">
        <v>111</v>
      </c>
      <c r="E84" s="20" t="s">
        <v>49</v>
      </c>
      <c r="F84" s="21">
        <v>204658</v>
      </c>
      <c r="G84" s="21" t="s">
        <v>256</v>
      </c>
      <c r="H84" s="22"/>
      <c r="I84" s="22"/>
      <c r="J84" s="22">
        <v>2401.4899999999998</v>
      </c>
      <c r="K84" s="22"/>
      <c r="L84" s="23"/>
      <c r="M84" s="24">
        <f t="shared" si="10"/>
        <v>2401.4899999999998</v>
      </c>
      <c r="N84" s="24">
        <f t="shared" si="11"/>
        <v>0</v>
      </c>
      <c r="O84" s="24">
        <f t="shared" si="9"/>
        <v>0</v>
      </c>
      <c r="P84" s="24">
        <v>2401.4899999999998</v>
      </c>
      <c r="Q84" s="25"/>
      <c r="R84" s="25"/>
      <c r="S84" s="26"/>
      <c r="T84" s="26"/>
      <c r="U84" s="26"/>
      <c r="V84" s="26"/>
      <c r="W84" s="26"/>
      <c r="X84" s="25"/>
      <c r="Y84" s="25"/>
      <c r="Z84" s="25"/>
      <c r="AA84" s="25"/>
      <c r="AB84" s="26"/>
      <c r="AC84" s="26"/>
      <c r="AD84" s="25"/>
      <c r="AE84" s="25"/>
      <c r="AF84" s="24">
        <f t="shared" si="12"/>
        <v>-2401.4899999999998</v>
      </c>
      <c r="AG84" s="27">
        <f t="shared" si="13"/>
        <v>0</v>
      </c>
    </row>
    <row r="85" spans="1:33" s="29" customFormat="1" ht="23.25" customHeight="1" x14ac:dyDescent="0.2">
      <c r="A85" s="18">
        <v>43875</v>
      </c>
      <c r="B85" s="19"/>
      <c r="C85" s="20" t="s">
        <v>257</v>
      </c>
      <c r="D85" s="20"/>
      <c r="E85" s="20"/>
      <c r="F85" s="21"/>
      <c r="G85" s="21" t="s">
        <v>258</v>
      </c>
      <c r="H85" s="22">
        <v>1074</v>
      </c>
      <c r="I85" s="22"/>
      <c r="J85" s="22"/>
      <c r="K85" s="22"/>
      <c r="L85" s="23"/>
      <c r="M85" s="24">
        <f t="shared" si="10"/>
        <v>1074</v>
      </c>
      <c r="N85" s="24">
        <f t="shared" si="11"/>
        <v>0</v>
      </c>
      <c r="O85" s="24">
        <f t="shared" si="9"/>
        <v>0</v>
      </c>
      <c r="P85" s="24"/>
      <c r="Q85" s="25"/>
      <c r="R85" s="25"/>
      <c r="S85" s="26"/>
      <c r="T85" s="26"/>
      <c r="U85" s="26"/>
      <c r="V85" s="26"/>
      <c r="W85" s="26"/>
      <c r="X85" s="25"/>
      <c r="Y85" s="25"/>
      <c r="Z85" s="25"/>
      <c r="AA85" s="25"/>
      <c r="AB85" s="26">
        <v>1074</v>
      </c>
      <c r="AC85" s="26"/>
      <c r="AD85" s="25"/>
      <c r="AE85" s="25"/>
      <c r="AF85" s="24">
        <f t="shared" si="12"/>
        <v>-1074</v>
      </c>
      <c r="AG85" s="27">
        <f t="shared" si="13"/>
        <v>0</v>
      </c>
    </row>
    <row r="86" spans="1:33" s="29" customFormat="1" ht="23.25" customHeight="1" x14ac:dyDescent="0.2">
      <c r="A86" s="18">
        <v>43875</v>
      </c>
      <c r="B86" s="19"/>
      <c r="C86" s="20" t="s">
        <v>246</v>
      </c>
      <c r="D86" s="20"/>
      <c r="E86" s="20"/>
      <c r="F86" s="21"/>
      <c r="G86" s="21" t="s">
        <v>247</v>
      </c>
      <c r="H86" s="22">
        <v>537</v>
      </c>
      <c r="I86" s="22"/>
      <c r="J86" s="22"/>
      <c r="K86" s="22"/>
      <c r="L86" s="23"/>
      <c r="M86" s="24">
        <f t="shared" si="10"/>
        <v>537</v>
      </c>
      <c r="N86" s="24">
        <f t="shared" si="11"/>
        <v>0</v>
      </c>
      <c r="O86" s="24">
        <f t="shared" si="9"/>
        <v>0</v>
      </c>
      <c r="P86" s="24"/>
      <c r="Q86" s="25"/>
      <c r="R86" s="25"/>
      <c r="S86" s="26"/>
      <c r="T86" s="26"/>
      <c r="U86" s="26"/>
      <c r="V86" s="26"/>
      <c r="W86" s="26"/>
      <c r="X86" s="25"/>
      <c r="Y86" s="25"/>
      <c r="Z86" s="25"/>
      <c r="AA86" s="25"/>
      <c r="AB86" s="26">
        <v>537</v>
      </c>
      <c r="AC86" s="26"/>
      <c r="AD86" s="25"/>
      <c r="AE86" s="25"/>
      <c r="AF86" s="24">
        <f t="shared" si="12"/>
        <v>-537</v>
      </c>
      <c r="AG86" s="27">
        <f t="shared" si="13"/>
        <v>0</v>
      </c>
    </row>
    <row r="87" spans="1:33" s="29" customFormat="1" ht="23.25" customHeight="1" x14ac:dyDescent="0.2">
      <c r="A87" s="18">
        <v>43876</v>
      </c>
      <c r="B87" s="19"/>
      <c r="C87" s="20" t="s">
        <v>106</v>
      </c>
      <c r="D87" s="20" t="s">
        <v>107</v>
      </c>
      <c r="E87" s="20" t="s">
        <v>49</v>
      </c>
      <c r="F87" s="21">
        <v>752729</v>
      </c>
      <c r="G87" s="21" t="s">
        <v>259</v>
      </c>
      <c r="H87" s="22"/>
      <c r="I87" s="22"/>
      <c r="J87" s="22"/>
      <c r="K87" s="22">
        <v>176.5</v>
      </c>
      <c r="L87" s="23"/>
      <c r="M87" s="24">
        <f t="shared" si="10"/>
        <v>157.58928571428569</v>
      </c>
      <c r="N87" s="24">
        <f t="shared" si="11"/>
        <v>18.910714285714281</v>
      </c>
      <c r="O87" s="24">
        <f t="shared" si="9"/>
        <v>0</v>
      </c>
      <c r="P87" s="24"/>
      <c r="Q87" s="25"/>
      <c r="R87" s="25"/>
      <c r="S87" s="26">
        <v>157.59</v>
      </c>
      <c r="T87" s="26"/>
      <c r="U87" s="26"/>
      <c r="V87" s="26"/>
      <c r="W87" s="26"/>
      <c r="X87" s="25"/>
      <c r="Y87" s="25"/>
      <c r="Z87" s="25"/>
      <c r="AA87" s="25"/>
      <c r="AB87" s="26"/>
      <c r="AC87" s="26"/>
      <c r="AD87" s="25"/>
      <c r="AE87" s="25"/>
      <c r="AF87" s="24">
        <f t="shared" si="12"/>
        <v>-176.50071428571428</v>
      </c>
      <c r="AG87" s="27">
        <f t="shared" si="13"/>
        <v>-7.142857142810044E-4</v>
      </c>
    </row>
    <row r="88" spans="1:33" s="29" customFormat="1" ht="23.25" customHeight="1" x14ac:dyDescent="0.2">
      <c r="A88" s="18">
        <v>43876</v>
      </c>
      <c r="B88" s="19"/>
      <c r="C88" s="20" t="s">
        <v>106</v>
      </c>
      <c r="D88" s="20" t="s">
        <v>107</v>
      </c>
      <c r="E88" s="20" t="s">
        <v>49</v>
      </c>
      <c r="F88" s="21">
        <v>801593</v>
      </c>
      <c r="G88" s="21" t="s">
        <v>260</v>
      </c>
      <c r="H88" s="22"/>
      <c r="I88" s="22"/>
      <c r="J88" s="22"/>
      <c r="K88" s="22">
        <v>350</v>
      </c>
      <c r="L88" s="23"/>
      <c r="M88" s="24">
        <f t="shared" si="10"/>
        <v>312.49999999999994</v>
      </c>
      <c r="N88" s="24">
        <f t="shared" si="11"/>
        <v>37.499999999999993</v>
      </c>
      <c r="O88" s="24">
        <f t="shared" si="9"/>
        <v>0</v>
      </c>
      <c r="P88" s="24"/>
      <c r="Q88" s="25"/>
      <c r="R88" s="25"/>
      <c r="S88" s="26"/>
      <c r="T88" s="26">
        <v>312.5</v>
      </c>
      <c r="U88" s="26"/>
      <c r="V88" s="26"/>
      <c r="W88" s="26"/>
      <c r="X88" s="25"/>
      <c r="Y88" s="25"/>
      <c r="Z88" s="25"/>
      <c r="AA88" s="25"/>
      <c r="AB88" s="26"/>
      <c r="AC88" s="26"/>
      <c r="AD88" s="25"/>
      <c r="AE88" s="25"/>
      <c r="AF88" s="24">
        <f t="shared" si="12"/>
        <v>-350</v>
      </c>
      <c r="AG88" s="27">
        <f t="shared" si="13"/>
        <v>0</v>
      </c>
    </row>
    <row r="89" spans="1:33" s="29" customFormat="1" ht="23.25" customHeight="1" x14ac:dyDescent="0.2">
      <c r="A89" s="18">
        <v>43876</v>
      </c>
      <c r="B89" s="19"/>
      <c r="C89" s="20" t="s">
        <v>106</v>
      </c>
      <c r="D89" s="20" t="s">
        <v>107</v>
      </c>
      <c r="E89" s="20" t="s">
        <v>49</v>
      </c>
      <c r="F89" s="21">
        <v>752987</v>
      </c>
      <c r="G89" s="21" t="s">
        <v>261</v>
      </c>
      <c r="H89" s="22"/>
      <c r="I89" s="22"/>
      <c r="J89" s="22"/>
      <c r="K89" s="22">
        <v>45</v>
      </c>
      <c r="L89" s="23"/>
      <c r="M89" s="24">
        <f t="shared" si="10"/>
        <v>40.178571428571423</v>
      </c>
      <c r="N89" s="24">
        <f t="shared" si="11"/>
        <v>4.8214285714285703</v>
      </c>
      <c r="O89" s="24">
        <f t="shared" si="9"/>
        <v>0</v>
      </c>
      <c r="P89" s="24"/>
      <c r="Q89" s="25"/>
      <c r="R89" s="25"/>
      <c r="S89" s="26"/>
      <c r="T89" s="26">
        <v>40.18</v>
      </c>
      <c r="U89" s="26"/>
      <c r="V89" s="26"/>
      <c r="W89" s="26"/>
      <c r="X89" s="25"/>
      <c r="Y89" s="25"/>
      <c r="Z89" s="25"/>
      <c r="AA89" s="25"/>
      <c r="AB89" s="26"/>
      <c r="AC89" s="26"/>
      <c r="AD89" s="25"/>
      <c r="AE89" s="25"/>
      <c r="AF89" s="24">
        <f t="shared" si="12"/>
        <v>-45.001428571428569</v>
      </c>
      <c r="AG89" s="27">
        <f t="shared" si="13"/>
        <v>-1.4285714285691142E-3</v>
      </c>
    </row>
    <row r="90" spans="1:33" s="29" customFormat="1" ht="23.25" customHeight="1" x14ac:dyDescent="0.2">
      <c r="A90" s="18">
        <v>43876</v>
      </c>
      <c r="B90" s="19"/>
      <c r="C90" s="20" t="s">
        <v>39</v>
      </c>
      <c r="D90" s="20" t="s">
        <v>40</v>
      </c>
      <c r="E90" s="20" t="s">
        <v>41</v>
      </c>
      <c r="F90" s="21">
        <v>136330</v>
      </c>
      <c r="G90" s="21" t="s">
        <v>262</v>
      </c>
      <c r="H90" s="22"/>
      <c r="I90" s="22"/>
      <c r="J90" s="22"/>
      <c r="K90" s="22">
        <v>311.75</v>
      </c>
      <c r="L90" s="23"/>
      <c r="M90" s="24">
        <f t="shared" si="10"/>
        <v>278.34821428571428</v>
      </c>
      <c r="N90" s="24">
        <f t="shared" si="11"/>
        <v>33.401785714285715</v>
      </c>
      <c r="O90" s="24">
        <v>0</v>
      </c>
      <c r="P90" s="24"/>
      <c r="Q90" s="25"/>
      <c r="R90" s="25">
        <v>278.35000000000002</v>
      </c>
      <c r="S90" s="26"/>
      <c r="T90" s="26"/>
      <c r="U90" s="26"/>
      <c r="V90" s="26"/>
      <c r="W90" s="26"/>
      <c r="X90" s="25"/>
      <c r="Y90" s="25"/>
      <c r="Z90" s="25"/>
      <c r="AA90" s="25"/>
      <c r="AB90" s="26"/>
      <c r="AC90" s="26"/>
      <c r="AD90" s="25"/>
      <c r="AE90" s="25"/>
      <c r="AF90" s="24">
        <f t="shared" si="12"/>
        <v>-311.75178571428575</v>
      </c>
      <c r="AG90" s="27">
        <f t="shared" si="13"/>
        <v>-1.7857142857451436E-3</v>
      </c>
    </row>
    <row r="91" spans="1:33" s="29" customFormat="1" ht="23.25" customHeight="1" x14ac:dyDescent="0.2">
      <c r="A91" s="18">
        <v>43878</v>
      </c>
      <c r="B91" s="19"/>
      <c r="C91" s="20" t="s">
        <v>65</v>
      </c>
      <c r="D91" s="20" t="s">
        <v>66</v>
      </c>
      <c r="E91" s="20" t="s">
        <v>67</v>
      </c>
      <c r="F91" s="21">
        <v>3425</v>
      </c>
      <c r="G91" s="21" t="s">
        <v>68</v>
      </c>
      <c r="H91" s="22"/>
      <c r="I91" s="22"/>
      <c r="J91" s="22">
        <v>1274</v>
      </c>
      <c r="K91" s="22"/>
      <c r="L91" s="23"/>
      <c r="M91" s="24">
        <f t="shared" si="10"/>
        <v>1274</v>
      </c>
      <c r="N91" s="24">
        <f t="shared" si="11"/>
        <v>0</v>
      </c>
      <c r="O91" s="24">
        <f t="shared" ref="O91:O122" si="14">-SUM(I91:J91,K91/1.12)*L91</f>
        <v>0</v>
      </c>
      <c r="P91" s="24">
        <v>1274</v>
      </c>
      <c r="Q91" s="25"/>
      <c r="R91" s="25"/>
      <c r="S91" s="26"/>
      <c r="T91" s="26"/>
      <c r="U91" s="26"/>
      <c r="V91" s="26"/>
      <c r="W91" s="26"/>
      <c r="X91" s="25"/>
      <c r="Y91" s="25"/>
      <c r="Z91" s="25"/>
      <c r="AA91" s="25"/>
      <c r="AB91" s="26"/>
      <c r="AC91" s="26"/>
      <c r="AD91" s="25"/>
      <c r="AE91" s="25"/>
      <c r="AF91" s="24">
        <f t="shared" si="12"/>
        <v>-1274</v>
      </c>
      <c r="AG91" s="27">
        <f t="shared" si="13"/>
        <v>0</v>
      </c>
    </row>
    <row r="92" spans="1:33" s="29" customFormat="1" ht="23.25" customHeight="1" x14ac:dyDescent="0.2">
      <c r="A92" s="18">
        <v>43878</v>
      </c>
      <c r="B92" s="19"/>
      <c r="C92" s="20" t="s">
        <v>206</v>
      </c>
      <c r="D92" s="20" t="s">
        <v>79</v>
      </c>
      <c r="E92" s="20" t="s">
        <v>67</v>
      </c>
      <c r="F92" s="21">
        <v>20553</v>
      </c>
      <c r="G92" s="21" t="s">
        <v>263</v>
      </c>
      <c r="H92" s="22"/>
      <c r="I92" s="22"/>
      <c r="J92" s="22">
        <v>750</v>
      </c>
      <c r="K92" s="22"/>
      <c r="L92" s="23"/>
      <c r="M92" s="24">
        <f t="shared" si="10"/>
        <v>750</v>
      </c>
      <c r="N92" s="24">
        <f t="shared" si="11"/>
        <v>0</v>
      </c>
      <c r="O92" s="24">
        <f t="shared" si="14"/>
        <v>0</v>
      </c>
      <c r="P92" s="24">
        <v>750</v>
      </c>
      <c r="Q92" s="25"/>
      <c r="R92" s="25"/>
      <c r="S92" s="26"/>
      <c r="T92" s="26"/>
      <c r="U92" s="26"/>
      <c r="V92" s="26"/>
      <c r="W92" s="26"/>
      <c r="X92" s="25"/>
      <c r="Y92" s="25"/>
      <c r="Z92" s="25"/>
      <c r="AA92" s="25"/>
      <c r="AB92" s="26"/>
      <c r="AC92" s="26"/>
      <c r="AD92" s="25"/>
      <c r="AE92" s="25"/>
      <c r="AF92" s="24">
        <f t="shared" si="12"/>
        <v>-750</v>
      </c>
      <c r="AG92" s="27">
        <f t="shared" si="13"/>
        <v>0</v>
      </c>
    </row>
    <row r="93" spans="1:33" s="29" customFormat="1" ht="23.25" customHeight="1" x14ac:dyDescent="0.2">
      <c r="A93" s="18">
        <v>43878</v>
      </c>
      <c r="B93" s="19"/>
      <c r="C93" s="20" t="s">
        <v>45</v>
      </c>
      <c r="D93" s="20"/>
      <c r="E93" s="20"/>
      <c r="F93" s="21"/>
      <c r="G93" s="21" t="s">
        <v>69</v>
      </c>
      <c r="H93" s="22">
        <v>100</v>
      </c>
      <c r="I93" s="22"/>
      <c r="J93" s="22"/>
      <c r="K93" s="22"/>
      <c r="L93" s="23"/>
      <c r="M93" s="24">
        <f t="shared" si="10"/>
        <v>100</v>
      </c>
      <c r="N93" s="24">
        <f t="shared" si="11"/>
        <v>0</v>
      </c>
      <c r="O93" s="24">
        <f t="shared" si="14"/>
        <v>0</v>
      </c>
      <c r="P93" s="24"/>
      <c r="Q93" s="25"/>
      <c r="R93" s="25"/>
      <c r="S93" s="26"/>
      <c r="T93" s="26"/>
      <c r="U93" s="26"/>
      <c r="V93" s="26"/>
      <c r="W93" s="26"/>
      <c r="X93" s="25"/>
      <c r="Y93" s="25"/>
      <c r="Z93" s="25"/>
      <c r="AA93" s="25">
        <v>100</v>
      </c>
      <c r="AB93" s="26"/>
      <c r="AC93" s="26"/>
      <c r="AD93" s="25"/>
      <c r="AE93" s="25"/>
      <c r="AF93" s="24">
        <f t="shared" si="12"/>
        <v>-100</v>
      </c>
      <c r="AG93" s="27">
        <f t="shared" si="13"/>
        <v>0</v>
      </c>
    </row>
    <row r="94" spans="1:33" s="29" customFormat="1" ht="23.25" customHeight="1" x14ac:dyDescent="0.2">
      <c r="A94" s="18">
        <v>43878</v>
      </c>
      <c r="B94" s="19"/>
      <c r="C94" s="20" t="s">
        <v>55</v>
      </c>
      <c r="D94" s="20" t="s">
        <v>56</v>
      </c>
      <c r="E94" s="20" t="s">
        <v>57</v>
      </c>
      <c r="F94" s="21">
        <v>241372</v>
      </c>
      <c r="G94" s="21" t="s">
        <v>58</v>
      </c>
      <c r="H94" s="22"/>
      <c r="I94" s="22"/>
      <c r="J94" s="22"/>
      <c r="K94" s="22">
        <v>180</v>
      </c>
      <c r="L94" s="23"/>
      <c r="M94" s="24">
        <f t="shared" si="10"/>
        <v>160.71428571428569</v>
      </c>
      <c r="N94" s="24">
        <f t="shared" si="11"/>
        <v>19.285714285714281</v>
      </c>
      <c r="O94" s="24">
        <f t="shared" si="14"/>
        <v>0</v>
      </c>
      <c r="P94" s="24"/>
      <c r="Q94" s="25">
        <v>160.71</v>
      </c>
      <c r="R94" s="25"/>
      <c r="S94" s="26"/>
      <c r="T94" s="26"/>
      <c r="U94" s="26"/>
      <c r="V94" s="26"/>
      <c r="W94" s="26"/>
      <c r="X94" s="25"/>
      <c r="Y94" s="25"/>
      <c r="Z94" s="25"/>
      <c r="AA94" s="25"/>
      <c r="AB94" s="26"/>
      <c r="AC94" s="26"/>
      <c r="AD94" s="25"/>
      <c r="AE94" s="25"/>
      <c r="AF94" s="24">
        <f t="shared" si="12"/>
        <v>-179.99571428571429</v>
      </c>
      <c r="AG94" s="27">
        <f t="shared" si="13"/>
        <v>4.2857142857144481E-3</v>
      </c>
    </row>
    <row r="95" spans="1:33" s="29" customFormat="1" ht="23.25" customHeight="1" x14ac:dyDescent="0.2">
      <c r="A95" s="18">
        <v>43878</v>
      </c>
      <c r="B95" s="19"/>
      <c r="C95" s="20" t="s">
        <v>240</v>
      </c>
      <c r="D95" s="20" t="s">
        <v>111</v>
      </c>
      <c r="E95" s="20" t="s">
        <v>49</v>
      </c>
      <c r="F95" s="21">
        <v>231531</v>
      </c>
      <c r="G95" s="21" t="s">
        <v>264</v>
      </c>
      <c r="H95" s="22"/>
      <c r="I95" s="22"/>
      <c r="J95" s="22"/>
      <c r="K95" s="22">
        <f>1639.37+196.73</f>
        <v>1836.1</v>
      </c>
      <c r="L95" s="23"/>
      <c r="M95" s="24">
        <f t="shared" si="10"/>
        <v>1639.3749999999998</v>
      </c>
      <c r="N95" s="24">
        <f t="shared" si="11"/>
        <v>196.72499999999997</v>
      </c>
      <c r="O95" s="24">
        <f t="shared" si="14"/>
        <v>0</v>
      </c>
      <c r="P95" s="24">
        <v>1639.38</v>
      </c>
      <c r="Q95" s="25"/>
      <c r="R95" s="25"/>
      <c r="S95" s="26"/>
      <c r="T95" s="26"/>
      <c r="U95" s="26"/>
      <c r="V95" s="26"/>
      <c r="W95" s="26"/>
      <c r="X95" s="25"/>
      <c r="Y95" s="25"/>
      <c r="Z95" s="25"/>
      <c r="AA95" s="25"/>
      <c r="AB95" s="26"/>
      <c r="AC95" s="26"/>
      <c r="AD95" s="25"/>
      <c r="AE95" s="25"/>
      <c r="AF95" s="24">
        <f t="shared" si="12"/>
        <v>-1836.105</v>
      </c>
      <c r="AG95" s="27">
        <f t="shared" si="13"/>
        <v>-5.0000000001091394E-3</v>
      </c>
    </row>
    <row r="96" spans="1:33" s="29" customFormat="1" ht="23.25" customHeight="1" x14ac:dyDescent="0.2">
      <c r="A96" s="18">
        <v>43878</v>
      </c>
      <c r="B96" s="19"/>
      <c r="C96" s="20" t="s">
        <v>240</v>
      </c>
      <c r="D96" s="20" t="s">
        <v>111</v>
      </c>
      <c r="E96" s="20" t="s">
        <v>49</v>
      </c>
      <c r="F96" s="21">
        <v>231531</v>
      </c>
      <c r="G96" s="21" t="s">
        <v>265</v>
      </c>
      <c r="H96" s="22"/>
      <c r="I96" s="22"/>
      <c r="J96" s="22">
        <v>151.68</v>
      </c>
      <c r="K96" s="22"/>
      <c r="L96" s="23"/>
      <c r="M96" s="24">
        <f t="shared" si="10"/>
        <v>151.68</v>
      </c>
      <c r="N96" s="24">
        <f t="shared" si="11"/>
        <v>0</v>
      </c>
      <c r="O96" s="24">
        <f t="shared" si="14"/>
        <v>0</v>
      </c>
      <c r="P96" s="24">
        <v>151.68</v>
      </c>
      <c r="Q96" s="25"/>
      <c r="R96" s="25"/>
      <c r="S96" s="26"/>
      <c r="T96" s="26"/>
      <c r="U96" s="26"/>
      <c r="V96" s="26"/>
      <c r="W96" s="26"/>
      <c r="X96" s="25"/>
      <c r="Y96" s="25"/>
      <c r="Z96" s="25"/>
      <c r="AA96" s="25"/>
      <c r="AB96" s="26"/>
      <c r="AC96" s="26"/>
      <c r="AD96" s="25"/>
      <c r="AE96" s="25"/>
      <c r="AF96" s="24">
        <f t="shared" si="12"/>
        <v>-151.68</v>
      </c>
      <c r="AG96" s="27">
        <f t="shared" si="13"/>
        <v>0</v>
      </c>
    </row>
    <row r="97" spans="1:83" s="42" customFormat="1" ht="23.25" customHeight="1" x14ac:dyDescent="0.2">
      <c r="A97" s="32">
        <v>43879</v>
      </c>
      <c r="B97" s="33"/>
      <c r="C97" s="34" t="s">
        <v>55</v>
      </c>
      <c r="D97" s="34" t="s">
        <v>56</v>
      </c>
      <c r="E97" s="34" t="s">
        <v>57</v>
      </c>
      <c r="F97" s="35">
        <v>107367</v>
      </c>
      <c r="G97" s="35" t="s">
        <v>58</v>
      </c>
      <c r="H97" s="36"/>
      <c r="I97" s="36"/>
      <c r="J97" s="36"/>
      <c r="K97" s="36">
        <v>180</v>
      </c>
      <c r="L97" s="37"/>
      <c r="M97" s="38">
        <f t="shared" si="10"/>
        <v>160.71428571428569</v>
      </c>
      <c r="N97" s="38">
        <f t="shared" si="11"/>
        <v>19.285714285714281</v>
      </c>
      <c r="O97" s="38">
        <f t="shared" si="14"/>
        <v>0</v>
      </c>
      <c r="P97" s="38"/>
      <c r="Q97" s="39">
        <v>160.71</v>
      </c>
      <c r="R97" s="39"/>
      <c r="S97" s="40"/>
      <c r="T97" s="40"/>
      <c r="U97" s="40"/>
      <c r="V97" s="40"/>
      <c r="W97" s="40"/>
      <c r="X97" s="39"/>
      <c r="Y97" s="39"/>
      <c r="Z97" s="39"/>
      <c r="AA97" s="39"/>
      <c r="AB97" s="40"/>
      <c r="AC97" s="40"/>
      <c r="AD97" s="39"/>
      <c r="AE97" s="39"/>
      <c r="AF97" s="38">
        <f t="shared" si="12"/>
        <v>-179.99571428571429</v>
      </c>
      <c r="AG97" s="41">
        <f t="shared" si="13"/>
        <v>4.2857142857144481E-3</v>
      </c>
    </row>
    <row r="98" spans="1:83" s="29" customFormat="1" ht="23.25" customHeight="1" x14ac:dyDescent="0.2">
      <c r="A98" s="18">
        <v>43879</v>
      </c>
      <c r="B98" s="19"/>
      <c r="C98" s="20" t="s">
        <v>266</v>
      </c>
      <c r="D98" s="20" t="s">
        <v>267</v>
      </c>
      <c r="E98" s="20" t="s">
        <v>41</v>
      </c>
      <c r="F98" s="21">
        <v>930330</v>
      </c>
      <c r="G98" s="21" t="s">
        <v>268</v>
      </c>
      <c r="H98" s="22"/>
      <c r="I98" s="22"/>
      <c r="J98" s="22"/>
      <c r="K98" s="22">
        <v>660</v>
      </c>
      <c r="L98" s="23"/>
      <c r="M98" s="24">
        <f t="shared" si="10"/>
        <v>589.28571428571422</v>
      </c>
      <c r="N98" s="24">
        <f t="shared" si="11"/>
        <v>70.714285714285708</v>
      </c>
      <c r="O98" s="24">
        <f t="shared" si="14"/>
        <v>0</v>
      </c>
      <c r="P98" s="24"/>
      <c r="Q98" s="25"/>
      <c r="R98" s="25"/>
      <c r="S98" s="26"/>
      <c r="T98" s="26"/>
      <c r="U98" s="26"/>
      <c r="V98" s="26"/>
      <c r="W98" s="26"/>
      <c r="X98" s="25"/>
      <c r="Y98" s="25"/>
      <c r="Z98" s="25"/>
      <c r="AA98" s="25"/>
      <c r="AB98" s="26"/>
      <c r="AC98" s="26"/>
      <c r="AD98" s="25"/>
      <c r="AE98" s="25">
        <v>589.29</v>
      </c>
      <c r="AF98" s="24">
        <f t="shared" si="12"/>
        <v>-660.00428571428563</v>
      </c>
      <c r="AG98" s="27">
        <f t="shared" si="13"/>
        <v>-4.285714285629183E-3</v>
      </c>
    </row>
    <row r="99" spans="1:83" s="29" customFormat="1" ht="23.25" customHeight="1" x14ac:dyDescent="0.2">
      <c r="A99" s="18">
        <v>43879</v>
      </c>
      <c r="B99" s="19"/>
      <c r="C99" s="20" t="s">
        <v>37</v>
      </c>
      <c r="D99" s="20"/>
      <c r="E99" s="20"/>
      <c r="F99" s="21"/>
      <c r="G99" s="21" t="s">
        <v>38</v>
      </c>
      <c r="H99" s="22">
        <v>164</v>
      </c>
      <c r="I99" s="22"/>
      <c r="J99" s="22"/>
      <c r="K99" s="22"/>
      <c r="L99" s="23"/>
      <c r="M99" s="24">
        <f t="shared" si="10"/>
        <v>164</v>
      </c>
      <c r="N99" s="24">
        <f t="shared" si="11"/>
        <v>0</v>
      </c>
      <c r="O99" s="24">
        <f t="shared" si="14"/>
        <v>0</v>
      </c>
      <c r="P99" s="24"/>
      <c r="Q99" s="25"/>
      <c r="R99" s="25"/>
      <c r="S99" s="26"/>
      <c r="T99" s="26"/>
      <c r="U99" s="26"/>
      <c r="V99" s="26"/>
      <c r="W99" s="26"/>
      <c r="X99" s="25"/>
      <c r="Y99" s="25"/>
      <c r="Z99" s="25"/>
      <c r="AA99" s="25">
        <v>164</v>
      </c>
      <c r="AB99" s="26"/>
      <c r="AC99" s="26"/>
      <c r="AD99" s="25"/>
      <c r="AE99" s="25"/>
      <c r="AF99" s="24">
        <f t="shared" si="12"/>
        <v>-164</v>
      </c>
      <c r="AG99" s="27">
        <f t="shared" si="13"/>
        <v>0</v>
      </c>
    </row>
    <row r="100" spans="1:83" s="29" customFormat="1" ht="23.25" customHeight="1" x14ac:dyDescent="0.2">
      <c r="A100" s="18">
        <v>43879</v>
      </c>
      <c r="B100" s="19"/>
      <c r="C100" s="20" t="s">
        <v>55</v>
      </c>
      <c r="D100" s="20" t="s">
        <v>56</v>
      </c>
      <c r="E100" s="20" t="s">
        <v>57</v>
      </c>
      <c r="F100" s="21">
        <v>241427</v>
      </c>
      <c r="G100" s="21" t="s">
        <v>58</v>
      </c>
      <c r="H100" s="22"/>
      <c r="I100" s="22"/>
      <c r="J100" s="22"/>
      <c r="K100" s="22">
        <v>180</v>
      </c>
      <c r="L100" s="23"/>
      <c r="M100" s="24">
        <f t="shared" si="10"/>
        <v>160.71428571428569</v>
      </c>
      <c r="N100" s="24">
        <f t="shared" si="11"/>
        <v>19.285714285714281</v>
      </c>
      <c r="O100" s="24">
        <f t="shared" si="14"/>
        <v>0</v>
      </c>
      <c r="P100" s="24"/>
      <c r="Q100" s="25">
        <v>160.71</v>
      </c>
      <c r="R100" s="25"/>
      <c r="S100" s="26"/>
      <c r="T100" s="26"/>
      <c r="U100" s="26"/>
      <c r="V100" s="26"/>
      <c r="W100" s="26"/>
      <c r="X100" s="25"/>
      <c r="Y100" s="25"/>
      <c r="Z100" s="25"/>
      <c r="AA100" s="25"/>
      <c r="AB100" s="26"/>
      <c r="AC100" s="26"/>
      <c r="AD100" s="25"/>
      <c r="AE100" s="25"/>
      <c r="AF100" s="24">
        <f t="shared" si="12"/>
        <v>-179.99571428571429</v>
      </c>
      <c r="AG100" s="27">
        <f t="shared" si="13"/>
        <v>4.2857142857144481E-3</v>
      </c>
    </row>
    <row r="101" spans="1:83" s="29" customFormat="1" ht="23.25" customHeight="1" x14ac:dyDescent="0.2">
      <c r="A101" s="18">
        <v>43879</v>
      </c>
      <c r="B101" s="19"/>
      <c r="C101" s="20" t="s">
        <v>39</v>
      </c>
      <c r="D101" s="20" t="s">
        <v>40</v>
      </c>
      <c r="E101" s="20" t="s">
        <v>41</v>
      </c>
      <c r="F101" s="21">
        <v>127532</v>
      </c>
      <c r="G101" s="21" t="s">
        <v>269</v>
      </c>
      <c r="H101" s="22"/>
      <c r="I101" s="22"/>
      <c r="J101" s="22"/>
      <c r="K101" s="22">
        <v>542.6</v>
      </c>
      <c r="L101" s="23"/>
      <c r="M101" s="24">
        <f t="shared" ref="M101:M132" si="15">SUM(H101:J101,K101/1.12)</f>
        <v>484.46428571428567</v>
      </c>
      <c r="N101" s="24">
        <f t="shared" ref="N101:N132" si="16">K101/1.12*0.12</f>
        <v>58.135714285714279</v>
      </c>
      <c r="O101" s="24">
        <f t="shared" si="14"/>
        <v>0</v>
      </c>
      <c r="P101" s="24">
        <v>484.46</v>
      </c>
      <c r="Q101" s="25"/>
      <c r="R101" s="25"/>
      <c r="S101" s="26"/>
      <c r="T101" s="26"/>
      <c r="U101" s="26"/>
      <c r="V101" s="26"/>
      <c r="W101" s="26"/>
      <c r="X101" s="25"/>
      <c r="Y101" s="25"/>
      <c r="Z101" s="25"/>
      <c r="AA101" s="25"/>
      <c r="AB101" s="26"/>
      <c r="AC101" s="26"/>
      <c r="AD101" s="25"/>
      <c r="AE101" s="25"/>
      <c r="AF101" s="24">
        <f t="shared" ref="AF101:AF132" si="17">-SUM(N101:AE101)</f>
        <v>-542.59571428571428</v>
      </c>
      <c r="AG101" s="27">
        <f t="shared" ref="AG101:AG132" si="18">SUM(H101:K101)+AF101+O101</f>
        <v>4.2857142857428698E-3</v>
      </c>
      <c r="CE101" s="29">
        <v>1</v>
      </c>
    </row>
    <row r="102" spans="1:83" s="29" customFormat="1" ht="23.25" customHeight="1" x14ac:dyDescent="0.2">
      <c r="A102" s="18">
        <v>43879</v>
      </c>
      <c r="B102" s="19"/>
      <c r="C102" s="20" t="s">
        <v>45</v>
      </c>
      <c r="D102" s="20"/>
      <c r="E102" s="20"/>
      <c r="F102" s="21"/>
      <c r="G102" s="21" t="s">
        <v>104</v>
      </c>
      <c r="H102" s="22"/>
      <c r="I102" s="22"/>
      <c r="J102" s="22">
        <v>200</v>
      </c>
      <c r="K102" s="22"/>
      <c r="L102" s="23"/>
      <c r="M102" s="24">
        <f t="shared" si="15"/>
        <v>200</v>
      </c>
      <c r="N102" s="24">
        <f t="shared" si="16"/>
        <v>0</v>
      </c>
      <c r="O102" s="24">
        <f t="shared" si="14"/>
        <v>0</v>
      </c>
      <c r="P102" s="24">
        <v>200</v>
      </c>
      <c r="Q102" s="25"/>
      <c r="R102" s="25"/>
      <c r="S102" s="26"/>
      <c r="T102" s="26"/>
      <c r="U102" s="26"/>
      <c r="V102" s="26"/>
      <c r="W102" s="26"/>
      <c r="X102" s="25"/>
      <c r="Y102" s="25"/>
      <c r="Z102" s="25"/>
      <c r="AA102" s="25"/>
      <c r="AB102" s="26"/>
      <c r="AC102" s="26"/>
      <c r="AD102" s="25"/>
      <c r="AE102" s="25"/>
      <c r="AF102" s="24">
        <f t="shared" si="17"/>
        <v>-200</v>
      </c>
      <c r="AG102" s="27">
        <f t="shared" si="18"/>
        <v>0</v>
      </c>
    </row>
    <row r="103" spans="1:83" s="29" customFormat="1" ht="23.25" customHeight="1" x14ac:dyDescent="0.2">
      <c r="A103" s="18">
        <v>43879</v>
      </c>
      <c r="B103" s="19"/>
      <c r="C103" s="20" t="s">
        <v>45</v>
      </c>
      <c r="D103" s="20"/>
      <c r="E103" s="20"/>
      <c r="F103" s="21"/>
      <c r="G103" s="21" t="s">
        <v>244</v>
      </c>
      <c r="H103" s="22"/>
      <c r="I103" s="22"/>
      <c r="J103" s="22">
        <v>300</v>
      </c>
      <c r="K103" s="22"/>
      <c r="L103" s="23"/>
      <c r="M103" s="24">
        <f t="shared" si="15"/>
        <v>300</v>
      </c>
      <c r="N103" s="24">
        <f t="shared" si="16"/>
        <v>0</v>
      </c>
      <c r="O103" s="24">
        <f t="shared" si="14"/>
        <v>0</v>
      </c>
      <c r="P103" s="24">
        <v>300</v>
      </c>
      <c r="Q103" s="25"/>
      <c r="R103" s="25"/>
      <c r="S103" s="26"/>
      <c r="T103" s="26"/>
      <c r="U103" s="26"/>
      <c r="V103" s="26"/>
      <c r="W103" s="26"/>
      <c r="X103" s="25"/>
      <c r="Y103" s="25"/>
      <c r="Z103" s="25"/>
      <c r="AA103" s="25"/>
      <c r="AB103" s="26"/>
      <c r="AC103" s="26"/>
      <c r="AD103" s="25"/>
      <c r="AE103" s="25"/>
      <c r="AF103" s="24">
        <f t="shared" si="17"/>
        <v>-300</v>
      </c>
      <c r="AG103" s="27">
        <f t="shared" si="18"/>
        <v>0</v>
      </c>
    </row>
    <row r="104" spans="1:83" s="29" customFormat="1" ht="23.25" customHeight="1" x14ac:dyDescent="0.2">
      <c r="A104" s="18">
        <v>43879</v>
      </c>
      <c r="B104" s="19"/>
      <c r="C104" s="20" t="s">
        <v>45</v>
      </c>
      <c r="D104" s="20"/>
      <c r="E104" s="20"/>
      <c r="F104" s="21"/>
      <c r="G104" s="21" t="s">
        <v>46</v>
      </c>
      <c r="H104" s="22">
        <v>50</v>
      </c>
      <c r="I104" s="22"/>
      <c r="J104" s="22"/>
      <c r="K104" s="22"/>
      <c r="L104" s="23"/>
      <c r="M104" s="24">
        <f t="shared" si="15"/>
        <v>50</v>
      </c>
      <c r="N104" s="24">
        <f t="shared" si="16"/>
        <v>0</v>
      </c>
      <c r="O104" s="24">
        <f t="shared" si="14"/>
        <v>0</v>
      </c>
      <c r="P104" s="24"/>
      <c r="Q104" s="25"/>
      <c r="R104" s="25"/>
      <c r="S104" s="26"/>
      <c r="T104" s="26"/>
      <c r="U104" s="26"/>
      <c r="V104" s="26"/>
      <c r="W104" s="26"/>
      <c r="X104" s="25"/>
      <c r="Y104" s="25"/>
      <c r="Z104" s="25"/>
      <c r="AA104" s="25">
        <v>50</v>
      </c>
      <c r="AB104" s="26"/>
      <c r="AC104" s="26"/>
      <c r="AD104" s="25"/>
      <c r="AE104" s="25"/>
      <c r="AF104" s="24">
        <f t="shared" si="17"/>
        <v>-50</v>
      </c>
      <c r="AG104" s="27">
        <f t="shared" si="18"/>
        <v>0</v>
      </c>
    </row>
    <row r="105" spans="1:83" s="29" customFormat="1" ht="23.25" customHeight="1" x14ac:dyDescent="0.2">
      <c r="A105" s="18">
        <v>43880</v>
      </c>
      <c r="B105" s="19"/>
      <c r="C105" s="20" t="s">
        <v>60</v>
      </c>
      <c r="D105" s="20"/>
      <c r="E105" s="20"/>
      <c r="F105" s="21"/>
      <c r="G105" s="21" t="s">
        <v>270</v>
      </c>
      <c r="H105" s="22">
        <v>50</v>
      </c>
      <c r="I105" s="22"/>
      <c r="J105" s="22"/>
      <c r="K105" s="22"/>
      <c r="L105" s="23"/>
      <c r="M105" s="24">
        <f t="shared" si="15"/>
        <v>50</v>
      </c>
      <c r="N105" s="24">
        <f t="shared" si="16"/>
        <v>0</v>
      </c>
      <c r="O105" s="24">
        <f t="shared" si="14"/>
        <v>0</v>
      </c>
      <c r="P105" s="24"/>
      <c r="Q105" s="25"/>
      <c r="R105" s="25"/>
      <c r="S105" s="26"/>
      <c r="T105" s="26"/>
      <c r="U105" s="26"/>
      <c r="V105" s="26"/>
      <c r="W105" s="26"/>
      <c r="X105" s="25"/>
      <c r="Y105" s="25"/>
      <c r="Z105" s="25"/>
      <c r="AA105" s="25">
        <v>50</v>
      </c>
      <c r="AB105" s="26"/>
      <c r="AC105" s="26"/>
      <c r="AD105" s="25"/>
      <c r="AE105" s="25"/>
      <c r="AF105" s="24">
        <f t="shared" si="17"/>
        <v>-50</v>
      </c>
      <c r="AG105" s="27">
        <f t="shared" si="18"/>
        <v>0</v>
      </c>
    </row>
    <row r="106" spans="1:83" s="29" customFormat="1" ht="23.25" customHeight="1" x14ac:dyDescent="0.2">
      <c r="A106" s="18">
        <v>43880</v>
      </c>
      <c r="B106" s="19"/>
      <c r="C106" s="20" t="s">
        <v>224</v>
      </c>
      <c r="D106" s="20" t="s">
        <v>225</v>
      </c>
      <c r="E106" s="20" t="s">
        <v>41</v>
      </c>
      <c r="F106" s="21">
        <v>143678</v>
      </c>
      <c r="G106" s="21" t="s">
        <v>271</v>
      </c>
      <c r="H106" s="22"/>
      <c r="I106" s="22"/>
      <c r="J106" s="22"/>
      <c r="K106" s="22">
        <v>275</v>
      </c>
      <c r="L106" s="23"/>
      <c r="M106" s="24">
        <f t="shared" si="15"/>
        <v>245.53571428571425</v>
      </c>
      <c r="N106" s="24">
        <f t="shared" si="16"/>
        <v>29.464285714285708</v>
      </c>
      <c r="O106" s="24">
        <f t="shared" si="14"/>
        <v>0</v>
      </c>
      <c r="P106" s="24">
        <v>245.54</v>
      </c>
      <c r="Q106" s="25"/>
      <c r="R106" s="25"/>
      <c r="S106" s="26"/>
      <c r="T106" s="26"/>
      <c r="U106" s="26"/>
      <c r="V106" s="26"/>
      <c r="W106" s="26"/>
      <c r="X106" s="25"/>
      <c r="Y106" s="25"/>
      <c r="Z106" s="25"/>
      <c r="AA106" s="25"/>
      <c r="AB106" s="26"/>
      <c r="AC106" s="26"/>
      <c r="AD106" s="25"/>
      <c r="AE106" s="25"/>
      <c r="AF106" s="24">
        <f t="shared" si="17"/>
        <v>-275.00428571428569</v>
      </c>
      <c r="AG106" s="27">
        <f t="shared" si="18"/>
        <v>-4.2857142856860264E-3</v>
      </c>
    </row>
    <row r="107" spans="1:83" s="29" customFormat="1" ht="23.25" customHeight="1" x14ac:dyDescent="0.2">
      <c r="A107" s="18">
        <v>43880</v>
      </c>
      <c r="B107" s="19"/>
      <c r="C107" s="20" t="s">
        <v>106</v>
      </c>
      <c r="D107" s="20" t="s">
        <v>107</v>
      </c>
      <c r="E107" s="20" t="s">
        <v>49</v>
      </c>
      <c r="F107" s="21">
        <v>802300</v>
      </c>
      <c r="G107" s="21" t="s">
        <v>129</v>
      </c>
      <c r="H107" s="22"/>
      <c r="I107" s="22"/>
      <c r="J107" s="22"/>
      <c r="K107" s="22">
        <v>45</v>
      </c>
      <c r="L107" s="23"/>
      <c r="M107" s="24">
        <f t="shared" si="15"/>
        <v>40.178571428571423</v>
      </c>
      <c r="N107" s="24">
        <f t="shared" si="16"/>
        <v>4.8214285714285703</v>
      </c>
      <c r="O107" s="24">
        <f t="shared" si="14"/>
        <v>0</v>
      </c>
      <c r="P107" s="24"/>
      <c r="Q107" s="25"/>
      <c r="R107" s="25"/>
      <c r="S107" s="26"/>
      <c r="T107" s="26"/>
      <c r="U107" s="26"/>
      <c r="V107" s="26"/>
      <c r="W107" s="26"/>
      <c r="X107" s="25"/>
      <c r="Y107" s="25"/>
      <c r="Z107" s="25">
        <v>40.18</v>
      </c>
      <c r="AA107" s="25"/>
      <c r="AB107" s="26"/>
      <c r="AC107" s="26"/>
      <c r="AD107" s="25"/>
      <c r="AE107" s="25"/>
      <c r="AF107" s="24">
        <f t="shared" si="17"/>
        <v>-45.001428571428569</v>
      </c>
      <c r="AG107" s="27">
        <f t="shared" si="18"/>
        <v>-1.4285714285691142E-3</v>
      </c>
    </row>
    <row r="108" spans="1:83" s="29" customFormat="1" ht="23.25" customHeight="1" x14ac:dyDescent="0.2">
      <c r="A108" s="18">
        <v>43880</v>
      </c>
      <c r="B108" s="19"/>
      <c r="C108" s="20" t="s">
        <v>62</v>
      </c>
      <c r="D108" s="20"/>
      <c r="E108" s="20"/>
      <c r="F108" s="21"/>
      <c r="G108" s="21" t="s">
        <v>63</v>
      </c>
      <c r="H108" s="22"/>
      <c r="I108" s="22"/>
      <c r="J108" s="22">
        <v>70</v>
      </c>
      <c r="K108" s="22"/>
      <c r="L108" s="23"/>
      <c r="M108" s="24">
        <f t="shared" si="15"/>
        <v>70</v>
      </c>
      <c r="N108" s="24">
        <f t="shared" si="16"/>
        <v>0</v>
      </c>
      <c r="O108" s="24">
        <f t="shared" si="14"/>
        <v>0</v>
      </c>
      <c r="P108" s="24">
        <v>70</v>
      </c>
      <c r="Q108" s="25"/>
      <c r="R108" s="25"/>
      <c r="S108" s="26"/>
      <c r="T108" s="26"/>
      <c r="U108" s="26"/>
      <c r="V108" s="26"/>
      <c r="W108" s="26"/>
      <c r="X108" s="25"/>
      <c r="Y108" s="25"/>
      <c r="Z108" s="25"/>
      <c r="AA108" s="25"/>
      <c r="AB108" s="26"/>
      <c r="AC108" s="26"/>
      <c r="AD108" s="25"/>
      <c r="AE108" s="25"/>
      <c r="AF108" s="24">
        <f t="shared" si="17"/>
        <v>-70</v>
      </c>
      <c r="AG108" s="27">
        <f t="shared" si="18"/>
        <v>0</v>
      </c>
    </row>
    <row r="109" spans="1:83" s="29" customFormat="1" ht="23.25" customHeight="1" x14ac:dyDescent="0.2">
      <c r="A109" s="18">
        <v>43880</v>
      </c>
      <c r="B109" s="19"/>
      <c r="C109" s="20" t="s">
        <v>47</v>
      </c>
      <c r="D109" s="20" t="s">
        <v>48</v>
      </c>
      <c r="E109" s="20" t="s">
        <v>49</v>
      </c>
      <c r="F109" s="21">
        <v>189811</v>
      </c>
      <c r="G109" s="21" t="s">
        <v>272</v>
      </c>
      <c r="H109" s="22"/>
      <c r="I109" s="22"/>
      <c r="J109" s="22">
        <v>1440.4</v>
      </c>
      <c r="K109" s="22"/>
      <c r="L109" s="23"/>
      <c r="M109" s="24">
        <f t="shared" si="15"/>
        <v>1440.4</v>
      </c>
      <c r="N109" s="24">
        <f t="shared" si="16"/>
        <v>0</v>
      </c>
      <c r="O109" s="24">
        <f t="shared" si="14"/>
        <v>0</v>
      </c>
      <c r="P109" s="24">
        <v>1440.4</v>
      </c>
      <c r="Q109" s="25"/>
      <c r="R109" s="25"/>
      <c r="S109" s="26"/>
      <c r="T109" s="26"/>
      <c r="U109" s="26"/>
      <c r="V109" s="26"/>
      <c r="W109" s="26"/>
      <c r="X109" s="25"/>
      <c r="Y109" s="25"/>
      <c r="Z109" s="25"/>
      <c r="AA109" s="25"/>
      <c r="AB109" s="26"/>
      <c r="AC109" s="26"/>
      <c r="AD109" s="25"/>
      <c r="AE109" s="25"/>
      <c r="AF109" s="24">
        <f t="shared" si="17"/>
        <v>-1440.4</v>
      </c>
      <c r="AG109" s="27">
        <f t="shared" si="18"/>
        <v>0</v>
      </c>
    </row>
    <row r="110" spans="1:83" s="29" customFormat="1" ht="23.25" customHeight="1" x14ac:dyDescent="0.2">
      <c r="A110" s="18">
        <v>43880</v>
      </c>
      <c r="B110" s="19"/>
      <c r="C110" s="20" t="s">
        <v>47</v>
      </c>
      <c r="D110" s="20" t="s">
        <v>48</v>
      </c>
      <c r="E110" s="20" t="s">
        <v>49</v>
      </c>
      <c r="F110" s="21">
        <v>189811</v>
      </c>
      <c r="G110" s="21" t="s">
        <v>273</v>
      </c>
      <c r="H110" s="22"/>
      <c r="I110" s="22"/>
      <c r="J110" s="22"/>
      <c r="K110" s="22">
        <f>1298.88+155.87</f>
        <v>1454.75</v>
      </c>
      <c r="L110" s="23"/>
      <c r="M110" s="24">
        <f t="shared" si="15"/>
        <v>1298.8839285714284</v>
      </c>
      <c r="N110" s="24">
        <f t="shared" si="16"/>
        <v>155.86607142857142</v>
      </c>
      <c r="O110" s="24">
        <f t="shared" si="14"/>
        <v>0</v>
      </c>
      <c r="P110" s="24">
        <v>1298.8800000000001</v>
      </c>
      <c r="Q110" s="25"/>
      <c r="R110" s="25"/>
      <c r="S110" s="26"/>
      <c r="T110" s="26"/>
      <c r="U110" s="26"/>
      <c r="V110" s="26"/>
      <c r="W110" s="26"/>
      <c r="X110" s="25"/>
      <c r="Y110" s="25"/>
      <c r="Z110" s="25"/>
      <c r="AA110" s="25"/>
      <c r="AB110" s="26"/>
      <c r="AC110" s="26"/>
      <c r="AD110" s="25"/>
      <c r="AE110" s="25"/>
      <c r="AF110" s="24">
        <f t="shared" si="17"/>
        <v>-1454.7460714285714</v>
      </c>
      <c r="AG110" s="27">
        <f t="shared" si="18"/>
        <v>3.9285714285597351E-3</v>
      </c>
    </row>
    <row r="111" spans="1:83" s="29" customFormat="1" ht="23.25" customHeight="1" x14ac:dyDescent="0.2">
      <c r="A111" s="18">
        <v>43881</v>
      </c>
      <c r="B111" s="19"/>
      <c r="C111" s="20" t="s">
        <v>233</v>
      </c>
      <c r="D111" s="20" t="s">
        <v>71</v>
      </c>
      <c r="E111" s="20" t="s">
        <v>72</v>
      </c>
      <c r="F111" s="21">
        <v>17216</v>
      </c>
      <c r="G111" s="21" t="s">
        <v>274</v>
      </c>
      <c r="H111" s="22"/>
      <c r="I111" s="22"/>
      <c r="J111" s="22"/>
      <c r="K111" s="22">
        <v>205</v>
      </c>
      <c r="L111" s="23"/>
      <c r="M111" s="24">
        <f t="shared" si="15"/>
        <v>183.03571428571428</v>
      </c>
      <c r="N111" s="24">
        <f t="shared" si="16"/>
        <v>21.964285714285712</v>
      </c>
      <c r="O111" s="24">
        <f t="shared" si="14"/>
        <v>0</v>
      </c>
      <c r="P111" s="24"/>
      <c r="Q111" s="25"/>
      <c r="R111" s="25"/>
      <c r="S111" s="26"/>
      <c r="T111" s="26"/>
      <c r="U111" s="26"/>
      <c r="V111" s="26"/>
      <c r="W111" s="26"/>
      <c r="X111" s="25">
        <v>183.04</v>
      </c>
      <c r="Y111" s="25"/>
      <c r="Z111" s="25"/>
      <c r="AA111" s="25"/>
      <c r="AB111" s="26"/>
      <c r="AC111" s="26"/>
      <c r="AD111" s="25"/>
      <c r="AE111" s="25"/>
      <c r="AF111" s="24">
        <f t="shared" si="17"/>
        <v>-205.00428571428571</v>
      </c>
      <c r="AG111" s="27">
        <f t="shared" si="18"/>
        <v>-4.2857142857144481E-3</v>
      </c>
    </row>
    <row r="112" spans="1:83" s="29" customFormat="1" ht="23.25" customHeight="1" x14ac:dyDescent="0.2">
      <c r="A112" s="18">
        <v>43881</v>
      </c>
      <c r="B112" s="19"/>
      <c r="C112" s="20" t="s">
        <v>233</v>
      </c>
      <c r="D112" s="20" t="s">
        <v>71</v>
      </c>
      <c r="E112" s="20" t="s">
        <v>72</v>
      </c>
      <c r="F112" s="21">
        <v>17216</v>
      </c>
      <c r="G112" s="21" t="s">
        <v>275</v>
      </c>
      <c r="H112" s="22"/>
      <c r="I112" s="22"/>
      <c r="J112" s="22"/>
      <c r="K112" s="22">
        <v>503</v>
      </c>
      <c r="L112" s="23"/>
      <c r="M112" s="24">
        <f t="shared" si="15"/>
        <v>449.10714285714283</v>
      </c>
      <c r="N112" s="24">
        <f t="shared" si="16"/>
        <v>53.892857142857139</v>
      </c>
      <c r="O112" s="24">
        <f t="shared" si="14"/>
        <v>0</v>
      </c>
      <c r="P112" s="24">
        <v>449.11</v>
      </c>
      <c r="Q112" s="25"/>
      <c r="R112" s="25"/>
      <c r="S112" s="26"/>
      <c r="T112" s="26"/>
      <c r="U112" s="26"/>
      <c r="V112" s="26"/>
      <c r="W112" s="26"/>
      <c r="X112" s="25"/>
      <c r="Y112" s="25"/>
      <c r="Z112" s="25"/>
      <c r="AA112" s="25"/>
      <c r="AB112" s="26"/>
      <c r="AC112" s="26"/>
      <c r="AD112" s="25"/>
      <c r="AE112" s="25"/>
      <c r="AF112" s="24">
        <f t="shared" si="17"/>
        <v>-503.00285714285712</v>
      </c>
      <c r="AG112" s="27">
        <f t="shared" si="18"/>
        <v>-2.8571428571240176E-3</v>
      </c>
    </row>
    <row r="113" spans="1:33" s="29" customFormat="1" ht="23.25" customHeight="1" x14ac:dyDescent="0.2">
      <c r="A113" s="18">
        <v>43881</v>
      </c>
      <c r="B113" s="19"/>
      <c r="C113" s="20" t="s">
        <v>45</v>
      </c>
      <c r="D113" s="20"/>
      <c r="E113" s="20"/>
      <c r="F113" s="21"/>
      <c r="G113" s="21" t="s">
        <v>46</v>
      </c>
      <c r="H113" s="22">
        <v>100</v>
      </c>
      <c r="I113" s="22"/>
      <c r="J113" s="22"/>
      <c r="K113" s="22"/>
      <c r="L113" s="23"/>
      <c r="M113" s="24">
        <f t="shared" si="15"/>
        <v>100</v>
      </c>
      <c r="N113" s="24">
        <f t="shared" si="16"/>
        <v>0</v>
      </c>
      <c r="O113" s="24">
        <f t="shared" si="14"/>
        <v>0</v>
      </c>
      <c r="P113" s="24"/>
      <c r="Q113" s="25"/>
      <c r="R113" s="25"/>
      <c r="S113" s="26"/>
      <c r="T113" s="26"/>
      <c r="U113" s="26"/>
      <c r="V113" s="26"/>
      <c r="W113" s="26"/>
      <c r="X113" s="25"/>
      <c r="Y113" s="25"/>
      <c r="Z113" s="25"/>
      <c r="AA113" s="25">
        <v>100</v>
      </c>
      <c r="AB113" s="26"/>
      <c r="AC113" s="26"/>
      <c r="AD113" s="25"/>
      <c r="AE113" s="25"/>
      <c r="AF113" s="24">
        <f t="shared" si="17"/>
        <v>-100</v>
      </c>
      <c r="AG113" s="27">
        <f t="shared" si="18"/>
        <v>0</v>
      </c>
    </row>
    <row r="114" spans="1:33" s="29" customFormat="1" ht="23.25" customHeight="1" x14ac:dyDescent="0.2">
      <c r="A114" s="18">
        <v>43881</v>
      </c>
      <c r="B114" s="19"/>
      <c r="C114" s="20" t="s">
        <v>45</v>
      </c>
      <c r="D114" s="20"/>
      <c r="E114" s="20"/>
      <c r="F114" s="21"/>
      <c r="G114" s="21" t="s">
        <v>276</v>
      </c>
      <c r="H114" s="22"/>
      <c r="I114" s="22"/>
      <c r="J114" s="22">
        <v>450</v>
      </c>
      <c r="K114" s="22"/>
      <c r="L114" s="23"/>
      <c r="M114" s="24">
        <f t="shared" si="15"/>
        <v>450</v>
      </c>
      <c r="N114" s="24">
        <f t="shared" si="16"/>
        <v>0</v>
      </c>
      <c r="O114" s="24">
        <f t="shared" si="14"/>
        <v>0</v>
      </c>
      <c r="P114" s="24">
        <v>450</v>
      </c>
      <c r="Q114" s="25"/>
      <c r="R114" s="25"/>
      <c r="S114" s="26"/>
      <c r="T114" s="26"/>
      <c r="U114" s="26"/>
      <c r="V114" s="26"/>
      <c r="W114" s="26"/>
      <c r="X114" s="25"/>
      <c r="Y114" s="25"/>
      <c r="Z114" s="25"/>
      <c r="AA114" s="25"/>
      <c r="AB114" s="26"/>
      <c r="AC114" s="26"/>
      <c r="AD114" s="25"/>
      <c r="AE114" s="25"/>
      <c r="AF114" s="24">
        <f t="shared" si="17"/>
        <v>-450</v>
      </c>
      <c r="AG114" s="27">
        <f t="shared" si="18"/>
        <v>0</v>
      </c>
    </row>
    <row r="115" spans="1:33" s="29" customFormat="1" ht="23.25" customHeight="1" x14ac:dyDescent="0.2">
      <c r="A115" s="18">
        <v>43881</v>
      </c>
      <c r="B115" s="19"/>
      <c r="C115" s="20" t="s">
        <v>55</v>
      </c>
      <c r="D115" s="20" t="s">
        <v>56</v>
      </c>
      <c r="E115" s="20" t="s">
        <v>57</v>
      </c>
      <c r="F115" s="21">
        <v>107820</v>
      </c>
      <c r="G115" s="21" t="s">
        <v>58</v>
      </c>
      <c r="H115" s="22"/>
      <c r="I115" s="22"/>
      <c r="J115" s="22"/>
      <c r="K115" s="22">
        <v>180</v>
      </c>
      <c r="L115" s="23"/>
      <c r="M115" s="24">
        <f t="shared" si="15"/>
        <v>160.71428571428569</v>
      </c>
      <c r="N115" s="24">
        <f t="shared" si="16"/>
        <v>19.285714285714281</v>
      </c>
      <c r="O115" s="24">
        <f t="shared" si="14"/>
        <v>0</v>
      </c>
      <c r="P115" s="24"/>
      <c r="Q115" s="25">
        <v>160.71</v>
      </c>
      <c r="R115" s="25"/>
      <c r="S115" s="26"/>
      <c r="T115" s="26"/>
      <c r="U115" s="26"/>
      <c r="V115" s="26"/>
      <c r="W115" s="26"/>
      <c r="X115" s="25"/>
      <c r="Y115" s="25"/>
      <c r="Z115" s="25"/>
      <c r="AA115" s="25"/>
      <c r="AB115" s="26"/>
      <c r="AC115" s="26"/>
      <c r="AD115" s="25"/>
      <c r="AE115" s="25"/>
      <c r="AF115" s="24">
        <f t="shared" si="17"/>
        <v>-179.99571428571429</v>
      </c>
      <c r="AG115" s="27">
        <f t="shared" si="18"/>
        <v>4.2857142857144481E-3</v>
      </c>
    </row>
    <row r="116" spans="1:33" s="29" customFormat="1" ht="23.25" customHeight="1" x14ac:dyDescent="0.2">
      <c r="A116" s="18">
        <v>43882</v>
      </c>
      <c r="B116" s="19"/>
      <c r="C116" s="20" t="s">
        <v>45</v>
      </c>
      <c r="D116" s="20"/>
      <c r="E116" s="20"/>
      <c r="F116" s="21"/>
      <c r="G116" s="21" t="s">
        <v>277</v>
      </c>
      <c r="H116" s="22">
        <v>100</v>
      </c>
      <c r="I116" s="22"/>
      <c r="J116" s="22"/>
      <c r="K116" s="22"/>
      <c r="L116" s="23"/>
      <c r="M116" s="24">
        <f t="shared" si="15"/>
        <v>100</v>
      </c>
      <c r="N116" s="24">
        <f t="shared" si="16"/>
        <v>0</v>
      </c>
      <c r="O116" s="24">
        <f t="shared" si="14"/>
        <v>0</v>
      </c>
      <c r="P116" s="24"/>
      <c r="Q116" s="25"/>
      <c r="R116" s="25"/>
      <c r="S116" s="26"/>
      <c r="T116" s="26"/>
      <c r="U116" s="26"/>
      <c r="V116" s="26"/>
      <c r="W116" s="26"/>
      <c r="X116" s="25"/>
      <c r="Y116" s="25"/>
      <c r="Z116" s="25"/>
      <c r="AA116" s="25">
        <v>100</v>
      </c>
      <c r="AB116" s="26"/>
      <c r="AC116" s="26"/>
      <c r="AD116" s="25"/>
      <c r="AE116" s="25"/>
      <c r="AF116" s="24">
        <f t="shared" si="17"/>
        <v>-100</v>
      </c>
      <c r="AG116" s="27">
        <f t="shared" si="18"/>
        <v>0</v>
      </c>
    </row>
    <row r="117" spans="1:33" s="29" customFormat="1" ht="23.25" customHeight="1" x14ac:dyDescent="0.2">
      <c r="A117" s="18">
        <v>43882</v>
      </c>
      <c r="B117" s="19"/>
      <c r="C117" s="20" t="s">
        <v>55</v>
      </c>
      <c r="D117" s="20" t="s">
        <v>56</v>
      </c>
      <c r="E117" s="20" t="s">
        <v>57</v>
      </c>
      <c r="F117" s="21">
        <v>247071</v>
      </c>
      <c r="G117" s="21" t="s">
        <v>58</v>
      </c>
      <c r="H117" s="22"/>
      <c r="I117" s="22"/>
      <c r="J117" s="22"/>
      <c r="K117" s="22">
        <v>180</v>
      </c>
      <c r="L117" s="23"/>
      <c r="M117" s="24">
        <f t="shared" si="15"/>
        <v>160.71428571428569</v>
      </c>
      <c r="N117" s="24">
        <f t="shared" si="16"/>
        <v>19.285714285714281</v>
      </c>
      <c r="O117" s="24">
        <f t="shared" si="14"/>
        <v>0</v>
      </c>
      <c r="P117" s="24"/>
      <c r="Q117" s="25">
        <v>160.71</v>
      </c>
      <c r="R117" s="25"/>
      <c r="S117" s="26"/>
      <c r="T117" s="26"/>
      <c r="U117" s="26"/>
      <c r="V117" s="26"/>
      <c r="W117" s="26"/>
      <c r="X117" s="25"/>
      <c r="Y117" s="25"/>
      <c r="Z117" s="25"/>
      <c r="AA117" s="25"/>
      <c r="AB117" s="26"/>
      <c r="AC117" s="26"/>
      <c r="AD117" s="25"/>
      <c r="AE117" s="25"/>
      <c r="AF117" s="24">
        <f t="shared" si="17"/>
        <v>-179.99571428571429</v>
      </c>
      <c r="AG117" s="27">
        <f t="shared" si="18"/>
        <v>4.2857142857144481E-3</v>
      </c>
    </row>
    <row r="118" spans="1:33" s="29" customFormat="1" ht="23.25" customHeight="1" x14ac:dyDescent="0.2">
      <c r="A118" s="18">
        <v>43882</v>
      </c>
      <c r="B118" s="19"/>
      <c r="C118" s="20" t="s">
        <v>278</v>
      </c>
      <c r="D118" s="20" t="s">
        <v>279</v>
      </c>
      <c r="E118" s="20" t="s">
        <v>280</v>
      </c>
      <c r="F118" s="21">
        <v>121720</v>
      </c>
      <c r="G118" s="21" t="s">
        <v>281</v>
      </c>
      <c r="H118" s="22"/>
      <c r="I118" s="22"/>
      <c r="J118" s="22"/>
      <c r="K118" s="22">
        <v>1329.54</v>
      </c>
      <c r="L118" s="23"/>
      <c r="M118" s="24">
        <f t="shared" si="15"/>
        <v>1187.0892857142856</v>
      </c>
      <c r="N118" s="24">
        <f t="shared" si="16"/>
        <v>142.45071428571427</v>
      </c>
      <c r="O118" s="24">
        <f t="shared" si="14"/>
        <v>0</v>
      </c>
      <c r="P118" s="24">
        <v>1187.0899999999999</v>
      </c>
      <c r="Q118" s="25"/>
      <c r="R118" s="25"/>
      <c r="S118" s="26"/>
      <c r="T118" s="26"/>
      <c r="U118" s="26"/>
      <c r="V118" s="26"/>
      <c r="W118" s="26"/>
      <c r="X118" s="25"/>
      <c r="Y118" s="25"/>
      <c r="Z118" s="25"/>
      <c r="AA118" s="25"/>
      <c r="AB118" s="26"/>
      <c r="AC118" s="26"/>
      <c r="AD118" s="25"/>
      <c r="AE118" s="25"/>
      <c r="AF118" s="24">
        <f t="shared" si="17"/>
        <v>-1329.5407142857141</v>
      </c>
      <c r="AG118" s="27">
        <f t="shared" si="18"/>
        <v>-7.1428571413889586E-4</v>
      </c>
    </row>
    <row r="119" spans="1:33" s="29" customFormat="1" ht="23.25" customHeight="1" x14ac:dyDescent="0.2">
      <c r="A119" s="18">
        <v>43882</v>
      </c>
      <c r="B119" s="19"/>
      <c r="C119" s="20" t="s">
        <v>60</v>
      </c>
      <c r="D119" s="20"/>
      <c r="E119" s="20"/>
      <c r="F119" s="21"/>
      <c r="G119" s="21" t="s">
        <v>282</v>
      </c>
      <c r="H119" s="22">
        <v>50</v>
      </c>
      <c r="I119" s="22"/>
      <c r="J119" s="22"/>
      <c r="K119" s="22"/>
      <c r="L119" s="23"/>
      <c r="M119" s="24">
        <f t="shared" si="15"/>
        <v>50</v>
      </c>
      <c r="N119" s="24">
        <f t="shared" si="16"/>
        <v>0</v>
      </c>
      <c r="O119" s="24">
        <f t="shared" si="14"/>
        <v>0</v>
      </c>
      <c r="P119" s="24"/>
      <c r="Q119" s="25"/>
      <c r="R119" s="25"/>
      <c r="S119" s="26"/>
      <c r="T119" s="26"/>
      <c r="U119" s="26"/>
      <c r="V119" s="26"/>
      <c r="W119" s="26"/>
      <c r="X119" s="25"/>
      <c r="Y119" s="25"/>
      <c r="Z119" s="25"/>
      <c r="AA119" s="25">
        <v>50</v>
      </c>
      <c r="AB119" s="26"/>
      <c r="AC119" s="26"/>
      <c r="AD119" s="25"/>
      <c r="AE119" s="25"/>
      <c r="AF119" s="24">
        <f t="shared" si="17"/>
        <v>-50</v>
      </c>
      <c r="AG119" s="27">
        <f t="shared" si="18"/>
        <v>0</v>
      </c>
    </row>
    <row r="120" spans="1:33" s="29" customFormat="1" ht="23.25" customHeight="1" x14ac:dyDescent="0.2">
      <c r="A120" s="18">
        <v>43882</v>
      </c>
      <c r="B120" s="19"/>
      <c r="C120" s="20" t="s">
        <v>47</v>
      </c>
      <c r="D120" s="20" t="s">
        <v>48</v>
      </c>
      <c r="E120" s="20" t="s">
        <v>49</v>
      </c>
      <c r="F120" s="21">
        <v>269110</v>
      </c>
      <c r="G120" s="21" t="s">
        <v>283</v>
      </c>
      <c r="H120" s="22"/>
      <c r="I120" s="22"/>
      <c r="J120" s="22">
        <v>441.75</v>
      </c>
      <c r="K120" s="22"/>
      <c r="L120" s="23"/>
      <c r="M120" s="24">
        <f t="shared" si="15"/>
        <v>441.75</v>
      </c>
      <c r="N120" s="24">
        <f t="shared" si="16"/>
        <v>0</v>
      </c>
      <c r="O120" s="24">
        <f t="shared" si="14"/>
        <v>0</v>
      </c>
      <c r="P120" s="24">
        <v>441.75</v>
      </c>
      <c r="Q120" s="25"/>
      <c r="R120" s="25"/>
      <c r="S120" s="26"/>
      <c r="T120" s="26"/>
      <c r="U120" s="26"/>
      <c r="V120" s="26"/>
      <c r="W120" s="26"/>
      <c r="X120" s="25"/>
      <c r="Y120" s="25"/>
      <c r="Z120" s="25"/>
      <c r="AA120" s="25"/>
      <c r="AB120" s="26"/>
      <c r="AC120" s="26"/>
      <c r="AD120" s="25"/>
      <c r="AE120" s="25"/>
      <c r="AF120" s="24">
        <f t="shared" si="17"/>
        <v>-441.75</v>
      </c>
      <c r="AG120" s="27">
        <f t="shared" si="18"/>
        <v>0</v>
      </c>
    </row>
    <row r="121" spans="1:33" s="29" customFormat="1" ht="23.25" customHeight="1" x14ac:dyDescent="0.2">
      <c r="A121" s="18">
        <v>43882</v>
      </c>
      <c r="B121" s="19"/>
      <c r="C121" s="20" t="s">
        <v>47</v>
      </c>
      <c r="D121" s="20" t="s">
        <v>48</v>
      </c>
      <c r="E121" s="20" t="s">
        <v>49</v>
      </c>
      <c r="F121" s="21">
        <v>269110</v>
      </c>
      <c r="G121" s="21" t="s">
        <v>284</v>
      </c>
      <c r="H121" s="22"/>
      <c r="I121" s="22"/>
      <c r="J121" s="22"/>
      <c r="K121" s="22">
        <f>1791.16+214.94</f>
        <v>2006.1000000000001</v>
      </c>
      <c r="L121" s="23"/>
      <c r="M121" s="24">
        <f t="shared" si="15"/>
        <v>1791.1607142857142</v>
      </c>
      <c r="N121" s="24">
        <f t="shared" si="16"/>
        <v>214.93928571428569</v>
      </c>
      <c r="O121" s="24">
        <f t="shared" si="14"/>
        <v>0</v>
      </c>
      <c r="P121" s="24">
        <v>1791.16</v>
      </c>
      <c r="Q121" s="25"/>
      <c r="R121" s="25"/>
      <c r="S121" s="26"/>
      <c r="T121" s="26"/>
      <c r="U121" s="26"/>
      <c r="V121" s="26"/>
      <c r="W121" s="26"/>
      <c r="X121" s="25"/>
      <c r="Y121" s="25"/>
      <c r="Z121" s="25"/>
      <c r="AA121" s="25"/>
      <c r="AB121" s="26"/>
      <c r="AC121" s="26"/>
      <c r="AD121" s="25"/>
      <c r="AE121" s="25"/>
      <c r="AF121" s="24">
        <f t="shared" si="17"/>
        <v>-2006.0992857142858</v>
      </c>
      <c r="AG121" s="27">
        <f t="shared" si="18"/>
        <v>7.1428571436626953E-4</v>
      </c>
    </row>
    <row r="122" spans="1:33" s="29" customFormat="1" ht="23.25" customHeight="1" x14ac:dyDescent="0.2">
      <c r="A122" s="18">
        <v>43883</v>
      </c>
      <c r="B122" s="19"/>
      <c r="C122" s="20" t="s">
        <v>65</v>
      </c>
      <c r="D122" s="20" t="s">
        <v>66</v>
      </c>
      <c r="E122" s="20" t="s">
        <v>67</v>
      </c>
      <c r="F122" s="21">
        <v>3429</v>
      </c>
      <c r="G122" s="21" t="s">
        <v>285</v>
      </c>
      <c r="H122" s="22"/>
      <c r="I122" s="22"/>
      <c r="J122" s="22">
        <v>1755</v>
      </c>
      <c r="K122" s="22"/>
      <c r="L122" s="23"/>
      <c r="M122" s="24">
        <f t="shared" si="15"/>
        <v>1755</v>
      </c>
      <c r="N122" s="24">
        <f t="shared" si="16"/>
        <v>0</v>
      </c>
      <c r="O122" s="24">
        <f t="shared" si="14"/>
        <v>0</v>
      </c>
      <c r="P122" s="24">
        <v>1755</v>
      </c>
      <c r="Q122" s="25"/>
      <c r="R122" s="25"/>
      <c r="S122" s="26"/>
      <c r="T122" s="26"/>
      <c r="U122" s="26"/>
      <c r="V122" s="26"/>
      <c r="W122" s="26"/>
      <c r="X122" s="25"/>
      <c r="Y122" s="25"/>
      <c r="Z122" s="25"/>
      <c r="AA122" s="25"/>
      <c r="AB122" s="26"/>
      <c r="AC122" s="26"/>
      <c r="AD122" s="25"/>
      <c r="AE122" s="25"/>
      <c r="AF122" s="24">
        <f t="shared" si="17"/>
        <v>-1755</v>
      </c>
      <c r="AG122" s="27">
        <f t="shared" si="18"/>
        <v>0</v>
      </c>
    </row>
    <row r="123" spans="1:33" s="29" customFormat="1" ht="23.25" customHeight="1" x14ac:dyDescent="0.2">
      <c r="A123" s="18">
        <v>43883</v>
      </c>
      <c r="B123" s="19"/>
      <c r="C123" s="20" t="s">
        <v>45</v>
      </c>
      <c r="D123" s="20"/>
      <c r="E123" s="20"/>
      <c r="F123" s="21"/>
      <c r="G123" s="21" t="s">
        <v>286</v>
      </c>
      <c r="H123" s="22">
        <v>100</v>
      </c>
      <c r="I123" s="22"/>
      <c r="J123" s="22"/>
      <c r="K123" s="22"/>
      <c r="L123" s="23"/>
      <c r="M123" s="24">
        <f t="shared" si="15"/>
        <v>100</v>
      </c>
      <c r="N123" s="24">
        <f t="shared" si="16"/>
        <v>0</v>
      </c>
      <c r="O123" s="24">
        <f t="shared" ref="O123:O154" si="19">-SUM(I123:J123,K123/1.12)*L123</f>
        <v>0</v>
      </c>
      <c r="P123" s="24"/>
      <c r="Q123" s="25"/>
      <c r="R123" s="25"/>
      <c r="S123" s="26"/>
      <c r="T123" s="26"/>
      <c r="U123" s="26"/>
      <c r="V123" s="26"/>
      <c r="W123" s="26"/>
      <c r="X123" s="25"/>
      <c r="Y123" s="25"/>
      <c r="Z123" s="25"/>
      <c r="AA123" s="25">
        <v>100</v>
      </c>
      <c r="AB123" s="26"/>
      <c r="AC123" s="26"/>
      <c r="AD123" s="25"/>
      <c r="AE123" s="25"/>
      <c r="AF123" s="24">
        <f t="shared" si="17"/>
        <v>-100</v>
      </c>
      <c r="AG123" s="27">
        <f t="shared" si="18"/>
        <v>0</v>
      </c>
    </row>
    <row r="124" spans="1:33" s="29" customFormat="1" ht="23.25" customHeight="1" x14ac:dyDescent="0.2">
      <c r="A124" s="18">
        <v>43883</v>
      </c>
      <c r="B124" s="19"/>
      <c r="C124" s="20" t="s">
        <v>39</v>
      </c>
      <c r="D124" s="20" t="s">
        <v>40</v>
      </c>
      <c r="E124" s="20" t="s">
        <v>41</v>
      </c>
      <c r="F124" s="21">
        <v>157684</v>
      </c>
      <c r="G124" s="21" t="s">
        <v>287</v>
      </c>
      <c r="H124" s="22"/>
      <c r="I124" s="22"/>
      <c r="J124" s="22">
        <v>89.88</v>
      </c>
      <c r="K124" s="22"/>
      <c r="L124" s="23"/>
      <c r="M124" s="24">
        <f t="shared" si="15"/>
        <v>89.88</v>
      </c>
      <c r="N124" s="24">
        <f t="shared" si="16"/>
        <v>0</v>
      </c>
      <c r="O124" s="24">
        <f t="shared" si="19"/>
        <v>0</v>
      </c>
      <c r="P124" s="24">
        <v>89.88</v>
      </c>
      <c r="Q124" s="25"/>
      <c r="R124" s="25"/>
      <c r="S124" s="26"/>
      <c r="T124" s="26"/>
      <c r="U124" s="26"/>
      <c r="V124" s="26"/>
      <c r="W124" s="26"/>
      <c r="X124" s="25"/>
      <c r="Y124" s="25"/>
      <c r="Z124" s="25"/>
      <c r="AA124" s="25"/>
      <c r="AB124" s="26"/>
      <c r="AC124" s="26"/>
      <c r="AD124" s="25"/>
      <c r="AE124" s="25"/>
      <c r="AF124" s="24">
        <f t="shared" si="17"/>
        <v>-89.88</v>
      </c>
      <c r="AG124" s="27">
        <f t="shared" si="18"/>
        <v>0</v>
      </c>
    </row>
    <row r="125" spans="1:33" s="29" customFormat="1" ht="23.25" customHeight="1" x14ac:dyDescent="0.2">
      <c r="A125" s="18">
        <v>43883</v>
      </c>
      <c r="B125" s="19"/>
      <c r="C125" s="20" t="s">
        <v>106</v>
      </c>
      <c r="D125" s="20" t="s">
        <v>107</v>
      </c>
      <c r="E125" s="20" t="s">
        <v>49</v>
      </c>
      <c r="F125" s="21">
        <v>802810</v>
      </c>
      <c r="G125" s="21" t="s">
        <v>288</v>
      </c>
      <c r="H125" s="22"/>
      <c r="I125" s="22"/>
      <c r="J125" s="22"/>
      <c r="K125" s="22">
        <v>76.25</v>
      </c>
      <c r="L125" s="23"/>
      <c r="M125" s="24">
        <f t="shared" si="15"/>
        <v>68.080357142857139</v>
      </c>
      <c r="N125" s="24">
        <f t="shared" si="16"/>
        <v>8.1696428571428559</v>
      </c>
      <c r="O125" s="24">
        <f t="shared" si="19"/>
        <v>0</v>
      </c>
      <c r="P125" s="24">
        <v>68.08</v>
      </c>
      <c r="Q125" s="25"/>
      <c r="R125" s="25"/>
      <c r="S125" s="26"/>
      <c r="T125" s="26"/>
      <c r="U125" s="26"/>
      <c r="V125" s="26"/>
      <c r="W125" s="26"/>
      <c r="X125" s="25"/>
      <c r="Y125" s="25"/>
      <c r="Z125" s="25"/>
      <c r="AA125" s="25"/>
      <c r="AB125" s="26"/>
      <c r="AC125" s="26"/>
      <c r="AD125" s="25"/>
      <c r="AE125" s="25"/>
      <c r="AF125" s="24">
        <f t="shared" si="17"/>
        <v>-76.249642857142859</v>
      </c>
      <c r="AG125" s="27">
        <f t="shared" si="18"/>
        <v>3.571428571405022E-4</v>
      </c>
    </row>
    <row r="126" spans="1:33" s="29" customFormat="1" ht="23.25" customHeight="1" x14ac:dyDescent="0.2">
      <c r="A126" s="18">
        <v>43883</v>
      </c>
      <c r="B126" s="19"/>
      <c r="C126" s="20" t="s">
        <v>39</v>
      </c>
      <c r="D126" s="20" t="s">
        <v>40</v>
      </c>
      <c r="E126" s="20" t="s">
        <v>41</v>
      </c>
      <c r="F126" s="21">
        <v>128669</v>
      </c>
      <c r="G126" s="21" t="s">
        <v>289</v>
      </c>
      <c r="H126" s="22"/>
      <c r="I126" s="22"/>
      <c r="J126" s="22"/>
      <c r="K126" s="22">
        <v>401</v>
      </c>
      <c r="L126" s="23"/>
      <c r="M126" s="24">
        <f t="shared" si="15"/>
        <v>358.03571428571428</v>
      </c>
      <c r="N126" s="24">
        <f t="shared" si="16"/>
        <v>42.964285714285708</v>
      </c>
      <c r="O126" s="24">
        <f t="shared" si="19"/>
        <v>0</v>
      </c>
      <c r="P126" s="24">
        <v>358.04</v>
      </c>
      <c r="Q126" s="25"/>
      <c r="R126" s="25"/>
      <c r="S126" s="26"/>
      <c r="T126" s="26"/>
      <c r="U126" s="26"/>
      <c r="V126" s="26"/>
      <c r="W126" s="26"/>
      <c r="X126" s="25"/>
      <c r="Y126" s="25"/>
      <c r="Z126" s="25"/>
      <c r="AA126" s="25"/>
      <c r="AB126" s="26"/>
      <c r="AC126" s="26"/>
      <c r="AD126" s="25"/>
      <c r="AE126" s="25"/>
      <c r="AF126" s="24">
        <f t="shared" si="17"/>
        <v>-401.00428571428574</v>
      </c>
      <c r="AG126" s="27">
        <f t="shared" si="18"/>
        <v>-4.2857142857428698E-3</v>
      </c>
    </row>
    <row r="127" spans="1:33" s="29" customFormat="1" ht="23.25" customHeight="1" x14ac:dyDescent="0.2">
      <c r="A127" s="18">
        <v>43885</v>
      </c>
      <c r="B127" s="19"/>
      <c r="C127" s="20" t="s">
        <v>62</v>
      </c>
      <c r="D127" s="20"/>
      <c r="E127" s="20"/>
      <c r="F127" s="21"/>
      <c r="G127" s="21" t="s">
        <v>290</v>
      </c>
      <c r="H127" s="22"/>
      <c r="I127" s="22"/>
      <c r="J127" s="22">
        <v>50</v>
      </c>
      <c r="K127" s="22"/>
      <c r="L127" s="23"/>
      <c r="M127" s="24">
        <f t="shared" si="15"/>
        <v>50</v>
      </c>
      <c r="N127" s="24">
        <f t="shared" si="16"/>
        <v>0</v>
      </c>
      <c r="O127" s="24">
        <f t="shared" si="19"/>
        <v>0</v>
      </c>
      <c r="P127" s="24">
        <v>50</v>
      </c>
      <c r="Q127" s="25"/>
      <c r="R127" s="25"/>
      <c r="S127" s="26"/>
      <c r="T127" s="26"/>
      <c r="U127" s="26"/>
      <c r="V127" s="26"/>
      <c r="W127" s="26"/>
      <c r="X127" s="25"/>
      <c r="Y127" s="25"/>
      <c r="Z127" s="25"/>
      <c r="AA127" s="25"/>
      <c r="AB127" s="26"/>
      <c r="AC127" s="26"/>
      <c r="AD127" s="25"/>
      <c r="AE127" s="25"/>
      <c r="AF127" s="24">
        <f t="shared" si="17"/>
        <v>-50</v>
      </c>
      <c r="AG127" s="27">
        <f t="shared" si="18"/>
        <v>0</v>
      </c>
    </row>
    <row r="128" spans="1:33" s="29" customFormat="1" ht="23.25" customHeight="1" x14ac:dyDescent="0.2">
      <c r="A128" s="18">
        <v>43885</v>
      </c>
      <c r="B128" s="19"/>
      <c r="C128" s="20" t="s">
        <v>55</v>
      </c>
      <c r="D128" s="20" t="s">
        <v>56</v>
      </c>
      <c r="E128" s="20" t="s">
        <v>57</v>
      </c>
      <c r="F128" s="21">
        <v>247199</v>
      </c>
      <c r="G128" s="21" t="s">
        <v>58</v>
      </c>
      <c r="H128" s="22"/>
      <c r="I128" s="22"/>
      <c r="J128" s="22"/>
      <c r="K128" s="22">
        <v>180</v>
      </c>
      <c r="L128" s="23"/>
      <c r="M128" s="24">
        <f t="shared" si="15"/>
        <v>160.71428571428569</v>
      </c>
      <c r="N128" s="24">
        <f t="shared" si="16"/>
        <v>19.285714285714281</v>
      </c>
      <c r="O128" s="24">
        <f t="shared" si="19"/>
        <v>0</v>
      </c>
      <c r="P128" s="24"/>
      <c r="Q128" s="25">
        <v>160.71</v>
      </c>
      <c r="R128" s="25"/>
      <c r="S128" s="26"/>
      <c r="T128" s="26"/>
      <c r="U128" s="26"/>
      <c r="V128" s="26"/>
      <c r="W128" s="26"/>
      <c r="X128" s="25"/>
      <c r="Y128" s="25"/>
      <c r="Z128" s="25"/>
      <c r="AA128" s="25"/>
      <c r="AB128" s="26"/>
      <c r="AC128" s="26"/>
      <c r="AD128" s="25"/>
      <c r="AE128" s="25"/>
      <c r="AF128" s="24">
        <f t="shared" si="17"/>
        <v>-179.99571428571429</v>
      </c>
      <c r="AG128" s="27">
        <f t="shared" si="18"/>
        <v>4.2857142857144481E-3</v>
      </c>
    </row>
    <row r="129" spans="1:33" s="29" customFormat="1" ht="23.25" customHeight="1" x14ac:dyDescent="0.2">
      <c r="A129" s="18">
        <v>43885</v>
      </c>
      <c r="B129" s="19"/>
      <c r="C129" s="20" t="s">
        <v>39</v>
      </c>
      <c r="D129" s="20" t="s">
        <v>40</v>
      </c>
      <c r="E129" s="20" t="s">
        <v>41</v>
      </c>
      <c r="F129" s="21">
        <v>138757</v>
      </c>
      <c r="G129" s="21" t="s">
        <v>291</v>
      </c>
      <c r="H129" s="22"/>
      <c r="I129" s="22"/>
      <c r="J129" s="22"/>
      <c r="K129" s="22">
        <v>604</v>
      </c>
      <c r="L129" s="23"/>
      <c r="M129" s="24">
        <f t="shared" si="15"/>
        <v>539.28571428571422</v>
      </c>
      <c r="N129" s="24">
        <f t="shared" si="16"/>
        <v>64.714285714285708</v>
      </c>
      <c r="O129" s="24">
        <f t="shared" si="19"/>
        <v>0</v>
      </c>
      <c r="P129" s="24">
        <v>539.29</v>
      </c>
      <c r="Q129" s="25"/>
      <c r="R129" s="25"/>
      <c r="S129" s="26"/>
      <c r="T129" s="26"/>
      <c r="U129" s="26"/>
      <c r="V129" s="26"/>
      <c r="W129" s="26"/>
      <c r="X129" s="25"/>
      <c r="Y129" s="25"/>
      <c r="Z129" s="25"/>
      <c r="AA129" s="25"/>
      <c r="AB129" s="26"/>
      <c r="AC129" s="26"/>
      <c r="AD129" s="25"/>
      <c r="AE129" s="25"/>
      <c r="AF129" s="24">
        <f t="shared" si="17"/>
        <v>-604.00428571428563</v>
      </c>
      <c r="AG129" s="27">
        <f t="shared" si="18"/>
        <v>-4.285714285629183E-3</v>
      </c>
    </row>
    <row r="130" spans="1:33" s="29" customFormat="1" ht="23.25" customHeight="1" x14ac:dyDescent="0.2">
      <c r="A130" s="18">
        <v>43886</v>
      </c>
      <c r="B130" s="19"/>
      <c r="C130" s="20" t="s">
        <v>224</v>
      </c>
      <c r="D130" s="20" t="s">
        <v>225</v>
      </c>
      <c r="E130" s="20" t="s">
        <v>41</v>
      </c>
      <c r="F130" s="21">
        <v>1146629</v>
      </c>
      <c r="G130" s="21" t="s">
        <v>58</v>
      </c>
      <c r="H130" s="22"/>
      <c r="I130" s="22"/>
      <c r="J130" s="22"/>
      <c r="K130" s="22">
        <v>80</v>
      </c>
      <c r="L130" s="23"/>
      <c r="M130" s="24">
        <f t="shared" si="15"/>
        <v>71.428571428571416</v>
      </c>
      <c r="N130" s="24">
        <f t="shared" si="16"/>
        <v>8.5714285714285694</v>
      </c>
      <c r="O130" s="24">
        <f t="shared" si="19"/>
        <v>0</v>
      </c>
      <c r="P130" s="24"/>
      <c r="Q130" s="25">
        <v>71.430000000000007</v>
      </c>
      <c r="R130" s="25"/>
      <c r="S130" s="26"/>
      <c r="T130" s="26"/>
      <c r="U130" s="26"/>
      <c r="V130" s="26"/>
      <c r="W130" s="26"/>
      <c r="X130" s="25"/>
      <c r="Y130" s="25"/>
      <c r="Z130" s="25"/>
      <c r="AA130" s="25"/>
      <c r="AB130" s="26"/>
      <c r="AC130" s="26"/>
      <c r="AD130" s="25"/>
      <c r="AE130" s="25"/>
      <c r="AF130" s="24">
        <f t="shared" si="17"/>
        <v>-80.001428571428576</v>
      </c>
      <c r="AG130" s="27">
        <f t="shared" si="18"/>
        <v>-1.4285714285762197E-3</v>
      </c>
    </row>
    <row r="131" spans="1:33" s="29" customFormat="1" ht="23.25" customHeight="1" x14ac:dyDescent="0.2">
      <c r="A131" s="18">
        <v>43886</v>
      </c>
      <c r="B131" s="19"/>
      <c r="C131" s="20" t="s">
        <v>55</v>
      </c>
      <c r="D131" s="20" t="s">
        <v>56</v>
      </c>
      <c r="E131" s="20" t="s">
        <v>57</v>
      </c>
      <c r="F131" s="21">
        <v>106479</v>
      </c>
      <c r="G131" s="21" t="s">
        <v>58</v>
      </c>
      <c r="H131" s="22"/>
      <c r="I131" s="22"/>
      <c r="J131" s="22"/>
      <c r="K131" s="22">
        <v>180</v>
      </c>
      <c r="L131" s="23"/>
      <c r="M131" s="24">
        <f t="shared" si="15"/>
        <v>160.71428571428569</v>
      </c>
      <c r="N131" s="24">
        <f t="shared" si="16"/>
        <v>19.285714285714281</v>
      </c>
      <c r="O131" s="24">
        <f t="shared" si="19"/>
        <v>0</v>
      </c>
      <c r="P131" s="24"/>
      <c r="Q131" s="25">
        <v>160.71</v>
      </c>
      <c r="R131" s="25"/>
      <c r="S131" s="26"/>
      <c r="T131" s="26"/>
      <c r="U131" s="26"/>
      <c r="V131" s="26"/>
      <c r="W131" s="26"/>
      <c r="X131" s="25"/>
      <c r="Y131" s="25"/>
      <c r="Z131" s="25"/>
      <c r="AA131" s="25"/>
      <c r="AB131" s="26"/>
      <c r="AC131" s="26"/>
      <c r="AD131" s="25"/>
      <c r="AE131" s="25"/>
      <c r="AF131" s="24">
        <f t="shared" si="17"/>
        <v>-179.99571428571429</v>
      </c>
      <c r="AG131" s="27">
        <f t="shared" si="18"/>
        <v>4.2857142857144481E-3</v>
      </c>
    </row>
    <row r="132" spans="1:33" s="29" customFormat="1" ht="23.25" customHeight="1" x14ac:dyDescent="0.2">
      <c r="A132" s="18">
        <v>43887</v>
      </c>
      <c r="B132" s="19"/>
      <c r="C132" s="20" t="s">
        <v>292</v>
      </c>
      <c r="D132" s="20" t="s">
        <v>293</v>
      </c>
      <c r="E132" s="20" t="s">
        <v>294</v>
      </c>
      <c r="F132" s="21">
        <v>9260</v>
      </c>
      <c r="G132" s="20" t="s">
        <v>295</v>
      </c>
      <c r="H132" s="22"/>
      <c r="I132" s="22"/>
      <c r="J132" s="22"/>
      <c r="K132" s="22">
        <v>180</v>
      </c>
      <c r="L132" s="23"/>
      <c r="M132" s="24">
        <f t="shared" si="15"/>
        <v>160.71428571428569</v>
      </c>
      <c r="N132" s="24">
        <f t="shared" si="16"/>
        <v>19.285714285714281</v>
      </c>
      <c r="O132" s="24">
        <f t="shared" si="19"/>
        <v>0</v>
      </c>
      <c r="P132" s="24"/>
      <c r="Q132" s="25"/>
      <c r="R132" s="25"/>
      <c r="S132" s="26"/>
      <c r="T132" s="26"/>
      <c r="U132" s="26"/>
      <c r="V132" s="26"/>
      <c r="W132" s="26"/>
      <c r="X132" s="25"/>
      <c r="Y132" s="25">
        <v>160.71</v>
      </c>
      <c r="Z132" s="25"/>
      <c r="AA132" s="25"/>
      <c r="AB132" s="26"/>
      <c r="AC132" s="26"/>
      <c r="AD132" s="25"/>
      <c r="AE132" s="25"/>
      <c r="AF132" s="24">
        <f t="shared" si="17"/>
        <v>-179.99571428571429</v>
      </c>
      <c r="AG132" s="27">
        <f t="shared" si="18"/>
        <v>4.2857142857144481E-3</v>
      </c>
    </row>
    <row r="133" spans="1:33" s="29" customFormat="1" ht="23.25" customHeight="1" x14ac:dyDescent="0.2">
      <c r="A133" s="18">
        <v>43887</v>
      </c>
      <c r="B133" s="19"/>
      <c r="C133" s="20" t="s">
        <v>39</v>
      </c>
      <c r="D133" s="20" t="s">
        <v>40</v>
      </c>
      <c r="E133" s="20" t="s">
        <v>41</v>
      </c>
      <c r="F133" s="21">
        <v>708909</v>
      </c>
      <c r="G133" s="21" t="s">
        <v>138</v>
      </c>
      <c r="H133" s="22"/>
      <c r="I133" s="22"/>
      <c r="J133" s="22"/>
      <c r="K133" s="22">
        <v>390</v>
      </c>
      <c r="L133" s="23"/>
      <c r="M133" s="24">
        <f t="shared" ref="M133:M163" si="20">SUM(H133:J133,K133/1.12)</f>
        <v>348.21428571428567</v>
      </c>
      <c r="N133" s="24">
        <f t="shared" ref="N133:N163" si="21">K133/1.12*0.12</f>
        <v>41.785714285714278</v>
      </c>
      <c r="O133" s="24">
        <f t="shared" si="19"/>
        <v>0</v>
      </c>
      <c r="P133" s="24">
        <v>348.21</v>
      </c>
      <c r="Q133" s="25"/>
      <c r="R133" s="25"/>
      <c r="S133" s="26"/>
      <c r="T133" s="26"/>
      <c r="U133" s="26"/>
      <c r="V133" s="26"/>
      <c r="W133" s="26"/>
      <c r="X133" s="25"/>
      <c r="Y133" s="25"/>
      <c r="Z133" s="25"/>
      <c r="AA133" s="25"/>
      <c r="AB133" s="26"/>
      <c r="AC133" s="26"/>
      <c r="AD133" s="25"/>
      <c r="AE133" s="25"/>
      <c r="AF133" s="24">
        <f t="shared" ref="AF133:AF163" si="22">-SUM(N133:AE133)</f>
        <v>-389.99571428571426</v>
      </c>
      <c r="AG133" s="27">
        <f t="shared" ref="AG133:AG163" si="23">SUM(H133:K133)+AF133+O133</f>
        <v>4.2857142857428698E-3</v>
      </c>
    </row>
    <row r="134" spans="1:33" s="29" customFormat="1" ht="23.25" customHeight="1" x14ac:dyDescent="0.2">
      <c r="A134" s="18">
        <v>43887</v>
      </c>
      <c r="B134" s="19"/>
      <c r="C134" s="20" t="s">
        <v>47</v>
      </c>
      <c r="D134" s="20" t="s">
        <v>48</v>
      </c>
      <c r="E134" s="20" t="s">
        <v>49</v>
      </c>
      <c r="F134" s="21">
        <v>204484</v>
      </c>
      <c r="G134" s="21" t="s">
        <v>296</v>
      </c>
      <c r="H134" s="22"/>
      <c r="I134" s="22"/>
      <c r="J134" s="22"/>
      <c r="K134" s="22">
        <v>432.2</v>
      </c>
      <c r="L134" s="23"/>
      <c r="M134" s="24">
        <f t="shared" si="20"/>
        <v>385.89285714285711</v>
      </c>
      <c r="N134" s="24">
        <f t="shared" si="21"/>
        <v>46.30714285714285</v>
      </c>
      <c r="O134" s="24">
        <f t="shared" si="19"/>
        <v>0</v>
      </c>
      <c r="P134" s="24">
        <v>385.89</v>
      </c>
      <c r="Q134" s="25"/>
      <c r="R134" s="25"/>
      <c r="S134" s="26"/>
      <c r="T134" s="26"/>
      <c r="U134" s="26"/>
      <c r="V134" s="26"/>
      <c r="W134" s="26"/>
      <c r="X134" s="25"/>
      <c r="Y134" s="25"/>
      <c r="Z134" s="25"/>
      <c r="AA134" s="25"/>
      <c r="AB134" s="26"/>
      <c r="AC134" s="26"/>
      <c r="AD134" s="25"/>
      <c r="AE134" s="25"/>
      <c r="AF134" s="24">
        <f t="shared" si="22"/>
        <v>-432.19714285714281</v>
      </c>
      <c r="AG134" s="27">
        <f t="shared" si="23"/>
        <v>2.857142857180861E-3</v>
      </c>
    </row>
    <row r="135" spans="1:33" s="29" customFormat="1" ht="23.25" customHeight="1" x14ac:dyDescent="0.2">
      <c r="A135" s="18">
        <v>43887</v>
      </c>
      <c r="B135" s="19"/>
      <c r="C135" s="20" t="s">
        <v>240</v>
      </c>
      <c r="D135" s="20" t="s">
        <v>297</v>
      </c>
      <c r="E135" s="20" t="s">
        <v>49</v>
      </c>
      <c r="F135" s="21">
        <v>576777</v>
      </c>
      <c r="G135" s="21" t="s">
        <v>298</v>
      </c>
      <c r="H135" s="22"/>
      <c r="I135" s="22"/>
      <c r="J135" s="22"/>
      <c r="K135" s="22">
        <v>2503.33</v>
      </c>
      <c r="L135" s="23"/>
      <c r="M135" s="24">
        <f t="shared" si="20"/>
        <v>2235.1160714285711</v>
      </c>
      <c r="N135" s="24">
        <f t="shared" si="21"/>
        <v>268.21392857142854</v>
      </c>
      <c r="O135" s="24">
        <f t="shared" si="19"/>
        <v>0</v>
      </c>
      <c r="P135" s="24">
        <v>2235.12</v>
      </c>
      <c r="Q135" s="25"/>
      <c r="R135" s="25"/>
      <c r="S135" s="26"/>
      <c r="T135" s="26"/>
      <c r="U135" s="26"/>
      <c r="V135" s="26"/>
      <c r="W135" s="26"/>
      <c r="X135" s="25"/>
      <c r="Y135" s="25"/>
      <c r="Z135" s="25"/>
      <c r="AA135" s="25"/>
      <c r="AB135" s="26"/>
      <c r="AC135" s="26"/>
      <c r="AD135" s="25"/>
      <c r="AE135" s="25"/>
      <c r="AF135" s="24">
        <f t="shared" si="22"/>
        <v>-2503.3339285714283</v>
      </c>
      <c r="AG135" s="27">
        <f t="shared" si="23"/>
        <v>-3.9285714283323614E-3</v>
      </c>
    </row>
    <row r="136" spans="1:33" s="29" customFormat="1" ht="23.25" customHeight="1" x14ac:dyDescent="0.2">
      <c r="A136" s="18">
        <v>43887</v>
      </c>
      <c r="B136" s="19"/>
      <c r="C136" s="20" t="s">
        <v>224</v>
      </c>
      <c r="D136" s="20" t="s">
        <v>225</v>
      </c>
      <c r="E136" s="20" t="s">
        <v>41</v>
      </c>
      <c r="F136" s="21">
        <v>158085</v>
      </c>
      <c r="G136" s="21" t="s">
        <v>299</v>
      </c>
      <c r="H136" s="22"/>
      <c r="I136" s="22"/>
      <c r="J136" s="22"/>
      <c r="K136" s="22">
        <v>60</v>
      </c>
      <c r="L136" s="23"/>
      <c r="M136" s="24">
        <f t="shared" si="20"/>
        <v>53.571428571428569</v>
      </c>
      <c r="N136" s="24">
        <f t="shared" si="21"/>
        <v>6.4285714285714279</v>
      </c>
      <c r="O136" s="24">
        <f t="shared" si="19"/>
        <v>0</v>
      </c>
      <c r="P136" s="24"/>
      <c r="Q136" s="25"/>
      <c r="R136" s="25"/>
      <c r="S136" s="26"/>
      <c r="T136" s="26"/>
      <c r="U136" s="26"/>
      <c r="V136" s="26"/>
      <c r="W136" s="26"/>
      <c r="X136" s="25"/>
      <c r="Y136" s="25">
        <v>53.57</v>
      </c>
      <c r="Z136" s="25"/>
      <c r="AA136" s="25"/>
      <c r="AB136" s="26"/>
      <c r="AC136" s="26"/>
      <c r="AD136" s="25"/>
      <c r="AE136" s="25"/>
      <c r="AF136" s="24">
        <f t="shared" si="22"/>
        <v>-59.998571428571431</v>
      </c>
      <c r="AG136" s="27">
        <f t="shared" si="23"/>
        <v>1.4285714285691142E-3</v>
      </c>
    </row>
    <row r="137" spans="1:33" s="29" customFormat="1" ht="23.25" customHeight="1" x14ac:dyDescent="0.2">
      <c r="A137" s="18">
        <v>43887</v>
      </c>
      <c r="B137" s="19"/>
      <c r="C137" s="20" t="s">
        <v>168</v>
      </c>
      <c r="D137" s="20"/>
      <c r="E137" s="20"/>
      <c r="F137" s="21"/>
      <c r="G137" s="21" t="s">
        <v>300</v>
      </c>
      <c r="H137" s="22">
        <v>88.77</v>
      </c>
      <c r="I137" s="22"/>
      <c r="J137" s="22"/>
      <c r="K137" s="22"/>
      <c r="L137" s="23"/>
      <c r="M137" s="24">
        <f t="shared" si="20"/>
        <v>88.77</v>
      </c>
      <c r="N137" s="24">
        <f t="shared" si="21"/>
        <v>0</v>
      </c>
      <c r="O137" s="24">
        <f t="shared" si="19"/>
        <v>0</v>
      </c>
      <c r="P137" s="24"/>
      <c r="Q137" s="25"/>
      <c r="R137" s="25"/>
      <c r="S137" s="26"/>
      <c r="T137" s="26"/>
      <c r="U137" s="26"/>
      <c r="V137" s="26"/>
      <c r="W137" s="26"/>
      <c r="X137" s="25"/>
      <c r="Y137" s="25"/>
      <c r="Z137" s="25"/>
      <c r="AA137" s="25"/>
      <c r="AB137" s="26"/>
      <c r="AC137" s="26"/>
      <c r="AD137" s="25">
        <v>88.77</v>
      </c>
      <c r="AE137" s="25"/>
      <c r="AF137" s="24">
        <f t="shared" si="22"/>
        <v>-88.77</v>
      </c>
      <c r="AG137" s="27">
        <f t="shared" si="23"/>
        <v>0</v>
      </c>
    </row>
    <row r="138" spans="1:33" s="42" customFormat="1" ht="23.25" customHeight="1" x14ac:dyDescent="0.2">
      <c r="A138" s="32">
        <v>43887</v>
      </c>
      <c r="B138" s="33"/>
      <c r="C138" s="34" t="s">
        <v>37</v>
      </c>
      <c r="D138" s="34"/>
      <c r="E138" s="34"/>
      <c r="F138" s="35"/>
      <c r="G138" s="35" t="s">
        <v>38</v>
      </c>
      <c r="H138" s="36">
        <v>164</v>
      </c>
      <c r="I138" s="36"/>
      <c r="J138" s="36"/>
      <c r="K138" s="36"/>
      <c r="L138" s="37"/>
      <c r="M138" s="38">
        <f t="shared" si="20"/>
        <v>164</v>
      </c>
      <c r="N138" s="38">
        <f t="shared" si="21"/>
        <v>0</v>
      </c>
      <c r="O138" s="38">
        <f t="shared" si="19"/>
        <v>0</v>
      </c>
      <c r="P138" s="38"/>
      <c r="Q138" s="39"/>
      <c r="R138" s="39"/>
      <c r="S138" s="40"/>
      <c r="T138" s="40"/>
      <c r="U138" s="40"/>
      <c r="V138" s="40"/>
      <c r="W138" s="40"/>
      <c r="X138" s="39"/>
      <c r="Y138" s="39"/>
      <c r="Z138" s="39"/>
      <c r="AA138" s="39">
        <v>164</v>
      </c>
      <c r="AB138" s="40"/>
      <c r="AC138" s="40"/>
      <c r="AD138" s="39"/>
      <c r="AE138" s="39"/>
      <c r="AF138" s="38">
        <f t="shared" si="22"/>
        <v>-164</v>
      </c>
      <c r="AG138" s="41">
        <f t="shared" si="23"/>
        <v>0</v>
      </c>
    </row>
    <row r="139" spans="1:33" s="29" customFormat="1" ht="23.25" customHeight="1" x14ac:dyDescent="0.2">
      <c r="A139" s="18">
        <v>43887</v>
      </c>
      <c r="B139" s="19"/>
      <c r="C139" s="20" t="s">
        <v>39</v>
      </c>
      <c r="D139" s="20" t="s">
        <v>40</v>
      </c>
      <c r="E139" s="20" t="s">
        <v>41</v>
      </c>
      <c r="F139" s="21">
        <v>139376</v>
      </c>
      <c r="G139" s="21" t="s">
        <v>301</v>
      </c>
      <c r="H139" s="22"/>
      <c r="I139" s="22"/>
      <c r="J139" s="22"/>
      <c r="K139" s="22">
        <v>220.25</v>
      </c>
      <c r="L139" s="23"/>
      <c r="M139" s="24">
        <f t="shared" si="20"/>
        <v>196.65178571428569</v>
      </c>
      <c r="N139" s="24">
        <f t="shared" si="21"/>
        <v>23.598214285714281</v>
      </c>
      <c r="O139" s="24">
        <f t="shared" si="19"/>
        <v>0</v>
      </c>
      <c r="P139" s="24">
        <v>196.65</v>
      </c>
      <c r="Q139" s="25"/>
      <c r="R139" s="25"/>
      <c r="S139" s="26"/>
      <c r="T139" s="26"/>
      <c r="U139" s="26"/>
      <c r="V139" s="26"/>
      <c r="W139" s="26"/>
      <c r="X139" s="25"/>
      <c r="Y139" s="25"/>
      <c r="Z139" s="25"/>
      <c r="AA139" s="25"/>
      <c r="AB139" s="26"/>
      <c r="AC139" s="26"/>
      <c r="AD139" s="25"/>
      <c r="AE139" s="25"/>
      <c r="AF139" s="24">
        <f t="shared" si="22"/>
        <v>-220.24821428571428</v>
      </c>
      <c r="AG139" s="27">
        <f t="shared" si="23"/>
        <v>1.7857142857167219E-3</v>
      </c>
    </row>
    <row r="140" spans="1:33" s="29" customFormat="1" ht="23.25" customHeight="1" x14ac:dyDescent="0.2">
      <c r="A140" s="18">
        <v>43888</v>
      </c>
      <c r="B140" s="19"/>
      <c r="C140" s="20" t="s">
        <v>55</v>
      </c>
      <c r="D140" s="20" t="s">
        <v>56</v>
      </c>
      <c r="E140" s="20" t="s">
        <v>57</v>
      </c>
      <c r="F140" s="21">
        <v>106234</v>
      </c>
      <c r="G140" s="21" t="s">
        <v>58</v>
      </c>
      <c r="H140" s="22"/>
      <c r="I140" s="22"/>
      <c r="J140" s="22"/>
      <c r="K140" s="22">
        <v>180</v>
      </c>
      <c r="L140" s="23"/>
      <c r="M140" s="24">
        <f t="shared" si="20"/>
        <v>160.71428571428569</v>
      </c>
      <c r="N140" s="24">
        <f t="shared" si="21"/>
        <v>19.285714285714281</v>
      </c>
      <c r="O140" s="24">
        <f t="shared" si="19"/>
        <v>0</v>
      </c>
      <c r="P140" s="24"/>
      <c r="Q140" s="25">
        <v>160.71</v>
      </c>
      <c r="R140" s="25"/>
      <c r="S140" s="26"/>
      <c r="T140" s="26"/>
      <c r="U140" s="26"/>
      <c r="V140" s="26"/>
      <c r="W140" s="26"/>
      <c r="X140" s="25"/>
      <c r="Y140" s="25"/>
      <c r="Z140" s="25"/>
      <c r="AA140" s="25"/>
      <c r="AB140" s="26"/>
      <c r="AC140" s="26"/>
      <c r="AD140" s="25"/>
      <c r="AE140" s="25"/>
      <c r="AF140" s="24">
        <f t="shared" si="22"/>
        <v>-179.99571428571429</v>
      </c>
      <c r="AG140" s="27">
        <f t="shared" si="23"/>
        <v>4.2857142857144481E-3</v>
      </c>
    </row>
    <row r="141" spans="1:33" s="29" customFormat="1" ht="23.25" customHeight="1" x14ac:dyDescent="0.2">
      <c r="A141" s="18">
        <v>43888</v>
      </c>
      <c r="B141" s="19"/>
      <c r="C141" s="20" t="s">
        <v>302</v>
      </c>
      <c r="D141" s="20" t="s">
        <v>303</v>
      </c>
      <c r="E141" s="20" t="s">
        <v>41</v>
      </c>
      <c r="F141" s="21">
        <v>1302</v>
      </c>
      <c r="G141" s="21" t="s">
        <v>299</v>
      </c>
      <c r="H141" s="22">
        <v>70</v>
      </c>
      <c r="I141" s="22"/>
      <c r="J141" s="22"/>
      <c r="K141" s="22"/>
      <c r="L141" s="23"/>
      <c r="M141" s="24">
        <f t="shared" si="20"/>
        <v>70</v>
      </c>
      <c r="N141" s="24">
        <f t="shared" si="21"/>
        <v>0</v>
      </c>
      <c r="O141" s="24">
        <f t="shared" si="19"/>
        <v>0</v>
      </c>
      <c r="P141" s="24"/>
      <c r="Q141" s="25"/>
      <c r="R141" s="25"/>
      <c r="S141" s="26"/>
      <c r="T141" s="26"/>
      <c r="U141" s="26"/>
      <c r="V141" s="26"/>
      <c r="W141" s="26"/>
      <c r="X141" s="25"/>
      <c r="Y141" s="25">
        <v>70</v>
      </c>
      <c r="Z141" s="25"/>
      <c r="AA141" s="25"/>
      <c r="AB141" s="26"/>
      <c r="AC141" s="26"/>
      <c r="AD141" s="25"/>
      <c r="AE141" s="25"/>
      <c r="AF141" s="24">
        <f t="shared" si="22"/>
        <v>-70</v>
      </c>
      <c r="AG141" s="27">
        <f t="shared" si="23"/>
        <v>0</v>
      </c>
    </row>
    <row r="142" spans="1:33" s="62" customFormat="1" ht="23.25" customHeight="1" x14ac:dyDescent="0.2">
      <c r="A142" s="18">
        <v>43888</v>
      </c>
      <c r="B142" s="19"/>
      <c r="C142" s="20" t="s">
        <v>304</v>
      </c>
      <c r="D142" s="20" t="s">
        <v>305</v>
      </c>
      <c r="E142" s="20" t="s">
        <v>41</v>
      </c>
      <c r="F142" s="21">
        <v>77088</v>
      </c>
      <c r="G142" s="21" t="s">
        <v>306</v>
      </c>
      <c r="H142" s="22">
        <v>900</v>
      </c>
      <c r="I142" s="22"/>
      <c r="J142" s="22"/>
      <c r="K142" s="22"/>
      <c r="L142" s="23"/>
      <c r="M142" s="24">
        <f t="shared" si="20"/>
        <v>900</v>
      </c>
      <c r="N142" s="24">
        <f t="shared" si="21"/>
        <v>0</v>
      </c>
      <c r="O142" s="24">
        <f t="shared" si="19"/>
        <v>0</v>
      </c>
      <c r="P142" s="24"/>
      <c r="Q142" s="25"/>
      <c r="R142" s="25"/>
      <c r="S142" s="26"/>
      <c r="T142" s="26"/>
      <c r="U142" s="26"/>
      <c r="V142" s="26"/>
      <c r="W142" s="26"/>
      <c r="X142" s="25"/>
      <c r="Y142" s="25">
        <v>900</v>
      </c>
      <c r="Z142" s="25"/>
      <c r="AA142" s="25"/>
      <c r="AB142" s="26"/>
      <c r="AC142" s="26"/>
      <c r="AD142" s="25"/>
      <c r="AE142" s="25"/>
      <c r="AF142" s="24">
        <f t="shared" si="22"/>
        <v>-900</v>
      </c>
      <c r="AG142" s="27">
        <f t="shared" si="23"/>
        <v>0</v>
      </c>
    </row>
    <row r="143" spans="1:33" s="29" customFormat="1" ht="23.25" customHeight="1" x14ac:dyDescent="0.2">
      <c r="A143" s="18">
        <v>43889</v>
      </c>
      <c r="B143" s="19"/>
      <c r="C143" s="20" t="s">
        <v>39</v>
      </c>
      <c r="D143" s="20" t="s">
        <v>40</v>
      </c>
      <c r="E143" s="20" t="s">
        <v>41</v>
      </c>
      <c r="F143" s="21">
        <v>709904</v>
      </c>
      <c r="G143" s="21" t="s">
        <v>138</v>
      </c>
      <c r="H143" s="22"/>
      <c r="I143" s="22"/>
      <c r="J143" s="22"/>
      <c r="K143" s="22">
        <v>312</v>
      </c>
      <c r="L143" s="23"/>
      <c r="M143" s="24">
        <f t="shared" si="20"/>
        <v>278.57142857142856</v>
      </c>
      <c r="N143" s="24">
        <f t="shared" si="21"/>
        <v>33.428571428571423</v>
      </c>
      <c r="O143" s="24">
        <f t="shared" si="19"/>
        <v>0</v>
      </c>
      <c r="P143" s="24">
        <v>278.57</v>
      </c>
      <c r="Q143" s="25"/>
      <c r="R143" s="25"/>
      <c r="S143" s="26"/>
      <c r="T143" s="26"/>
      <c r="U143" s="26"/>
      <c r="V143" s="26"/>
      <c r="W143" s="26"/>
      <c r="X143" s="25"/>
      <c r="Y143" s="25"/>
      <c r="Z143" s="25"/>
      <c r="AA143" s="25"/>
      <c r="AB143" s="26"/>
      <c r="AC143" s="26"/>
      <c r="AD143" s="25"/>
      <c r="AE143" s="25"/>
      <c r="AF143" s="24">
        <f t="shared" si="22"/>
        <v>-311.99857142857144</v>
      </c>
      <c r="AG143" s="27">
        <f t="shared" si="23"/>
        <v>1.4285714285620088E-3</v>
      </c>
    </row>
    <row r="144" spans="1:33" s="29" customFormat="1" ht="23.25" customHeight="1" x14ac:dyDescent="0.2">
      <c r="A144" s="18">
        <v>43889</v>
      </c>
      <c r="B144" s="19"/>
      <c r="C144" s="20" t="s">
        <v>45</v>
      </c>
      <c r="D144" s="20"/>
      <c r="E144" s="20"/>
      <c r="F144" s="21"/>
      <c r="G144" s="21" t="s">
        <v>307</v>
      </c>
      <c r="H144" s="22"/>
      <c r="I144" s="22"/>
      <c r="J144" s="22">
        <v>435</v>
      </c>
      <c r="K144" s="22"/>
      <c r="L144" s="23"/>
      <c r="M144" s="24">
        <f t="shared" si="20"/>
        <v>435</v>
      </c>
      <c r="N144" s="24">
        <f t="shared" si="21"/>
        <v>0</v>
      </c>
      <c r="O144" s="24">
        <f t="shared" si="19"/>
        <v>0</v>
      </c>
      <c r="P144" s="24">
        <v>435</v>
      </c>
      <c r="Q144" s="25"/>
      <c r="R144" s="25"/>
      <c r="S144" s="26"/>
      <c r="T144" s="26"/>
      <c r="U144" s="26"/>
      <c r="V144" s="26"/>
      <c r="W144" s="26"/>
      <c r="X144" s="25"/>
      <c r="Y144" s="25"/>
      <c r="Z144" s="25"/>
      <c r="AA144" s="25"/>
      <c r="AB144" s="26"/>
      <c r="AC144" s="26"/>
      <c r="AD144" s="25"/>
      <c r="AE144" s="25"/>
      <c r="AF144" s="24">
        <f t="shared" si="22"/>
        <v>-435</v>
      </c>
      <c r="AG144" s="27">
        <f t="shared" si="23"/>
        <v>0</v>
      </c>
    </row>
    <row r="145" spans="1:33" s="29" customFormat="1" ht="23.25" customHeight="1" x14ac:dyDescent="0.2">
      <c r="A145" s="18">
        <v>43889</v>
      </c>
      <c r="B145" s="19"/>
      <c r="C145" s="20" t="s">
        <v>45</v>
      </c>
      <c r="D145" s="20"/>
      <c r="E145" s="20"/>
      <c r="F145" s="21"/>
      <c r="G145" s="21" t="s">
        <v>46</v>
      </c>
      <c r="H145" s="22">
        <v>100</v>
      </c>
      <c r="I145" s="22"/>
      <c r="J145" s="22"/>
      <c r="K145" s="22"/>
      <c r="L145" s="23"/>
      <c r="M145" s="24">
        <f t="shared" si="20"/>
        <v>100</v>
      </c>
      <c r="N145" s="24">
        <f t="shared" si="21"/>
        <v>0</v>
      </c>
      <c r="O145" s="24">
        <f t="shared" si="19"/>
        <v>0</v>
      </c>
      <c r="P145" s="24"/>
      <c r="Q145" s="25"/>
      <c r="R145" s="25"/>
      <c r="S145" s="26"/>
      <c r="T145" s="26"/>
      <c r="U145" s="26"/>
      <c r="V145" s="26"/>
      <c r="W145" s="26"/>
      <c r="X145" s="25"/>
      <c r="Y145" s="25"/>
      <c r="Z145" s="25"/>
      <c r="AA145" s="25">
        <v>100</v>
      </c>
      <c r="AB145" s="26"/>
      <c r="AC145" s="26"/>
      <c r="AD145" s="25"/>
      <c r="AE145" s="25"/>
      <c r="AF145" s="24">
        <f t="shared" si="22"/>
        <v>-100</v>
      </c>
      <c r="AG145" s="27">
        <f t="shared" si="23"/>
        <v>0</v>
      </c>
    </row>
    <row r="146" spans="1:33" s="29" customFormat="1" ht="23.25" customHeight="1" x14ac:dyDescent="0.2">
      <c r="A146" s="18">
        <v>43889</v>
      </c>
      <c r="B146" s="19"/>
      <c r="C146" s="20" t="s">
        <v>308</v>
      </c>
      <c r="D146" s="20" t="s">
        <v>79</v>
      </c>
      <c r="E146" s="20" t="s">
        <v>41</v>
      </c>
      <c r="F146" s="21">
        <v>21061</v>
      </c>
      <c r="G146" s="21" t="s">
        <v>263</v>
      </c>
      <c r="H146" s="22"/>
      <c r="I146" s="22"/>
      <c r="J146" s="22">
        <v>250</v>
      </c>
      <c r="K146" s="22"/>
      <c r="L146" s="23"/>
      <c r="M146" s="24">
        <f t="shared" si="20"/>
        <v>250</v>
      </c>
      <c r="N146" s="24">
        <f t="shared" si="21"/>
        <v>0</v>
      </c>
      <c r="O146" s="24">
        <f t="shared" si="19"/>
        <v>0</v>
      </c>
      <c r="P146" s="24">
        <v>250</v>
      </c>
      <c r="Q146" s="25"/>
      <c r="R146" s="25"/>
      <c r="S146" s="26"/>
      <c r="T146" s="26"/>
      <c r="U146" s="26"/>
      <c r="V146" s="26"/>
      <c r="W146" s="26"/>
      <c r="X146" s="25"/>
      <c r="Y146" s="25"/>
      <c r="Z146" s="25"/>
      <c r="AA146" s="25"/>
      <c r="AB146" s="26"/>
      <c r="AC146" s="26"/>
      <c r="AD146" s="25"/>
      <c r="AE146" s="25"/>
      <c r="AF146" s="24">
        <f t="shared" si="22"/>
        <v>-250</v>
      </c>
      <c r="AG146" s="27">
        <f t="shared" si="23"/>
        <v>0</v>
      </c>
    </row>
    <row r="147" spans="1:33" s="29" customFormat="1" ht="23.25" customHeight="1" x14ac:dyDescent="0.2">
      <c r="A147" s="18">
        <v>43889</v>
      </c>
      <c r="B147" s="19"/>
      <c r="C147" s="20" t="s">
        <v>309</v>
      </c>
      <c r="D147" s="20" t="s">
        <v>310</v>
      </c>
      <c r="E147" s="20" t="s">
        <v>311</v>
      </c>
      <c r="F147" s="21">
        <v>2412</v>
      </c>
      <c r="G147" s="21" t="s">
        <v>312</v>
      </c>
      <c r="H147" s="22"/>
      <c r="I147" s="22"/>
      <c r="J147" s="22"/>
      <c r="K147" s="22">
        <v>100</v>
      </c>
      <c r="L147" s="23"/>
      <c r="M147" s="24">
        <f t="shared" si="20"/>
        <v>89.285714285714278</v>
      </c>
      <c r="N147" s="24">
        <f t="shared" si="21"/>
        <v>10.714285714285714</v>
      </c>
      <c r="O147" s="24">
        <f t="shared" si="19"/>
        <v>0</v>
      </c>
      <c r="P147" s="24">
        <v>89.29</v>
      </c>
      <c r="Q147" s="25"/>
      <c r="R147" s="25"/>
      <c r="S147" s="26"/>
      <c r="T147" s="26"/>
      <c r="U147" s="26"/>
      <c r="V147" s="26"/>
      <c r="W147" s="26"/>
      <c r="X147" s="25"/>
      <c r="Y147" s="25"/>
      <c r="Z147" s="25"/>
      <c r="AA147" s="25"/>
      <c r="AB147" s="26"/>
      <c r="AC147" s="26"/>
      <c r="AD147" s="25"/>
      <c r="AE147" s="25"/>
      <c r="AF147" s="24">
        <f t="shared" si="22"/>
        <v>-100.00428571428571</v>
      </c>
      <c r="AG147" s="27">
        <f t="shared" si="23"/>
        <v>-4.2857142857144481E-3</v>
      </c>
    </row>
    <row r="148" spans="1:33" s="29" customFormat="1" ht="23.25" customHeight="1" x14ac:dyDescent="0.2">
      <c r="A148" s="18">
        <v>43889</v>
      </c>
      <c r="B148" s="19"/>
      <c r="C148" s="20" t="s">
        <v>55</v>
      </c>
      <c r="D148" s="20" t="s">
        <v>56</v>
      </c>
      <c r="E148" s="20" t="s">
        <v>57</v>
      </c>
      <c r="F148" s="21">
        <v>171491</v>
      </c>
      <c r="G148" s="21" t="s">
        <v>58</v>
      </c>
      <c r="H148" s="22"/>
      <c r="I148" s="22"/>
      <c r="J148" s="22"/>
      <c r="K148" s="22">
        <v>180</v>
      </c>
      <c r="L148" s="23"/>
      <c r="M148" s="24">
        <f t="shared" si="20"/>
        <v>160.71428571428569</v>
      </c>
      <c r="N148" s="24">
        <f t="shared" si="21"/>
        <v>19.285714285714281</v>
      </c>
      <c r="O148" s="24">
        <f t="shared" si="19"/>
        <v>0</v>
      </c>
      <c r="P148" s="24"/>
      <c r="Q148" s="25">
        <v>160.71</v>
      </c>
      <c r="R148" s="25"/>
      <c r="S148" s="26"/>
      <c r="T148" s="26"/>
      <c r="U148" s="26"/>
      <c r="V148" s="26"/>
      <c r="W148" s="26"/>
      <c r="X148" s="25"/>
      <c r="Y148" s="25"/>
      <c r="Z148" s="25"/>
      <c r="AA148" s="25"/>
      <c r="AB148" s="26"/>
      <c r="AC148" s="26"/>
      <c r="AD148" s="25"/>
      <c r="AE148" s="25"/>
      <c r="AF148" s="24">
        <f t="shared" si="22"/>
        <v>-179.99571428571429</v>
      </c>
      <c r="AG148" s="27">
        <f t="shared" si="23"/>
        <v>4.2857142857144481E-3</v>
      </c>
    </row>
    <row r="149" spans="1:33" s="29" customFormat="1" ht="23.25" customHeight="1" x14ac:dyDescent="0.2">
      <c r="A149" s="18">
        <v>43889</v>
      </c>
      <c r="B149" s="19"/>
      <c r="C149" s="20" t="s">
        <v>39</v>
      </c>
      <c r="D149" s="20" t="s">
        <v>40</v>
      </c>
      <c r="E149" s="20" t="s">
        <v>41</v>
      </c>
      <c r="F149" s="21">
        <v>198749</v>
      </c>
      <c r="G149" s="21" t="s">
        <v>313</v>
      </c>
      <c r="H149" s="22"/>
      <c r="I149" s="22"/>
      <c r="J149" s="22"/>
      <c r="K149" s="22">
        <v>450</v>
      </c>
      <c r="L149" s="23"/>
      <c r="M149" s="24">
        <f t="shared" si="20"/>
        <v>401.78571428571422</v>
      </c>
      <c r="N149" s="24">
        <f t="shared" si="21"/>
        <v>48.214285714285708</v>
      </c>
      <c r="O149" s="24">
        <f t="shared" si="19"/>
        <v>0</v>
      </c>
      <c r="P149" s="24">
        <v>401.79</v>
      </c>
      <c r="Q149" s="25"/>
      <c r="R149" s="25"/>
      <c r="S149" s="26"/>
      <c r="T149" s="26"/>
      <c r="U149" s="26"/>
      <c r="V149" s="26"/>
      <c r="W149" s="26"/>
      <c r="X149" s="25"/>
      <c r="Y149" s="25"/>
      <c r="Z149" s="25"/>
      <c r="AA149" s="25"/>
      <c r="AB149" s="26"/>
      <c r="AC149" s="26"/>
      <c r="AD149" s="25"/>
      <c r="AE149" s="25"/>
      <c r="AF149" s="24">
        <f t="shared" si="22"/>
        <v>-450.00428571428574</v>
      </c>
      <c r="AG149" s="27">
        <f t="shared" si="23"/>
        <v>-4.2857142857428698E-3</v>
      </c>
    </row>
    <row r="150" spans="1:33" s="29" customFormat="1" ht="23.25" customHeight="1" x14ac:dyDescent="0.2">
      <c r="A150" s="18">
        <v>43889</v>
      </c>
      <c r="B150" s="19"/>
      <c r="C150" s="20" t="s">
        <v>39</v>
      </c>
      <c r="D150" s="20" t="s">
        <v>40</v>
      </c>
      <c r="E150" s="20" t="s">
        <v>41</v>
      </c>
      <c r="F150" s="21">
        <v>139894</v>
      </c>
      <c r="G150" s="21" t="s">
        <v>314</v>
      </c>
      <c r="H150" s="22"/>
      <c r="I150" s="22"/>
      <c r="J150" s="22"/>
      <c r="K150" s="22">
        <v>386</v>
      </c>
      <c r="L150" s="23"/>
      <c r="M150" s="24">
        <f t="shared" si="20"/>
        <v>344.64285714285711</v>
      </c>
      <c r="N150" s="24">
        <f t="shared" si="21"/>
        <v>41.357142857142854</v>
      </c>
      <c r="O150" s="24">
        <f t="shared" si="19"/>
        <v>0</v>
      </c>
      <c r="P150" s="24">
        <v>344.64</v>
      </c>
      <c r="Q150" s="25"/>
      <c r="R150" s="25"/>
      <c r="S150" s="26"/>
      <c r="T150" s="26"/>
      <c r="U150" s="26"/>
      <c r="V150" s="26"/>
      <c r="W150" s="26"/>
      <c r="X150" s="25"/>
      <c r="Y150" s="25"/>
      <c r="Z150" s="25"/>
      <c r="AA150" s="25"/>
      <c r="AB150" s="26"/>
      <c r="AC150" s="26"/>
      <c r="AD150" s="25"/>
      <c r="AE150" s="25"/>
      <c r="AF150" s="24">
        <f t="shared" si="22"/>
        <v>-385.99714285714282</v>
      </c>
      <c r="AG150" s="27">
        <f t="shared" si="23"/>
        <v>2.857142857180861E-3</v>
      </c>
    </row>
    <row r="151" spans="1:33" s="29" customFormat="1" ht="23.25" customHeight="1" x14ac:dyDescent="0.2">
      <c r="A151" s="18">
        <v>43889</v>
      </c>
      <c r="B151" s="19"/>
      <c r="C151" s="20" t="s">
        <v>315</v>
      </c>
      <c r="D151" s="20" t="s">
        <v>225</v>
      </c>
      <c r="E151" s="20" t="s">
        <v>41</v>
      </c>
      <c r="F151" s="21">
        <v>159486</v>
      </c>
      <c r="G151" s="21" t="s">
        <v>299</v>
      </c>
      <c r="H151" s="22"/>
      <c r="I151" s="22"/>
      <c r="J151" s="22"/>
      <c r="K151" s="22">
        <v>100</v>
      </c>
      <c r="L151" s="23"/>
      <c r="M151" s="24">
        <f t="shared" si="20"/>
        <v>89.285714285714278</v>
      </c>
      <c r="N151" s="24">
        <f t="shared" si="21"/>
        <v>10.714285714285714</v>
      </c>
      <c r="O151" s="24">
        <f t="shared" si="19"/>
        <v>0</v>
      </c>
      <c r="P151" s="24"/>
      <c r="Q151" s="25"/>
      <c r="R151" s="25"/>
      <c r="S151" s="26"/>
      <c r="T151" s="26"/>
      <c r="U151" s="26"/>
      <c r="V151" s="26"/>
      <c r="W151" s="26"/>
      <c r="X151" s="25"/>
      <c r="Y151" s="25">
        <v>89.29</v>
      </c>
      <c r="Z151" s="25"/>
      <c r="AA151" s="25"/>
      <c r="AB151" s="26"/>
      <c r="AC151" s="26"/>
      <c r="AD151" s="25"/>
      <c r="AE151" s="25"/>
      <c r="AF151" s="24">
        <f t="shared" si="22"/>
        <v>-100.00428571428571</v>
      </c>
      <c r="AG151" s="27">
        <f t="shared" si="23"/>
        <v>-4.2857142857144481E-3</v>
      </c>
    </row>
    <row r="152" spans="1:33" s="62" customFormat="1" ht="23.25" customHeight="1" x14ac:dyDescent="0.2">
      <c r="A152" s="18">
        <v>43889</v>
      </c>
      <c r="B152" s="19"/>
      <c r="C152" s="20" t="s">
        <v>47</v>
      </c>
      <c r="D152" s="20" t="s">
        <v>48</v>
      </c>
      <c r="E152" s="20" t="s">
        <v>49</v>
      </c>
      <c r="F152" s="21">
        <v>197908</v>
      </c>
      <c r="G152" s="21" t="s">
        <v>316</v>
      </c>
      <c r="H152" s="22"/>
      <c r="I152" s="22"/>
      <c r="J152" s="22">
        <v>1272.6500000000001</v>
      </c>
      <c r="K152" s="22"/>
      <c r="L152" s="23"/>
      <c r="M152" s="24">
        <f t="shared" si="20"/>
        <v>1272.6500000000001</v>
      </c>
      <c r="N152" s="24">
        <f t="shared" si="21"/>
        <v>0</v>
      </c>
      <c r="O152" s="24">
        <f t="shared" si="19"/>
        <v>0</v>
      </c>
      <c r="P152" s="24">
        <v>1272.6500000000001</v>
      </c>
      <c r="Q152" s="25"/>
      <c r="R152" s="25"/>
      <c r="S152" s="26"/>
      <c r="T152" s="26"/>
      <c r="U152" s="26"/>
      <c r="V152" s="26"/>
      <c r="W152" s="26"/>
      <c r="X152" s="25"/>
      <c r="Y152" s="25"/>
      <c r="Z152" s="25"/>
      <c r="AA152" s="25"/>
      <c r="AB152" s="26"/>
      <c r="AC152" s="26"/>
      <c r="AD152" s="25"/>
      <c r="AE152" s="25"/>
      <c r="AF152" s="24">
        <f t="shared" si="22"/>
        <v>-1272.6500000000001</v>
      </c>
      <c r="AG152" s="27">
        <f t="shared" si="23"/>
        <v>0</v>
      </c>
    </row>
    <row r="153" spans="1:33" s="62" customFormat="1" ht="23.25" customHeight="1" x14ac:dyDescent="0.2">
      <c r="A153" s="18">
        <v>43889</v>
      </c>
      <c r="B153" s="19"/>
      <c r="C153" s="20" t="s">
        <v>47</v>
      </c>
      <c r="D153" s="20" t="s">
        <v>48</v>
      </c>
      <c r="E153" s="20" t="s">
        <v>49</v>
      </c>
      <c r="F153" s="21">
        <v>197908</v>
      </c>
      <c r="G153" s="21" t="s">
        <v>317</v>
      </c>
      <c r="H153" s="22"/>
      <c r="I153" s="22"/>
      <c r="J153" s="22"/>
      <c r="K153" s="22">
        <f>866.25+103.95</f>
        <v>970.2</v>
      </c>
      <c r="L153" s="23"/>
      <c r="M153" s="24">
        <f t="shared" si="20"/>
        <v>866.25</v>
      </c>
      <c r="N153" s="24">
        <f t="shared" si="21"/>
        <v>103.95</v>
      </c>
      <c r="O153" s="24">
        <f t="shared" si="19"/>
        <v>0</v>
      </c>
      <c r="P153" s="24">
        <v>866.25</v>
      </c>
      <c r="Q153" s="25"/>
      <c r="R153" s="25"/>
      <c r="S153" s="26"/>
      <c r="T153" s="26"/>
      <c r="U153" s="26"/>
      <c r="V153" s="26"/>
      <c r="W153" s="26"/>
      <c r="X153" s="25"/>
      <c r="Y153" s="25"/>
      <c r="Z153" s="25"/>
      <c r="AA153" s="25"/>
      <c r="AB153" s="26"/>
      <c r="AC153" s="26"/>
      <c r="AD153" s="25"/>
      <c r="AE153" s="25"/>
      <c r="AF153" s="24">
        <f t="shared" si="22"/>
        <v>-970.2</v>
      </c>
      <c r="AG153" s="27">
        <f t="shared" si="23"/>
        <v>0</v>
      </c>
    </row>
    <row r="154" spans="1:33" s="62" customFormat="1" ht="23.25" customHeight="1" x14ac:dyDescent="0.2">
      <c r="A154" s="18">
        <v>43889</v>
      </c>
      <c r="B154" s="19"/>
      <c r="C154" s="20" t="s">
        <v>318</v>
      </c>
      <c r="D154" s="20" t="s">
        <v>319</v>
      </c>
      <c r="E154" s="20" t="s">
        <v>133</v>
      </c>
      <c r="F154" s="21">
        <v>604</v>
      </c>
      <c r="G154" s="21" t="s">
        <v>320</v>
      </c>
      <c r="H154" s="22">
        <v>3050</v>
      </c>
      <c r="I154" s="22"/>
      <c r="J154" s="22"/>
      <c r="K154" s="22"/>
      <c r="L154" s="23"/>
      <c r="M154" s="24">
        <f t="shared" si="20"/>
        <v>3050</v>
      </c>
      <c r="N154" s="24">
        <f t="shared" si="21"/>
        <v>0</v>
      </c>
      <c r="O154" s="24">
        <f t="shared" si="19"/>
        <v>0</v>
      </c>
      <c r="P154" s="24"/>
      <c r="Q154" s="25"/>
      <c r="R154" s="25"/>
      <c r="S154" s="26"/>
      <c r="T154" s="26"/>
      <c r="U154" s="26"/>
      <c r="V154" s="26"/>
      <c r="W154" s="26"/>
      <c r="X154" s="25"/>
      <c r="Y154" s="25">
        <v>3050</v>
      </c>
      <c r="Z154" s="25"/>
      <c r="AA154" s="25"/>
      <c r="AB154" s="26"/>
      <c r="AC154" s="26"/>
      <c r="AD154" s="25"/>
      <c r="AE154" s="25"/>
      <c r="AF154" s="24">
        <f t="shared" si="22"/>
        <v>-3050</v>
      </c>
      <c r="AG154" s="27">
        <f t="shared" si="23"/>
        <v>0</v>
      </c>
    </row>
    <row r="155" spans="1:33" s="29" customFormat="1" ht="23.25" customHeight="1" x14ac:dyDescent="0.2">
      <c r="A155" s="18">
        <v>43889</v>
      </c>
      <c r="B155" s="19"/>
      <c r="C155" s="20" t="s">
        <v>321</v>
      </c>
      <c r="D155" s="20" t="s">
        <v>322</v>
      </c>
      <c r="E155" s="20" t="s">
        <v>49</v>
      </c>
      <c r="F155" s="21">
        <v>1990625</v>
      </c>
      <c r="G155" s="21" t="s">
        <v>323</v>
      </c>
      <c r="H155" s="22"/>
      <c r="I155" s="22"/>
      <c r="J155" s="22"/>
      <c r="K155" s="22">
        <v>3013.75</v>
      </c>
      <c r="L155" s="23"/>
      <c r="M155" s="24">
        <f t="shared" si="20"/>
        <v>2690.8482142857142</v>
      </c>
      <c r="N155" s="24">
        <f t="shared" si="21"/>
        <v>322.90178571428572</v>
      </c>
      <c r="O155" s="24">
        <f t="shared" ref="O155:O163" si="24">-SUM(I155:J155,K155/1.12)*L155</f>
        <v>0</v>
      </c>
      <c r="P155" s="24"/>
      <c r="Q155" s="25"/>
      <c r="R155" s="25">
        <v>2690.85</v>
      </c>
      <c r="S155" s="26"/>
      <c r="T155" s="26"/>
      <c r="U155" s="26"/>
      <c r="V155" s="26"/>
      <c r="W155" s="26"/>
      <c r="X155" s="25"/>
      <c r="Y155" s="25"/>
      <c r="Z155" s="25"/>
      <c r="AA155" s="25"/>
      <c r="AB155" s="26"/>
      <c r="AC155" s="26"/>
      <c r="AD155" s="25"/>
      <c r="AE155" s="25"/>
      <c r="AF155" s="24">
        <f t="shared" si="22"/>
        <v>-3013.7517857142857</v>
      </c>
      <c r="AG155" s="27">
        <f t="shared" si="23"/>
        <v>-1.7857142856883002E-3</v>
      </c>
    </row>
    <row r="156" spans="1:33" s="29" customFormat="1" ht="23.25" customHeight="1" x14ac:dyDescent="0.2">
      <c r="A156" s="18">
        <v>43889</v>
      </c>
      <c r="B156" s="19"/>
      <c r="C156" s="20" t="s">
        <v>39</v>
      </c>
      <c r="D156" s="20" t="s">
        <v>40</v>
      </c>
      <c r="E156" s="20" t="s">
        <v>41</v>
      </c>
      <c r="F156" s="21">
        <v>130610</v>
      </c>
      <c r="G156" s="20" t="s">
        <v>324</v>
      </c>
      <c r="H156" s="22"/>
      <c r="I156" s="22"/>
      <c r="J156" s="22"/>
      <c r="K156" s="22">
        <v>231</v>
      </c>
      <c r="L156" s="23"/>
      <c r="M156" s="24">
        <f t="shared" si="20"/>
        <v>206.24999999999997</v>
      </c>
      <c r="N156" s="24">
        <f t="shared" si="21"/>
        <v>24.749999999999996</v>
      </c>
      <c r="O156" s="24">
        <f t="shared" si="24"/>
        <v>0</v>
      </c>
      <c r="P156" s="24"/>
      <c r="Q156" s="25"/>
      <c r="R156" s="25">
        <v>206.25</v>
      </c>
      <c r="S156" s="26"/>
      <c r="T156" s="26"/>
      <c r="U156" s="26"/>
      <c r="V156" s="26"/>
      <c r="W156" s="26"/>
      <c r="X156" s="25"/>
      <c r="Y156" s="25"/>
      <c r="Z156" s="25"/>
      <c r="AA156" s="25"/>
      <c r="AB156" s="26"/>
      <c r="AC156" s="26"/>
      <c r="AD156" s="25"/>
      <c r="AE156" s="25"/>
      <c r="AF156" s="24">
        <f t="shared" si="22"/>
        <v>-231</v>
      </c>
      <c r="AG156" s="27">
        <f t="shared" si="23"/>
        <v>0</v>
      </c>
    </row>
    <row r="157" spans="1:33" s="29" customFormat="1" ht="23.25" customHeight="1" x14ac:dyDescent="0.2">
      <c r="A157" s="18">
        <v>43889</v>
      </c>
      <c r="B157" s="19"/>
      <c r="C157" s="20" t="s">
        <v>309</v>
      </c>
      <c r="D157" s="20" t="s">
        <v>310</v>
      </c>
      <c r="E157" s="20" t="s">
        <v>311</v>
      </c>
      <c r="F157" s="21">
        <v>2446</v>
      </c>
      <c r="G157" s="21" t="s">
        <v>312</v>
      </c>
      <c r="H157" s="22"/>
      <c r="I157" s="22"/>
      <c r="J157" s="22"/>
      <c r="K157" s="22">
        <v>200</v>
      </c>
      <c r="L157" s="23"/>
      <c r="M157" s="24">
        <f t="shared" si="20"/>
        <v>178.57142857142856</v>
      </c>
      <c r="N157" s="24">
        <f t="shared" si="21"/>
        <v>21.428571428571427</v>
      </c>
      <c r="O157" s="24">
        <f t="shared" si="24"/>
        <v>0</v>
      </c>
      <c r="P157" s="24">
        <v>178.57</v>
      </c>
      <c r="Q157" s="25"/>
      <c r="R157" s="25"/>
      <c r="S157" s="26"/>
      <c r="T157" s="26"/>
      <c r="U157" s="26"/>
      <c r="V157" s="26"/>
      <c r="W157" s="26"/>
      <c r="X157" s="25"/>
      <c r="Y157" s="25"/>
      <c r="Z157" s="25"/>
      <c r="AA157" s="25"/>
      <c r="AB157" s="26"/>
      <c r="AC157" s="26"/>
      <c r="AD157" s="25"/>
      <c r="AE157" s="25"/>
      <c r="AF157" s="24">
        <f t="shared" si="22"/>
        <v>-199.99857142857141</v>
      </c>
      <c r="AG157" s="27">
        <f t="shared" si="23"/>
        <v>1.4285714285904305E-3</v>
      </c>
    </row>
    <row r="158" spans="1:33" s="29" customFormat="1" ht="23.25" customHeight="1" x14ac:dyDescent="0.2">
      <c r="A158" s="18">
        <v>43890</v>
      </c>
      <c r="B158" s="19"/>
      <c r="C158" s="20" t="s">
        <v>325</v>
      </c>
      <c r="D158" s="20"/>
      <c r="E158" s="20"/>
      <c r="F158" s="21"/>
      <c r="G158" s="21" t="s">
        <v>326</v>
      </c>
      <c r="H158" s="22">
        <v>59</v>
      </c>
      <c r="I158" s="22"/>
      <c r="J158" s="22"/>
      <c r="K158" s="22"/>
      <c r="L158" s="23"/>
      <c r="M158" s="24">
        <f t="shared" si="20"/>
        <v>59</v>
      </c>
      <c r="N158" s="24">
        <f t="shared" si="21"/>
        <v>0</v>
      </c>
      <c r="O158" s="24">
        <f t="shared" si="24"/>
        <v>0</v>
      </c>
      <c r="P158" s="24"/>
      <c r="Q158" s="25"/>
      <c r="R158" s="25"/>
      <c r="S158" s="26"/>
      <c r="T158" s="26"/>
      <c r="U158" s="26"/>
      <c r="V158" s="26"/>
      <c r="W158" s="26"/>
      <c r="X158" s="25"/>
      <c r="Y158" s="25"/>
      <c r="Z158" s="25"/>
      <c r="AA158" s="25">
        <v>59</v>
      </c>
      <c r="AB158" s="26"/>
      <c r="AC158" s="26"/>
      <c r="AD158" s="25"/>
      <c r="AE158" s="25"/>
      <c r="AF158" s="24">
        <f t="shared" si="22"/>
        <v>-59</v>
      </c>
      <c r="AG158" s="27">
        <f t="shared" si="23"/>
        <v>0</v>
      </c>
    </row>
    <row r="159" spans="1:33" s="29" customFormat="1" ht="23.25" customHeight="1" x14ac:dyDescent="0.2">
      <c r="A159" s="18">
        <v>43890</v>
      </c>
      <c r="B159" s="19"/>
      <c r="C159" s="20" t="s">
        <v>327</v>
      </c>
      <c r="D159" s="20" t="s">
        <v>328</v>
      </c>
      <c r="E159" s="20" t="s">
        <v>49</v>
      </c>
      <c r="F159" s="21">
        <v>751478</v>
      </c>
      <c r="G159" s="21" t="s">
        <v>329</v>
      </c>
      <c r="H159" s="22"/>
      <c r="I159" s="22"/>
      <c r="J159" s="22"/>
      <c r="K159" s="22">
        <v>155</v>
      </c>
      <c r="L159" s="23"/>
      <c r="M159" s="24">
        <f t="shared" si="20"/>
        <v>138.39285714285714</v>
      </c>
      <c r="N159" s="24">
        <f t="shared" si="21"/>
        <v>16.607142857142858</v>
      </c>
      <c r="O159" s="24">
        <f t="shared" si="24"/>
        <v>0</v>
      </c>
      <c r="P159" s="24"/>
      <c r="Q159" s="25"/>
      <c r="R159" s="25"/>
      <c r="S159" s="26"/>
      <c r="T159" s="26"/>
      <c r="U159" s="26"/>
      <c r="V159" s="26"/>
      <c r="W159" s="26"/>
      <c r="X159" s="25"/>
      <c r="Y159" s="25">
        <v>138.38999999999999</v>
      </c>
      <c r="Z159" s="25"/>
      <c r="AA159" s="25"/>
      <c r="AB159" s="26"/>
      <c r="AC159" s="26"/>
      <c r="AD159" s="25"/>
      <c r="AE159" s="25"/>
      <c r="AF159" s="24">
        <f t="shared" si="22"/>
        <v>-154.99714285714285</v>
      </c>
      <c r="AG159" s="27">
        <f t="shared" si="23"/>
        <v>2.8571428571524393E-3</v>
      </c>
    </row>
    <row r="160" spans="1:33" s="29" customFormat="1" ht="23.25" customHeight="1" x14ac:dyDescent="0.2">
      <c r="A160" s="18">
        <v>43890</v>
      </c>
      <c r="B160" s="19"/>
      <c r="C160" s="20" t="s">
        <v>330</v>
      </c>
      <c r="D160" s="20" t="s">
        <v>331</v>
      </c>
      <c r="E160" s="20" t="s">
        <v>49</v>
      </c>
      <c r="F160" s="21">
        <v>50266</v>
      </c>
      <c r="G160" s="21" t="s">
        <v>332</v>
      </c>
      <c r="H160" s="22"/>
      <c r="I160" s="22"/>
      <c r="J160" s="22"/>
      <c r="K160" s="22">
        <v>108</v>
      </c>
      <c r="L160" s="23"/>
      <c r="M160" s="24">
        <f t="shared" si="20"/>
        <v>96.428571428571416</v>
      </c>
      <c r="N160" s="24">
        <f t="shared" si="21"/>
        <v>11.571428571428569</v>
      </c>
      <c r="O160" s="24">
        <f t="shared" si="24"/>
        <v>0</v>
      </c>
      <c r="P160" s="24"/>
      <c r="Q160" s="25"/>
      <c r="R160" s="25"/>
      <c r="S160" s="26"/>
      <c r="T160" s="26"/>
      <c r="U160" s="26"/>
      <c r="V160" s="26"/>
      <c r="W160" s="26"/>
      <c r="X160" s="25"/>
      <c r="Y160" s="25"/>
      <c r="Z160" s="25"/>
      <c r="AA160" s="25"/>
      <c r="AB160" s="26"/>
      <c r="AC160" s="26"/>
      <c r="AD160" s="25"/>
      <c r="AE160" s="25">
        <v>96.43</v>
      </c>
      <c r="AF160" s="24">
        <f t="shared" si="22"/>
        <v>-108.00142857142858</v>
      </c>
      <c r="AG160" s="27">
        <f t="shared" si="23"/>
        <v>-1.4285714285762197E-3</v>
      </c>
    </row>
    <row r="161" spans="1:33" s="62" customFormat="1" ht="23.25" customHeight="1" x14ac:dyDescent="0.2">
      <c r="A161" s="18">
        <v>43890</v>
      </c>
      <c r="B161" s="19"/>
      <c r="C161" s="20" t="s">
        <v>47</v>
      </c>
      <c r="D161" s="20" t="s">
        <v>48</v>
      </c>
      <c r="E161" s="20" t="s">
        <v>49</v>
      </c>
      <c r="F161" s="21">
        <v>224459</v>
      </c>
      <c r="G161" s="21" t="s">
        <v>333</v>
      </c>
      <c r="H161" s="22"/>
      <c r="I161" s="22"/>
      <c r="J161" s="22"/>
      <c r="K161" s="22">
        <v>1749</v>
      </c>
      <c r="L161" s="23"/>
      <c r="M161" s="24">
        <f t="shared" si="20"/>
        <v>1561.6071428571427</v>
      </c>
      <c r="N161" s="24">
        <f t="shared" si="21"/>
        <v>187.39285714285711</v>
      </c>
      <c r="O161" s="24">
        <f t="shared" si="24"/>
        <v>0</v>
      </c>
      <c r="P161" s="24">
        <v>1561.61</v>
      </c>
      <c r="Q161" s="25"/>
      <c r="R161" s="25"/>
      <c r="S161" s="26"/>
      <c r="T161" s="26"/>
      <c r="U161" s="26"/>
      <c r="V161" s="26"/>
      <c r="W161" s="26"/>
      <c r="X161" s="25"/>
      <c r="Y161" s="25"/>
      <c r="Z161" s="25"/>
      <c r="AA161" s="25"/>
      <c r="AB161" s="26"/>
      <c r="AC161" s="26"/>
      <c r="AD161" s="25"/>
      <c r="AE161" s="25"/>
      <c r="AF161" s="24">
        <f t="shared" si="22"/>
        <v>-1749.002857142857</v>
      </c>
      <c r="AG161" s="27">
        <f t="shared" si="23"/>
        <v>-2.8571428570103308E-3</v>
      </c>
    </row>
    <row r="162" spans="1:33" s="62" customFormat="1" ht="23.25" customHeight="1" x14ac:dyDescent="0.2">
      <c r="A162" s="18">
        <v>43890</v>
      </c>
      <c r="B162" s="19"/>
      <c r="C162" s="20" t="s">
        <v>334</v>
      </c>
      <c r="D162" s="20"/>
      <c r="E162" s="20"/>
      <c r="F162" s="21"/>
      <c r="G162" s="21" t="s">
        <v>335</v>
      </c>
      <c r="H162" s="22">
        <v>1000</v>
      </c>
      <c r="I162" s="22"/>
      <c r="J162" s="22"/>
      <c r="K162" s="22"/>
      <c r="L162" s="23"/>
      <c r="M162" s="24">
        <f t="shared" si="20"/>
        <v>1000</v>
      </c>
      <c r="N162" s="24">
        <f t="shared" si="21"/>
        <v>0</v>
      </c>
      <c r="O162" s="24">
        <f t="shared" si="24"/>
        <v>0</v>
      </c>
      <c r="P162" s="24"/>
      <c r="Q162" s="25"/>
      <c r="R162" s="25"/>
      <c r="S162" s="26"/>
      <c r="T162" s="26"/>
      <c r="U162" s="26"/>
      <c r="V162" s="26"/>
      <c r="W162" s="26"/>
      <c r="X162" s="25"/>
      <c r="Y162" s="25"/>
      <c r="Z162" s="25"/>
      <c r="AA162" s="25"/>
      <c r="AB162" s="26"/>
      <c r="AC162" s="26"/>
      <c r="AD162" s="25">
        <v>1000</v>
      </c>
      <c r="AE162" s="25"/>
      <c r="AF162" s="24">
        <f t="shared" si="22"/>
        <v>-1000</v>
      </c>
      <c r="AG162" s="27">
        <f t="shared" si="23"/>
        <v>0</v>
      </c>
    </row>
    <row r="163" spans="1:33" s="29" customFormat="1" ht="23.25" customHeight="1" x14ac:dyDescent="0.2">
      <c r="A163" s="18">
        <v>43890</v>
      </c>
      <c r="B163" s="19"/>
      <c r="C163" s="20" t="s">
        <v>39</v>
      </c>
      <c r="D163" s="20" t="s">
        <v>40</v>
      </c>
      <c r="E163" s="20" t="s">
        <v>41</v>
      </c>
      <c r="F163" s="21">
        <v>130609</v>
      </c>
      <c r="G163" s="21" t="s">
        <v>336</v>
      </c>
      <c r="H163" s="22"/>
      <c r="I163" s="22"/>
      <c r="J163" s="22"/>
      <c r="K163" s="22">
        <v>155.44999999999999</v>
      </c>
      <c r="L163" s="23"/>
      <c r="M163" s="24">
        <f t="shared" si="20"/>
        <v>138.79464285714283</v>
      </c>
      <c r="N163" s="24">
        <f t="shared" si="21"/>
        <v>16.655357142857138</v>
      </c>
      <c r="O163" s="24">
        <f t="shared" si="24"/>
        <v>0</v>
      </c>
      <c r="P163" s="24"/>
      <c r="Q163" s="25"/>
      <c r="R163" s="25"/>
      <c r="S163" s="26"/>
      <c r="T163" s="26"/>
      <c r="U163" s="26"/>
      <c r="V163" s="26"/>
      <c r="W163" s="26"/>
      <c r="X163" s="25"/>
      <c r="Y163" s="25"/>
      <c r="Z163" s="25"/>
      <c r="AA163" s="25"/>
      <c r="AB163" s="26"/>
      <c r="AC163" s="26"/>
      <c r="AD163" s="25"/>
      <c r="AE163" s="25">
        <v>138.79</v>
      </c>
      <c r="AF163" s="24">
        <f t="shared" si="22"/>
        <v>-155.44535714285712</v>
      </c>
      <c r="AG163" s="27">
        <f t="shared" si="23"/>
        <v>4.6428571428691612E-3</v>
      </c>
    </row>
    <row r="164" spans="1:33" s="29" customFormat="1" ht="23.25" customHeight="1" x14ac:dyDescent="0.2">
      <c r="A164" s="18"/>
      <c r="B164" s="19"/>
      <c r="C164" s="20"/>
      <c r="D164" s="20"/>
      <c r="E164" s="20"/>
      <c r="F164" s="21"/>
      <c r="G164" s="21"/>
      <c r="H164" s="22"/>
      <c r="I164" s="22"/>
      <c r="J164" s="22"/>
      <c r="K164" s="22"/>
      <c r="L164" s="23"/>
      <c r="M164" s="24"/>
      <c r="N164" s="24"/>
      <c r="O164" s="24"/>
      <c r="P164" s="24"/>
      <c r="Q164" s="25"/>
      <c r="R164" s="25"/>
      <c r="S164" s="26"/>
      <c r="T164" s="26"/>
      <c r="U164" s="26"/>
      <c r="V164" s="26"/>
      <c r="W164" s="26"/>
      <c r="X164" s="25"/>
      <c r="Y164" s="25"/>
      <c r="Z164" s="25"/>
      <c r="AA164" s="25"/>
      <c r="AB164" s="26"/>
      <c r="AC164" s="26"/>
      <c r="AD164" s="25"/>
      <c r="AE164" s="25"/>
      <c r="AF164" s="24"/>
      <c r="AG164" s="27"/>
    </row>
    <row r="165" spans="1:33" s="29" customFormat="1" ht="19.5" customHeight="1" x14ac:dyDescent="0.2">
      <c r="A165" s="18"/>
      <c r="B165" s="19"/>
      <c r="C165" s="43"/>
      <c r="D165" s="43"/>
      <c r="E165" s="43"/>
      <c r="F165" s="21"/>
      <c r="G165" s="30"/>
      <c r="H165" s="22"/>
      <c r="I165" s="22"/>
      <c r="J165" s="22"/>
      <c r="K165" s="22"/>
      <c r="L165" s="23"/>
      <c r="M165" s="25">
        <f>SUM(H165:J165,K165/1.12)</f>
        <v>0</v>
      </c>
      <c r="N165" s="25">
        <f>K165/1.12*0.12</f>
        <v>0</v>
      </c>
      <c r="O165" s="25">
        <f>-SUM(I165:J165,K165/1.12)*L165</f>
        <v>0</v>
      </c>
      <c r="P165" s="25"/>
      <c r="Q165" s="25"/>
      <c r="R165" s="25"/>
      <c r="S165" s="25"/>
      <c r="T165" s="26"/>
      <c r="U165" s="26"/>
      <c r="V165" s="26"/>
      <c r="W165" s="26"/>
      <c r="X165" s="26"/>
      <c r="Y165" s="44"/>
      <c r="Z165" s="25"/>
      <c r="AA165" s="25"/>
      <c r="AB165" s="25"/>
      <c r="AC165" s="26"/>
      <c r="AD165" s="26"/>
      <c r="AE165" s="45"/>
      <c r="AF165" s="24">
        <f>-SUM(N165:AE165)</f>
        <v>0</v>
      </c>
      <c r="AG165" s="27">
        <f>SUM(H165:K165)+AF165+O165</f>
        <v>0</v>
      </c>
    </row>
    <row r="166" spans="1:33" s="52" customFormat="1" ht="12" customHeight="1" x14ac:dyDescent="0.2">
      <c r="A166" s="46"/>
      <c r="B166" s="47"/>
      <c r="C166" s="48"/>
      <c r="D166" s="49"/>
      <c r="E166" s="49"/>
      <c r="F166" s="50"/>
      <c r="G166" s="48"/>
      <c r="H166" s="51">
        <f t="shared" ref="H166:AG166" si="25">SUM(H5:H165)</f>
        <v>10009.77</v>
      </c>
      <c r="I166" s="51">
        <f t="shared" si="25"/>
        <v>0</v>
      </c>
      <c r="J166" s="51">
        <f t="shared" si="25"/>
        <v>25484.010000000006</v>
      </c>
      <c r="K166" s="51">
        <f t="shared" si="25"/>
        <v>45483.869999999995</v>
      </c>
      <c r="L166" s="51">
        <f t="shared" si="25"/>
        <v>0</v>
      </c>
      <c r="M166" s="51">
        <f t="shared" si="25"/>
        <v>76104.378214285694</v>
      </c>
      <c r="N166" s="51">
        <f t="shared" si="25"/>
        <v>4873.2717857142834</v>
      </c>
      <c r="O166" s="51">
        <f t="shared" si="25"/>
        <v>0</v>
      </c>
      <c r="P166" s="51">
        <f t="shared" si="25"/>
        <v>54628.92</v>
      </c>
      <c r="Q166" s="51">
        <f t="shared" si="25"/>
        <v>3233.8500000000004</v>
      </c>
      <c r="R166" s="51">
        <f t="shared" si="25"/>
        <v>3175.45</v>
      </c>
      <c r="S166" s="51">
        <f t="shared" si="25"/>
        <v>1010.27</v>
      </c>
      <c r="T166" s="51">
        <f t="shared" si="25"/>
        <v>767.18999999999994</v>
      </c>
      <c r="U166" s="51">
        <f t="shared" si="25"/>
        <v>93.75</v>
      </c>
      <c r="V166" s="51">
        <f t="shared" si="25"/>
        <v>0</v>
      </c>
      <c r="W166" s="51">
        <f t="shared" si="25"/>
        <v>0</v>
      </c>
      <c r="X166" s="51">
        <f t="shared" si="25"/>
        <v>1131.8499999999999</v>
      </c>
      <c r="Y166" s="51">
        <f t="shared" si="25"/>
        <v>4946.38</v>
      </c>
      <c r="Z166" s="51">
        <f t="shared" si="25"/>
        <v>80.36</v>
      </c>
      <c r="AA166" s="51">
        <f t="shared" si="25"/>
        <v>2363</v>
      </c>
      <c r="AB166" s="51">
        <f t="shared" si="25"/>
        <v>2148</v>
      </c>
      <c r="AC166" s="51">
        <f t="shared" si="25"/>
        <v>612</v>
      </c>
      <c r="AD166" s="51">
        <f t="shared" si="25"/>
        <v>1088.77</v>
      </c>
      <c r="AE166" s="51">
        <f t="shared" si="25"/>
        <v>824.51</v>
      </c>
      <c r="AF166" s="51">
        <f t="shared" si="25"/>
        <v>-80977.571785714274</v>
      </c>
      <c r="AG166" s="51">
        <f t="shared" si="25"/>
        <v>7.8214285715660026E-2</v>
      </c>
    </row>
    <row r="171" spans="1:33" x14ac:dyDescent="0.3">
      <c r="Q171" s="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K39"/>
  <sheetViews>
    <sheetView topLeftCell="K1" zoomScaleNormal="100" workbookViewId="0">
      <selection activeCell="AF1" sqref="J1:AF1048576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6.109375" style="3" customWidth="1"/>
    <col min="4" max="4" width="14" style="4" hidden="1" customWidth="1"/>
    <col min="5" max="5" width="29.33203125" style="4" hidden="1" customWidth="1"/>
    <col min="6" max="6" width="7.88671875" style="2" customWidth="1"/>
    <col min="7" max="7" width="26.5546875" style="3" customWidth="1"/>
    <col min="8" max="8" width="11.109375" style="5" customWidth="1"/>
    <col min="9" max="9" width="9.5546875" style="5" hidden="1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10.6640625" style="5" customWidth="1"/>
    <col min="19" max="19" width="9.5546875" style="5" customWidth="1"/>
    <col min="20" max="21" width="9.109375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30" width="8" style="5" customWidth="1"/>
    <col min="31" max="31" width="10.109375" style="5" customWidth="1"/>
    <col min="32" max="32" width="10.6640625" style="5" customWidth="1"/>
    <col min="33" max="33" width="8.88671875" style="3" customWidth="1"/>
    <col min="34" max="1025" width="9.109375" style="3" customWidth="1"/>
  </cols>
  <sheetData>
    <row r="1" spans="1:33" ht="12" customHeight="1" x14ac:dyDescent="0.3">
      <c r="A1" s="7" t="s">
        <v>0</v>
      </c>
      <c r="C1" s="8"/>
    </row>
    <row r="2" spans="1:33" ht="12" customHeight="1" x14ac:dyDescent="0.3">
      <c r="A2" s="7" t="s">
        <v>1</v>
      </c>
    </row>
    <row r="3" spans="1:33" ht="12" customHeight="1" x14ac:dyDescent="0.3">
      <c r="A3" s="7" t="s">
        <v>785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3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771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613</v>
      </c>
      <c r="AD4" s="13" t="s">
        <v>34</v>
      </c>
      <c r="AE4" s="15" t="s">
        <v>35</v>
      </c>
      <c r="AF4" s="16" t="s">
        <v>36</v>
      </c>
    </row>
    <row r="5" spans="1:33" s="17" customFormat="1" ht="19.5" customHeight="1" x14ac:dyDescent="0.2">
      <c r="A5" s="81">
        <v>40475</v>
      </c>
      <c r="B5" s="12"/>
      <c r="C5" s="20" t="s">
        <v>605</v>
      </c>
      <c r="D5" s="12"/>
      <c r="E5" s="12"/>
      <c r="F5" s="82"/>
      <c r="G5" s="82" t="s">
        <v>212</v>
      </c>
      <c r="H5" s="82">
        <v>70</v>
      </c>
      <c r="I5" s="82"/>
      <c r="J5" s="84"/>
      <c r="K5" s="84"/>
      <c r="L5" s="83"/>
      <c r="M5" s="24">
        <f t="shared" ref="M5:M23" si="0">SUM(H5:J5,K5/1.12)</f>
        <v>70</v>
      </c>
      <c r="N5" s="24">
        <f t="shared" ref="N5:N23" si="1">K5/1.12*0.12</f>
        <v>0</v>
      </c>
      <c r="O5" s="24">
        <f t="shared" ref="O5:O23" si="2">-SUM(I5:J5,K5/1.12)*L5</f>
        <v>0</v>
      </c>
      <c r="P5" s="24"/>
      <c r="Q5" s="25"/>
      <c r="R5" s="25"/>
      <c r="S5" s="26"/>
      <c r="T5" s="26"/>
      <c r="U5" s="26"/>
      <c r="V5" s="26"/>
      <c r="W5" s="26"/>
      <c r="X5" s="25"/>
      <c r="Y5" s="25"/>
      <c r="Z5" s="25"/>
      <c r="AA5" s="25">
        <v>70</v>
      </c>
      <c r="AB5" s="26"/>
      <c r="AC5" s="26"/>
      <c r="AD5" s="25"/>
      <c r="AE5" s="25"/>
      <c r="AF5" s="24">
        <f t="shared" ref="AF5:AF23" si="3">-SUM(N5:AE5)</f>
        <v>-70</v>
      </c>
      <c r="AG5" s="27">
        <f t="shared" ref="AG5:AG16" si="4">SUM(H5:K5)+AF5+O5</f>
        <v>0</v>
      </c>
    </row>
    <row r="6" spans="1:33" s="17" customFormat="1" ht="19.5" customHeight="1" x14ac:dyDescent="0.2">
      <c r="A6" s="81">
        <v>40475</v>
      </c>
      <c r="B6" s="12"/>
      <c r="C6" s="82" t="s">
        <v>569</v>
      </c>
      <c r="D6" s="12"/>
      <c r="E6" s="12"/>
      <c r="F6" s="82">
        <v>204515</v>
      </c>
      <c r="G6" s="82" t="s">
        <v>786</v>
      </c>
      <c r="H6" s="82"/>
      <c r="I6" s="82"/>
      <c r="J6" s="84"/>
      <c r="K6" s="84">
        <v>1256</v>
      </c>
      <c r="L6" s="83"/>
      <c r="M6" s="24">
        <f t="shared" si="0"/>
        <v>1121.4285714285713</v>
      </c>
      <c r="N6" s="24">
        <f t="shared" si="1"/>
        <v>134.57142857142856</v>
      </c>
      <c r="O6" s="24">
        <f t="shared" si="2"/>
        <v>0</v>
      </c>
      <c r="P6" s="24"/>
      <c r="Q6" s="25"/>
      <c r="R6" s="25">
        <v>1121.43</v>
      </c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>
        <f t="shared" si="3"/>
        <v>-1256.0014285714287</v>
      </c>
      <c r="AG6" s="27">
        <f t="shared" si="4"/>
        <v>-1.4285714287325391E-3</v>
      </c>
    </row>
    <row r="7" spans="1:33" s="17" customFormat="1" ht="21" customHeight="1" x14ac:dyDescent="0.2">
      <c r="A7" s="81">
        <v>40475</v>
      </c>
      <c r="B7" s="12"/>
      <c r="C7" s="20" t="s">
        <v>47</v>
      </c>
      <c r="D7" s="12"/>
      <c r="E7" s="12"/>
      <c r="F7" s="82">
        <v>130408</v>
      </c>
      <c r="G7" s="82" t="s">
        <v>787</v>
      </c>
      <c r="H7" s="82"/>
      <c r="I7" s="82"/>
      <c r="J7" s="84"/>
      <c r="K7" s="84">
        <v>4847.25</v>
      </c>
      <c r="L7" s="83"/>
      <c r="M7" s="24">
        <f t="shared" si="0"/>
        <v>4327.9017857142853</v>
      </c>
      <c r="N7" s="24">
        <f t="shared" si="1"/>
        <v>519.34821428571422</v>
      </c>
      <c r="O7" s="24">
        <f t="shared" si="2"/>
        <v>0</v>
      </c>
      <c r="P7" s="24">
        <v>4327.8999999999996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>
        <f t="shared" si="3"/>
        <v>-4847.2482142857134</v>
      </c>
      <c r="AG7" s="27">
        <f t="shared" si="4"/>
        <v>1.7857142865977949E-3</v>
      </c>
    </row>
    <row r="8" spans="1:33" s="17" customFormat="1" ht="18" customHeight="1" x14ac:dyDescent="0.2">
      <c r="A8" s="81">
        <v>40475</v>
      </c>
      <c r="B8" s="12"/>
      <c r="C8" s="20" t="s">
        <v>45</v>
      </c>
      <c r="D8" s="12"/>
      <c r="E8" s="12"/>
      <c r="F8" s="12"/>
      <c r="G8" s="82" t="s">
        <v>46</v>
      </c>
      <c r="H8" s="84">
        <v>110</v>
      </c>
      <c r="I8" s="12"/>
      <c r="J8" s="12"/>
      <c r="K8" s="84"/>
      <c r="L8" s="13"/>
      <c r="M8" s="24">
        <f t="shared" si="0"/>
        <v>110</v>
      </c>
      <c r="N8" s="24">
        <f t="shared" si="1"/>
        <v>0</v>
      </c>
      <c r="O8" s="24">
        <f t="shared" si="2"/>
        <v>0</v>
      </c>
      <c r="P8" s="24"/>
      <c r="Q8" s="25"/>
      <c r="R8" s="25"/>
      <c r="S8" s="26"/>
      <c r="T8" s="26"/>
      <c r="U8" s="26"/>
      <c r="V8" s="26"/>
      <c r="W8" s="26"/>
      <c r="X8" s="25"/>
      <c r="Y8" s="25"/>
      <c r="Z8" s="25"/>
      <c r="AA8" s="25">
        <v>110</v>
      </c>
      <c r="AB8" s="26"/>
      <c r="AC8" s="26"/>
      <c r="AD8" s="25"/>
      <c r="AE8" s="25"/>
      <c r="AF8" s="24">
        <f t="shared" si="3"/>
        <v>-110</v>
      </c>
      <c r="AG8" s="27">
        <f t="shared" si="4"/>
        <v>0</v>
      </c>
    </row>
    <row r="9" spans="1:33" s="17" customFormat="1" ht="21.75" customHeight="1" x14ac:dyDescent="0.2">
      <c r="A9" s="81">
        <v>40475</v>
      </c>
      <c r="B9" s="12"/>
      <c r="C9" s="20" t="s">
        <v>729</v>
      </c>
      <c r="D9" s="82"/>
      <c r="E9" s="82"/>
      <c r="F9" s="82">
        <v>2173</v>
      </c>
      <c r="G9" s="82" t="s">
        <v>193</v>
      </c>
      <c r="H9" s="84"/>
      <c r="I9" s="82"/>
      <c r="J9" s="82"/>
      <c r="K9" s="84">
        <v>105</v>
      </c>
      <c r="L9" s="13"/>
      <c r="M9" s="24">
        <f t="shared" si="0"/>
        <v>93.749999999999986</v>
      </c>
      <c r="N9" s="24">
        <f t="shared" si="1"/>
        <v>11.249999999999998</v>
      </c>
      <c r="O9" s="24">
        <f t="shared" si="2"/>
        <v>0</v>
      </c>
      <c r="P9" s="24"/>
      <c r="Q9" s="25"/>
      <c r="R9" s="25"/>
      <c r="S9" s="90"/>
      <c r="T9" s="26"/>
      <c r="U9" s="26"/>
      <c r="V9" s="26"/>
      <c r="W9" s="26"/>
      <c r="X9" s="25"/>
      <c r="Y9" s="25"/>
      <c r="Z9" s="25"/>
      <c r="AA9" s="25"/>
      <c r="AB9" s="26"/>
      <c r="AC9" s="26">
        <v>93.75</v>
      </c>
      <c r="AD9" s="25"/>
      <c r="AE9" s="25"/>
      <c r="AF9" s="24">
        <f t="shared" si="3"/>
        <v>-105</v>
      </c>
      <c r="AG9" s="27">
        <f t="shared" si="4"/>
        <v>0</v>
      </c>
    </row>
    <row r="10" spans="1:33" s="17" customFormat="1" ht="25.5" customHeight="1" x14ac:dyDescent="0.2">
      <c r="A10" s="81">
        <v>40475</v>
      </c>
      <c r="B10" s="12"/>
      <c r="C10" s="20" t="s">
        <v>729</v>
      </c>
      <c r="D10" s="82"/>
      <c r="E10" s="82"/>
      <c r="F10" s="82">
        <v>2173</v>
      </c>
      <c r="G10" s="82" t="s">
        <v>788</v>
      </c>
      <c r="H10" s="82"/>
      <c r="I10" s="82"/>
      <c r="J10" s="89"/>
      <c r="K10" s="84">
        <f>72+199+156+132.5</f>
        <v>559.5</v>
      </c>
      <c r="L10" s="13"/>
      <c r="M10" s="24">
        <f t="shared" si="0"/>
        <v>499.55357142857139</v>
      </c>
      <c r="N10" s="24">
        <f t="shared" si="1"/>
        <v>59.946428571428562</v>
      </c>
      <c r="O10" s="24">
        <f t="shared" si="2"/>
        <v>0</v>
      </c>
      <c r="P10" s="24">
        <v>499.55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>
        <f t="shared" si="3"/>
        <v>-559.49642857142862</v>
      </c>
      <c r="AG10" s="27">
        <f t="shared" si="4"/>
        <v>3.5714285713766003E-3</v>
      </c>
    </row>
    <row r="11" spans="1:33" s="29" customFormat="1" ht="23.25" customHeight="1" x14ac:dyDescent="0.2">
      <c r="A11" s="81">
        <v>40474</v>
      </c>
      <c r="B11" s="82"/>
      <c r="C11" s="20" t="s">
        <v>789</v>
      </c>
      <c r="D11" s="20"/>
      <c r="E11" s="20"/>
      <c r="F11" s="21">
        <v>265045</v>
      </c>
      <c r="G11" s="21" t="s">
        <v>790</v>
      </c>
      <c r="H11" s="22"/>
      <c r="I11" s="22"/>
      <c r="J11" s="22"/>
      <c r="K11" s="22">
        <v>265</v>
      </c>
      <c r="L11" s="23"/>
      <c r="M11" s="24">
        <f t="shared" si="0"/>
        <v>236.60714285714283</v>
      </c>
      <c r="N11" s="24">
        <f t="shared" si="1"/>
        <v>28.392857142857139</v>
      </c>
      <c r="O11" s="24">
        <f t="shared" si="2"/>
        <v>0</v>
      </c>
      <c r="P11" s="24">
        <v>236.61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>
        <f t="shared" si="3"/>
        <v>-265.00285714285712</v>
      </c>
      <c r="AG11" s="27">
        <f t="shared" si="4"/>
        <v>-2.8571428571240176E-3</v>
      </c>
    </row>
    <row r="12" spans="1:33" s="29" customFormat="1" ht="21.75" customHeight="1" x14ac:dyDescent="0.2">
      <c r="A12" s="81">
        <v>40471</v>
      </c>
      <c r="B12" s="19"/>
      <c r="C12" s="20" t="s">
        <v>522</v>
      </c>
      <c r="D12" s="20"/>
      <c r="E12" s="20"/>
      <c r="F12" s="21">
        <v>3222</v>
      </c>
      <c r="G12" s="21" t="s">
        <v>791</v>
      </c>
      <c r="H12" s="22"/>
      <c r="I12" s="22"/>
      <c r="J12" s="22"/>
      <c r="K12" s="22">
        <v>104</v>
      </c>
      <c r="L12" s="23"/>
      <c r="M12" s="24">
        <f t="shared" si="0"/>
        <v>92.857142857142847</v>
      </c>
      <c r="N12" s="24">
        <f t="shared" si="1"/>
        <v>11.142857142857141</v>
      </c>
      <c r="O12" s="24">
        <f t="shared" si="2"/>
        <v>0</v>
      </c>
      <c r="P12" s="24"/>
      <c r="Q12" s="25">
        <v>92.86</v>
      </c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>
        <f t="shared" si="3"/>
        <v>-104.00285714285714</v>
      </c>
      <c r="AG12" s="27">
        <f t="shared" si="4"/>
        <v>-2.8571428571382285E-3</v>
      </c>
    </row>
    <row r="13" spans="1:33" s="29" customFormat="1" ht="21" customHeight="1" x14ac:dyDescent="0.2">
      <c r="A13" s="81">
        <v>40471</v>
      </c>
      <c r="B13" s="19"/>
      <c r="C13" s="20" t="s">
        <v>729</v>
      </c>
      <c r="D13" s="20"/>
      <c r="E13" s="20"/>
      <c r="F13" s="21">
        <v>24</v>
      </c>
      <c r="G13" s="21" t="s">
        <v>792</v>
      </c>
      <c r="H13" s="22"/>
      <c r="I13" s="22"/>
      <c r="J13" s="22"/>
      <c r="K13" s="22">
        <v>170</v>
      </c>
      <c r="L13" s="23"/>
      <c r="M13" s="24">
        <f t="shared" si="0"/>
        <v>151.78571428571428</v>
      </c>
      <c r="N13" s="24">
        <f t="shared" si="1"/>
        <v>18.214285714285712</v>
      </c>
      <c r="O13" s="24">
        <f t="shared" si="2"/>
        <v>0</v>
      </c>
      <c r="P13" s="24"/>
      <c r="Q13" s="25">
        <v>151.79</v>
      </c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>
        <f t="shared" si="3"/>
        <v>-170.00428571428571</v>
      </c>
      <c r="AG13" s="27">
        <f t="shared" si="4"/>
        <v>-4.2857142857144481E-3</v>
      </c>
    </row>
    <row r="14" spans="1:33" s="29" customFormat="1" ht="18.75" customHeight="1" x14ac:dyDescent="0.2">
      <c r="A14" s="81">
        <v>40472</v>
      </c>
      <c r="B14" s="19"/>
      <c r="C14" s="20" t="s">
        <v>729</v>
      </c>
      <c r="D14" s="20"/>
      <c r="E14" s="20"/>
      <c r="F14" s="21">
        <v>22</v>
      </c>
      <c r="G14" s="21" t="s">
        <v>793</v>
      </c>
      <c r="H14" s="22"/>
      <c r="I14" s="22"/>
      <c r="J14" s="22"/>
      <c r="K14" s="22">
        <v>302.5</v>
      </c>
      <c r="L14" s="23"/>
      <c r="M14" s="24">
        <f t="shared" si="0"/>
        <v>270.08928571428567</v>
      </c>
      <c r="N14" s="24">
        <f t="shared" si="1"/>
        <v>32.410714285714278</v>
      </c>
      <c r="O14" s="24">
        <f t="shared" si="2"/>
        <v>0</v>
      </c>
      <c r="P14" s="24">
        <v>270.08999999999997</v>
      </c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>
        <f t="shared" si="3"/>
        <v>-302.50071428571425</v>
      </c>
      <c r="AG14" s="27">
        <f t="shared" si="4"/>
        <v>-7.1428571425258269E-4</v>
      </c>
    </row>
    <row r="15" spans="1:33" s="29" customFormat="1" ht="18.75" customHeight="1" x14ac:dyDescent="0.2">
      <c r="A15" s="81">
        <v>40478</v>
      </c>
      <c r="B15" s="19"/>
      <c r="C15" s="20" t="s">
        <v>794</v>
      </c>
      <c r="D15" s="20"/>
      <c r="E15" s="20"/>
      <c r="F15" s="21">
        <v>824439</v>
      </c>
      <c r="G15" s="21" t="s">
        <v>795</v>
      </c>
      <c r="H15" s="22"/>
      <c r="I15" s="22"/>
      <c r="J15" s="22"/>
      <c r="K15" s="22">
        <v>239</v>
      </c>
      <c r="L15" s="23"/>
      <c r="M15" s="24">
        <f t="shared" si="0"/>
        <v>213.39285714285711</v>
      </c>
      <c r="N15" s="24">
        <f t="shared" si="1"/>
        <v>25.607142857142851</v>
      </c>
      <c r="O15" s="24">
        <f t="shared" si="2"/>
        <v>0</v>
      </c>
      <c r="P15" s="24"/>
      <c r="Q15" s="25"/>
      <c r="R15" s="25"/>
      <c r="S15" s="26"/>
      <c r="T15" s="26">
        <v>213.39</v>
      </c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>
        <f t="shared" si="3"/>
        <v>-238.99714285714285</v>
      </c>
      <c r="AG15" s="27">
        <f t="shared" si="4"/>
        <v>2.8571428571524393E-3</v>
      </c>
    </row>
    <row r="16" spans="1:33" s="29" customFormat="1" ht="18.75" customHeight="1" x14ac:dyDescent="0.2">
      <c r="A16" s="81">
        <v>40478</v>
      </c>
      <c r="B16" s="19"/>
      <c r="C16" s="20" t="s">
        <v>729</v>
      </c>
      <c r="D16" s="20"/>
      <c r="E16" s="20"/>
      <c r="F16" s="21">
        <v>2573</v>
      </c>
      <c r="G16" s="21" t="s">
        <v>796</v>
      </c>
      <c r="H16" s="22"/>
      <c r="I16" s="22"/>
      <c r="J16" s="22"/>
      <c r="K16" s="22">
        <v>215.35</v>
      </c>
      <c r="L16" s="23"/>
      <c r="M16" s="24">
        <f t="shared" si="0"/>
        <v>192.27678571428569</v>
      </c>
      <c r="N16" s="24">
        <f t="shared" si="1"/>
        <v>23.073214285714283</v>
      </c>
      <c r="O16" s="24">
        <f t="shared" si="2"/>
        <v>0</v>
      </c>
      <c r="P16" s="24">
        <v>192.28</v>
      </c>
      <c r="Q16" s="25"/>
      <c r="R16" s="25"/>
      <c r="S16" s="26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5"/>
      <c r="AF16" s="24">
        <f t="shared" si="3"/>
        <v>-215.35321428571427</v>
      </c>
      <c r="AG16" s="27">
        <f t="shared" si="4"/>
        <v>-3.2142857142787307E-3</v>
      </c>
    </row>
    <row r="17" spans="1:33" s="29" customFormat="1" ht="18.75" customHeight="1" x14ac:dyDescent="0.2">
      <c r="A17" s="81">
        <v>40477</v>
      </c>
      <c r="B17" s="19"/>
      <c r="C17" s="20" t="s">
        <v>60</v>
      </c>
      <c r="D17" s="20"/>
      <c r="E17" s="20"/>
      <c r="F17" s="21"/>
      <c r="G17" s="21" t="s">
        <v>439</v>
      </c>
      <c r="H17" s="22">
        <v>50</v>
      </c>
      <c r="I17" s="22"/>
      <c r="J17" s="22"/>
      <c r="K17" s="22"/>
      <c r="L17" s="23"/>
      <c r="M17" s="24">
        <f t="shared" si="0"/>
        <v>50</v>
      </c>
      <c r="N17" s="24">
        <f t="shared" si="1"/>
        <v>0</v>
      </c>
      <c r="O17" s="24">
        <f t="shared" si="2"/>
        <v>0</v>
      </c>
      <c r="P17" s="24"/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>
        <v>50</v>
      </c>
      <c r="AB17" s="26"/>
      <c r="AC17" s="26"/>
      <c r="AD17" s="25"/>
      <c r="AE17" s="25"/>
      <c r="AF17" s="24">
        <f t="shared" si="3"/>
        <v>-50</v>
      </c>
      <c r="AG17" s="27"/>
    </row>
    <row r="18" spans="1:33" s="29" customFormat="1" ht="23.25" customHeight="1" x14ac:dyDescent="0.2">
      <c r="A18" s="81">
        <v>40477</v>
      </c>
      <c r="B18" s="19"/>
      <c r="C18" s="20" t="s">
        <v>549</v>
      </c>
      <c r="D18" s="20"/>
      <c r="E18" s="20"/>
      <c r="F18" s="21"/>
      <c r="G18" s="21" t="s">
        <v>620</v>
      </c>
      <c r="H18" s="22"/>
      <c r="I18" s="22"/>
      <c r="J18" s="22">
        <v>1150</v>
      </c>
      <c r="K18" s="22"/>
      <c r="L18" s="23"/>
      <c r="M18" s="24">
        <f t="shared" si="0"/>
        <v>1150</v>
      </c>
      <c r="N18" s="24">
        <f t="shared" si="1"/>
        <v>0</v>
      </c>
      <c r="O18" s="24">
        <f t="shared" si="2"/>
        <v>0</v>
      </c>
      <c r="P18" s="24">
        <v>1150</v>
      </c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>
        <f t="shared" si="3"/>
        <v>-1150</v>
      </c>
      <c r="AG18" s="27">
        <f>SUM(H18:K18)+AF18+O18</f>
        <v>0</v>
      </c>
    </row>
    <row r="19" spans="1:33" s="29" customFormat="1" ht="23.25" customHeight="1" x14ac:dyDescent="0.2">
      <c r="A19" s="81">
        <v>40477</v>
      </c>
      <c r="B19" s="19"/>
      <c r="C19" s="20" t="s">
        <v>522</v>
      </c>
      <c r="D19" s="20"/>
      <c r="E19" s="20"/>
      <c r="F19" s="21">
        <v>54564</v>
      </c>
      <c r="G19" s="21" t="s">
        <v>797</v>
      </c>
      <c r="H19" s="22"/>
      <c r="I19" s="22"/>
      <c r="J19" s="22"/>
      <c r="K19" s="22">
        <v>100</v>
      </c>
      <c r="L19" s="23"/>
      <c r="M19" s="24">
        <f t="shared" si="0"/>
        <v>89.285714285714278</v>
      </c>
      <c r="N19" s="24">
        <f t="shared" si="1"/>
        <v>10.714285714285714</v>
      </c>
      <c r="O19" s="24">
        <f t="shared" si="2"/>
        <v>0</v>
      </c>
      <c r="P19" s="24"/>
      <c r="Q19" s="25"/>
      <c r="R19" s="25"/>
      <c r="S19" s="26"/>
      <c r="T19" s="26">
        <v>89.29</v>
      </c>
      <c r="U19" s="26"/>
      <c r="V19" s="26"/>
      <c r="W19" s="26"/>
      <c r="X19" s="25"/>
      <c r="Y19" s="25"/>
      <c r="Z19" s="25"/>
      <c r="AA19" s="25"/>
      <c r="AB19" s="26"/>
      <c r="AC19" s="26"/>
      <c r="AD19" s="25"/>
      <c r="AE19" s="25"/>
      <c r="AF19" s="24">
        <f t="shared" si="3"/>
        <v>-100.00428571428571</v>
      </c>
      <c r="AG19" s="27"/>
    </row>
    <row r="20" spans="1:33" s="29" customFormat="1" ht="23.25" customHeight="1" x14ac:dyDescent="0.2">
      <c r="A20" s="81">
        <v>40478</v>
      </c>
      <c r="B20" s="19"/>
      <c r="C20" s="20" t="s">
        <v>729</v>
      </c>
      <c r="D20" s="20"/>
      <c r="E20" s="20"/>
      <c r="F20" s="21">
        <v>33</v>
      </c>
      <c r="G20" s="21" t="s">
        <v>798</v>
      </c>
      <c r="H20" s="22"/>
      <c r="I20" s="22"/>
      <c r="J20" s="22"/>
      <c r="K20" s="22">
        <v>400.75</v>
      </c>
      <c r="L20" s="23"/>
      <c r="M20" s="24">
        <f t="shared" si="0"/>
        <v>357.81249999999994</v>
      </c>
      <c r="N20" s="24">
        <f t="shared" si="1"/>
        <v>42.937499999999993</v>
      </c>
      <c r="O20" s="24">
        <f t="shared" si="2"/>
        <v>0</v>
      </c>
      <c r="P20" s="24"/>
      <c r="Q20" s="25"/>
      <c r="R20" s="25"/>
      <c r="S20" s="26"/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>
        <f t="shared" si="3"/>
        <v>-42.937499999999993</v>
      </c>
      <c r="AG20" s="27"/>
    </row>
    <row r="21" spans="1:33" s="29" customFormat="1" ht="23.25" customHeight="1" x14ac:dyDescent="0.2">
      <c r="A21" s="81">
        <v>40480</v>
      </c>
      <c r="B21" s="19"/>
      <c r="C21" s="20" t="s">
        <v>799</v>
      </c>
      <c r="D21" s="20"/>
      <c r="E21" s="20"/>
      <c r="F21" s="21">
        <v>511831</v>
      </c>
      <c r="G21" s="21" t="s">
        <v>800</v>
      </c>
      <c r="H21" s="22"/>
      <c r="I21" s="22"/>
      <c r="J21" s="22"/>
      <c r="K21" s="22">
        <v>125</v>
      </c>
      <c r="L21" s="23"/>
      <c r="M21" s="24">
        <f t="shared" si="0"/>
        <v>111.60714285714285</v>
      </c>
      <c r="N21" s="24">
        <f t="shared" si="1"/>
        <v>13.392857142857141</v>
      </c>
      <c r="O21" s="24">
        <f t="shared" si="2"/>
        <v>0</v>
      </c>
      <c r="P21" s="24"/>
      <c r="Q21" s="25">
        <v>111.61</v>
      </c>
      <c r="R21" s="25"/>
      <c r="S21" s="26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>
        <f t="shared" si="3"/>
        <v>-125.00285714285714</v>
      </c>
      <c r="AG21" s="27"/>
    </row>
    <row r="22" spans="1:33" s="29" customFormat="1" ht="23.25" customHeight="1" x14ac:dyDescent="0.2">
      <c r="A22" s="18"/>
      <c r="B22" s="19"/>
      <c r="C22" s="20"/>
      <c r="D22" s="20"/>
      <c r="E22" s="20"/>
      <c r="F22" s="21"/>
      <c r="G22" s="21"/>
      <c r="H22" s="22"/>
      <c r="I22" s="22"/>
      <c r="J22" s="22"/>
      <c r="K22" s="22"/>
      <c r="L22" s="23"/>
      <c r="M22" s="24">
        <f t="shared" si="0"/>
        <v>0</v>
      </c>
      <c r="N22" s="24">
        <f t="shared" si="1"/>
        <v>0</v>
      </c>
      <c r="O22" s="24">
        <f t="shared" si="2"/>
        <v>0</v>
      </c>
      <c r="P22" s="24"/>
      <c r="Q22" s="25"/>
      <c r="R22" s="25"/>
      <c r="S22" s="26"/>
      <c r="T22" s="26"/>
      <c r="U22" s="26"/>
      <c r="V22" s="26"/>
      <c r="W22" s="26"/>
      <c r="X22" s="25"/>
      <c r="Y22" s="25"/>
      <c r="Z22" s="25"/>
      <c r="AA22" s="25"/>
      <c r="AB22" s="26"/>
      <c r="AC22" s="26"/>
      <c r="AD22" s="25"/>
      <c r="AE22" s="25"/>
      <c r="AF22" s="24">
        <f t="shared" si="3"/>
        <v>0</v>
      </c>
      <c r="AG22" s="27">
        <f>SUM(H22:K22)+AF22+O22</f>
        <v>0</v>
      </c>
    </row>
    <row r="23" spans="1:33" s="29" customFormat="1" ht="10.199999999999999" x14ac:dyDescent="0.2">
      <c r="A23" s="18"/>
      <c r="B23" s="19"/>
      <c r="C23" s="43"/>
      <c r="D23" s="43"/>
      <c r="E23" s="43"/>
      <c r="F23" s="21"/>
      <c r="G23" s="30"/>
      <c r="H23" s="22"/>
      <c r="I23" s="22"/>
      <c r="J23" s="22"/>
      <c r="K23" s="22"/>
      <c r="L23" s="23"/>
      <c r="M23" s="25">
        <f t="shared" si="0"/>
        <v>0</v>
      </c>
      <c r="N23" s="25">
        <f t="shared" si="1"/>
        <v>0</v>
      </c>
      <c r="O23" s="25">
        <f t="shared" si="2"/>
        <v>0</v>
      </c>
      <c r="P23" s="25"/>
      <c r="Q23" s="25"/>
      <c r="R23" s="25"/>
      <c r="S23" s="25"/>
      <c r="T23" s="26"/>
      <c r="U23" s="51"/>
      <c r="V23" s="26"/>
      <c r="W23" s="26"/>
      <c r="X23" s="26"/>
      <c r="Y23" s="44"/>
      <c r="Z23" s="25"/>
      <c r="AA23" s="51"/>
      <c r="AB23" s="25"/>
      <c r="AC23" s="26"/>
      <c r="AD23" s="26"/>
      <c r="AE23" s="45"/>
      <c r="AF23" s="24">
        <f t="shared" si="3"/>
        <v>0</v>
      </c>
      <c r="AG23" s="27">
        <f>SUM(H23:K23)+AF23+O23</f>
        <v>0</v>
      </c>
    </row>
    <row r="24" spans="1:33" s="52" customFormat="1" ht="10.199999999999999" x14ac:dyDescent="0.2">
      <c r="A24" s="46"/>
      <c r="B24" s="47"/>
      <c r="C24" s="48"/>
      <c r="D24" s="49"/>
      <c r="E24" s="49"/>
      <c r="F24" s="50"/>
      <c r="G24" s="48"/>
      <c r="H24" s="51">
        <f>SUM(H5:H22)</f>
        <v>230</v>
      </c>
      <c r="I24" s="51">
        <f>SUM(I11:I23)</f>
        <v>0</v>
      </c>
      <c r="J24" s="51">
        <f>SUM(J5:J22)</f>
        <v>1150</v>
      </c>
      <c r="K24" s="51">
        <f>SUM(K5:K22)</f>
        <v>8689.35</v>
      </c>
      <c r="L24" s="51">
        <f>SUM(L11:L23)</f>
        <v>0</v>
      </c>
      <c r="M24" s="51">
        <f>SUM(M5:M22)</f>
        <v>9138.3482142857138</v>
      </c>
      <c r="N24" s="51">
        <f>SUM(N5:N22)</f>
        <v>931.00178571428546</v>
      </c>
      <c r="O24" s="51">
        <f>SUM(O11:O23)</f>
        <v>0</v>
      </c>
      <c r="P24" s="51">
        <f>SUM(P5:P22)</f>
        <v>6676.4299999999994</v>
      </c>
      <c r="Q24" s="51">
        <f>SUM(Q5:Q22)</f>
        <v>356.26</v>
      </c>
      <c r="R24" s="51">
        <f>SUM(R5:R22)</f>
        <v>1121.43</v>
      </c>
      <c r="S24" s="51">
        <f>SUM(S7:S23)</f>
        <v>0</v>
      </c>
      <c r="T24" s="51">
        <f>SUM(T7:T23)</f>
        <v>302.68</v>
      </c>
      <c r="U24" s="51">
        <f>SUM(U7:U23)</f>
        <v>0</v>
      </c>
      <c r="V24" s="51">
        <f>SUM(V11:V23)</f>
        <v>0</v>
      </c>
      <c r="W24" s="51">
        <f>SUM(W11:W23)</f>
        <v>0</v>
      </c>
      <c r="X24" s="51">
        <f>SUM(X11:X23)</f>
        <v>0</v>
      </c>
      <c r="Y24" s="51">
        <f>SUM(Y11:Y23)</f>
        <v>0</v>
      </c>
      <c r="Z24" s="51">
        <f>SUM(Z11:Z23)</f>
        <v>0</v>
      </c>
      <c r="AA24" s="51">
        <f>SUM(AA5:AA22)</f>
        <v>230</v>
      </c>
      <c r="AB24" s="51">
        <f>SUM(AB11:AB23)</f>
        <v>0</v>
      </c>
      <c r="AC24" s="51">
        <f>SUM(AC5:AC22)</f>
        <v>93.75</v>
      </c>
      <c r="AD24" s="51">
        <f>SUM(AD5:AD22)</f>
        <v>0</v>
      </c>
      <c r="AE24" s="51">
        <f>SUM(AE11:AE23)</f>
        <v>0</v>
      </c>
      <c r="AF24" s="51">
        <f>SUM(AF5:AF22)</f>
        <v>-9711.5517857142841</v>
      </c>
      <c r="AG24" s="51">
        <f>SUM(AG11:AG23)</f>
        <v>-1.1071428571355568E-2</v>
      </c>
    </row>
    <row r="25" spans="1:33" s="77" customFormat="1" ht="10.199999999999999" x14ac:dyDescent="0.2"/>
    <row r="26" spans="1:33" x14ac:dyDescent="0.3">
      <c r="H26" s="85"/>
      <c r="I26" s="85"/>
      <c r="J26" s="85"/>
      <c r="K26" s="85"/>
    </row>
    <row r="27" spans="1:33" x14ac:dyDescent="0.3">
      <c r="H27" s="85"/>
      <c r="I27" s="85"/>
      <c r="J27" s="85"/>
      <c r="K27" s="85"/>
    </row>
    <row r="28" spans="1:33" x14ac:dyDescent="0.3">
      <c r="H28" s="85"/>
      <c r="I28" s="85"/>
      <c r="J28" s="85"/>
      <c r="K28" s="85"/>
    </row>
    <row r="29" spans="1:33" x14ac:dyDescent="0.3">
      <c r="H29" s="85"/>
      <c r="I29" s="85"/>
      <c r="J29" s="85"/>
      <c r="K29" s="85"/>
      <c r="Q29" s="5">
        <v>0</v>
      </c>
    </row>
    <row r="30" spans="1:33" s="3" customFormat="1" ht="11.4" x14ac:dyDescent="0.2">
      <c r="H30" s="86"/>
      <c r="I30" s="86"/>
      <c r="J30" s="86"/>
      <c r="K30" s="86"/>
      <c r="T30" s="5"/>
      <c r="U30" s="5"/>
      <c r="V30" s="5"/>
      <c r="W30" s="5"/>
      <c r="X30" s="5"/>
      <c r="Y30" s="5"/>
    </row>
    <row r="31" spans="1:33" x14ac:dyDescent="0.3">
      <c r="H31" s="85"/>
      <c r="I31" s="85"/>
      <c r="J31" s="85"/>
      <c r="K31" s="85"/>
    </row>
    <row r="32" spans="1:33" x14ac:dyDescent="0.3">
      <c r="H32" s="85"/>
      <c r="I32" s="85"/>
      <c r="J32" s="85"/>
      <c r="K32" s="85"/>
    </row>
    <row r="33" spans="8:11" x14ac:dyDescent="0.3">
      <c r="H33" s="85"/>
      <c r="I33" s="85"/>
      <c r="J33" s="85"/>
      <c r="K33" s="85"/>
    </row>
    <row r="34" spans="8:11" x14ac:dyDescent="0.3">
      <c r="H34" s="85"/>
      <c r="I34" s="85"/>
      <c r="J34" s="85"/>
      <c r="K34" s="85"/>
    </row>
    <row r="35" spans="8:11" x14ac:dyDescent="0.3">
      <c r="H35" s="87"/>
      <c r="I35" s="87"/>
      <c r="J35" s="87"/>
      <c r="K35" s="87"/>
    </row>
    <row r="36" spans="8:11" x14ac:dyDescent="0.3">
      <c r="H36" s="87"/>
      <c r="I36" s="87"/>
      <c r="J36" s="87"/>
      <c r="K36" s="87"/>
    </row>
    <row r="37" spans="8:11" s="3" customFormat="1" ht="10.199999999999999" x14ac:dyDescent="0.2">
      <c r="H37" s="87"/>
      <c r="I37" s="87"/>
      <c r="J37" s="87"/>
      <c r="K37" s="87"/>
    </row>
    <row r="38" spans="8:11" s="3" customFormat="1" ht="10.199999999999999" x14ac:dyDescent="0.2">
      <c r="H38" s="87"/>
      <c r="I38" s="87"/>
      <c r="J38" s="87"/>
      <c r="K38" s="87"/>
    </row>
    <row r="39" spans="8:11" s="3" customFormat="1" ht="10.199999999999999" x14ac:dyDescent="0.2">
      <c r="H39" s="87"/>
      <c r="I39" s="87"/>
      <c r="J39" s="87"/>
      <c r="K39" s="8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K28"/>
  <sheetViews>
    <sheetView topLeftCell="L1" zoomScaleNormal="100" workbookViewId="0">
      <selection activeCell="V20" sqref="V20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6.109375" style="3" customWidth="1"/>
    <col min="4" max="4" width="14" style="4" hidden="1" customWidth="1"/>
    <col min="5" max="5" width="29.33203125" style="4" hidden="1" customWidth="1"/>
    <col min="6" max="6" width="7.88671875" style="2" customWidth="1"/>
    <col min="7" max="7" width="26.5546875" style="3" customWidth="1"/>
    <col min="8" max="8" width="11.109375" style="5" customWidth="1"/>
    <col min="9" max="9" width="9.5546875" style="5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10.6640625" style="5" customWidth="1"/>
    <col min="19" max="19" width="9.5546875" style="5" customWidth="1"/>
    <col min="20" max="21" width="9.109375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30" width="8" style="5" customWidth="1"/>
    <col min="31" max="31" width="10.109375" style="5" customWidth="1"/>
    <col min="32" max="32" width="10.6640625" style="5" customWidth="1"/>
    <col min="33" max="33" width="8.88671875" style="3" customWidth="1"/>
    <col min="34" max="1025" width="9.109375" style="3" customWidth="1"/>
  </cols>
  <sheetData>
    <row r="1" spans="1:33" ht="12" customHeight="1" x14ac:dyDescent="0.3">
      <c r="A1" s="7" t="s">
        <v>0</v>
      </c>
      <c r="C1" s="8"/>
    </row>
    <row r="2" spans="1:33" ht="12" customHeight="1" x14ac:dyDescent="0.3">
      <c r="A2" s="7" t="s">
        <v>1</v>
      </c>
    </row>
    <row r="3" spans="1:33" ht="12" customHeight="1" x14ac:dyDescent="0.3">
      <c r="A3" s="7" t="s">
        <v>801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3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771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613</v>
      </c>
      <c r="AD4" s="13" t="s">
        <v>34</v>
      </c>
      <c r="AE4" s="15" t="s">
        <v>35</v>
      </c>
      <c r="AF4" s="16" t="s">
        <v>36</v>
      </c>
    </row>
    <row r="5" spans="1:33" s="17" customFormat="1" ht="19.5" customHeight="1" x14ac:dyDescent="0.2">
      <c r="A5" s="81">
        <v>40475</v>
      </c>
      <c r="B5" s="12"/>
      <c r="C5" s="20" t="s">
        <v>802</v>
      </c>
      <c r="D5" s="12"/>
      <c r="E5" s="12"/>
      <c r="F5" s="82">
        <v>4935</v>
      </c>
      <c r="G5" s="82" t="s">
        <v>134</v>
      </c>
      <c r="H5" s="82"/>
      <c r="I5" s="82"/>
      <c r="J5" s="84">
        <v>1300</v>
      </c>
      <c r="K5" s="84"/>
      <c r="L5" s="83"/>
      <c r="M5" s="24">
        <f t="shared" ref="M5:M12" si="0">SUM(H5:J5,K5/1.12)</f>
        <v>1300</v>
      </c>
      <c r="N5" s="24">
        <f t="shared" ref="N5:N12" si="1">K5/1.12*0.12</f>
        <v>0</v>
      </c>
      <c r="O5" s="24">
        <f t="shared" ref="O5:O12" si="2">-SUM(I5:J5,K5/1.12)*L5</f>
        <v>0</v>
      </c>
      <c r="P5" s="24"/>
      <c r="Q5" s="25"/>
      <c r="R5" s="25"/>
      <c r="S5" s="26"/>
      <c r="T5" s="26"/>
      <c r="U5" s="26"/>
      <c r="V5" s="26"/>
      <c r="W5" s="26"/>
      <c r="X5" s="25"/>
      <c r="Y5" s="25">
        <v>1300</v>
      </c>
      <c r="Z5" s="25"/>
      <c r="AA5" s="25"/>
      <c r="AB5" s="26"/>
      <c r="AC5" s="26"/>
      <c r="AD5" s="25"/>
      <c r="AE5" s="25"/>
      <c r="AF5" s="24">
        <f t="shared" ref="AF5:AF12" si="3">-SUM(N5:AE5)</f>
        <v>-1300</v>
      </c>
      <c r="AG5" s="27">
        <f t="shared" ref="AG5:AG12" si="4">SUM(H5:K5)+AF5+O5</f>
        <v>0</v>
      </c>
    </row>
    <row r="6" spans="1:33" s="17" customFormat="1" ht="19.5" customHeight="1" x14ac:dyDescent="0.2">
      <c r="A6" s="81">
        <v>40475</v>
      </c>
      <c r="B6" s="12"/>
      <c r="C6" s="82" t="s">
        <v>325</v>
      </c>
      <c r="D6" s="12"/>
      <c r="E6" s="12"/>
      <c r="F6" s="82"/>
      <c r="G6" s="82" t="s">
        <v>694</v>
      </c>
      <c r="H6" s="84">
        <v>500</v>
      </c>
      <c r="I6" s="82"/>
      <c r="J6" s="84"/>
      <c r="K6" s="84"/>
      <c r="L6" s="83"/>
      <c r="M6" s="24">
        <f t="shared" si="0"/>
        <v>500</v>
      </c>
      <c r="N6" s="24">
        <f t="shared" si="1"/>
        <v>0</v>
      </c>
      <c r="O6" s="24">
        <f t="shared" si="2"/>
        <v>0</v>
      </c>
      <c r="P6" s="24"/>
      <c r="Q6" s="25"/>
      <c r="R6" s="25"/>
      <c r="S6" s="26"/>
      <c r="T6" s="26"/>
      <c r="U6" s="26"/>
      <c r="V6" s="26"/>
      <c r="W6" s="26"/>
      <c r="X6" s="25"/>
      <c r="Y6" s="25"/>
      <c r="Z6" s="25"/>
      <c r="AA6" s="25">
        <v>500</v>
      </c>
      <c r="AB6" s="26"/>
      <c r="AC6" s="26"/>
      <c r="AD6" s="25"/>
      <c r="AE6" s="25"/>
      <c r="AF6" s="24">
        <f t="shared" si="3"/>
        <v>-500</v>
      </c>
      <c r="AG6" s="27">
        <f t="shared" si="4"/>
        <v>0</v>
      </c>
    </row>
    <row r="7" spans="1:33" s="17" customFormat="1" ht="21" customHeight="1" x14ac:dyDescent="0.2">
      <c r="A7" s="81">
        <v>40481</v>
      </c>
      <c r="B7" s="12"/>
      <c r="C7" s="20" t="s">
        <v>170</v>
      </c>
      <c r="D7" s="12"/>
      <c r="E7" s="12"/>
      <c r="F7" s="82"/>
      <c r="G7" s="82" t="s">
        <v>803</v>
      </c>
      <c r="H7" s="84">
        <v>80</v>
      </c>
      <c r="I7" s="82"/>
      <c r="J7" s="84"/>
      <c r="K7" s="84"/>
      <c r="L7" s="83"/>
      <c r="M7" s="24">
        <f t="shared" si="0"/>
        <v>80</v>
      </c>
      <c r="N7" s="24">
        <f t="shared" si="1"/>
        <v>0</v>
      </c>
      <c r="O7" s="24">
        <f t="shared" si="2"/>
        <v>0</v>
      </c>
      <c r="P7" s="24"/>
      <c r="Q7" s="25"/>
      <c r="R7" s="25"/>
      <c r="S7" s="26"/>
      <c r="T7" s="26"/>
      <c r="U7" s="26"/>
      <c r="V7" s="26"/>
      <c r="W7" s="26"/>
      <c r="X7" s="25"/>
      <c r="Y7" s="25">
        <v>80</v>
      </c>
      <c r="Z7" s="25"/>
      <c r="AA7" s="25"/>
      <c r="AB7" s="26"/>
      <c r="AC7" s="26"/>
      <c r="AD7" s="25"/>
      <c r="AE7" s="25"/>
      <c r="AF7" s="24">
        <f t="shared" si="3"/>
        <v>-80</v>
      </c>
      <c r="AG7" s="27">
        <f t="shared" si="4"/>
        <v>0</v>
      </c>
    </row>
    <row r="8" spans="1:33" s="17" customFormat="1" ht="18" customHeight="1" x14ac:dyDescent="0.2">
      <c r="A8" s="81">
        <v>40482</v>
      </c>
      <c r="B8" s="12"/>
      <c r="C8" s="20" t="s">
        <v>729</v>
      </c>
      <c r="D8" s="12"/>
      <c r="E8" s="12"/>
      <c r="F8" s="82">
        <v>2492</v>
      </c>
      <c r="G8" s="82" t="s">
        <v>399</v>
      </c>
      <c r="H8" s="84"/>
      <c r="I8" s="12"/>
      <c r="J8" s="82">
        <v>108.65</v>
      </c>
      <c r="K8" s="84"/>
      <c r="L8" s="13"/>
      <c r="M8" s="24">
        <f t="shared" si="0"/>
        <v>108.65</v>
      </c>
      <c r="N8" s="24">
        <f t="shared" si="1"/>
        <v>0</v>
      </c>
      <c r="O8" s="24">
        <f t="shared" si="2"/>
        <v>0</v>
      </c>
      <c r="P8" s="24">
        <v>108.65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>
        <f t="shared" si="3"/>
        <v>-108.65</v>
      </c>
      <c r="AG8" s="27">
        <f t="shared" si="4"/>
        <v>0</v>
      </c>
    </row>
    <row r="9" spans="1:33" s="17" customFormat="1" ht="21.75" hidden="1" customHeight="1" x14ac:dyDescent="0.2">
      <c r="A9" s="81"/>
      <c r="B9" s="12"/>
      <c r="C9" s="20"/>
      <c r="D9" s="12"/>
      <c r="E9" s="12"/>
      <c r="F9" s="82"/>
      <c r="G9" s="82"/>
      <c r="H9" s="84"/>
      <c r="I9" s="82"/>
      <c r="J9" s="82"/>
      <c r="K9" s="84"/>
      <c r="L9" s="13"/>
      <c r="M9" s="24">
        <f t="shared" si="0"/>
        <v>0</v>
      </c>
      <c r="N9" s="24">
        <f t="shared" si="1"/>
        <v>0</v>
      </c>
      <c r="O9" s="24">
        <f t="shared" si="2"/>
        <v>0</v>
      </c>
      <c r="P9" s="24"/>
      <c r="Q9" s="25"/>
      <c r="R9" s="25"/>
      <c r="S9" s="90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>
        <f t="shared" si="3"/>
        <v>0</v>
      </c>
      <c r="AG9" s="27">
        <f t="shared" si="4"/>
        <v>0</v>
      </c>
    </row>
    <row r="10" spans="1:33" s="17" customFormat="1" ht="25.5" hidden="1" customHeight="1" x14ac:dyDescent="0.2">
      <c r="A10" s="81"/>
      <c r="B10" s="12"/>
      <c r="C10" s="20"/>
      <c r="D10" s="82"/>
      <c r="E10" s="82"/>
      <c r="F10" s="82"/>
      <c r="G10" s="82"/>
      <c r="H10" s="82"/>
      <c r="I10" s="82"/>
      <c r="J10" s="89"/>
      <c r="K10" s="84"/>
      <c r="L10" s="13"/>
      <c r="M10" s="24">
        <f t="shared" si="0"/>
        <v>0</v>
      </c>
      <c r="N10" s="24">
        <f t="shared" si="1"/>
        <v>0</v>
      </c>
      <c r="O10" s="24">
        <f t="shared" si="2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>
        <f t="shared" si="3"/>
        <v>0</v>
      </c>
      <c r="AG10" s="27">
        <f t="shared" si="4"/>
        <v>0</v>
      </c>
    </row>
    <row r="11" spans="1:33" s="29" customFormat="1" ht="23.25" customHeight="1" x14ac:dyDescent="0.2">
      <c r="A11" s="18"/>
      <c r="B11" s="19"/>
      <c r="C11" s="20"/>
      <c r="D11" s="20"/>
      <c r="E11" s="20"/>
      <c r="F11" s="21"/>
      <c r="G11" s="21"/>
      <c r="H11" s="22"/>
      <c r="I11" s="22"/>
      <c r="J11" s="22"/>
      <c r="K11" s="22"/>
      <c r="L11" s="23"/>
      <c r="M11" s="24">
        <f t="shared" si="0"/>
        <v>0</v>
      </c>
      <c r="N11" s="24">
        <f t="shared" si="1"/>
        <v>0</v>
      </c>
      <c r="O11" s="24">
        <f t="shared" si="2"/>
        <v>0</v>
      </c>
      <c r="P11" s="24"/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>
        <f t="shared" si="3"/>
        <v>0</v>
      </c>
      <c r="AG11" s="27">
        <f t="shared" si="4"/>
        <v>0</v>
      </c>
    </row>
    <row r="12" spans="1:33" s="29" customFormat="1" ht="10.199999999999999" x14ac:dyDescent="0.2">
      <c r="A12" s="18"/>
      <c r="B12" s="19"/>
      <c r="C12" s="43"/>
      <c r="D12" s="43"/>
      <c r="E12" s="43"/>
      <c r="F12" s="21"/>
      <c r="G12" s="30"/>
      <c r="H12" s="22"/>
      <c r="I12" s="22"/>
      <c r="J12" s="22"/>
      <c r="K12" s="22"/>
      <c r="L12" s="23"/>
      <c r="M12" s="25">
        <f t="shared" si="0"/>
        <v>0</v>
      </c>
      <c r="N12" s="25">
        <f t="shared" si="1"/>
        <v>0</v>
      </c>
      <c r="O12" s="25">
        <f t="shared" si="2"/>
        <v>0</v>
      </c>
      <c r="P12" s="25"/>
      <c r="Q12" s="25"/>
      <c r="R12" s="25"/>
      <c r="S12" s="25"/>
      <c r="T12" s="26"/>
      <c r="U12" s="51"/>
      <c r="V12" s="26"/>
      <c r="W12" s="26"/>
      <c r="X12" s="26"/>
      <c r="Y12" s="44"/>
      <c r="Z12" s="25"/>
      <c r="AA12" s="51"/>
      <c r="AB12" s="25"/>
      <c r="AC12" s="26"/>
      <c r="AD12" s="26"/>
      <c r="AE12" s="45"/>
      <c r="AF12" s="24">
        <f t="shared" si="3"/>
        <v>0</v>
      </c>
      <c r="AG12" s="27">
        <f t="shared" si="4"/>
        <v>0</v>
      </c>
    </row>
    <row r="13" spans="1:33" s="52" customFormat="1" ht="10.199999999999999" x14ac:dyDescent="0.2">
      <c r="A13" s="46"/>
      <c r="B13" s="47"/>
      <c r="C13" s="48"/>
      <c r="D13" s="49"/>
      <c r="E13" s="49"/>
      <c r="F13" s="50"/>
      <c r="G13" s="48"/>
      <c r="H13" s="51">
        <f>SUM(H5:H11)</f>
        <v>580</v>
      </c>
      <c r="I13" s="51">
        <f>SUM(I11:I12)</f>
        <v>0</v>
      </c>
      <c r="J13" s="51">
        <f>SUM(J5:J11)</f>
        <v>1408.65</v>
      </c>
      <c r="K13" s="51">
        <f>SUM(K5:K11)</f>
        <v>0</v>
      </c>
      <c r="L13" s="51">
        <f>SUM(L11:L12)</f>
        <v>0</v>
      </c>
      <c r="M13" s="51">
        <f>SUM(M5:M11)</f>
        <v>1988.65</v>
      </c>
      <c r="N13" s="51">
        <f>SUM(N5:N11)</f>
        <v>0</v>
      </c>
      <c r="O13" s="51">
        <f>SUM(O11:O12)</f>
        <v>0</v>
      </c>
      <c r="P13" s="51">
        <f>SUM(P5:P11)</f>
        <v>108.65</v>
      </c>
      <c r="Q13" s="51">
        <f>SUM(Q5:Q11)</f>
        <v>0</v>
      </c>
      <c r="R13" s="51">
        <f>SUM(R5:R11)</f>
        <v>0</v>
      </c>
      <c r="S13" s="51">
        <f>SUM(S7:S12)</f>
        <v>0</v>
      </c>
      <c r="T13" s="51">
        <f>SUM(T7:T12)</f>
        <v>0</v>
      </c>
      <c r="U13" s="51">
        <f>SUM(U7:U12)</f>
        <v>0</v>
      </c>
      <c r="V13" s="51">
        <f>SUM(V11:V12)</f>
        <v>0</v>
      </c>
      <c r="W13" s="51">
        <f>SUM(W11:W12)</f>
        <v>0</v>
      </c>
      <c r="X13" s="51">
        <f>SUM(X11:X12)</f>
        <v>0</v>
      </c>
      <c r="Y13" s="51">
        <f>Y5+Y7</f>
        <v>1380</v>
      </c>
      <c r="Z13" s="51">
        <f>SUM(Z11:Z12)</f>
        <v>0</v>
      </c>
      <c r="AA13" s="51">
        <f>SUM(AA5:AA11)</f>
        <v>500</v>
      </c>
      <c r="AB13" s="51">
        <f>SUM(AB11:AB12)</f>
        <v>0</v>
      </c>
      <c r="AC13" s="51">
        <f>SUM(AC5:AC11)</f>
        <v>0</v>
      </c>
      <c r="AD13" s="51">
        <f>SUM(AD5:AD11)</f>
        <v>0</v>
      </c>
      <c r="AE13" s="51">
        <f>SUM(AE11:AE12)</f>
        <v>0</v>
      </c>
      <c r="AF13" s="51">
        <f>SUM(AF5:AF11)</f>
        <v>-1988.65</v>
      </c>
      <c r="AG13" s="51">
        <f>SUM(AG11:AG12)</f>
        <v>0</v>
      </c>
    </row>
    <row r="14" spans="1:33" s="77" customFormat="1" ht="10.199999999999999" x14ac:dyDescent="0.2"/>
    <row r="15" spans="1:33" x14ac:dyDescent="0.3">
      <c r="H15" s="85"/>
      <c r="I15" s="85"/>
      <c r="J15" s="85"/>
      <c r="K15" s="85"/>
    </row>
    <row r="16" spans="1:33" x14ac:dyDescent="0.3">
      <c r="H16" s="85"/>
      <c r="I16" s="85"/>
      <c r="J16" s="85"/>
      <c r="K16" s="85"/>
    </row>
    <row r="17" spans="8:25" x14ac:dyDescent="0.3">
      <c r="H17" s="85"/>
      <c r="I17" s="85"/>
      <c r="J17" s="85"/>
      <c r="K17" s="85"/>
    </row>
    <row r="18" spans="8:25" x14ac:dyDescent="0.3">
      <c r="H18" s="85"/>
      <c r="I18" s="85"/>
      <c r="J18" s="85"/>
      <c r="K18" s="85"/>
      <c r="Q18" s="5">
        <v>0</v>
      </c>
    </row>
    <row r="19" spans="8:25" s="3" customFormat="1" ht="11.4" x14ac:dyDescent="0.2">
      <c r="H19" s="86"/>
      <c r="I19" s="86"/>
      <c r="J19" s="86"/>
      <c r="K19" s="86"/>
      <c r="T19" s="5"/>
      <c r="U19" s="5"/>
      <c r="V19" s="5"/>
      <c r="W19" s="5"/>
      <c r="X19" s="5"/>
      <c r="Y19" s="5"/>
    </row>
    <row r="20" spans="8:25" x14ac:dyDescent="0.3">
      <c r="H20" s="85"/>
      <c r="I20" s="85"/>
      <c r="J20" s="85"/>
      <c r="K20" s="85"/>
    </row>
    <row r="21" spans="8:25" x14ac:dyDescent="0.3">
      <c r="H21" s="85"/>
      <c r="I21" s="85"/>
      <c r="J21" s="85"/>
      <c r="K21" s="85"/>
    </row>
    <row r="22" spans="8:25" x14ac:dyDescent="0.3">
      <c r="H22" s="85"/>
      <c r="I22" s="85"/>
      <c r="J22" s="85"/>
      <c r="K22" s="85"/>
    </row>
    <row r="23" spans="8:25" x14ac:dyDescent="0.3">
      <c r="H23" s="85"/>
      <c r="I23" s="85"/>
      <c r="J23" s="85"/>
      <c r="K23" s="85"/>
    </row>
    <row r="24" spans="8:25" x14ac:dyDescent="0.3">
      <c r="H24" s="87"/>
      <c r="I24" s="87"/>
      <c r="J24" s="87"/>
      <c r="K24" s="87"/>
    </row>
    <row r="25" spans="8:25" x14ac:dyDescent="0.3">
      <c r="H25" s="87"/>
      <c r="I25" s="87"/>
      <c r="J25" s="87"/>
      <c r="K25" s="87"/>
    </row>
    <row r="26" spans="8:25" s="3" customFormat="1" ht="10.199999999999999" x14ac:dyDescent="0.2">
      <c r="H26" s="87"/>
      <c r="I26" s="87"/>
      <c r="J26" s="87"/>
      <c r="K26" s="87"/>
    </row>
    <row r="27" spans="8:25" s="3" customFormat="1" ht="10.199999999999999" x14ac:dyDescent="0.2">
      <c r="H27" s="87"/>
      <c r="I27" s="87"/>
      <c r="J27" s="87"/>
      <c r="K27" s="87"/>
    </row>
    <row r="28" spans="8:25" s="3" customFormat="1" ht="10.199999999999999" x14ac:dyDescent="0.2">
      <c r="H28" s="87"/>
      <c r="I28" s="87"/>
      <c r="J28" s="87"/>
      <c r="K28" s="8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K28"/>
  <sheetViews>
    <sheetView topLeftCell="I4" zoomScaleNormal="100" workbookViewId="0">
      <selection activeCell="R29" sqref="R29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6.109375" style="3" customWidth="1"/>
    <col min="4" max="4" width="14" style="4" hidden="1" customWidth="1"/>
    <col min="5" max="5" width="29.33203125" style="4" hidden="1" customWidth="1"/>
    <col min="6" max="6" width="7.88671875" style="2" customWidth="1"/>
    <col min="7" max="7" width="26.5546875" style="3" customWidth="1"/>
    <col min="8" max="8" width="11.109375" style="5" customWidth="1"/>
    <col min="9" max="9" width="9.5546875" style="5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10.6640625" style="5" customWidth="1"/>
    <col min="19" max="19" width="9.5546875" style="5" customWidth="1"/>
    <col min="20" max="21" width="9.109375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30" width="8" style="5" customWidth="1"/>
    <col min="31" max="31" width="10.109375" style="5" customWidth="1"/>
    <col min="32" max="32" width="10.6640625" style="5" customWidth="1"/>
    <col min="33" max="33" width="8.88671875" style="3" customWidth="1"/>
    <col min="34" max="1025" width="9.109375" style="3" customWidth="1"/>
  </cols>
  <sheetData>
    <row r="1" spans="1:33" ht="12" customHeight="1" x14ac:dyDescent="0.3">
      <c r="A1" s="7" t="s">
        <v>0</v>
      </c>
      <c r="C1" s="8"/>
    </row>
    <row r="2" spans="1:33" ht="12" customHeight="1" x14ac:dyDescent="0.3">
      <c r="A2" s="7" t="s">
        <v>1</v>
      </c>
    </row>
    <row r="3" spans="1:33" ht="12" customHeight="1" x14ac:dyDescent="0.3">
      <c r="A3" s="7" t="s">
        <v>804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3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771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613</v>
      </c>
      <c r="AD4" s="13" t="s">
        <v>34</v>
      </c>
      <c r="AE4" s="15" t="s">
        <v>35</v>
      </c>
      <c r="AF4" s="16" t="s">
        <v>36</v>
      </c>
    </row>
    <row r="5" spans="1:33" s="17" customFormat="1" ht="19.5" customHeight="1" x14ac:dyDescent="0.2">
      <c r="A5" s="81">
        <v>44133</v>
      </c>
      <c r="B5" s="12"/>
      <c r="C5" s="20" t="s">
        <v>729</v>
      </c>
      <c r="D5" s="12"/>
      <c r="E5" s="12"/>
      <c r="F5" s="82">
        <v>47</v>
      </c>
      <c r="G5" s="82" t="s">
        <v>805</v>
      </c>
      <c r="H5" s="82"/>
      <c r="I5" s="82"/>
      <c r="J5" s="84"/>
      <c r="K5" s="84">
        <v>334.25</v>
      </c>
      <c r="L5" s="83"/>
      <c r="M5" s="24">
        <f t="shared" ref="M5:M12" si="0">SUM(H5:J5,K5/1.12)</f>
        <v>298.4375</v>
      </c>
      <c r="N5" s="24">
        <f t="shared" ref="N5:N12" si="1">K5/1.12*0.12</f>
        <v>35.8125</v>
      </c>
      <c r="O5" s="24">
        <f t="shared" ref="O5:O12" si="2">-SUM(I5:J5,K5/1.12)*L5</f>
        <v>0</v>
      </c>
      <c r="P5" s="24">
        <v>298.44</v>
      </c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>
        <f t="shared" ref="AF5:AF12" si="3">-SUM(N5:AE5)</f>
        <v>-334.2525</v>
      </c>
      <c r="AG5" s="27">
        <f t="shared" ref="AG5:AG12" si="4">SUM(H5:K5)+AF5+O5</f>
        <v>-2.4999999999977263E-3</v>
      </c>
    </row>
    <row r="6" spans="1:33" s="17" customFormat="1" ht="19.5" customHeight="1" x14ac:dyDescent="0.2">
      <c r="A6" s="81">
        <v>44133</v>
      </c>
      <c r="B6" s="12"/>
      <c r="C6" s="82" t="s">
        <v>806</v>
      </c>
      <c r="D6" s="12"/>
      <c r="E6" s="12"/>
      <c r="F6" s="82">
        <v>204724</v>
      </c>
      <c r="G6" s="82" t="s">
        <v>807</v>
      </c>
      <c r="H6" s="82"/>
      <c r="I6" s="82"/>
      <c r="J6" s="84"/>
      <c r="K6" s="84">
        <v>500</v>
      </c>
      <c r="L6" s="83"/>
      <c r="M6" s="24">
        <f t="shared" si="0"/>
        <v>446.42857142857139</v>
      </c>
      <c r="N6" s="24">
        <f t="shared" si="1"/>
        <v>53.571428571428562</v>
      </c>
      <c r="O6" s="24">
        <f t="shared" si="2"/>
        <v>0</v>
      </c>
      <c r="P6" s="24"/>
      <c r="Q6" s="25"/>
      <c r="R6" s="25">
        <v>446.43</v>
      </c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>
        <f t="shared" si="3"/>
        <v>-500.00142857142856</v>
      </c>
      <c r="AG6" s="27">
        <f t="shared" si="4"/>
        <v>-1.4285714285620088E-3</v>
      </c>
    </row>
    <row r="7" spans="1:33" s="17" customFormat="1" ht="21" customHeight="1" x14ac:dyDescent="0.2">
      <c r="A7" s="81">
        <v>44133</v>
      </c>
      <c r="B7" s="12"/>
      <c r="C7" s="20" t="s">
        <v>605</v>
      </c>
      <c r="D7" s="12"/>
      <c r="E7" s="12"/>
      <c r="F7" s="82"/>
      <c r="G7" s="82" t="s">
        <v>212</v>
      </c>
      <c r="H7" s="84">
        <v>50</v>
      </c>
      <c r="I7" s="82"/>
      <c r="J7" s="84"/>
      <c r="K7" s="84"/>
      <c r="L7" s="83"/>
      <c r="M7" s="24">
        <f t="shared" si="0"/>
        <v>50</v>
      </c>
      <c r="N7" s="24">
        <f t="shared" si="1"/>
        <v>0</v>
      </c>
      <c r="O7" s="24">
        <f t="shared" si="2"/>
        <v>0</v>
      </c>
      <c r="P7" s="24"/>
      <c r="Q7" s="25"/>
      <c r="R7" s="25"/>
      <c r="S7" s="26"/>
      <c r="T7" s="26"/>
      <c r="U7" s="26"/>
      <c r="V7" s="26"/>
      <c r="W7" s="26"/>
      <c r="X7" s="25"/>
      <c r="Y7" s="25"/>
      <c r="Z7" s="25"/>
      <c r="AA7" s="25">
        <v>50</v>
      </c>
      <c r="AB7" s="26"/>
      <c r="AC7" s="26"/>
      <c r="AD7" s="25"/>
      <c r="AE7" s="25"/>
      <c r="AF7" s="24">
        <f t="shared" si="3"/>
        <v>-50</v>
      </c>
      <c r="AG7" s="27">
        <f t="shared" si="4"/>
        <v>0</v>
      </c>
    </row>
    <row r="8" spans="1:33" s="17" customFormat="1" ht="18" customHeight="1" x14ac:dyDescent="0.2">
      <c r="A8" s="81">
        <v>44133</v>
      </c>
      <c r="B8" s="12"/>
      <c r="C8" s="20" t="s">
        <v>374</v>
      </c>
      <c r="D8" s="12"/>
      <c r="E8" s="12"/>
      <c r="F8" s="82">
        <v>2834184</v>
      </c>
      <c r="G8" s="82" t="s">
        <v>808</v>
      </c>
      <c r="H8" s="84"/>
      <c r="I8" s="12"/>
      <c r="J8" s="12"/>
      <c r="K8" s="84">
        <v>85</v>
      </c>
      <c r="L8" s="13"/>
      <c r="M8" s="24">
        <f t="shared" si="0"/>
        <v>75.892857142857139</v>
      </c>
      <c r="N8" s="24">
        <f t="shared" si="1"/>
        <v>9.1071428571428559</v>
      </c>
      <c r="O8" s="24">
        <f t="shared" si="2"/>
        <v>0</v>
      </c>
      <c r="P8" s="24"/>
      <c r="Q8" s="25"/>
      <c r="R8" s="25"/>
      <c r="S8" s="26">
        <v>75.89</v>
      </c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>
        <f t="shared" si="3"/>
        <v>-84.997142857142862</v>
      </c>
      <c r="AG8" s="27">
        <f t="shared" si="4"/>
        <v>2.8571428571382285E-3</v>
      </c>
    </row>
    <row r="9" spans="1:33" s="17" customFormat="1" ht="21.75" customHeight="1" x14ac:dyDescent="0.2">
      <c r="A9" s="81">
        <v>44133</v>
      </c>
      <c r="B9" s="12"/>
      <c r="C9" s="20" t="s">
        <v>374</v>
      </c>
      <c r="D9" s="12"/>
      <c r="E9" s="12"/>
      <c r="F9" s="82">
        <v>2834184</v>
      </c>
      <c r="G9" s="82" t="s">
        <v>809</v>
      </c>
      <c r="H9" s="84"/>
      <c r="I9" s="82"/>
      <c r="J9" s="82"/>
      <c r="K9" s="84">
        <v>130</v>
      </c>
      <c r="L9" s="13"/>
      <c r="M9" s="24">
        <f t="shared" si="0"/>
        <v>116.07142857142856</v>
      </c>
      <c r="N9" s="24">
        <f t="shared" si="1"/>
        <v>13.928571428571425</v>
      </c>
      <c r="O9" s="24">
        <f t="shared" si="2"/>
        <v>0</v>
      </c>
      <c r="P9" s="24"/>
      <c r="Q9" s="25"/>
      <c r="R9" s="25"/>
      <c r="S9" s="90"/>
      <c r="T9" s="26">
        <v>116.07</v>
      </c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>
        <f t="shared" si="3"/>
        <v>-129.99857142857141</v>
      </c>
      <c r="AG9" s="27">
        <f t="shared" si="4"/>
        <v>1.4285714285904305E-3</v>
      </c>
    </row>
    <row r="10" spans="1:33" s="17" customFormat="1" ht="25.5" customHeight="1" x14ac:dyDescent="0.2">
      <c r="A10" s="81">
        <v>44134</v>
      </c>
      <c r="B10" s="12"/>
      <c r="C10" s="20" t="s">
        <v>729</v>
      </c>
      <c r="D10" s="82"/>
      <c r="E10" s="82"/>
      <c r="F10" s="82">
        <v>3201</v>
      </c>
      <c r="G10" s="82" t="s">
        <v>810</v>
      </c>
      <c r="H10" s="82"/>
      <c r="I10" s="82"/>
      <c r="J10" s="89"/>
      <c r="K10" s="84">
        <v>408</v>
      </c>
      <c r="L10" s="13"/>
      <c r="M10" s="24">
        <f t="shared" si="0"/>
        <v>364.28571428571428</v>
      </c>
      <c r="N10" s="24">
        <f t="shared" si="1"/>
        <v>43.714285714285708</v>
      </c>
      <c r="O10" s="24">
        <f t="shared" si="2"/>
        <v>0</v>
      </c>
      <c r="P10" s="24">
        <v>364.29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>
        <f t="shared" si="3"/>
        <v>-408.00428571428574</v>
      </c>
      <c r="AG10" s="27">
        <f t="shared" si="4"/>
        <v>-4.2857142857428698E-3</v>
      </c>
    </row>
    <row r="11" spans="1:33" s="29" customFormat="1" ht="23.25" customHeight="1" x14ac:dyDescent="0.2">
      <c r="A11" s="18"/>
      <c r="B11" s="19"/>
      <c r="C11" s="20"/>
      <c r="D11" s="20"/>
      <c r="E11" s="20"/>
      <c r="F11" s="21"/>
      <c r="G11" s="21"/>
      <c r="H11" s="22"/>
      <c r="I11" s="22"/>
      <c r="J11" s="22"/>
      <c r="K11" s="22"/>
      <c r="L11" s="23"/>
      <c r="M11" s="24">
        <f t="shared" si="0"/>
        <v>0</v>
      </c>
      <c r="N11" s="24">
        <f t="shared" si="1"/>
        <v>0</v>
      </c>
      <c r="O11" s="24">
        <f t="shared" si="2"/>
        <v>0</v>
      </c>
      <c r="P11" s="24"/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>
        <f t="shared" si="3"/>
        <v>0</v>
      </c>
      <c r="AG11" s="27">
        <f t="shared" si="4"/>
        <v>0</v>
      </c>
    </row>
    <row r="12" spans="1:33" s="29" customFormat="1" ht="10.199999999999999" x14ac:dyDescent="0.2">
      <c r="A12" s="18"/>
      <c r="B12" s="19"/>
      <c r="C12" s="43"/>
      <c r="D12" s="43"/>
      <c r="E12" s="43"/>
      <c r="F12" s="21"/>
      <c r="G12" s="30"/>
      <c r="H12" s="22"/>
      <c r="I12" s="22"/>
      <c r="J12" s="22"/>
      <c r="K12" s="22"/>
      <c r="L12" s="23"/>
      <c r="M12" s="25">
        <f t="shared" si="0"/>
        <v>0</v>
      </c>
      <c r="N12" s="25">
        <f t="shared" si="1"/>
        <v>0</v>
      </c>
      <c r="O12" s="25">
        <f t="shared" si="2"/>
        <v>0</v>
      </c>
      <c r="P12" s="25"/>
      <c r="Q12" s="25"/>
      <c r="R12" s="25"/>
      <c r="S12" s="25"/>
      <c r="T12" s="26"/>
      <c r="U12" s="51"/>
      <c r="V12" s="26"/>
      <c r="W12" s="26"/>
      <c r="X12" s="26"/>
      <c r="Y12" s="44"/>
      <c r="Z12" s="25"/>
      <c r="AA12" s="51"/>
      <c r="AB12" s="25"/>
      <c r="AC12" s="26"/>
      <c r="AD12" s="26"/>
      <c r="AE12" s="45"/>
      <c r="AF12" s="24">
        <f t="shared" si="3"/>
        <v>0</v>
      </c>
      <c r="AG12" s="27">
        <f t="shared" si="4"/>
        <v>0</v>
      </c>
    </row>
    <row r="13" spans="1:33" s="52" customFormat="1" ht="10.199999999999999" x14ac:dyDescent="0.2">
      <c r="A13" s="46"/>
      <c r="B13" s="47"/>
      <c r="C13" s="48"/>
      <c r="D13" s="49"/>
      <c r="E13" s="49"/>
      <c r="F13" s="50"/>
      <c r="G13" s="48"/>
      <c r="H13" s="51">
        <f>SUM(H5:H11)</f>
        <v>50</v>
      </c>
      <c r="I13" s="51">
        <f>SUM(I11:I12)</f>
        <v>0</v>
      </c>
      <c r="J13" s="51">
        <f>SUM(J5:J11)</f>
        <v>0</v>
      </c>
      <c r="K13" s="51">
        <f>SUM(K5:K11)</f>
        <v>1457.25</v>
      </c>
      <c r="L13" s="51">
        <f>SUM(L11:L12)</f>
        <v>0</v>
      </c>
      <c r="M13" s="51">
        <f>SUM(M5:M11)</f>
        <v>1351.1160714285713</v>
      </c>
      <c r="N13" s="51">
        <f>SUM(N5:N11)</f>
        <v>156.13392857142856</v>
      </c>
      <c r="O13" s="51">
        <f>SUM(O11:O12)</f>
        <v>0</v>
      </c>
      <c r="P13" s="51">
        <f>SUM(P5:P11)</f>
        <v>662.73</v>
      </c>
      <c r="Q13" s="51">
        <f>SUM(Q5:Q11)</f>
        <v>0</v>
      </c>
      <c r="R13" s="51">
        <f>SUM(R5:R11)</f>
        <v>446.43</v>
      </c>
      <c r="S13" s="51">
        <f>SUM(S7:S12)</f>
        <v>75.89</v>
      </c>
      <c r="T13" s="51">
        <f>SUM(T7:T12)</f>
        <v>116.07</v>
      </c>
      <c r="U13" s="51">
        <f>SUM(U7:U12)</f>
        <v>0</v>
      </c>
      <c r="V13" s="51">
        <f>SUM(V11:V12)</f>
        <v>0</v>
      </c>
      <c r="W13" s="51">
        <f>SUM(W11:W12)</f>
        <v>0</v>
      </c>
      <c r="X13" s="51">
        <f>SUM(X11:X12)</f>
        <v>0</v>
      </c>
      <c r="Y13" s="51">
        <f>SUM(Y11:Y12)</f>
        <v>0</v>
      </c>
      <c r="Z13" s="51">
        <f>SUM(Z11:Z12)</f>
        <v>0</v>
      </c>
      <c r="AA13" s="51">
        <f>SUM(AA5:AA11)</f>
        <v>50</v>
      </c>
      <c r="AB13" s="51">
        <f>SUM(AB11:AB12)</f>
        <v>0</v>
      </c>
      <c r="AC13" s="51">
        <f>SUM(AC5:AC11)</f>
        <v>0</v>
      </c>
      <c r="AD13" s="51">
        <f>SUM(AD5:AD11)</f>
        <v>0</v>
      </c>
      <c r="AE13" s="51">
        <f>SUM(AE11:AE12)</f>
        <v>0</v>
      </c>
      <c r="AF13" s="51">
        <f>SUM(AF5:AF11)</f>
        <v>-1507.2539285714286</v>
      </c>
      <c r="AG13" s="51">
        <f>SUM(AG11:AG12)</f>
        <v>0</v>
      </c>
    </row>
    <row r="14" spans="1:33" s="77" customFormat="1" ht="10.199999999999999" x14ac:dyDescent="0.2"/>
    <row r="15" spans="1:33" x14ac:dyDescent="0.3">
      <c r="H15" s="85"/>
      <c r="I15" s="85"/>
      <c r="J15" s="85"/>
      <c r="K15" s="85"/>
    </row>
    <row r="16" spans="1:33" x14ac:dyDescent="0.3">
      <c r="H16" s="85"/>
      <c r="I16" s="85"/>
      <c r="J16" s="85"/>
      <c r="K16" s="85"/>
    </row>
    <row r="17" spans="8:25" x14ac:dyDescent="0.3">
      <c r="H17" s="85"/>
      <c r="I17" s="85"/>
      <c r="J17" s="85"/>
      <c r="K17" s="85"/>
    </row>
    <row r="18" spans="8:25" x14ac:dyDescent="0.3">
      <c r="H18" s="85"/>
      <c r="I18" s="85"/>
      <c r="J18" s="85"/>
      <c r="K18" s="85"/>
      <c r="Q18" s="5">
        <v>0</v>
      </c>
    </row>
    <row r="19" spans="8:25" s="3" customFormat="1" ht="11.4" x14ac:dyDescent="0.2">
      <c r="H19" s="86"/>
      <c r="I19" s="86"/>
      <c r="J19" s="86"/>
      <c r="K19" s="86"/>
      <c r="T19" s="5"/>
      <c r="U19" s="5"/>
      <c r="V19" s="5"/>
      <c r="W19" s="5"/>
      <c r="X19" s="5"/>
      <c r="Y19" s="5"/>
    </row>
    <row r="20" spans="8:25" x14ac:dyDescent="0.3">
      <c r="H20" s="85"/>
      <c r="I20" s="85"/>
      <c r="J20" s="85"/>
      <c r="K20" s="85"/>
    </row>
    <row r="21" spans="8:25" x14ac:dyDescent="0.3">
      <c r="H21" s="85"/>
      <c r="I21" s="85"/>
      <c r="J21" s="85"/>
      <c r="K21" s="85"/>
    </row>
    <row r="22" spans="8:25" x14ac:dyDescent="0.3">
      <c r="H22" s="85"/>
      <c r="I22" s="85"/>
      <c r="J22" s="85"/>
      <c r="K22" s="85"/>
    </row>
    <row r="23" spans="8:25" x14ac:dyDescent="0.3">
      <c r="H23" s="85"/>
      <c r="I23" s="85"/>
      <c r="J23" s="85"/>
      <c r="K23" s="85"/>
    </row>
    <row r="24" spans="8:25" x14ac:dyDescent="0.3">
      <c r="H24" s="87"/>
      <c r="I24" s="87"/>
      <c r="J24" s="87"/>
      <c r="K24" s="87"/>
    </row>
    <row r="25" spans="8:25" x14ac:dyDescent="0.3">
      <c r="H25" s="87"/>
      <c r="I25" s="87"/>
      <c r="J25" s="87"/>
      <c r="K25" s="87"/>
    </row>
    <row r="26" spans="8:25" s="3" customFormat="1" ht="10.199999999999999" x14ac:dyDescent="0.2">
      <c r="H26" s="87"/>
      <c r="I26" s="87"/>
      <c r="J26" s="87"/>
      <c r="K26" s="87"/>
    </row>
    <row r="27" spans="8:25" s="3" customFormat="1" ht="10.199999999999999" x14ac:dyDescent="0.2">
      <c r="H27" s="87"/>
      <c r="I27" s="87"/>
      <c r="J27" s="87"/>
      <c r="K27" s="87"/>
    </row>
    <row r="28" spans="8:25" s="3" customFormat="1" ht="10.199999999999999" x14ac:dyDescent="0.2">
      <c r="H28" s="87"/>
      <c r="I28" s="87"/>
      <c r="J28" s="87"/>
      <c r="K28" s="8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K30"/>
  <sheetViews>
    <sheetView topLeftCell="A10" zoomScale="90" zoomScaleNormal="90" workbookViewId="0">
      <selection activeCell="K18" sqref="A18:XFD30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6.109375" style="3" customWidth="1"/>
    <col min="4" max="4" width="14" style="4" hidden="1" customWidth="1"/>
    <col min="5" max="5" width="29.33203125" style="4" hidden="1" customWidth="1"/>
    <col min="6" max="6" width="7.88671875" style="2" customWidth="1"/>
    <col min="7" max="7" width="26.5546875" style="3" customWidth="1"/>
    <col min="8" max="8" width="11.109375" style="5" customWidth="1"/>
    <col min="9" max="9" width="9.5546875" style="5" hidden="1" customWidth="1"/>
    <col min="10" max="10" width="9.6640625" style="5" customWidth="1"/>
    <col min="11" max="11" width="10.44140625" style="5" customWidth="1"/>
    <col min="12" max="12" width="7.88671875" style="6" hidden="1" customWidth="1"/>
    <col min="13" max="13" width="9.6640625" style="5" customWidth="1"/>
    <col min="14" max="14" width="8.5546875" style="5" customWidth="1"/>
    <col min="15" max="15" width="9" style="5" hidden="1" customWidth="1"/>
    <col min="16" max="16" width="9.88671875" style="5" customWidth="1"/>
    <col min="17" max="17" width="10.88671875" style="5" hidden="1" customWidth="1"/>
    <col min="18" max="18" width="10.6640625" style="5" hidden="1" customWidth="1"/>
    <col min="19" max="19" width="9.5546875" style="5" hidden="1" customWidth="1"/>
    <col min="20" max="21" width="9.109375" style="5" hidden="1" customWidth="1"/>
    <col min="22" max="22" width="10.5546875" style="5" hidden="1" customWidth="1"/>
    <col min="23" max="23" width="8.109375" style="5" hidden="1" customWidth="1"/>
    <col min="24" max="24" width="9.88671875" style="5" hidden="1" customWidth="1"/>
    <col min="25" max="25" width="9.21875" style="5" hidden="1" customWidth="1"/>
    <col min="26" max="26" width="8.21875" style="5" hidden="1" customWidth="1"/>
    <col min="27" max="27" width="8.6640625" style="5" customWidth="1"/>
    <col min="28" max="28" width="9.5546875" style="5" hidden="1" customWidth="1"/>
    <col min="29" max="30" width="8" style="5" hidden="1" customWidth="1"/>
    <col min="31" max="31" width="10.109375" style="5" hidden="1" customWidth="1"/>
    <col min="32" max="32" width="10.6640625" style="5" customWidth="1"/>
    <col min="33" max="33" width="8.88671875" style="3" customWidth="1"/>
    <col min="34" max="1025" width="9.109375" style="3" customWidth="1"/>
  </cols>
  <sheetData>
    <row r="1" spans="1:34" ht="12" customHeight="1" x14ac:dyDescent="0.3">
      <c r="A1" s="7" t="s">
        <v>0</v>
      </c>
      <c r="C1" s="8"/>
    </row>
    <row r="2" spans="1:34" ht="12" customHeight="1" x14ac:dyDescent="0.3">
      <c r="A2" s="7" t="s">
        <v>1</v>
      </c>
    </row>
    <row r="3" spans="1:34" ht="12" customHeight="1" x14ac:dyDescent="0.3">
      <c r="A3" s="7" t="s">
        <v>811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4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771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613</v>
      </c>
      <c r="AD4" s="13" t="s">
        <v>34</v>
      </c>
      <c r="AE4" s="15" t="s">
        <v>35</v>
      </c>
      <c r="AF4" s="16" t="s">
        <v>36</v>
      </c>
    </row>
    <row r="5" spans="1:34" s="17" customFormat="1" ht="19.5" customHeight="1" x14ac:dyDescent="0.2">
      <c r="A5" s="81">
        <v>40490</v>
      </c>
      <c r="B5" s="12"/>
      <c r="C5" s="20" t="s">
        <v>45</v>
      </c>
      <c r="D5" s="12"/>
      <c r="E5" s="12"/>
      <c r="F5" s="82"/>
      <c r="G5" s="82" t="s">
        <v>812</v>
      </c>
      <c r="H5" s="84">
        <v>50</v>
      </c>
      <c r="I5" s="82"/>
      <c r="J5" s="84"/>
      <c r="K5" s="84"/>
      <c r="L5" s="83"/>
      <c r="M5" s="24">
        <f t="shared" ref="M5:M15" si="0">SUM(H5:J5,K5/1.12)</f>
        <v>50</v>
      </c>
      <c r="N5" s="24">
        <f t="shared" ref="N5:N15" si="1">K5/1.12*0.12</f>
        <v>0</v>
      </c>
      <c r="O5" s="24">
        <f t="shared" ref="O5:O15" si="2">-SUM(I5:J5,K5/1.12)*L5</f>
        <v>0</v>
      </c>
      <c r="P5" s="24"/>
      <c r="Q5" s="25"/>
      <c r="R5" s="25"/>
      <c r="S5" s="26"/>
      <c r="T5" s="26"/>
      <c r="U5" s="26"/>
      <c r="V5" s="26"/>
      <c r="W5" s="26"/>
      <c r="X5" s="25"/>
      <c r="Y5" s="25"/>
      <c r="Z5" s="25"/>
      <c r="AA5" s="25">
        <v>50</v>
      </c>
      <c r="AB5" s="26"/>
      <c r="AC5" s="26"/>
      <c r="AD5" s="25"/>
      <c r="AE5" s="25"/>
      <c r="AF5" s="24">
        <f t="shared" ref="AF5:AF15" si="3">-SUM(N5:AE5)</f>
        <v>-50</v>
      </c>
      <c r="AG5" s="27">
        <f t="shared" ref="AG5:AG15" si="4">SUM(H5:K5)+AF5+O5</f>
        <v>0</v>
      </c>
      <c r="AH5" s="91">
        <f t="shared" ref="AH5:AH12" si="5">-AF5</f>
        <v>50</v>
      </c>
    </row>
    <row r="6" spans="1:34" s="17" customFormat="1" ht="19.5" customHeight="1" x14ac:dyDescent="0.2">
      <c r="A6" s="81">
        <v>40487</v>
      </c>
      <c r="B6" s="12"/>
      <c r="C6" s="82" t="s">
        <v>813</v>
      </c>
      <c r="D6" s="12"/>
      <c r="E6" s="12"/>
      <c r="F6" s="82"/>
      <c r="G6" s="82" t="s">
        <v>814</v>
      </c>
      <c r="H6" s="82"/>
      <c r="I6" s="82"/>
      <c r="J6" s="84">
        <v>1150</v>
      </c>
      <c r="K6" s="84"/>
      <c r="L6" s="83"/>
      <c r="M6" s="24">
        <f t="shared" si="0"/>
        <v>1150</v>
      </c>
      <c r="N6" s="24">
        <f t="shared" si="1"/>
        <v>0</v>
      </c>
      <c r="O6" s="24">
        <f t="shared" si="2"/>
        <v>0</v>
      </c>
      <c r="P6" s="24">
        <v>1150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>
        <f t="shared" si="3"/>
        <v>-1150</v>
      </c>
      <c r="AG6" s="27">
        <f t="shared" si="4"/>
        <v>0</v>
      </c>
      <c r="AH6" s="91">
        <f t="shared" si="5"/>
        <v>1150</v>
      </c>
    </row>
    <row r="7" spans="1:34" s="17" customFormat="1" ht="19.5" customHeight="1" x14ac:dyDescent="0.2">
      <c r="A7" s="81">
        <v>40487</v>
      </c>
      <c r="B7" s="12"/>
      <c r="C7" s="82" t="s">
        <v>813</v>
      </c>
      <c r="D7" s="12"/>
      <c r="E7" s="12"/>
      <c r="F7" s="82"/>
      <c r="G7" s="82" t="s">
        <v>815</v>
      </c>
      <c r="H7" s="82"/>
      <c r="I7" s="82"/>
      <c r="J7" s="84">
        <v>455</v>
      </c>
      <c r="K7" s="84"/>
      <c r="L7" s="83"/>
      <c r="M7" s="24">
        <f t="shared" si="0"/>
        <v>455</v>
      </c>
      <c r="N7" s="24">
        <f t="shared" si="1"/>
        <v>0</v>
      </c>
      <c r="O7" s="24">
        <f t="shared" si="2"/>
        <v>0</v>
      </c>
      <c r="P7" s="24">
        <v>455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>
        <f t="shared" si="3"/>
        <v>-455</v>
      </c>
      <c r="AG7" s="27">
        <f t="shared" si="4"/>
        <v>0</v>
      </c>
      <c r="AH7" s="91">
        <f t="shared" si="5"/>
        <v>455</v>
      </c>
    </row>
    <row r="8" spans="1:34" s="17" customFormat="1" ht="19.5" customHeight="1" x14ac:dyDescent="0.2">
      <c r="A8" s="81">
        <v>40487</v>
      </c>
      <c r="B8" s="12"/>
      <c r="C8" s="82" t="s">
        <v>699</v>
      </c>
      <c r="D8" s="12"/>
      <c r="E8" s="12"/>
      <c r="F8" s="82">
        <v>2474</v>
      </c>
      <c r="G8" s="82" t="s">
        <v>509</v>
      </c>
      <c r="H8" s="82"/>
      <c r="I8" s="82"/>
      <c r="J8" s="84">
        <v>1600</v>
      </c>
      <c r="K8" s="84"/>
      <c r="L8" s="83"/>
      <c r="M8" s="24">
        <f t="shared" si="0"/>
        <v>1600</v>
      </c>
      <c r="N8" s="24">
        <f t="shared" si="1"/>
        <v>0</v>
      </c>
      <c r="O8" s="24">
        <f t="shared" si="2"/>
        <v>0</v>
      </c>
      <c r="P8" s="24">
        <v>1600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>
        <f t="shared" si="3"/>
        <v>-1600</v>
      </c>
      <c r="AG8" s="27">
        <f t="shared" si="4"/>
        <v>0</v>
      </c>
      <c r="AH8" s="91">
        <f t="shared" si="5"/>
        <v>1600</v>
      </c>
    </row>
    <row r="9" spans="1:34" s="17" customFormat="1" ht="19.5" customHeight="1" x14ac:dyDescent="0.2">
      <c r="A9" s="81">
        <v>40487</v>
      </c>
      <c r="B9" s="12"/>
      <c r="C9" s="20" t="s">
        <v>47</v>
      </c>
      <c r="D9" s="12"/>
      <c r="E9" s="12"/>
      <c r="F9" s="82">
        <v>243012</v>
      </c>
      <c r="G9" s="82" t="s">
        <v>816</v>
      </c>
      <c r="H9" s="82"/>
      <c r="I9" s="82"/>
      <c r="J9" s="84"/>
      <c r="K9" s="84">
        <f>1444.2+173.3</f>
        <v>1617.5</v>
      </c>
      <c r="L9" s="83"/>
      <c r="M9" s="24">
        <f t="shared" si="0"/>
        <v>1444.1964285714284</v>
      </c>
      <c r="N9" s="24">
        <f t="shared" si="1"/>
        <v>173.30357142857142</v>
      </c>
      <c r="O9" s="24">
        <f t="shared" si="2"/>
        <v>0</v>
      </c>
      <c r="P9" s="24">
        <v>1444.2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>
        <f t="shared" si="3"/>
        <v>-1617.5035714285714</v>
      </c>
      <c r="AG9" s="27">
        <f t="shared" si="4"/>
        <v>-3.5714285713766003E-3</v>
      </c>
      <c r="AH9" s="91">
        <f t="shared" si="5"/>
        <v>1617.5035714285714</v>
      </c>
    </row>
    <row r="10" spans="1:34" s="17" customFormat="1" ht="21" customHeight="1" x14ac:dyDescent="0.2">
      <c r="A10" s="81">
        <v>40487</v>
      </c>
      <c r="B10" s="12"/>
      <c r="C10" s="20" t="s">
        <v>47</v>
      </c>
      <c r="D10" s="12"/>
      <c r="E10" s="12"/>
      <c r="F10" s="82">
        <v>243012</v>
      </c>
      <c r="G10" s="82" t="s">
        <v>817</v>
      </c>
      <c r="H10" s="84"/>
      <c r="I10" s="82"/>
      <c r="J10" s="84">
        <v>127.5</v>
      </c>
      <c r="K10" s="84"/>
      <c r="L10" s="83"/>
      <c r="M10" s="24">
        <f t="shared" si="0"/>
        <v>127.5</v>
      </c>
      <c r="N10" s="24">
        <f t="shared" si="1"/>
        <v>0</v>
      </c>
      <c r="O10" s="24">
        <f t="shared" si="2"/>
        <v>0</v>
      </c>
      <c r="P10" s="24">
        <v>127.5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>
        <f t="shared" si="3"/>
        <v>-127.5</v>
      </c>
      <c r="AG10" s="27">
        <f t="shared" si="4"/>
        <v>0</v>
      </c>
      <c r="AH10" s="91">
        <f t="shared" si="5"/>
        <v>127.5</v>
      </c>
    </row>
    <row r="11" spans="1:34" s="17" customFormat="1" ht="18" customHeight="1" x14ac:dyDescent="0.2">
      <c r="A11" s="81">
        <v>40487</v>
      </c>
      <c r="B11" s="12"/>
      <c r="C11" s="20" t="s">
        <v>729</v>
      </c>
      <c r="D11" s="12"/>
      <c r="E11" s="12"/>
      <c r="F11" s="82">
        <v>3012</v>
      </c>
      <c r="G11" s="82" t="s">
        <v>818</v>
      </c>
      <c r="H11" s="84"/>
      <c r="I11" s="12"/>
      <c r="J11" s="12"/>
      <c r="K11" s="84">
        <v>232</v>
      </c>
      <c r="L11" s="13"/>
      <c r="M11" s="24">
        <f t="shared" si="0"/>
        <v>207.14285714285711</v>
      </c>
      <c r="N11" s="24">
        <f t="shared" si="1"/>
        <v>24.857142857142854</v>
      </c>
      <c r="O11" s="24">
        <f t="shared" si="2"/>
        <v>0</v>
      </c>
      <c r="P11" s="24">
        <v>207.14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>
        <f t="shared" si="3"/>
        <v>-231.99714285714285</v>
      </c>
      <c r="AG11" s="27">
        <f t="shared" si="4"/>
        <v>2.8571428571524393E-3</v>
      </c>
      <c r="AH11" s="91">
        <f t="shared" si="5"/>
        <v>231.99714285714285</v>
      </c>
    </row>
    <row r="12" spans="1:34" s="17" customFormat="1" ht="21.75" customHeight="1" x14ac:dyDescent="0.2">
      <c r="A12" s="81">
        <v>40488</v>
      </c>
      <c r="B12" s="12"/>
      <c r="C12" s="20" t="s">
        <v>729</v>
      </c>
      <c r="D12" s="12"/>
      <c r="E12" s="12"/>
      <c r="F12" s="82">
        <v>4258</v>
      </c>
      <c r="G12" s="82" t="s">
        <v>819</v>
      </c>
      <c r="H12" s="84"/>
      <c r="I12" s="82"/>
      <c r="J12" s="82">
        <v>79.099999999999994</v>
      </c>
      <c r="K12" s="84"/>
      <c r="L12" s="13"/>
      <c r="M12" s="24">
        <f t="shared" si="0"/>
        <v>79.099999999999994</v>
      </c>
      <c r="N12" s="24">
        <f t="shared" si="1"/>
        <v>0</v>
      </c>
      <c r="O12" s="24">
        <f t="shared" si="2"/>
        <v>0</v>
      </c>
      <c r="P12" s="24">
        <v>79.099999999999994</v>
      </c>
      <c r="Q12" s="25"/>
      <c r="R12" s="25"/>
      <c r="S12" s="90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>
        <f t="shared" si="3"/>
        <v>-79.099999999999994</v>
      </c>
      <c r="AG12" s="27">
        <f t="shared" si="4"/>
        <v>0</v>
      </c>
      <c r="AH12" s="91">
        <f t="shared" si="5"/>
        <v>79.099999999999994</v>
      </c>
    </row>
    <row r="13" spans="1:34" s="17" customFormat="1" ht="25.5" customHeight="1" x14ac:dyDescent="0.2">
      <c r="A13" s="81"/>
      <c r="B13" s="12"/>
      <c r="C13" s="20"/>
      <c r="D13" s="82"/>
      <c r="E13" s="82"/>
      <c r="F13" s="82"/>
      <c r="G13" s="82"/>
      <c r="H13" s="82"/>
      <c r="I13" s="82"/>
      <c r="J13" s="89"/>
      <c r="K13" s="84"/>
      <c r="L13" s="13"/>
      <c r="M13" s="24">
        <f t="shared" si="0"/>
        <v>0</v>
      </c>
      <c r="N13" s="24">
        <f t="shared" si="1"/>
        <v>0</v>
      </c>
      <c r="O13" s="24">
        <f t="shared" si="2"/>
        <v>0</v>
      </c>
      <c r="P13" s="24"/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>
        <f t="shared" si="3"/>
        <v>0</v>
      </c>
      <c r="AG13" s="27">
        <f t="shared" si="4"/>
        <v>0</v>
      </c>
    </row>
    <row r="14" spans="1:34" s="29" customFormat="1" ht="23.25" customHeight="1" x14ac:dyDescent="0.2">
      <c r="A14" s="18"/>
      <c r="B14" s="19"/>
      <c r="C14" s="20"/>
      <c r="D14" s="20"/>
      <c r="E14" s="20"/>
      <c r="F14" s="21"/>
      <c r="G14" s="21"/>
      <c r="H14" s="22"/>
      <c r="I14" s="22"/>
      <c r="J14" s="22"/>
      <c r="K14" s="22"/>
      <c r="L14" s="23"/>
      <c r="M14" s="24">
        <f t="shared" si="0"/>
        <v>0</v>
      </c>
      <c r="N14" s="24">
        <f t="shared" si="1"/>
        <v>0</v>
      </c>
      <c r="O14" s="24">
        <f t="shared" si="2"/>
        <v>0</v>
      </c>
      <c r="P14" s="24"/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>
        <f t="shared" si="3"/>
        <v>0</v>
      </c>
      <c r="AG14" s="27">
        <f t="shared" si="4"/>
        <v>0</v>
      </c>
    </row>
    <row r="15" spans="1:34" s="29" customFormat="1" ht="10.199999999999999" x14ac:dyDescent="0.2">
      <c r="A15" s="18"/>
      <c r="B15" s="19"/>
      <c r="C15" s="43"/>
      <c r="D15" s="43"/>
      <c r="E15" s="43"/>
      <c r="F15" s="21"/>
      <c r="G15" s="30"/>
      <c r="H15" s="22"/>
      <c r="I15" s="22"/>
      <c r="J15" s="22"/>
      <c r="K15" s="22"/>
      <c r="L15" s="23"/>
      <c r="M15" s="25">
        <f t="shared" si="0"/>
        <v>0</v>
      </c>
      <c r="N15" s="25">
        <f t="shared" si="1"/>
        <v>0</v>
      </c>
      <c r="O15" s="25">
        <f t="shared" si="2"/>
        <v>0</v>
      </c>
      <c r="P15" s="25"/>
      <c r="Q15" s="25"/>
      <c r="R15" s="25"/>
      <c r="S15" s="25"/>
      <c r="T15" s="26"/>
      <c r="U15" s="51"/>
      <c r="V15" s="26"/>
      <c r="W15" s="26"/>
      <c r="X15" s="26"/>
      <c r="Y15" s="44"/>
      <c r="Z15" s="25"/>
      <c r="AA15" s="51"/>
      <c r="AB15" s="25"/>
      <c r="AC15" s="26"/>
      <c r="AD15" s="26"/>
      <c r="AE15" s="45"/>
      <c r="AF15" s="24">
        <f t="shared" si="3"/>
        <v>0</v>
      </c>
      <c r="AG15" s="27">
        <f t="shared" si="4"/>
        <v>0</v>
      </c>
    </row>
    <row r="16" spans="1:34" s="52" customFormat="1" ht="10.199999999999999" x14ac:dyDescent="0.2">
      <c r="A16" s="46"/>
      <c r="B16" s="47"/>
      <c r="C16" s="48"/>
      <c r="D16" s="49"/>
      <c r="E16" s="49"/>
      <c r="F16" s="50"/>
      <c r="G16" s="48"/>
      <c r="H16" s="51">
        <f>SUM(H5:H14)</f>
        <v>50</v>
      </c>
      <c r="I16" s="51">
        <f>SUM(I14:I15)</f>
        <v>0</v>
      </c>
      <c r="J16" s="51">
        <f>SUM(J5:J14)</f>
        <v>3411.6</v>
      </c>
      <c r="K16" s="51">
        <f>SUM(K5:K14)</f>
        <v>1849.5</v>
      </c>
      <c r="L16" s="51">
        <f>SUM(L14:L15)</f>
        <v>0</v>
      </c>
      <c r="M16" s="51">
        <f>SUM(M5:M14)</f>
        <v>5112.9392857142857</v>
      </c>
      <c r="N16" s="51">
        <f>SUM(N5:N14)</f>
        <v>198.16071428571428</v>
      </c>
      <c r="O16" s="51">
        <f>SUM(O14:O15)</f>
        <v>0</v>
      </c>
      <c r="P16" s="51">
        <f>SUM(P5:P14)</f>
        <v>5062.9400000000005</v>
      </c>
      <c r="Q16" s="51">
        <f>SUM(Q5:Q14)</f>
        <v>0</v>
      </c>
      <c r="R16" s="51">
        <f>SUM(R5:R14)</f>
        <v>0</v>
      </c>
      <c r="S16" s="51">
        <f>SUM(S10:S15)</f>
        <v>0</v>
      </c>
      <c r="T16" s="51">
        <f>SUM(T10:T15)</f>
        <v>0</v>
      </c>
      <c r="U16" s="51">
        <f>SUM(U10:U15)</f>
        <v>0</v>
      </c>
      <c r="V16" s="51">
        <f>SUM(V14:V15)</f>
        <v>0</v>
      </c>
      <c r="W16" s="51">
        <f>SUM(W14:W15)</f>
        <v>0</v>
      </c>
      <c r="X16" s="51">
        <f>SUM(X14:X15)</f>
        <v>0</v>
      </c>
      <c r="Y16" s="51">
        <f>SUM(Y14:Y15)</f>
        <v>0</v>
      </c>
      <c r="Z16" s="51">
        <f>SUM(Z14:Z15)</f>
        <v>0</v>
      </c>
      <c r="AA16" s="51">
        <f>SUM(AA5:AA14)</f>
        <v>50</v>
      </c>
      <c r="AB16" s="51">
        <f>SUM(AB14:AB15)</f>
        <v>0</v>
      </c>
      <c r="AC16" s="51">
        <f>SUM(AC5:AC14)</f>
        <v>0</v>
      </c>
      <c r="AD16" s="51">
        <f>SUM(AD5:AD14)</f>
        <v>0</v>
      </c>
      <c r="AE16" s="51">
        <f>SUM(AE14:AE15)</f>
        <v>0</v>
      </c>
      <c r="AF16" s="51">
        <f>SUM(AF5:AF14)</f>
        <v>-5311.1007142857143</v>
      </c>
      <c r="AG16" s="51">
        <f>SUM(AG14:AG15)</f>
        <v>0</v>
      </c>
    </row>
    <row r="17" spans="8:25" s="77" customFormat="1" ht="10.199999999999999" x14ac:dyDescent="0.2"/>
    <row r="18" spans="8:25" x14ac:dyDescent="0.3">
      <c r="H18" s="85"/>
      <c r="I18" s="85"/>
      <c r="J18" s="85"/>
      <c r="K18" s="85"/>
    </row>
    <row r="19" spans="8:25" x14ac:dyDescent="0.3">
      <c r="H19" s="85"/>
      <c r="I19" s="85"/>
      <c r="J19" s="85"/>
      <c r="K19" s="85"/>
    </row>
    <row r="20" spans="8:25" x14ac:dyDescent="0.3">
      <c r="H20" s="85"/>
      <c r="I20" s="85"/>
      <c r="J20" s="85"/>
      <c r="K20" s="85"/>
      <c r="Q20" s="5">
        <v>0</v>
      </c>
    </row>
    <row r="21" spans="8:25" s="3" customFormat="1" ht="11.4" x14ac:dyDescent="0.2">
      <c r="H21" s="86"/>
      <c r="I21" s="86"/>
      <c r="J21" s="86"/>
      <c r="K21" s="86"/>
      <c r="T21" s="5"/>
      <c r="U21" s="5"/>
      <c r="V21" s="5"/>
      <c r="W21" s="5"/>
      <c r="X21" s="5"/>
      <c r="Y21" s="5"/>
    </row>
    <row r="22" spans="8:25" x14ac:dyDescent="0.3">
      <c r="H22" s="85"/>
      <c r="I22" s="85"/>
      <c r="J22" s="85"/>
      <c r="K22" s="85"/>
    </row>
    <row r="23" spans="8:25" x14ac:dyDescent="0.3">
      <c r="H23" s="85"/>
      <c r="I23" s="85"/>
      <c r="J23" s="85"/>
      <c r="K23" s="85"/>
    </row>
    <row r="24" spans="8:25" x14ac:dyDescent="0.3">
      <c r="H24" s="85"/>
      <c r="I24" s="85"/>
      <c r="J24" s="85"/>
      <c r="K24" s="85"/>
    </row>
    <row r="25" spans="8:25" x14ac:dyDescent="0.3">
      <c r="H25" s="85"/>
      <c r="I25" s="85"/>
      <c r="J25" s="85"/>
      <c r="K25" s="85"/>
    </row>
    <row r="26" spans="8:25" x14ac:dyDescent="0.3">
      <c r="H26" s="87"/>
      <c r="I26" s="87"/>
      <c r="J26" s="87"/>
      <c r="K26" s="87"/>
    </row>
    <row r="27" spans="8:25" x14ac:dyDescent="0.3">
      <c r="H27" s="87"/>
      <c r="I27" s="87"/>
      <c r="J27" s="87"/>
      <c r="K27" s="87"/>
    </row>
    <row r="28" spans="8:25" s="3" customFormat="1" ht="10.199999999999999" x14ac:dyDescent="0.2">
      <c r="H28" s="87"/>
      <c r="I28" s="87"/>
      <c r="J28" s="87"/>
      <c r="K28" s="87"/>
    </row>
    <row r="29" spans="8:25" s="3" customFormat="1" ht="10.199999999999999" x14ac:dyDescent="0.2">
      <c r="H29" s="87"/>
      <c r="I29" s="87"/>
      <c r="J29" s="87"/>
      <c r="K29" s="87"/>
    </row>
    <row r="30" spans="8:25" s="3" customFormat="1" ht="10.199999999999999" x14ac:dyDescent="0.2">
      <c r="H30" s="87"/>
      <c r="I30" s="87"/>
      <c r="J30" s="87"/>
      <c r="K30" s="8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MK39"/>
  <sheetViews>
    <sheetView topLeftCell="N16" zoomScaleNormal="100" workbookViewId="0">
      <selection activeCell="AE24" sqref="A24:XFD34"/>
    </sheetView>
  </sheetViews>
  <sheetFormatPr defaultRowHeight="14.4" x14ac:dyDescent="0.3"/>
  <cols>
    <col min="1" max="1" width="8.109375" style="1" customWidth="1"/>
    <col min="2" max="2" width="7.21875" style="2" customWidth="1"/>
    <col min="3" max="3" width="26.109375" style="3" customWidth="1"/>
    <col min="4" max="4" width="14" style="4" customWidth="1"/>
    <col min="5" max="5" width="29.33203125" style="4" customWidth="1"/>
    <col min="6" max="6" width="7.88671875" style="2" customWidth="1"/>
    <col min="7" max="7" width="26.5546875" style="3" customWidth="1"/>
    <col min="8" max="8" width="11.109375" style="5" customWidth="1"/>
    <col min="9" max="9" width="9.5546875" style="5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10.6640625" style="5" customWidth="1"/>
    <col min="19" max="19" width="9.5546875" style="5" customWidth="1"/>
    <col min="20" max="21" width="9.109375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30" width="8" style="5" customWidth="1"/>
    <col min="31" max="31" width="10.109375" style="5" customWidth="1"/>
    <col min="32" max="32" width="10.6640625" style="5" customWidth="1"/>
    <col min="33" max="33" width="8.88671875" style="3" customWidth="1"/>
    <col min="34" max="1025" width="9.109375" style="3" customWidth="1"/>
  </cols>
  <sheetData>
    <row r="1" spans="1:34" ht="12" customHeight="1" x14ac:dyDescent="0.3">
      <c r="A1" s="7" t="s">
        <v>0</v>
      </c>
      <c r="C1" s="8"/>
    </row>
    <row r="2" spans="1:34" ht="12" customHeight="1" x14ac:dyDescent="0.3">
      <c r="A2" s="7" t="s">
        <v>1</v>
      </c>
    </row>
    <row r="3" spans="1:34" ht="12" customHeight="1" x14ac:dyDescent="0.3">
      <c r="A3" s="7" t="s">
        <v>820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4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771</v>
      </c>
      <c r="T4" s="13" t="s">
        <v>24</v>
      </c>
      <c r="U4" s="13" t="s">
        <v>25</v>
      </c>
      <c r="V4" s="13" t="s">
        <v>22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613</v>
      </c>
      <c r="AD4" s="13" t="s">
        <v>34</v>
      </c>
      <c r="AE4" s="15" t="s">
        <v>35</v>
      </c>
      <c r="AF4" s="16" t="s">
        <v>36</v>
      </c>
    </row>
    <row r="5" spans="1:34" s="17" customFormat="1" ht="19.5" customHeight="1" x14ac:dyDescent="0.2">
      <c r="A5" s="81">
        <v>40486</v>
      </c>
      <c r="B5" s="12"/>
      <c r="C5" s="20" t="s">
        <v>522</v>
      </c>
      <c r="D5" s="12"/>
      <c r="E5" s="12"/>
      <c r="F5" s="82">
        <v>35454</v>
      </c>
      <c r="G5" s="82" t="s">
        <v>821</v>
      </c>
      <c r="H5" s="84"/>
      <c r="I5" s="82"/>
      <c r="J5" s="84"/>
      <c r="K5" s="84">
        <v>60</v>
      </c>
      <c r="L5" s="83"/>
      <c r="M5" s="24">
        <f t="shared" ref="M5:M22" si="0">SUM(H5:J5,K5/1.12)</f>
        <v>53.571428571428569</v>
      </c>
      <c r="N5" s="24">
        <f t="shared" ref="N5:N22" si="1">K5/1.12*0.12</f>
        <v>6.4285714285714279</v>
      </c>
      <c r="O5" s="24">
        <f t="shared" ref="O5:O22" si="2">-SUM(I5:J5,K5/1.12)*L5</f>
        <v>0</v>
      </c>
      <c r="P5" s="24"/>
      <c r="Q5" s="25"/>
      <c r="R5" s="25"/>
      <c r="S5" s="26"/>
      <c r="T5" s="26">
        <v>53.57</v>
      </c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>
        <f t="shared" ref="AF5:AF22" si="3">-SUM(N5:AE5)</f>
        <v>-59.998571428571431</v>
      </c>
      <c r="AG5" s="27">
        <f t="shared" ref="AG5:AG22" si="4">SUM(H5:K5)+AF5+O5</f>
        <v>1.4285714285691142E-3</v>
      </c>
      <c r="AH5" s="91">
        <f t="shared" ref="AH5:AH19" si="5">-AF5</f>
        <v>59.998571428571431</v>
      </c>
    </row>
    <row r="6" spans="1:34" s="17" customFormat="1" ht="19.5" customHeight="1" x14ac:dyDescent="0.2">
      <c r="A6" s="81">
        <v>40487</v>
      </c>
      <c r="B6" s="12"/>
      <c r="C6" s="82" t="s">
        <v>522</v>
      </c>
      <c r="D6" s="12"/>
      <c r="E6" s="12"/>
      <c r="F6" s="82">
        <v>65654</v>
      </c>
      <c r="G6" s="82" t="s">
        <v>822</v>
      </c>
      <c r="H6" s="82"/>
      <c r="I6" s="82"/>
      <c r="J6" s="84"/>
      <c r="K6" s="84">
        <v>30</v>
      </c>
      <c r="L6" s="83"/>
      <c r="M6" s="24">
        <f t="shared" si="0"/>
        <v>26.785714285714285</v>
      </c>
      <c r="N6" s="24">
        <f t="shared" si="1"/>
        <v>3.214285714285714</v>
      </c>
      <c r="O6" s="24">
        <f t="shared" si="2"/>
        <v>0</v>
      </c>
      <c r="P6" s="24">
        <v>26.79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>
        <f t="shared" si="3"/>
        <v>-30.004285714285714</v>
      </c>
      <c r="AG6" s="27">
        <f t="shared" si="4"/>
        <v>-4.2857142857144481E-3</v>
      </c>
      <c r="AH6" s="91">
        <f t="shared" si="5"/>
        <v>30.004285714285714</v>
      </c>
    </row>
    <row r="7" spans="1:34" s="17" customFormat="1" ht="19.5" customHeight="1" x14ac:dyDescent="0.2">
      <c r="A7" s="81">
        <v>40487</v>
      </c>
      <c r="B7" s="12"/>
      <c r="C7" s="82" t="s">
        <v>436</v>
      </c>
      <c r="D7" s="12"/>
      <c r="E7" s="12"/>
      <c r="F7" s="82"/>
      <c r="G7" s="82" t="s">
        <v>823</v>
      </c>
      <c r="H7" s="84">
        <v>130</v>
      </c>
      <c r="I7" s="82"/>
      <c r="J7" s="84"/>
      <c r="K7" s="84"/>
      <c r="L7" s="83"/>
      <c r="M7" s="24">
        <f t="shared" si="0"/>
        <v>130</v>
      </c>
      <c r="N7" s="24">
        <f t="shared" si="1"/>
        <v>0</v>
      </c>
      <c r="O7" s="24">
        <f t="shared" si="2"/>
        <v>0</v>
      </c>
      <c r="P7" s="24"/>
      <c r="Q7" s="25"/>
      <c r="R7" s="25"/>
      <c r="S7" s="26"/>
      <c r="T7" s="26"/>
      <c r="U7" s="26"/>
      <c r="V7" s="26"/>
      <c r="W7" s="26"/>
      <c r="X7" s="25"/>
      <c r="Y7" s="25"/>
      <c r="Z7" s="25"/>
      <c r="AA7" s="25">
        <v>130</v>
      </c>
      <c r="AB7" s="26"/>
      <c r="AC7" s="26"/>
      <c r="AD7" s="25"/>
      <c r="AE7" s="25"/>
      <c r="AF7" s="24">
        <f t="shared" si="3"/>
        <v>-130</v>
      </c>
      <c r="AG7" s="27">
        <f t="shared" si="4"/>
        <v>0</v>
      </c>
      <c r="AH7" s="91">
        <f t="shared" si="5"/>
        <v>130</v>
      </c>
    </row>
    <row r="8" spans="1:34" s="17" customFormat="1" ht="19.5" customHeight="1" x14ac:dyDescent="0.2">
      <c r="A8" s="81">
        <v>40488</v>
      </c>
      <c r="B8" s="12"/>
      <c r="C8" s="20" t="s">
        <v>729</v>
      </c>
      <c r="D8" s="12"/>
      <c r="E8" s="12"/>
      <c r="F8" s="82">
        <v>4378</v>
      </c>
      <c r="G8" s="82" t="s">
        <v>138</v>
      </c>
      <c r="H8" s="82"/>
      <c r="I8" s="82"/>
      <c r="J8" s="84"/>
      <c r="K8" s="84">
        <v>78</v>
      </c>
      <c r="L8" s="83"/>
      <c r="M8" s="24">
        <f t="shared" si="0"/>
        <v>69.642857142857139</v>
      </c>
      <c r="N8" s="24">
        <f t="shared" si="1"/>
        <v>8.3571428571428559</v>
      </c>
      <c r="O8" s="24">
        <f t="shared" si="2"/>
        <v>0</v>
      </c>
      <c r="P8" s="24">
        <v>69.64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>
        <f t="shared" si="3"/>
        <v>-77.997142857142862</v>
      </c>
      <c r="AG8" s="27">
        <f t="shared" si="4"/>
        <v>2.8571428571382285E-3</v>
      </c>
      <c r="AH8" s="91">
        <f t="shared" si="5"/>
        <v>77.997142857142862</v>
      </c>
    </row>
    <row r="9" spans="1:34" s="17" customFormat="1" ht="19.5" customHeight="1" x14ac:dyDescent="0.2">
      <c r="A9" s="81">
        <v>40488</v>
      </c>
      <c r="B9" s="12"/>
      <c r="C9" s="20" t="s">
        <v>162</v>
      </c>
      <c r="D9" s="12"/>
      <c r="E9" s="12"/>
      <c r="F9" s="82">
        <v>10483107</v>
      </c>
      <c r="G9" s="82" t="s">
        <v>824</v>
      </c>
      <c r="H9" s="82"/>
      <c r="I9" s="82"/>
      <c r="J9" s="84">
        <v>301.77999999999997</v>
      </c>
      <c r="K9" s="84"/>
      <c r="L9" s="83"/>
      <c r="M9" s="24">
        <f t="shared" si="0"/>
        <v>301.77999999999997</v>
      </c>
      <c r="N9" s="24">
        <f t="shared" si="1"/>
        <v>0</v>
      </c>
      <c r="O9" s="24">
        <f t="shared" si="2"/>
        <v>0</v>
      </c>
      <c r="P9" s="24">
        <v>301.77999999999997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>
        <f t="shared" si="3"/>
        <v>-301.77999999999997</v>
      </c>
      <c r="AG9" s="27">
        <f t="shared" si="4"/>
        <v>0</v>
      </c>
      <c r="AH9" s="91">
        <f t="shared" si="5"/>
        <v>301.77999999999997</v>
      </c>
    </row>
    <row r="10" spans="1:34" s="17" customFormat="1" ht="21" customHeight="1" x14ac:dyDescent="0.2">
      <c r="A10" s="81">
        <v>40488</v>
      </c>
      <c r="B10" s="12"/>
      <c r="C10" s="20" t="s">
        <v>162</v>
      </c>
      <c r="D10" s="12"/>
      <c r="E10" s="12"/>
      <c r="F10" s="82">
        <v>10483107</v>
      </c>
      <c r="G10" s="82" t="s">
        <v>825</v>
      </c>
      <c r="H10" s="84"/>
      <c r="I10" s="82"/>
      <c r="J10" s="84"/>
      <c r="K10" s="84">
        <f>87.75+373.5+143</f>
        <v>604.25</v>
      </c>
      <c r="L10" s="83"/>
      <c r="M10" s="24">
        <f t="shared" si="0"/>
        <v>539.50892857142856</v>
      </c>
      <c r="N10" s="24">
        <f t="shared" si="1"/>
        <v>64.741071428571431</v>
      </c>
      <c r="O10" s="24">
        <f t="shared" si="2"/>
        <v>0</v>
      </c>
      <c r="P10" s="24">
        <v>539.51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>
        <f t="shared" si="3"/>
        <v>-604.25107142857144</v>
      </c>
      <c r="AG10" s="27">
        <f t="shared" si="4"/>
        <v>-1.0714285714357175E-3</v>
      </c>
      <c r="AH10" s="91">
        <f t="shared" si="5"/>
        <v>604.25107142857144</v>
      </c>
    </row>
    <row r="11" spans="1:34" s="17" customFormat="1" ht="18" customHeight="1" x14ac:dyDescent="0.2">
      <c r="A11" s="81">
        <v>40488</v>
      </c>
      <c r="B11" s="12"/>
      <c r="C11" s="20" t="s">
        <v>162</v>
      </c>
      <c r="D11" s="12"/>
      <c r="E11" s="12"/>
      <c r="F11" s="82">
        <v>10483107</v>
      </c>
      <c r="G11" s="82" t="s">
        <v>193</v>
      </c>
      <c r="H11" s="84"/>
      <c r="I11" s="12"/>
      <c r="J11" s="82">
        <v>157.75</v>
      </c>
      <c r="K11" s="84"/>
      <c r="L11" s="13"/>
      <c r="M11" s="24">
        <f t="shared" si="0"/>
        <v>157.75</v>
      </c>
      <c r="N11" s="24">
        <f t="shared" si="1"/>
        <v>0</v>
      </c>
      <c r="O11" s="24">
        <f t="shared" si="2"/>
        <v>0</v>
      </c>
      <c r="P11" s="24"/>
      <c r="Q11" s="25"/>
      <c r="R11" s="25">
        <v>157.75</v>
      </c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>
        <f t="shared" si="3"/>
        <v>-157.75</v>
      </c>
      <c r="AG11" s="27">
        <f t="shared" si="4"/>
        <v>0</v>
      </c>
      <c r="AH11" s="91">
        <f t="shared" si="5"/>
        <v>157.75</v>
      </c>
    </row>
    <row r="12" spans="1:34" s="17" customFormat="1" ht="21.75" customHeight="1" x14ac:dyDescent="0.2">
      <c r="A12" s="81">
        <v>40488</v>
      </c>
      <c r="B12" s="12"/>
      <c r="C12" s="20" t="s">
        <v>729</v>
      </c>
      <c r="D12" s="12"/>
      <c r="E12" s="12"/>
      <c r="F12" s="82">
        <v>4377</v>
      </c>
      <c r="G12" s="82" t="s">
        <v>826</v>
      </c>
      <c r="H12" s="84"/>
      <c r="I12" s="82"/>
      <c r="J12" s="82"/>
      <c r="K12" s="84">
        <v>375</v>
      </c>
      <c r="L12" s="13"/>
      <c r="M12" s="24">
        <f t="shared" si="0"/>
        <v>334.82142857142856</v>
      </c>
      <c r="N12" s="24">
        <f t="shared" si="1"/>
        <v>40.178571428571423</v>
      </c>
      <c r="O12" s="24">
        <f t="shared" si="2"/>
        <v>0</v>
      </c>
      <c r="P12" s="24"/>
      <c r="Q12" s="25"/>
      <c r="R12" s="25"/>
      <c r="S12" s="90"/>
      <c r="T12" s="26"/>
      <c r="U12" s="26"/>
      <c r="V12" s="26"/>
      <c r="W12" s="26">
        <v>334.82</v>
      </c>
      <c r="X12" s="25"/>
      <c r="Y12" s="25"/>
      <c r="Z12" s="25"/>
      <c r="AA12" s="25"/>
      <c r="AB12" s="26"/>
      <c r="AC12" s="26"/>
      <c r="AD12" s="25"/>
      <c r="AE12" s="25"/>
      <c r="AF12" s="24">
        <f t="shared" si="3"/>
        <v>-374.99857142857144</v>
      </c>
      <c r="AG12" s="27">
        <f t="shared" si="4"/>
        <v>1.4285714285620088E-3</v>
      </c>
      <c r="AH12" s="91">
        <f t="shared" si="5"/>
        <v>374.99857142857144</v>
      </c>
    </row>
    <row r="13" spans="1:34" s="17" customFormat="1" ht="21.75" customHeight="1" x14ac:dyDescent="0.2">
      <c r="A13" s="81">
        <v>40488</v>
      </c>
      <c r="B13" s="12"/>
      <c r="C13" s="82" t="s">
        <v>522</v>
      </c>
      <c r="D13" s="12"/>
      <c r="E13" s="12"/>
      <c r="F13" s="82">
        <v>65544</v>
      </c>
      <c r="G13" s="82" t="s">
        <v>58</v>
      </c>
      <c r="H13" s="84"/>
      <c r="I13" s="82"/>
      <c r="J13" s="82"/>
      <c r="K13" s="84">
        <v>42</v>
      </c>
      <c r="L13" s="13"/>
      <c r="M13" s="24">
        <f t="shared" si="0"/>
        <v>37.499999999999993</v>
      </c>
      <c r="N13" s="24">
        <f t="shared" si="1"/>
        <v>4.4999999999999991</v>
      </c>
      <c r="O13" s="24">
        <f t="shared" si="2"/>
        <v>0</v>
      </c>
      <c r="P13" s="24"/>
      <c r="Q13" s="25">
        <v>37.5</v>
      </c>
      <c r="R13" s="25"/>
      <c r="S13" s="90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>
        <f t="shared" si="3"/>
        <v>-42</v>
      </c>
      <c r="AG13" s="27">
        <f t="shared" si="4"/>
        <v>0</v>
      </c>
      <c r="AH13" s="91">
        <f t="shared" si="5"/>
        <v>42</v>
      </c>
    </row>
    <row r="14" spans="1:34" s="17" customFormat="1" ht="21.75" customHeight="1" x14ac:dyDescent="0.2">
      <c r="A14" s="81">
        <v>40489</v>
      </c>
      <c r="B14" s="12"/>
      <c r="C14" s="20" t="s">
        <v>827</v>
      </c>
      <c r="D14" s="12"/>
      <c r="E14" s="12"/>
      <c r="F14" s="82">
        <v>205089</v>
      </c>
      <c r="G14" s="82" t="s">
        <v>828</v>
      </c>
      <c r="H14" s="84"/>
      <c r="I14" s="82"/>
      <c r="J14" s="84">
        <v>2768</v>
      </c>
      <c r="K14" s="84"/>
      <c r="L14" s="13"/>
      <c r="M14" s="24">
        <f t="shared" si="0"/>
        <v>2768</v>
      </c>
      <c r="N14" s="24">
        <f t="shared" si="1"/>
        <v>0</v>
      </c>
      <c r="O14" s="24">
        <f t="shared" si="2"/>
        <v>0</v>
      </c>
      <c r="P14" s="24"/>
      <c r="Q14" s="25"/>
      <c r="R14" s="25">
        <v>2768</v>
      </c>
      <c r="S14" s="90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>
        <f t="shared" si="3"/>
        <v>-2768</v>
      </c>
      <c r="AG14" s="27">
        <f t="shared" si="4"/>
        <v>0</v>
      </c>
      <c r="AH14" s="91">
        <f t="shared" si="5"/>
        <v>2768</v>
      </c>
    </row>
    <row r="15" spans="1:34" s="17" customFormat="1" ht="21.75" customHeight="1" x14ac:dyDescent="0.2">
      <c r="A15" s="81">
        <v>40489</v>
      </c>
      <c r="B15" s="12"/>
      <c r="C15" s="20" t="s">
        <v>729</v>
      </c>
      <c r="D15" s="12"/>
      <c r="E15" s="12"/>
      <c r="F15" s="82">
        <v>4407</v>
      </c>
      <c r="G15" s="82" t="s">
        <v>829</v>
      </c>
      <c r="H15" s="84"/>
      <c r="I15" s="82"/>
      <c r="J15" s="82"/>
      <c r="K15" s="84">
        <v>76</v>
      </c>
      <c r="L15" s="13"/>
      <c r="M15" s="24">
        <f t="shared" si="0"/>
        <v>67.857142857142847</v>
      </c>
      <c r="N15" s="24">
        <f t="shared" si="1"/>
        <v>8.1428571428571406</v>
      </c>
      <c r="O15" s="24">
        <f t="shared" si="2"/>
        <v>0</v>
      </c>
      <c r="P15" s="24"/>
      <c r="Q15" s="25"/>
      <c r="R15" s="25"/>
      <c r="S15" s="90"/>
      <c r="T15" s="26"/>
      <c r="U15" s="26"/>
      <c r="V15" s="26">
        <v>67.86</v>
      </c>
      <c r="W15" s="26"/>
      <c r="X15" s="25"/>
      <c r="Y15" s="25"/>
      <c r="Z15" s="25"/>
      <c r="AA15" s="25"/>
      <c r="AB15" s="26"/>
      <c r="AC15" s="26"/>
      <c r="AD15" s="25"/>
      <c r="AE15" s="25"/>
      <c r="AF15" s="24">
        <f t="shared" si="3"/>
        <v>-76.002857142857138</v>
      </c>
      <c r="AG15" s="27">
        <f t="shared" si="4"/>
        <v>-2.8571428571382285E-3</v>
      </c>
      <c r="AH15" s="91">
        <f t="shared" si="5"/>
        <v>76.002857142857138</v>
      </c>
    </row>
    <row r="16" spans="1:34" s="17" customFormat="1" ht="21.75" customHeight="1" x14ac:dyDescent="0.2">
      <c r="A16" s="81">
        <v>40489</v>
      </c>
      <c r="B16" s="12"/>
      <c r="C16" s="20" t="s">
        <v>605</v>
      </c>
      <c r="D16" s="12"/>
      <c r="E16" s="12"/>
      <c r="F16" s="82"/>
      <c r="G16" s="82" t="s">
        <v>830</v>
      </c>
      <c r="H16" s="84">
        <v>80</v>
      </c>
      <c r="I16" s="82"/>
      <c r="J16" s="82"/>
      <c r="K16" s="84"/>
      <c r="L16" s="13"/>
      <c r="M16" s="24">
        <f t="shared" si="0"/>
        <v>80</v>
      </c>
      <c r="N16" s="24">
        <f t="shared" si="1"/>
        <v>0</v>
      </c>
      <c r="O16" s="24">
        <f t="shared" si="2"/>
        <v>0</v>
      </c>
      <c r="P16" s="24"/>
      <c r="Q16" s="25"/>
      <c r="R16" s="25"/>
      <c r="S16" s="90"/>
      <c r="T16" s="26"/>
      <c r="U16" s="26"/>
      <c r="V16" s="26"/>
      <c r="W16" s="26"/>
      <c r="X16" s="25"/>
      <c r="Y16" s="25"/>
      <c r="Z16" s="25"/>
      <c r="AA16" s="25">
        <v>80</v>
      </c>
      <c r="AB16" s="26"/>
      <c r="AC16" s="26"/>
      <c r="AD16" s="25"/>
      <c r="AE16" s="25"/>
      <c r="AF16" s="24">
        <f t="shared" si="3"/>
        <v>-80</v>
      </c>
      <c r="AG16" s="27">
        <f t="shared" si="4"/>
        <v>0</v>
      </c>
      <c r="AH16" s="91">
        <f t="shared" si="5"/>
        <v>80</v>
      </c>
    </row>
    <row r="17" spans="1:34" s="17" customFormat="1" ht="21.75" customHeight="1" x14ac:dyDescent="0.2">
      <c r="A17" s="81">
        <v>40489</v>
      </c>
      <c r="B17" s="12"/>
      <c r="C17" s="82" t="s">
        <v>522</v>
      </c>
      <c r="D17" s="12"/>
      <c r="E17" s="12"/>
      <c r="F17" s="82">
        <v>731652</v>
      </c>
      <c r="G17" s="82" t="s">
        <v>58</v>
      </c>
      <c r="H17" s="84"/>
      <c r="I17" s="82"/>
      <c r="J17" s="82"/>
      <c r="K17" s="84">
        <v>42</v>
      </c>
      <c r="L17" s="13"/>
      <c r="M17" s="24">
        <f t="shared" si="0"/>
        <v>37.499999999999993</v>
      </c>
      <c r="N17" s="24">
        <f t="shared" si="1"/>
        <v>4.4999999999999991</v>
      </c>
      <c r="O17" s="24">
        <f t="shared" si="2"/>
        <v>0</v>
      </c>
      <c r="P17" s="24"/>
      <c r="Q17" s="25">
        <v>37.5</v>
      </c>
      <c r="R17" s="25"/>
      <c r="S17" s="90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>
        <f t="shared" si="3"/>
        <v>-42</v>
      </c>
      <c r="AG17" s="27">
        <f t="shared" si="4"/>
        <v>0</v>
      </c>
      <c r="AH17" s="91">
        <f t="shared" si="5"/>
        <v>42</v>
      </c>
    </row>
    <row r="18" spans="1:34" s="17" customFormat="1" ht="21.75" customHeight="1" x14ac:dyDescent="0.2">
      <c r="A18" s="92">
        <v>40492</v>
      </c>
      <c r="B18" s="93"/>
      <c r="C18" s="34" t="s">
        <v>106</v>
      </c>
      <c r="D18" s="93"/>
      <c r="E18" s="93"/>
      <c r="F18" s="94">
        <v>825479</v>
      </c>
      <c r="G18" s="94" t="s">
        <v>831</v>
      </c>
      <c r="H18" s="95"/>
      <c r="I18" s="94"/>
      <c r="J18" s="94"/>
      <c r="K18" s="95">
        <v>116</v>
      </c>
      <c r="L18" s="13"/>
      <c r="M18" s="24">
        <f t="shared" si="0"/>
        <v>103.57142857142856</v>
      </c>
      <c r="N18" s="24">
        <f t="shared" si="1"/>
        <v>12.428571428571427</v>
      </c>
      <c r="O18" s="24">
        <f t="shared" si="2"/>
        <v>0</v>
      </c>
      <c r="P18" s="24"/>
      <c r="Q18" s="25"/>
      <c r="R18" s="25"/>
      <c r="S18" s="90"/>
      <c r="T18" s="26">
        <v>103.57</v>
      </c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>
        <f t="shared" si="3"/>
        <v>-115.99857142857142</v>
      </c>
      <c r="AG18" s="27">
        <f t="shared" si="4"/>
        <v>1.4285714285762197E-3</v>
      </c>
      <c r="AH18" s="91">
        <f t="shared" si="5"/>
        <v>115.99857142857142</v>
      </c>
    </row>
    <row r="19" spans="1:34" s="17" customFormat="1" ht="21.75" customHeight="1" x14ac:dyDescent="0.2">
      <c r="A19" s="92">
        <v>40492</v>
      </c>
      <c r="B19" s="93"/>
      <c r="C19" s="34" t="s">
        <v>436</v>
      </c>
      <c r="D19" s="93"/>
      <c r="E19" s="93"/>
      <c r="F19" s="94"/>
      <c r="G19" s="94" t="s">
        <v>832</v>
      </c>
      <c r="H19" s="95">
        <v>161</v>
      </c>
      <c r="I19" s="94"/>
      <c r="J19" s="94"/>
      <c r="K19" s="95"/>
      <c r="L19" s="13"/>
      <c r="M19" s="24">
        <f t="shared" si="0"/>
        <v>161</v>
      </c>
      <c r="N19" s="24">
        <f t="shared" si="1"/>
        <v>0</v>
      </c>
      <c r="O19" s="24">
        <f t="shared" si="2"/>
        <v>0</v>
      </c>
      <c r="P19" s="24"/>
      <c r="Q19" s="25"/>
      <c r="R19" s="25"/>
      <c r="S19" s="90"/>
      <c r="T19" s="26"/>
      <c r="U19" s="26"/>
      <c r="V19" s="26"/>
      <c r="W19" s="26"/>
      <c r="X19" s="25"/>
      <c r="Y19" s="25"/>
      <c r="Z19" s="25"/>
      <c r="AA19" s="25">
        <v>161</v>
      </c>
      <c r="AB19" s="26"/>
      <c r="AC19" s="26"/>
      <c r="AD19" s="25"/>
      <c r="AE19" s="25"/>
      <c r="AF19" s="24">
        <f t="shared" si="3"/>
        <v>-161</v>
      </c>
      <c r="AG19" s="27">
        <f t="shared" si="4"/>
        <v>0</v>
      </c>
      <c r="AH19" s="91">
        <f t="shared" si="5"/>
        <v>161</v>
      </c>
    </row>
    <row r="20" spans="1:34" s="17" customFormat="1" ht="21.75" customHeight="1" x14ac:dyDescent="0.2">
      <c r="A20" s="81"/>
      <c r="B20" s="12"/>
      <c r="C20" s="20"/>
      <c r="D20" s="12"/>
      <c r="E20" s="12"/>
      <c r="F20" s="82"/>
      <c r="G20" s="82"/>
      <c r="H20" s="84"/>
      <c r="I20" s="82"/>
      <c r="J20" s="82"/>
      <c r="K20" s="84"/>
      <c r="L20" s="13"/>
      <c r="M20" s="24">
        <f t="shared" si="0"/>
        <v>0</v>
      </c>
      <c r="N20" s="24">
        <f t="shared" si="1"/>
        <v>0</v>
      </c>
      <c r="O20" s="24">
        <f t="shared" si="2"/>
        <v>0</v>
      </c>
      <c r="P20" s="24"/>
      <c r="Q20" s="25"/>
      <c r="R20" s="25"/>
      <c r="S20" s="90"/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>
        <f t="shared" si="3"/>
        <v>0</v>
      </c>
      <c r="AG20" s="27">
        <f t="shared" si="4"/>
        <v>0</v>
      </c>
    </row>
    <row r="21" spans="1:34" s="29" customFormat="1" ht="23.25" customHeight="1" x14ac:dyDescent="0.2">
      <c r="A21" s="18"/>
      <c r="B21" s="19"/>
      <c r="C21" s="20"/>
      <c r="D21" s="20"/>
      <c r="E21" s="20"/>
      <c r="F21" s="21"/>
      <c r="G21" s="21"/>
      <c r="H21" s="22"/>
      <c r="I21" s="22"/>
      <c r="J21" s="22"/>
      <c r="K21" s="22"/>
      <c r="L21" s="23"/>
      <c r="M21" s="24">
        <f t="shared" si="0"/>
        <v>0</v>
      </c>
      <c r="N21" s="24">
        <f t="shared" si="1"/>
        <v>0</v>
      </c>
      <c r="O21" s="24">
        <f t="shared" si="2"/>
        <v>0</v>
      </c>
      <c r="P21" s="24"/>
      <c r="Q21" s="25"/>
      <c r="R21" s="25"/>
      <c r="S21" s="26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>
        <f t="shared" si="3"/>
        <v>0</v>
      </c>
      <c r="AG21" s="27">
        <f t="shared" si="4"/>
        <v>0</v>
      </c>
    </row>
    <row r="22" spans="1:34" s="29" customFormat="1" ht="10.199999999999999" x14ac:dyDescent="0.2">
      <c r="A22" s="18"/>
      <c r="B22" s="19"/>
      <c r="C22" s="43"/>
      <c r="D22" s="43"/>
      <c r="E22" s="43"/>
      <c r="F22" s="21"/>
      <c r="G22" s="30"/>
      <c r="H22" s="22"/>
      <c r="I22" s="22"/>
      <c r="J22" s="22"/>
      <c r="K22" s="22"/>
      <c r="L22" s="23"/>
      <c r="M22" s="25">
        <f t="shared" si="0"/>
        <v>0</v>
      </c>
      <c r="N22" s="25">
        <f t="shared" si="1"/>
        <v>0</v>
      </c>
      <c r="O22" s="25">
        <f t="shared" si="2"/>
        <v>0</v>
      </c>
      <c r="P22" s="25"/>
      <c r="Q22" s="25"/>
      <c r="R22" s="25"/>
      <c r="S22" s="25"/>
      <c r="T22" s="26"/>
      <c r="U22" s="51"/>
      <c r="V22" s="26"/>
      <c r="W22" s="26"/>
      <c r="X22" s="26"/>
      <c r="Y22" s="44"/>
      <c r="Z22" s="25"/>
      <c r="AA22" s="51"/>
      <c r="AB22" s="25"/>
      <c r="AC22" s="26"/>
      <c r="AD22" s="26"/>
      <c r="AE22" s="45"/>
      <c r="AF22" s="24">
        <f t="shared" si="3"/>
        <v>0</v>
      </c>
      <c r="AG22" s="27">
        <f t="shared" si="4"/>
        <v>0</v>
      </c>
    </row>
    <row r="23" spans="1:34" s="52" customFormat="1" ht="10.199999999999999" x14ac:dyDescent="0.2">
      <c r="A23" s="46"/>
      <c r="B23" s="47"/>
      <c r="C23" s="48"/>
      <c r="D23" s="49"/>
      <c r="E23" s="49"/>
      <c r="F23" s="50"/>
      <c r="G23" s="48"/>
      <c r="H23" s="51">
        <f>SUM(H5:H21)</f>
        <v>371</v>
      </c>
      <c r="I23" s="51">
        <f>SUM(I21:I22)</f>
        <v>0</v>
      </c>
      <c r="J23" s="51">
        <f>SUM(J5:J21)</f>
        <v>3227.5299999999997</v>
      </c>
      <c r="K23" s="51">
        <f>SUM(K5:K21)</f>
        <v>1423.25</v>
      </c>
      <c r="L23" s="51">
        <f>SUM(L21:L22)</f>
        <v>0</v>
      </c>
      <c r="M23" s="51">
        <f>SUM(M5:M21)</f>
        <v>4869.2889285714291</v>
      </c>
      <c r="N23" s="51">
        <f>SUM(N5:N21)</f>
        <v>152.49107142857142</v>
      </c>
      <c r="O23" s="51">
        <f>SUM(O21:O22)</f>
        <v>0</v>
      </c>
      <c r="P23" s="51">
        <f>SUM(P5:P21)</f>
        <v>937.72</v>
      </c>
      <c r="Q23" s="51">
        <f>SUM(Q5:Q21)</f>
        <v>75</v>
      </c>
      <c r="R23" s="51">
        <f>SUM(R5:R21)</f>
        <v>2925.75</v>
      </c>
      <c r="S23" s="51">
        <f>SUM(S10:S22)</f>
        <v>0</v>
      </c>
      <c r="T23" s="51">
        <f>SUM(T10:T22)</f>
        <v>103.57</v>
      </c>
      <c r="U23" s="51">
        <f>SUM(U10:U22)</f>
        <v>0</v>
      </c>
      <c r="V23" s="51">
        <f>SUM(V10:V22)</f>
        <v>67.86</v>
      </c>
      <c r="W23" s="51">
        <f>SUM(W21:W22)</f>
        <v>0</v>
      </c>
      <c r="X23" s="51">
        <f>SUM(X21:X22)</f>
        <v>0</v>
      </c>
      <c r="Y23" s="51">
        <f>SUM(Y21:Y22)</f>
        <v>0</v>
      </c>
      <c r="Z23" s="51">
        <f>SUM(Z21:Z22)</f>
        <v>0</v>
      </c>
      <c r="AA23" s="51">
        <f>SUM(AA5:AA21)</f>
        <v>371</v>
      </c>
      <c r="AB23" s="51">
        <f>SUM(AB21:AB22)</f>
        <v>0</v>
      </c>
      <c r="AC23" s="51">
        <f>SUM(AC5:AC21)</f>
        <v>0</v>
      </c>
      <c r="AD23" s="51">
        <f>SUM(AD5:AD21)</f>
        <v>0</v>
      </c>
      <c r="AE23" s="51">
        <f>SUM(AE21:AE22)</f>
        <v>0</v>
      </c>
      <c r="AF23" s="51">
        <f>SUM(AF5:AF21)</f>
        <v>-5021.7810714285715</v>
      </c>
      <c r="AG23" s="51">
        <f>SUM(AG21:AG22)</f>
        <v>0</v>
      </c>
    </row>
    <row r="24" spans="1:34" x14ac:dyDescent="0.3">
      <c r="H24" s="85"/>
      <c r="I24" s="85"/>
      <c r="J24" s="85"/>
      <c r="K24" s="85" t="e">
        <f>#REF!-#REF!</f>
        <v>#REF!</v>
      </c>
      <c r="L24" s="88"/>
      <c r="M24" s="87"/>
    </row>
    <row r="25" spans="1:34" x14ac:dyDescent="0.3">
      <c r="H25" s="85"/>
      <c r="I25" s="85"/>
      <c r="J25" s="85"/>
      <c r="K25" s="85"/>
    </row>
    <row r="26" spans="1:34" x14ac:dyDescent="0.3">
      <c r="H26" s="85"/>
      <c r="I26" s="85"/>
      <c r="J26" s="85"/>
      <c r="K26" s="85"/>
    </row>
    <row r="27" spans="1:34" x14ac:dyDescent="0.3">
      <c r="H27" s="85"/>
      <c r="I27" s="85"/>
      <c r="J27" s="85"/>
      <c r="K27" s="85"/>
    </row>
    <row r="28" spans="1:34" x14ac:dyDescent="0.3">
      <c r="H28" s="85"/>
      <c r="I28" s="85"/>
      <c r="J28" s="85"/>
      <c r="K28" s="85"/>
    </row>
    <row r="29" spans="1:34" x14ac:dyDescent="0.3">
      <c r="H29" s="85"/>
      <c r="I29" s="85"/>
      <c r="J29" s="85"/>
      <c r="K29" s="85"/>
      <c r="Q29" s="5">
        <v>0</v>
      </c>
    </row>
    <row r="30" spans="1:34" s="3" customFormat="1" ht="11.4" x14ac:dyDescent="0.2">
      <c r="H30" s="86"/>
      <c r="I30" s="86"/>
      <c r="J30" s="86"/>
      <c r="K30" s="86"/>
      <c r="T30" s="5"/>
      <c r="U30" s="5"/>
      <c r="V30" s="5"/>
      <c r="W30" s="5"/>
      <c r="X30" s="5"/>
      <c r="Y30" s="5"/>
    </row>
    <row r="31" spans="1:34" x14ac:dyDescent="0.3">
      <c r="H31" s="85"/>
      <c r="I31" s="85"/>
      <c r="J31" s="85"/>
      <c r="K31" s="85"/>
    </row>
    <row r="32" spans="1:34" x14ac:dyDescent="0.3">
      <c r="H32" s="85"/>
      <c r="I32" s="85"/>
      <c r="J32" s="85"/>
      <c r="K32" s="85"/>
    </row>
    <row r="33" spans="8:11" x14ac:dyDescent="0.3">
      <c r="H33" s="85"/>
      <c r="I33" s="85"/>
      <c r="J33" s="85"/>
      <c r="K33" s="85"/>
    </row>
    <row r="34" spans="8:11" x14ac:dyDescent="0.3">
      <c r="H34" s="85"/>
      <c r="I34" s="85"/>
      <c r="J34" s="85"/>
      <c r="K34" s="85"/>
    </row>
    <row r="35" spans="8:11" x14ac:dyDescent="0.3">
      <c r="H35" s="87"/>
      <c r="I35" s="87"/>
      <c r="J35" s="87"/>
      <c r="K35" s="87"/>
    </row>
    <row r="36" spans="8:11" x14ac:dyDescent="0.3">
      <c r="H36" s="87"/>
      <c r="I36" s="87"/>
      <c r="J36" s="87"/>
      <c r="K36" s="87"/>
    </row>
    <row r="37" spans="8:11" s="3" customFormat="1" ht="10.199999999999999" x14ac:dyDescent="0.2">
      <c r="H37" s="87"/>
      <c r="I37" s="87"/>
      <c r="J37" s="87"/>
      <c r="K37" s="87"/>
    </row>
    <row r="38" spans="8:11" s="3" customFormat="1" ht="10.199999999999999" x14ac:dyDescent="0.2">
      <c r="H38" s="87"/>
      <c r="I38" s="87"/>
      <c r="J38" s="87"/>
      <c r="K38" s="87"/>
    </row>
    <row r="39" spans="8:11" s="3" customFormat="1" ht="10.199999999999999" x14ac:dyDescent="0.2">
      <c r="H39" s="87"/>
      <c r="I39" s="87"/>
      <c r="J39" s="87"/>
      <c r="K39" s="8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MK37"/>
  <sheetViews>
    <sheetView topLeftCell="L4" zoomScaleNormal="100" workbookViewId="0">
      <selection activeCell="V22" sqref="V22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6.109375" style="3" customWidth="1"/>
    <col min="4" max="4" width="14" style="4" hidden="1" customWidth="1"/>
    <col min="5" max="5" width="29.33203125" style="4" hidden="1" customWidth="1"/>
    <col min="6" max="6" width="7.88671875" style="2" customWidth="1"/>
    <col min="7" max="7" width="26.5546875" style="3" customWidth="1"/>
    <col min="8" max="8" width="11.109375" style="5" customWidth="1"/>
    <col min="9" max="9" width="9.5546875" style="5" hidden="1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10.6640625" style="5" customWidth="1"/>
    <col min="19" max="19" width="9.5546875" style="5" customWidth="1"/>
    <col min="20" max="21" width="9.109375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30" width="8" style="5" customWidth="1"/>
    <col min="31" max="31" width="10.109375" style="5" customWidth="1"/>
    <col min="32" max="32" width="10.6640625" style="5" customWidth="1"/>
    <col min="33" max="33" width="8.88671875" style="3" customWidth="1"/>
    <col min="34" max="1025" width="9.109375" style="3" customWidth="1"/>
  </cols>
  <sheetData>
    <row r="1" spans="1:34" ht="12" customHeight="1" x14ac:dyDescent="0.3">
      <c r="A1" s="7" t="s">
        <v>0</v>
      </c>
      <c r="C1" s="8"/>
    </row>
    <row r="2" spans="1:34" ht="12" customHeight="1" x14ac:dyDescent="0.3">
      <c r="A2" s="7" t="s">
        <v>1</v>
      </c>
    </row>
    <row r="3" spans="1:34" ht="12" customHeight="1" x14ac:dyDescent="0.3">
      <c r="A3" s="96" t="s">
        <v>833</v>
      </c>
      <c r="B3" s="97"/>
      <c r="C3" s="98"/>
      <c r="D3" s="74"/>
      <c r="E3" s="74"/>
      <c r="F3" s="75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4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771</v>
      </c>
      <c r="T4" s="13" t="s">
        <v>24</v>
      </c>
      <c r="U4" s="13" t="s">
        <v>25</v>
      </c>
      <c r="V4" s="13" t="s">
        <v>22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613</v>
      </c>
      <c r="AD4" s="13" t="s">
        <v>34</v>
      </c>
      <c r="AE4" s="15" t="s">
        <v>35</v>
      </c>
      <c r="AF4" s="16" t="s">
        <v>36</v>
      </c>
    </row>
    <row r="5" spans="1:34" s="17" customFormat="1" ht="19.5" customHeight="1" x14ac:dyDescent="0.2">
      <c r="A5" s="81">
        <v>40489</v>
      </c>
      <c r="B5" s="12"/>
      <c r="C5" s="20" t="s">
        <v>325</v>
      </c>
      <c r="D5" s="12"/>
      <c r="E5" s="12"/>
      <c r="F5" s="82"/>
      <c r="G5" s="82" t="s">
        <v>834</v>
      </c>
      <c r="H5" s="84">
        <v>500</v>
      </c>
      <c r="I5" s="82"/>
      <c r="J5" s="84"/>
      <c r="K5" s="84"/>
      <c r="L5" s="83"/>
      <c r="M5" s="24">
        <f t="shared" ref="M5:M23" si="0">SUM(H5:J5,K5/1.12)</f>
        <v>500</v>
      </c>
      <c r="N5" s="24">
        <f t="shared" ref="N5:N23" si="1">K5/1.12*0.12</f>
        <v>0</v>
      </c>
      <c r="O5" s="24">
        <f t="shared" ref="O5:O23" si="2">-SUM(I5:J5,K5/1.12)*L5</f>
        <v>0</v>
      </c>
      <c r="P5" s="24"/>
      <c r="Q5" s="25"/>
      <c r="R5" s="25"/>
      <c r="S5" s="26"/>
      <c r="T5" s="26"/>
      <c r="U5" s="26"/>
      <c r="V5" s="26"/>
      <c r="W5" s="26"/>
      <c r="X5" s="25"/>
      <c r="Y5" s="25"/>
      <c r="Z5" s="25"/>
      <c r="AA5" s="25">
        <v>500</v>
      </c>
      <c r="AB5" s="26"/>
      <c r="AC5" s="26"/>
      <c r="AD5" s="25"/>
      <c r="AE5" s="25"/>
      <c r="AF5" s="24">
        <f t="shared" ref="AF5:AF23" si="3">-SUM(N5:AE5)</f>
        <v>-500</v>
      </c>
      <c r="AG5" s="27">
        <f t="shared" ref="AG5:AG23" si="4">SUM(H5:K5)+AF5+O5</f>
        <v>0</v>
      </c>
      <c r="AH5" s="91">
        <f t="shared" ref="AH5:AH20" si="5">-AF5</f>
        <v>500</v>
      </c>
    </row>
    <row r="6" spans="1:34" s="17" customFormat="1" ht="19.5" customHeight="1" x14ac:dyDescent="0.2">
      <c r="A6" s="81">
        <v>40492</v>
      </c>
      <c r="B6" s="12"/>
      <c r="C6" s="82" t="s">
        <v>170</v>
      </c>
      <c r="D6" s="12"/>
      <c r="E6" s="12"/>
      <c r="F6" s="82"/>
      <c r="G6" s="82" t="s">
        <v>803</v>
      </c>
      <c r="H6" s="84">
        <v>30</v>
      </c>
      <c r="I6" s="82"/>
      <c r="J6" s="84"/>
      <c r="K6" s="84"/>
      <c r="L6" s="83"/>
      <c r="M6" s="24">
        <f t="shared" si="0"/>
        <v>30</v>
      </c>
      <c r="N6" s="24">
        <f t="shared" si="1"/>
        <v>0</v>
      </c>
      <c r="O6" s="24">
        <f t="shared" si="2"/>
        <v>0</v>
      </c>
      <c r="P6" s="24"/>
      <c r="Q6" s="25"/>
      <c r="R6" s="25"/>
      <c r="S6" s="26"/>
      <c r="T6" s="26"/>
      <c r="U6" s="26"/>
      <c r="V6" s="26"/>
      <c r="W6" s="26"/>
      <c r="X6" s="25"/>
      <c r="Y6" s="25"/>
      <c r="Z6" s="25"/>
      <c r="AA6" s="25">
        <v>30</v>
      </c>
      <c r="AB6" s="26"/>
      <c r="AC6" s="26"/>
      <c r="AD6" s="25"/>
      <c r="AE6" s="25"/>
      <c r="AF6" s="24">
        <f t="shared" si="3"/>
        <v>-30</v>
      </c>
      <c r="AG6" s="27">
        <f t="shared" si="4"/>
        <v>0</v>
      </c>
      <c r="AH6" s="91">
        <f t="shared" si="5"/>
        <v>30</v>
      </c>
    </row>
    <row r="7" spans="1:34" s="17" customFormat="1" ht="19.5" customHeight="1" x14ac:dyDescent="0.2">
      <c r="A7" s="81">
        <v>40491</v>
      </c>
      <c r="B7" s="12"/>
      <c r="C7" s="82" t="s">
        <v>522</v>
      </c>
      <c r="D7" s="12"/>
      <c r="E7" s="12"/>
      <c r="F7" s="82">
        <v>65981</v>
      </c>
      <c r="G7" s="82" t="s">
        <v>835</v>
      </c>
      <c r="H7" s="84"/>
      <c r="I7" s="82"/>
      <c r="J7" s="84"/>
      <c r="K7" s="84">
        <v>100</v>
      </c>
      <c r="L7" s="83"/>
      <c r="M7" s="24">
        <f t="shared" si="0"/>
        <v>89.285714285714278</v>
      </c>
      <c r="N7" s="24">
        <f t="shared" si="1"/>
        <v>10.714285714285714</v>
      </c>
      <c r="O7" s="24">
        <f t="shared" si="2"/>
        <v>0</v>
      </c>
      <c r="P7" s="24"/>
      <c r="Q7" s="25"/>
      <c r="R7" s="25"/>
      <c r="S7" s="26"/>
      <c r="T7" s="26">
        <v>89.29</v>
      </c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>
        <f t="shared" si="3"/>
        <v>-100.00428571428571</v>
      </c>
      <c r="AG7" s="27">
        <f t="shared" si="4"/>
        <v>-4.2857142857144481E-3</v>
      </c>
      <c r="AH7" s="91">
        <f t="shared" si="5"/>
        <v>100.00428571428571</v>
      </c>
    </row>
    <row r="8" spans="1:34" s="17" customFormat="1" ht="19.5" customHeight="1" x14ac:dyDescent="0.2">
      <c r="A8" s="81">
        <v>40491</v>
      </c>
      <c r="B8" s="12"/>
      <c r="C8" s="20" t="s">
        <v>729</v>
      </c>
      <c r="D8" s="12"/>
      <c r="E8" s="12"/>
      <c r="F8" s="82">
        <v>4665</v>
      </c>
      <c r="G8" s="82" t="s">
        <v>836</v>
      </c>
      <c r="H8" s="82"/>
      <c r="I8" s="82"/>
      <c r="J8" s="84"/>
      <c r="K8" s="84">
        <v>650</v>
      </c>
      <c r="L8" s="83"/>
      <c r="M8" s="24">
        <f t="shared" si="0"/>
        <v>580.35714285714278</v>
      </c>
      <c r="N8" s="24">
        <f t="shared" si="1"/>
        <v>69.642857142857125</v>
      </c>
      <c r="O8" s="24">
        <f t="shared" si="2"/>
        <v>0</v>
      </c>
      <c r="P8" s="24">
        <v>580.36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>
        <f t="shared" si="3"/>
        <v>-650.00285714285712</v>
      </c>
      <c r="AG8" s="27">
        <f t="shared" si="4"/>
        <v>-2.8571428571240176E-3</v>
      </c>
      <c r="AH8" s="91">
        <f t="shared" si="5"/>
        <v>650.00285714285712</v>
      </c>
    </row>
    <row r="9" spans="1:34" s="17" customFormat="1" ht="19.5" customHeight="1" x14ac:dyDescent="0.2">
      <c r="A9" s="81">
        <v>40492</v>
      </c>
      <c r="B9" s="12"/>
      <c r="C9" s="20" t="s">
        <v>837</v>
      </c>
      <c r="D9" s="12"/>
      <c r="E9" s="12"/>
      <c r="F9" s="82">
        <v>516959</v>
      </c>
      <c r="G9" s="82" t="s">
        <v>800</v>
      </c>
      <c r="H9" s="82"/>
      <c r="I9" s="82"/>
      <c r="J9" s="84"/>
      <c r="K9" s="84">
        <v>125</v>
      </c>
      <c r="L9" s="83"/>
      <c r="M9" s="24">
        <f t="shared" si="0"/>
        <v>111.60714285714285</v>
      </c>
      <c r="N9" s="24">
        <f t="shared" si="1"/>
        <v>13.392857142857141</v>
      </c>
      <c r="O9" s="24">
        <f t="shared" si="2"/>
        <v>0</v>
      </c>
      <c r="P9" s="24"/>
      <c r="Q9" s="25">
        <v>111.61</v>
      </c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>
        <f t="shared" si="3"/>
        <v>-125.00285714285714</v>
      </c>
      <c r="AG9" s="27">
        <f t="shared" si="4"/>
        <v>-2.8571428571382285E-3</v>
      </c>
      <c r="AH9" s="91">
        <f t="shared" si="5"/>
        <v>125.00285714285714</v>
      </c>
    </row>
    <row r="10" spans="1:34" s="17" customFormat="1" ht="30.75" customHeight="1" x14ac:dyDescent="0.2">
      <c r="A10" s="81">
        <v>40492</v>
      </c>
      <c r="B10" s="12"/>
      <c r="C10" s="20" t="s">
        <v>47</v>
      </c>
      <c r="D10" s="12"/>
      <c r="E10" s="12"/>
      <c r="F10" s="82">
        <v>277039</v>
      </c>
      <c r="G10" s="82" t="s">
        <v>838</v>
      </c>
      <c r="H10" s="84"/>
      <c r="I10" s="82"/>
      <c r="J10" s="84"/>
      <c r="K10" s="84">
        <v>5988.6</v>
      </c>
      <c r="L10" s="83"/>
      <c r="M10" s="24">
        <f t="shared" si="0"/>
        <v>5346.9642857142853</v>
      </c>
      <c r="N10" s="24">
        <f t="shared" si="1"/>
        <v>641.63571428571424</v>
      </c>
      <c r="O10" s="24">
        <f t="shared" si="2"/>
        <v>0</v>
      </c>
      <c r="P10" s="24">
        <v>5346.96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>
        <f t="shared" si="3"/>
        <v>-5988.5957142857142</v>
      </c>
      <c r="AG10" s="27">
        <f t="shared" si="4"/>
        <v>4.2857142861976172E-3</v>
      </c>
      <c r="AH10" s="91">
        <f t="shared" si="5"/>
        <v>5988.5957142857142</v>
      </c>
    </row>
    <row r="11" spans="1:34" s="17" customFormat="1" ht="18" customHeight="1" x14ac:dyDescent="0.2">
      <c r="A11" s="81">
        <v>40492</v>
      </c>
      <c r="B11" s="12"/>
      <c r="C11" s="20" t="s">
        <v>47</v>
      </c>
      <c r="D11" s="12"/>
      <c r="E11" s="12"/>
      <c r="F11" s="82">
        <v>277039</v>
      </c>
      <c r="G11" s="82" t="s">
        <v>839</v>
      </c>
      <c r="H11" s="84"/>
      <c r="I11" s="12"/>
      <c r="J11" s="84">
        <v>292.89999999999998</v>
      </c>
      <c r="K11" s="84"/>
      <c r="L11" s="13"/>
      <c r="M11" s="24">
        <f t="shared" si="0"/>
        <v>292.89999999999998</v>
      </c>
      <c r="N11" s="24">
        <f t="shared" si="1"/>
        <v>0</v>
      </c>
      <c r="O11" s="24">
        <f t="shared" si="2"/>
        <v>0</v>
      </c>
      <c r="P11" s="24">
        <v>292.89999999999998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>
        <f t="shared" si="3"/>
        <v>-292.89999999999998</v>
      </c>
      <c r="AG11" s="27">
        <f t="shared" si="4"/>
        <v>0</v>
      </c>
      <c r="AH11" s="91">
        <f t="shared" si="5"/>
        <v>292.89999999999998</v>
      </c>
    </row>
    <row r="12" spans="1:34" s="17" customFormat="1" ht="21.75" customHeight="1" x14ac:dyDescent="0.2">
      <c r="A12" s="81">
        <v>40492</v>
      </c>
      <c r="B12" s="12"/>
      <c r="C12" s="20" t="s">
        <v>840</v>
      </c>
      <c r="D12" s="12"/>
      <c r="E12" s="12"/>
      <c r="F12" s="82"/>
      <c r="G12" s="82" t="s">
        <v>691</v>
      </c>
      <c r="H12" s="84">
        <v>80</v>
      </c>
      <c r="I12" s="82"/>
      <c r="J12" s="82"/>
      <c r="K12" s="84"/>
      <c r="L12" s="13"/>
      <c r="M12" s="24">
        <f t="shared" si="0"/>
        <v>80</v>
      </c>
      <c r="N12" s="24">
        <f t="shared" si="1"/>
        <v>0</v>
      </c>
      <c r="O12" s="24">
        <f t="shared" si="2"/>
        <v>0</v>
      </c>
      <c r="P12" s="24"/>
      <c r="Q12" s="25"/>
      <c r="R12" s="25"/>
      <c r="S12" s="90"/>
      <c r="T12" s="26"/>
      <c r="U12" s="26"/>
      <c r="V12" s="26"/>
      <c r="W12" s="26"/>
      <c r="X12" s="25"/>
      <c r="Y12" s="25"/>
      <c r="Z12" s="25"/>
      <c r="AA12" s="25">
        <v>80</v>
      </c>
      <c r="AB12" s="26"/>
      <c r="AC12" s="26"/>
      <c r="AD12" s="25"/>
      <c r="AE12" s="25"/>
      <c r="AF12" s="24">
        <f t="shared" si="3"/>
        <v>-80</v>
      </c>
      <c r="AG12" s="27">
        <f t="shared" si="4"/>
        <v>0</v>
      </c>
      <c r="AH12" s="91">
        <f t="shared" si="5"/>
        <v>80</v>
      </c>
    </row>
    <row r="13" spans="1:34" s="17" customFormat="1" ht="21.75" customHeight="1" x14ac:dyDescent="0.2">
      <c r="A13" s="81">
        <v>40492</v>
      </c>
      <c r="B13" s="12"/>
      <c r="C13" s="20" t="s">
        <v>729</v>
      </c>
      <c r="D13" s="12"/>
      <c r="E13" s="12"/>
      <c r="F13" s="82">
        <v>4803</v>
      </c>
      <c r="G13" s="82" t="s">
        <v>841</v>
      </c>
      <c r="H13" s="84"/>
      <c r="I13" s="82"/>
      <c r="J13" s="82"/>
      <c r="K13" s="84">
        <v>350.53</v>
      </c>
      <c r="L13" s="13"/>
      <c r="M13" s="24">
        <f t="shared" si="0"/>
        <v>312.97321428571422</v>
      </c>
      <c r="N13" s="24">
        <f t="shared" si="1"/>
        <v>37.556785714285702</v>
      </c>
      <c r="O13" s="24">
        <f t="shared" si="2"/>
        <v>0</v>
      </c>
      <c r="P13" s="24">
        <v>312.97000000000003</v>
      </c>
      <c r="Q13" s="25">
        <v>0</v>
      </c>
      <c r="R13" s="25"/>
      <c r="S13" s="90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>
        <f t="shared" si="3"/>
        <v>-350.52678571428572</v>
      </c>
      <c r="AG13" s="27">
        <f t="shared" si="4"/>
        <v>3.214285714250309E-3</v>
      </c>
      <c r="AH13" s="91">
        <f t="shared" si="5"/>
        <v>350.52678571428572</v>
      </c>
    </row>
    <row r="14" spans="1:34" s="17" customFormat="1" ht="21.75" customHeight="1" x14ac:dyDescent="0.2">
      <c r="A14" s="81">
        <v>44146</v>
      </c>
      <c r="B14" s="12"/>
      <c r="C14" s="20" t="s">
        <v>47</v>
      </c>
      <c r="D14" s="12"/>
      <c r="E14" s="12"/>
      <c r="F14" s="82">
        <v>209412</v>
      </c>
      <c r="G14" s="82" t="s">
        <v>842</v>
      </c>
      <c r="H14" s="84"/>
      <c r="I14" s="82"/>
      <c r="J14" s="84"/>
      <c r="K14" s="84">
        <f>348+260</f>
        <v>608</v>
      </c>
      <c r="L14" s="13"/>
      <c r="M14" s="24">
        <f t="shared" si="0"/>
        <v>542.85714285714278</v>
      </c>
      <c r="N14" s="24">
        <f t="shared" si="1"/>
        <v>65.142857142857125</v>
      </c>
      <c r="O14" s="24">
        <f t="shared" si="2"/>
        <v>0</v>
      </c>
      <c r="P14" s="24">
        <v>542.86</v>
      </c>
      <c r="Q14" s="25"/>
      <c r="R14" s="25"/>
      <c r="S14" s="90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>
        <f t="shared" si="3"/>
        <v>-608.00285714285712</v>
      </c>
      <c r="AG14" s="27">
        <f t="shared" si="4"/>
        <v>-2.8571428571240176E-3</v>
      </c>
      <c r="AH14" s="91">
        <f t="shared" si="5"/>
        <v>608.00285714285712</v>
      </c>
    </row>
    <row r="15" spans="1:34" s="17" customFormat="1" ht="21.75" customHeight="1" x14ac:dyDescent="0.2">
      <c r="A15" s="81">
        <v>44146</v>
      </c>
      <c r="B15" s="12"/>
      <c r="C15" s="20" t="s">
        <v>47</v>
      </c>
      <c r="D15" s="12"/>
      <c r="E15" s="12"/>
      <c r="F15" s="82">
        <v>209412</v>
      </c>
      <c r="G15" s="82" t="s">
        <v>193</v>
      </c>
      <c r="H15" s="84"/>
      <c r="I15" s="82"/>
      <c r="J15" s="82"/>
      <c r="K15" s="84">
        <v>73</v>
      </c>
      <c r="L15" s="13"/>
      <c r="M15" s="24">
        <f t="shared" si="0"/>
        <v>65.178571428571416</v>
      </c>
      <c r="N15" s="24">
        <f t="shared" si="1"/>
        <v>7.8214285714285694</v>
      </c>
      <c r="O15" s="24">
        <f t="shared" si="2"/>
        <v>0</v>
      </c>
      <c r="P15" s="24"/>
      <c r="Q15" s="25"/>
      <c r="R15" s="25"/>
      <c r="S15" s="90"/>
      <c r="T15" s="26"/>
      <c r="U15" s="26">
        <v>65.180000000000007</v>
      </c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>
        <f t="shared" si="3"/>
        <v>-73.001428571428576</v>
      </c>
      <c r="AG15" s="27">
        <f t="shared" si="4"/>
        <v>-1.4285714285762197E-3</v>
      </c>
      <c r="AH15" s="91">
        <f t="shared" si="5"/>
        <v>73.001428571428576</v>
      </c>
    </row>
    <row r="16" spans="1:34" s="17" customFormat="1" ht="21.75" customHeight="1" x14ac:dyDescent="0.2">
      <c r="A16" s="81">
        <v>44146</v>
      </c>
      <c r="B16" s="12"/>
      <c r="C16" s="20" t="s">
        <v>729</v>
      </c>
      <c r="D16" s="12"/>
      <c r="E16" s="12"/>
      <c r="F16" s="82">
        <v>4992</v>
      </c>
      <c r="G16" s="82" t="s">
        <v>221</v>
      </c>
      <c r="H16" s="84"/>
      <c r="I16" s="82"/>
      <c r="J16" s="82"/>
      <c r="K16" s="84">
        <v>24</v>
      </c>
      <c r="L16" s="13"/>
      <c r="M16" s="24">
        <f t="shared" si="0"/>
        <v>21.428571428571427</v>
      </c>
      <c r="N16" s="24">
        <f t="shared" si="1"/>
        <v>2.5714285714285712</v>
      </c>
      <c r="O16" s="24">
        <f t="shared" si="2"/>
        <v>0</v>
      </c>
      <c r="P16" s="24">
        <v>21.43</v>
      </c>
      <c r="Q16" s="25"/>
      <c r="R16" s="25"/>
      <c r="S16" s="90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5"/>
      <c r="AF16" s="24">
        <f t="shared" si="3"/>
        <v>-24.001428571428569</v>
      </c>
      <c r="AG16" s="27">
        <f t="shared" si="4"/>
        <v>-1.4285714285691142E-3</v>
      </c>
      <c r="AH16" s="91">
        <f t="shared" si="5"/>
        <v>24.001428571428569</v>
      </c>
    </row>
    <row r="17" spans="1:34" s="17" customFormat="1" ht="21.75" customHeight="1" x14ac:dyDescent="0.2">
      <c r="A17" s="81">
        <v>44146</v>
      </c>
      <c r="B17" s="12"/>
      <c r="C17" s="82" t="s">
        <v>409</v>
      </c>
      <c r="D17" s="12"/>
      <c r="E17" s="12"/>
      <c r="F17" s="82">
        <v>639</v>
      </c>
      <c r="G17" s="82" t="s">
        <v>843</v>
      </c>
      <c r="H17" s="84"/>
      <c r="I17" s="82"/>
      <c r="J17" s="84">
        <v>8400</v>
      </c>
      <c r="K17" s="84"/>
      <c r="L17" s="13"/>
      <c r="M17" s="24">
        <f t="shared" si="0"/>
        <v>8400</v>
      </c>
      <c r="N17" s="24">
        <f t="shared" si="1"/>
        <v>0</v>
      </c>
      <c r="O17" s="24">
        <f t="shared" si="2"/>
        <v>0</v>
      </c>
      <c r="P17" s="24">
        <v>8400</v>
      </c>
      <c r="Q17" s="25"/>
      <c r="R17" s="25"/>
      <c r="S17" s="90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>
        <f t="shared" si="3"/>
        <v>-8400</v>
      </c>
      <c r="AG17" s="27">
        <f t="shared" si="4"/>
        <v>0</v>
      </c>
      <c r="AH17" s="91">
        <f t="shared" si="5"/>
        <v>8400</v>
      </c>
    </row>
    <row r="18" spans="1:34" s="29" customFormat="1" ht="23.25" customHeight="1" x14ac:dyDescent="0.2">
      <c r="A18" s="18">
        <v>40496</v>
      </c>
      <c r="B18" s="19"/>
      <c r="C18" s="20" t="s">
        <v>549</v>
      </c>
      <c r="D18" s="20"/>
      <c r="E18" s="20"/>
      <c r="F18" s="21"/>
      <c r="G18" s="21" t="s">
        <v>63</v>
      </c>
      <c r="H18" s="22"/>
      <c r="I18" s="22"/>
      <c r="J18" s="22">
        <v>150</v>
      </c>
      <c r="K18" s="22"/>
      <c r="L18" s="23"/>
      <c r="M18" s="24">
        <f t="shared" si="0"/>
        <v>150</v>
      </c>
      <c r="N18" s="24">
        <f t="shared" si="1"/>
        <v>0</v>
      </c>
      <c r="O18" s="24">
        <f t="shared" si="2"/>
        <v>0</v>
      </c>
      <c r="P18" s="24">
        <v>150</v>
      </c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>
        <f t="shared" si="3"/>
        <v>-150</v>
      </c>
      <c r="AG18" s="27">
        <f t="shared" si="4"/>
        <v>0</v>
      </c>
      <c r="AH18" s="91">
        <f t="shared" si="5"/>
        <v>150</v>
      </c>
    </row>
    <row r="19" spans="1:34" s="29" customFormat="1" ht="23.25" customHeight="1" x14ac:dyDescent="0.2">
      <c r="A19" s="18">
        <v>40496</v>
      </c>
      <c r="B19" s="19"/>
      <c r="C19" s="20" t="s">
        <v>569</v>
      </c>
      <c r="D19" s="20"/>
      <c r="E19" s="20"/>
      <c r="F19" s="21">
        <v>205392</v>
      </c>
      <c r="G19" s="21" t="s">
        <v>844</v>
      </c>
      <c r="H19" s="22"/>
      <c r="I19" s="22"/>
      <c r="J19" s="22"/>
      <c r="K19" s="22">
        <v>542</v>
      </c>
      <c r="L19" s="23"/>
      <c r="M19" s="24">
        <f t="shared" si="0"/>
        <v>483.92857142857139</v>
      </c>
      <c r="N19" s="24">
        <f t="shared" si="1"/>
        <v>58.071428571428562</v>
      </c>
      <c r="O19" s="24">
        <f t="shared" si="2"/>
        <v>0</v>
      </c>
      <c r="P19" s="24"/>
      <c r="Q19" s="25"/>
      <c r="R19" s="25">
        <v>483.93</v>
      </c>
      <c r="S19" s="26"/>
      <c r="T19" s="26"/>
      <c r="U19" s="26"/>
      <c r="V19" s="26"/>
      <c r="W19" s="26"/>
      <c r="X19" s="25"/>
      <c r="Y19" s="25"/>
      <c r="Z19" s="25"/>
      <c r="AA19" s="25"/>
      <c r="AB19" s="26"/>
      <c r="AC19" s="26"/>
      <c r="AD19" s="25"/>
      <c r="AE19" s="25"/>
      <c r="AF19" s="24">
        <f t="shared" si="3"/>
        <v>-542.00142857142862</v>
      </c>
      <c r="AG19" s="27">
        <f t="shared" si="4"/>
        <v>-1.4285714286188522E-3</v>
      </c>
      <c r="AH19" s="91">
        <f t="shared" si="5"/>
        <v>542.00142857142862</v>
      </c>
    </row>
    <row r="20" spans="1:34" s="29" customFormat="1" ht="23.25" customHeight="1" x14ac:dyDescent="0.2">
      <c r="A20" s="18">
        <v>40496</v>
      </c>
      <c r="B20" s="19"/>
      <c r="C20" s="20" t="s">
        <v>605</v>
      </c>
      <c r="D20" s="20"/>
      <c r="E20" s="20"/>
      <c r="F20" s="21"/>
      <c r="G20" s="21" t="s">
        <v>845</v>
      </c>
      <c r="H20" s="22">
        <v>70</v>
      </c>
      <c r="I20" s="22"/>
      <c r="J20" s="22"/>
      <c r="K20" s="22"/>
      <c r="L20" s="23"/>
      <c r="M20" s="24">
        <f t="shared" si="0"/>
        <v>70</v>
      </c>
      <c r="N20" s="24">
        <f t="shared" si="1"/>
        <v>0</v>
      </c>
      <c r="O20" s="24">
        <f t="shared" si="2"/>
        <v>0</v>
      </c>
      <c r="P20" s="24"/>
      <c r="Q20" s="25"/>
      <c r="R20" s="25"/>
      <c r="S20" s="26"/>
      <c r="T20" s="26"/>
      <c r="U20" s="26"/>
      <c r="V20" s="26"/>
      <c r="W20" s="26"/>
      <c r="X20" s="25"/>
      <c r="Y20" s="25"/>
      <c r="Z20" s="25"/>
      <c r="AA20" s="25">
        <v>70</v>
      </c>
      <c r="AB20" s="26"/>
      <c r="AC20" s="26"/>
      <c r="AD20" s="25"/>
      <c r="AE20" s="25"/>
      <c r="AF20" s="24">
        <f t="shared" si="3"/>
        <v>-70</v>
      </c>
      <c r="AG20" s="27">
        <f t="shared" si="4"/>
        <v>0</v>
      </c>
      <c r="AH20" s="91">
        <f t="shared" si="5"/>
        <v>70</v>
      </c>
    </row>
    <row r="21" spans="1:34" s="29" customFormat="1" ht="23.25" customHeight="1" x14ac:dyDescent="0.2">
      <c r="A21" s="18"/>
      <c r="B21" s="19"/>
      <c r="C21" s="20"/>
      <c r="D21" s="20"/>
      <c r="E21" s="20"/>
      <c r="F21" s="21"/>
      <c r="G21" s="21"/>
      <c r="H21" s="22"/>
      <c r="I21" s="22"/>
      <c r="J21" s="22"/>
      <c r="K21" s="22"/>
      <c r="L21" s="23"/>
      <c r="M21" s="24">
        <f t="shared" si="0"/>
        <v>0</v>
      </c>
      <c r="N21" s="24">
        <f t="shared" si="1"/>
        <v>0</v>
      </c>
      <c r="O21" s="24">
        <f t="shared" si="2"/>
        <v>0</v>
      </c>
      <c r="P21" s="24"/>
      <c r="Q21" s="25"/>
      <c r="R21" s="25"/>
      <c r="S21" s="26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>
        <f t="shared" si="3"/>
        <v>0</v>
      </c>
      <c r="AG21" s="27">
        <f t="shared" si="4"/>
        <v>0</v>
      </c>
    </row>
    <row r="22" spans="1:34" s="29" customFormat="1" ht="23.25" customHeight="1" x14ac:dyDescent="0.2">
      <c r="A22" s="18"/>
      <c r="B22" s="19"/>
      <c r="C22" s="20"/>
      <c r="D22" s="20"/>
      <c r="E22" s="20"/>
      <c r="F22" s="21"/>
      <c r="G22" s="21"/>
      <c r="H22" s="22"/>
      <c r="I22" s="22"/>
      <c r="J22" s="22"/>
      <c r="K22" s="22"/>
      <c r="L22" s="23"/>
      <c r="M22" s="24">
        <f t="shared" si="0"/>
        <v>0</v>
      </c>
      <c r="N22" s="24">
        <f t="shared" si="1"/>
        <v>0</v>
      </c>
      <c r="O22" s="24">
        <f t="shared" si="2"/>
        <v>0</v>
      </c>
      <c r="P22" s="24"/>
      <c r="Q22" s="25"/>
      <c r="R22" s="25"/>
      <c r="S22" s="26"/>
      <c r="T22" s="26"/>
      <c r="U22" s="26"/>
      <c r="V22" s="26"/>
      <c r="W22" s="26"/>
      <c r="X22" s="25"/>
      <c r="Y22" s="25"/>
      <c r="Z22" s="25"/>
      <c r="AA22" s="25"/>
      <c r="AB22" s="26"/>
      <c r="AC22" s="26"/>
      <c r="AD22" s="25"/>
      <c r="AE22" s="25"/>
      <c r="AF22" s="24">
        <f t="shared" si="3"/>
        <v>0</v>
      </c>
      <c r="AG22" s="27">
        <f t="shared" si="4"/>
        <v>0</v>
      </c>
    </row>
    <row r="23" spans="1:34" s="29" customFormat="1" ht="10.199999999999999" x14ac:dyDescent="0.2">
      <c r="A23" s="18"/>
      <c r="B23" s="19"/>
      <c r="C23" s="43"/>
      <c r="D23" s="43"/>
      <c r="E23" s="43"/>
      <c r="F23" s="21"/>
      <c r="G23" s="30"/>
      <c r="H23" s="22"/>
      <c r="I23" s="22"/>
      <c r="J23" s="22"/>
      <c r="K23" s="22"/>
      <c r="L23" s="23"/>
      <c r="M23" s="25">
        <f t="shared" si="0"/>
        <v>0</v>
      </c>
      <c r="N23" s="25">
        <f t="shared" si="1"/>
        <v>0</v>
      </c>
      <c r="O23" s="25">
        <f t="shared" si="2"/>
        <v>0</v>
      </c>
      <c r="P23" s="25"/>
      <c r="Q23" s="25"/>
      <c r="R23" s="25"/>
      <c r="S23" s="25"/>
      <c r="T23" s="26"/>
      <c r="U23" s="51"/>
      <c r="V23" s="26"/>
      <c r="W23" s="26"/>
      <c r="X23" s="26"/>
      <c r="Y23" s="44"/>
      <c r="Z23" s="25"/>
      <c r="AA23" s="51"/>
      <c r="AB23" s="25"/>
      <c r="AC23" s="26"/>
      <c r="AD23" s="26"/>
      <c r="AE23" s="45"/>
      <c r="AF23" s="24">
        <f t="shared" si="3"/>
        <v>0</v>
      </c>
      <c r="AG23" s="27">
        <f t="shared" si="4"/>
        <v>0</v>
      </c>
    </row>
    <row r="24" spans="1:34" s="52" customFormat="1" ht="10.199999999999999" x14ac:dyDescent="0.2">
      <c r="A24" s="46"/>
      <c r="B24" s="47"/>
      <c r="C24" s="48"/>
      <c r="D24" s="49"/>
      <c r="E24" s="49"/>
      <c r="F24" s="50"/>
      <c r="G24" s="48"/>
      <c r="H24" s="51">
        <f>SUM(H5:H22)</f>
        <v>680</v>
      </c>
      <c r="I24" s="51">
        <f>SUM(I22:I23)</f>
        <v>0</v>
      </c>
      <c r="J24" s="51">
        <f>SUM(J5:J22)</f>
        <v>8842.9</v>
      </c>
      <c r="K24" s="51">
        <f>SUM(K5:K22)</f>
        <v>8461.130000000001</v>
      </c>
      <c r="L24" s="51">
        <f>SUM(L22:L23)</f>
        <v>0</v>
      </c>
      <c r="M24" s="51">
        <f>SUM(M5:M22)</f>
        <v>17077.480357142857</v>
      </c>
      <c r="N24" s="51">
        <f>SUM(N5:N22)</f>
        <v>906.54964285714277</v>
      </c>
      <c r="O24" s="51">
        <f>SUM(O22:O23)</f>
        <v>0</v>
      </c>
      <c r="P24" s="51">
        <f>SUM(P5:P22)</f>
        <v>15647.48</v>
      </c>
      <c r="Q24" s="51">
        <f>SUM(Q5:Q22)</f>
        <v>111.61</v>
      </c>
      <c r="R24" s="51">
        <f>SUM(R5:R22)</f>
        <v>483.93</v>
      </c>
      <c r="S24" s="51">
        <f>SUM(S10:S23)</f>
        <v>0</v>
      </c>
      <c r="T24" s="51">
        <f>SUM(T10:T23)</f>
        <v>0</v>
      </c>
      <c r="U24" s="51">
        <f>SUM(U10:U23)</f>
        <v>65.180000000000007</v>
      </c>
      <c r="V24" s="51">
        <f>SUM(V10:V23)</f>
        <v>0</v>
      </c>
      <c r="W24" s="51">
        <f>SUM(W22:W23)</f>
        <v>0</v>
      </c>
      <c r="X24" s="51">
        <f>SUM(X22:X23)</f>
        <v>0</v>
      </c>
      <c r="Y24" s="51">
        <f>SUM(Y22:Y23)</f>
        <v>0</v>
      </c>
      <c r="Z24" s="51">
        <f>SUM(Z22:Z23)</f>
        <v>0</v>
      </c>
      <c r="AA24" s="51">
        <f>SUM(AA5:AA22)</f>
        <v>680</v>
      </c>
      <c r="AB24" s="51">
        <f>SUM(AB22:AB23)</f>
        <v>0</v>
      </c>
      <c r="AC24" s="51">
        <f>SUM(AC5:AC22)</f>
        <v>0</v>
      </c>
      <c r="AD24" s="51">
        <f>SUM(AD5:AD22)</f>
        <v>0</v>
      </c>
      <c r="AE24" s="51">
        <f>SUM(AE22:AE23)</f>
        <v>0</v>
      </c>
      <c r="AF24" s="51">
        <f>SUM(AF5:AF22)</f>
        <v>-17984.03964285714</v>
      </c>
      <c r="AG24" s="51">
        <f>SUM(AG22:AG23)</f>
        <v>0</v>
      </c>
    </row>
    <row r="25" spans="1:34" x14ac:dyDescent="0.3">
      <c r="H25" s="85"/>
      <c r="I25" s="85"/>
      <c r="J25" s="85"/>
      <c r="K25" s="85"/>
    </row>
    <row r="26" spans="1:34" x14ac:dyDescent="0.3">
      <c r="H26" s="85"/>
      <c r="I26" s="85"/>
      <c r="J26" s="85"/>
      <c r="K26" s="85"/>
    </row>
    <row r="27" spans="1:34" x14ac:dyDescent="0.3">
      <c r="H27" s="85"/>
      <c r="I27" s="85"/>
      <c r="J27" s="85"/>
      <c r="K27" s="85"/>
      <c r="Q27" s="5">
        <v>0</v>
      </c>
    </row>
    <row r="28" spans="1:34" s="3" customFormat="1" ht="11.4" x14ac:dyDescent="0.2">
      <c r="H28" s="86"/>
      <c r="I28" s="86"/>
      <c r="J28" s="86"/>
      <c r="K28" s="86"/>
      <c r="T28" s="5"/>
      <c r="U28" s="5"/>
      <c r="V28" s="5"/>
      <c r="W28" s="5"/>
      <c r="X28" s="5"/>
      <c r="Y28" s="5"/>
    </row>
    <row r="29" spans="1:34" x14ac:dyDescent="0.3">
      <c r="H29" s="85"/>
      <c r="I29" s="85"/>
      <c r="J29" s="85"/>
      <c r="K29" s="85"/>
    </row>
    <row r="30" spans="1:34" x14ac:dyDescent="0.3">
      <c r="H30" s="85"/>
      <c r="I30" s="85"/>
      <c r="J30" s="85"/>
      <c r="K30" s="85"/>
    </row>
    <row r="31" spans="1:34" x14ac:dyDescent="0.3">
      <c r="H31" s="85"/>
      <c r="I31" s="85"/>
      <c r="J31" s="85"/>
      <c r="K31" s="85"/>
    </row>
    <row r="32" spans="1:34" x14ac:dyDescent="0.3">
      <c r="H32" s="85"/>
      <c r="I32" s="85"/>
      <c r="J32" s="85"/>
      <c r="K32" s="85"/>
    </row>
    <row r="33" spans="8:11" x14ac:dyDescent="0.3">
      <c r="H33" s="87"/>
      <c r="I33" s="87"/>
      <c r="J33" s="87"/>
      <c r="K33" s="87"/>
    </row>
    <row r="34" spans="8:11" x14ac:dyDescent="0.3">
      <c r="H34" s="87"/>
      <c r="I34" s="87"/>
      <c r="J34" s="87"/>
      <c r="K34" s="87"/>
    </row>
    <row r="35" spans="8:11" s="3" customFormat="1" ht="10.199999999999999" x14ac:dyDescent="0.2">
      <c r="H35" s="87"/>
      <c r="I35" s="87"/>
      <c r="J35" s="87"/>
      <c r="K35" s="87"/>
    </row>
    <row r="36" spans="8:11" s="3" customFormat="1" ht="10.199999999999999" x14ac:dyDescent="0.2">
      <c r="H36" s="87"/>
      <c r="I36" s="87"/>
      <c r="J36" s="87"/>
      <c r="K36" s="87"/>
    </row>
    <row r="37" spans="8:11" s="3" customFormat="1" ht="10.199999999999999" x14ac:dyDescent="0.2">
      <c r="H37" s="87"/>
      <c r="I37" s="87"/>
      <c r="J37" s="87"/>
      <c r="K37" s="8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MK27"/>
  <sheetViews>
    <sheetView topLeftCell="L1" zoomScaleNormal="100" workbookViewId="0">
      <selection activeCell="W4" sqref="W4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6.109375" style="3" customWidth="1"/>
    <col min="4" max="4" width="14" style="4" hidden="1" customWidth="1"/>
    <col min="5" max="5" width="29.33203125" style="4" hidden="1" customWidth="1"/>
    <col min="6" max="6" width="7.88671875" style="2" customWidth="1"/>
    <col min="7" max="7" width="26.5546875" style="3" customWidth="1"/>
    <col min="8" max="8" width="11.109375" style="5" customWidth="1"/>
    <col min="9" max="9" width="9.5546875" style="5" hidden="1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10.6640625" style="5" customWidth="1"/>
    <col min="19" max="19" width="9.5546875" style="5" customWidth="1"/>
    <col min="20" max="21" width="9.109375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30" width="8" style="5" customWidth="1"/>
    <col min="31" max="31" width="10.109375" style="5" customWidth="1"/>
    <col min="32" max="32" width="10.6640625" style="5" customWidth="1"/>
    <col min="33" max="33" width="8.88671875" style="3" customWidth="1"/>
    <col min="34" max="1025" width="9.109375" style="3" customWidth="1"/>
  </cols>
  <sheetData>
    <row r="1" spans="1:34" ht="12" customHeight="1" x14ac:dyDescent="0.3">
      <c r="A1" s="7" t="s">
        <v>0</v>
      </c>
      <c r="C1" s="8"/>
    </row>
    <row r="2" spans="1:34" ht="12" customHeight="1" x14ac:dyDescent="0.3">
      <c r="A2" s="7" t="s">
        <v>1</v>
      </c>
    </row>
    <row r="3" spans="1:34" ht="12" customHeight="1" x14ac:dyDescent="0.3">
      <c r="A3" s="7" t="s">
        <v>846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4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771</v>
      </c>
      <c r="T4" s="13" t="s">
        <v>24</v>
      </c>
      <c r="U4" s="13" t="s">
        <v>25</v>
      </c>
      <c r="V4" s="13" t="s">
        <v>22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613</v>
      </c>
      <c r="AD4" s="13" t="s">
        <v>34</v>
      </c>
      <c r="AE4" s="15" t="s">
        <v>35</v>
      </c>
      <c r="AF4" s="16" t="s">
        <v>36</v>
      </c>
    </row>
    <row r="5" spans="1:34" s="17" customFormat="1" ht="19.5" customHeight="1" x14ac:dyDescent="0.2">
      <c r="A5" s="81">
        <v>40495</v>
      </c>
      <c r="B5" s="12"/>
      <c r="C5" s="20" t="s">
        <v>60</v>
      </c>
      <c r="D5" s="12"/>
      <c r="E5" s="12"/>
      <c r="F5" s="82"/>
      <c r="G5" s="82" t="s">
        <v>439</v>
      </c>
      <c r="H5" s="84">
        <v>50</v>
      </c>
      <c r="I5" s="82"/>
      <c r="J5" s="84"/>
      <c r="K5" s="84"/>
      <c r="L5" s="83"/>
      <c r="M5" s="24">
        <f t="shared" ref="M5:M13" si="0">SUM(H5:J5,K5/1.12)</f>
        <v>50</v>
      </c>
      <c r="N5" s="24">
        <f t="shared" ref="N5:N13" si="1">K5/1.12*0.12</f>
        <v>0</v>
      </c>
      <c r="O5" s="24">
        <f t="shared" ref="O5:O13" si="2">-SUM(I5:J5,K5/1.12)*L5</f>
        <v>0</v>
      </c>
      <c r="P5" s="24"/>
      <c r="Q5" s="25"/>
      <c r="R5" s="25"/>
      <c r="S5" s="26"/>
      <c r="T5" s="26"/>
      <c r="U5" s="26"/>
      <c r="V5" s="26"/>
      <c r="W5" s="26"/>
      <c r="X5" s="25"/>
      <c r="Y5" s="25"/>
      <c r="Z5" s="25"/>
      <c r="AA5" s="25">
        <v>50</v>
      </c>
      <c r="AB5" s="26"/>
      <c r="AC5" s="26"/>
      <c r="AD5" s="25"/>
      <c r="AE5" s="25"/>
      <c r="AF5" s="24">
        <f t="shared" ref="AF5:AF13" si="3">-SUM(N5:AE5)</f>
        <v>-50</v>
      </c>
      <c r="AG5" s="27">
        <f t="shared" ref="AG5:AG13" si="4">SUM(H5:K5)+AF5+O5</f>
        <v>0</v>
      </c>
      <c r="AH5" s="91">
        <f t="shared" ref="AH5:AH11" si="5">-AF5</f>
        <v>50</v>
      </c>
    </row>
    <row r="6" spans="1:34" s="17" customFormat="1" ht="19.5" hidden="1" customHeight="1" x14ac:dyDescent="0.2">
      <c r="A6" s="81">
        <v>40495</v>
      </c>
      <c r="B6" s="12"/>
      <c r="C6" s="82" t="s">
        <v>549</v>
      </c>
      <c r="D6" s="12"/>
      <c r="E6" s="12"/>
      <c r="F6" s="82"/>
      <c r="G6" s="82" t="s">
        <v>399</v>
      </c>
      <c r="H6" s="84"/>
      <c r="I6" s="82"/>
      <c r="J6" s="84">
        <v>280</v>
      </c>
      <c r="K6" s="84"/>
      <c r="L6" s="83"/>
      <c r="M6" s="24">
        <f t="shared" si="0"/>
        <v>280</v>
      </c>
      <c r="N6" s="24">
        <f t="shared" si="1"/>
        <v>0</v>
      </c>
      <c r="O6" s="24">
        <f t="shared" si="2"/>
        <v>0</v>
      </c>
      <c r="P6" s="24">
        <v>280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>
        <f t="shared" si="3"/>
        <v>-280</v>
      </c>
      <c r="AG6" s="27">
        <f t="shared" si="4"/>
        <v>0</v>
      </c>
      <c r="AH6" s="91">
        <f t="shared" si="5"/>
        <v>280</v>
      </c>
    </row>
    <row r="7" spans="1:34" s="17" customFormat="1" ht="19.5" hidden="1" customHeight="1" x14ac:dyDescent="0.2">
      <c r="A7" s="81">
        <v>40495</v>
      </c>
      <c r="B7" s="12"/>
      <c r="C7" s="82" t="s">
        <v>549</v>
      </c>
      <c r="D7" s="12"/>
      <c r="E7" s="12"/>
      <c r="F7" s="82"/>
      <c r="G7" s="82" t="s">
        <v>42</v>
      </c>
      <c r="H7" s="84"/>
      <c r="I7" s="82"/>
      <c r="J7" s="84">
        <v>1200</v>
      </c>
      <c r="K7" s="84"/>
      <c r="L7" s="83"/>
      <c r="M7" s="24">
        <f t="shared" si="0"/>
        <v>1200</v>
      </c>
      <c r="N7" s="24">
        <f t="shared" si="1"/>
        <v>0</v>
      </c>
      <c r="O7" s="24">
        <f t="shared" si="2"/>
        <v>0</v>
      </c>
      <c r="P7" s="24">
        <v>1200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>
        <f t="shared" si="3"/>
        <v>-1200</v>
      </c>
      <c r="AG7" s="27">
        <f t="shared" si="4"/>
        <v>0</v>
      </c>
      <c r="AH7" s="91">
        <f t="shared" si="5"/>
        <v>1200</v>
      </c>
    </row>
    <row r="8" spans="1:34" s="17" customFormat="1" ht="19.5" hidden="1" customHeight="1" x14ac:dyDescent="0.2">
      <c r="A8" s="81">
        <v>40495</v>
      </c>
      <c r="B8" s="12"/>
      <c r="C8" s="20" t="s">
        <v>106</v>
      </c>
      <c r="D8" s="12"/>
      <c r="E8" s="12"/>
      <c r="F8" s="82">
        <v>826780</v>
      </c>
      <c r="G8" s="82" t="s">
        <v>847</v>
      </c>
      <c r="H8" s="82"/>
      <c r="I8" s="82"/>
      <c r="J8" s="84"/>
      <c r="K8" s="84">
        <v>205</v>
      </c>
      <c r="L8" s="83"/>
      <c r="M8" s="24">
        <f t="shared" si="0"/>
        <v>183.03571428571428</v>
      </c>
      <c r="N8" s="24">
        <f t="shared" si="1"/>
        <v>21.964285714285712</v>
      </c>
      <c r="O8" s="24">
        <f t="shared" si="2"/>
        <v>0</v>
      </c>
      <c r="P8" s="24"/>
      <c r="Q8" s="25"/>
      <c r="R8" s="25"/>
      <c r="S8" s="26"/>
      <c r="T8" s="26">
        <v>183.04</v>
      </c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>
        <f t="shared" si="3"/>
        <v>-205.00428571428571</v>
      </c>
      <c r="AG8" s="27">
        <f t="shared" si="4"/>
        <v>-4.2857142857144481E-3</v>
      </c>
      <c r="AH8" s="91">
        <f t="shared" si="5"/>
        <v>205.00428571428571</v>
      </c>
    </row>
    <row r="9" spans="1:34" s="17" customFormat="1" ht="19.5" hidden="1" customHeight="1" x14ac:dyDescent="0.2">
      <c r="A9" s="81">
        <v>40495</v>
      </c>
      <c r="B9" s="12"/>
      <c r="C9" s="20" t="s">
        <v>406</v>
      </c>
      <c r="D9" s="12"/>
      <c r="E9" s="12"/>
      <c r="F9" s="82">
        <v>2840827</v>
      </c>
      <c r="G9" s="82" t="s">
        <v>271</v>
      </c>
      <c r="H9" s="82"/>
      <c r="I9" s="82"/>
      <c r="J9" s="84"/>
      <c r="K9" s="84">
        <v>110</v>
      </c>
      <c r="L9" s="83"/>
      <c r="M9" s="24">
        <f t="shared" si="0"/>
        <v>98.214285714285708</v>
      </c>
      <c r="N9" s="24">
        <f t="shared" si="1"/>
        <v>11.785714285714285</v>
      </c>
      <c r="O9" s="24">
        <f t="shared" si="2"/>
        <v>0</v>
      </c>
      <c r="P9" s="24"/>
      <c r="Q9" s="25">
        <v>98.21</v>
      </c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>
        <f t="shared" si="3"/>
        <v>-109.99571428571429</v>
      </c>
      <c r="AG9" s="27">
        <f t="shared" si="4"/>
        <v>4.2857142857144481E-3</v>
      </c>
      <c r="AH9" s="91">
        <f t="shared" si="5"/>
        <v>109.99571428571429</v>
      </c>
    </row>
    <row r="10" spans="1:34" s="17" customFormat="1" ht="21" hidden="1" customHeight="1" x14ac:dyDescent="0.2">
      <c r="A10" s="81">
        <v>40495</v>
      </c>
      <c r="B10" s="12"/>
      <c r="C10" s="20" t="s">
        <v>729</v>
      </c>
      <c r="D10" s="12"/>
      <c r="E10" s="12"/>
      <c r="F10" s="82">
        <v>3966</v>
      </c>
      <c r="G10" s="82" t="s">
        <v>848</v>
      </c>
      <c r="H10" s="84"/>
      <c r="I10" s="82"/>
      <c r="J10" s="84"/>
      <c r="K10" s="84">
        <v>126</v>
      </c>
      <c r="L10" s="83"/>
      <c r="M10" s="24">
        <f t="shared" si="0"/>
        <v>112.49999999999999</v>
      </c>
      <c r="N10" s="24">
        <f t="shared" si="1"/>
        <v>13.499999999999998</v>
      </c>
      <c r="O10" s="24">
        <f t="shared" si="2"/>
        <v>0</v>
      </c>
      <c r="P10" s="24"/>
      <c r="Q10" s="25">
        <v>112.5</v>
      </c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>
        <f t="shared" si="3"/>
        <v>-126</v>
      </c>
      <c r="AG10" s="27">
        <f t="shared" si="4"/>
        <v>0</v>
      </c>
      <c r="AH10" s="91">
        <f t="shared" si="5"/>
        <v>126</v>
      </c>
    </row>
    <row r="11" spans="1:34" s="17" customFormat="1" ht="18" customHeight="1" x14ac:dyDescent="0.2">
      <c r="A11" s="81">
        <v>40495</v>
      </c>
      <c r="B11" s="12"/>
      <c r="C11" s="20" t="s">
        <v>729</v>
      </c>
      <c r="D11" s="12"/>
      <c r="E11" s="12"/>
      <c r="F11" s="82">
        <v>5248</v>
      </c>
      <c r="G11" s="82" t="s">
        <v>498</v>
      </c>
      <c r="H11" s="84"/>
      <c r="I11" s="12"/>
      <c r="J11" s="82"/>
      <c r="K11" s="84">
        <v>82</v>
      </c>
      <c r="L11" s="13"/>
      <c r="M11" s="24">
        <f t="shared" si="0"/>
        <v>73.214285714285708</v>
      </c>
      <c r="N11" s="24">
        <f t="shared" si="1"/>
        <v>8.7857142857142847</v>
      </c>
      <c r="O11" s="24">
        <f t="shared" si="2"/>
        <v>0</v>
      </c>
      <c r="P11" s="24">
        <v>73.209999999999994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>
        <f t="shared" si="3"/>
        <v>-81.995714285714286</v>
      </c>
      <c r="AG11" s="27">
        <f t="shared" si="4"/>
        <v>4.2857142857144481E-3</v>
      </c>
      <c r="AH11" s="91">
        <f t="shared" si="5"/>
        <v>81.995714285714286</v>
      </c>
    </row>
    <row r="12" spans="1:34" s="29" customFormat="1" ht="23.25" customHeight="1" x14ac:dyDescent="0.2">
      <c r="A12" s="18"/>
      <c r="B12" s="19"/>
      <c r="C12" s="20"/>
      <c r="D12" s="20"/>
      <c r="E12" s="20"/>
      <c r="F12" s="21"/>
      <c r="G12" s="21"/>
      <c r="H12" s="22"/>
      <c r="I12" s="22"/>
      <c r="J12" s="22"/>
      <c r="K12" s="22"/>
      <c r="L12" s="23"/>
      <c r="M12" s="24">
        <f t="shared" si="0"/>
        <v>0</v>
      </c>
      <c r="N12" s="24">
        <f t="shared" si="1"/>
        <v>0</v>
      </c>
      <c r="O12" s="24">
        <f t="shared" si="2"/>
        <v>0</v>
      </c>
      <c r="P12" s="24"/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>
        <f t="shared" si="3"/>
        <v>0</v>
      </c>
      <c r="AG12" s="27">
        <f t="shared" si="4"/>
        <v>0</v>
      </c>
    </row>
    <row r="13" spans="1:34" s="29" customFormat="1" ht="10.199999999999999" x14ac:dyDescent="0.2">
      <c r="A13" s="18"/>
      <c r="B13" s="19"/>
      <c r="C13" s="43"/>
      <c r="D13" s="43"/>
      <c r="E13" s="43"/>
      <c r="F13" s="21"/>
      <c r="G13" s="30"/>
      <c r="H13" s="22"/>
      <c r="I13" s="22"/>
      <c r="J13" s="22"/>
      <c r="K13" s="22"/>
      <c r="L13" s="23"/>
      <c r="M13" s="25">
        <f t="shared" si="0"/>
        <v>0</v>
      </c>
      <c r="N13" s="25">
        <f t="shared" si="1"/>
        <v>0</v>
      </c>
      <c r="O13" s="25">
        <f t="shared" si="2"/>
        <v>0</v>
      </c>
      <c r="P13" s="25"/>
      <c r="Q13" s="25"/>
      <c r="R13" s="25"/>
      <c r="S13" s="25"/>
      <c r="T13" s="26"/>
      <c r="U13" s="51"/>
      <c r="V13" s="26"/>
      <c r="W13" s="26"/>
      <c r="X13" s="26"/>
      <c r="Y13" s="44"/>
      <c r="Z13" s="25"/>
      <c r="AA13" s="51"/>
      <c r="AB13" s="25"/>
      <c r="AC13" s="26"/>
      <c r="AD13" s="26"/>
      <c r="AE13" s="45"/>
      <c r="AF13" s="24">
        <f t="shared" si="3"/>
        <v>0</v>
      </c>
      <c r="AG13" s="27">
        <f t="shared" si="4"/>
        <v>0</v>
      </c>
    </row>
    <row r="14" spans="1:34" s="52" customFormat="1" ht="10.199999999999999" x14ac:dyDescent="0.2">
      <c r="A14" s="46"/>
      <c r="B14" s="47"/>
      <c r="C14" s="48"/>
      <c r="D14" s="49"/>
      <c r="E14" s="49"/>
      <c r="F14" s="50"/>
      <c r="G14" s="48"/>
      <c r="H14" s="51">
        <f>SUM(H5:H12)</f>
        <v>50</v>
      </c>
      <c r="I14" s="51">
        <f>SUM(I12:I13)</f>
        <v>0</v>
      </c>
      <c r="J14" s="51">
        <f>SUM(J5:J12)</f>
        <v>1480</v>
      </c>
      <c r="K14" s="51">
        <f>SUM(K5:K12)</f>
        <v>523</v>
      </c>
      <c r="L14" s="51">
        <f>SUM(L12:L13)</f>
        <v>0</v>
      </c>
      <c r="M14" s="51">
        <f>SUM(M5:M12)</f>
        <v>1996.9642857142858</v>
      </c>
      <c r="N14" s="51">
        <f>SUM(N5:N12)</f>
        <v>56.035714285714285</v>
      </c>
      <c r="O14" s="51">
        <f>SUM(O12:O13)</f>
        <v>0</v>
      </c>
      <c r="P14" s="51">
        <f>SUM(P5:P12)</f>
        <v>1553.21</v>
      </c>
      <c r="Q14" s="51">
        <f>SUM(Q5:Q12)</f>
        <v>210.70999999999998</v>
      </c>
      <c r="R14" s="51">
        <f>SUM(R5:R12)</f>
        <v>0</v>
      </c>
      <c r="S14" s="51">
        <f>SUM(S10:S13)</f>
        <v>0</v>
      </c>
      <c r="T14" s="51">
        <f>SUM(T5:T12)</f>
        <v>183.04</v>
      </c>
      <c r="U14" s="51">
        <f>SUM(U10:U13)</f>
        <v>0</v>
      </c>
      <c r="V14" s="51">
        <f>SUM(V10:V13)</f>
        <v>0</v>
      </c>
      <c r="W14" s="51">
        <f>SUM(W12:W13)</f>
        <v>0</v>
      </c>
      <c r="X14" s="51">
        <f>SUM(X12:X13)</f>
        <v>0</v>
      </c>
      <c r="Y14" s="51">
        <f>SUM(Y12:Y13)</f>
        <v>0</v>
      </c>
      <c r="Z14" s="51">
        <f>SUM(Z12:Z13)</f>
        <v>0</v>
      </c>
      <c r="AA14" s="51">
        <f>SUM(AA5:AA12)</f>
        <v>50</v>
      </c>
      <c r="AB14" s="51">
        <f>SUM(AB12:AB13)</f>
        <v>0</v>
      </c>
      <c r="AC14" s="51">
        <f>SUM(AC5:AC12)</f>
        <v>0</v>
      </c>
      <c r="AD14" s="51">
        <f>SUM(AD5:AD12)</f>
        <v>0</v>
      </c>
      <c r="AE14" s="51">
        <f>SUM(AE12:AE13)</f>
        <v>0</v>
      </c>
      <c r="AF14" s="51">
        <f>SUM(AF5:AF12)</f>
        <v>-2052.9957142857143</v>
      </c>
      <c r="AG14" s="51">
        <f>SUM(AG12:AG13)</f>
        <v>0</v>
      </c>
    </row>
    <row r="15" spans="1:34" x14ac:dyDescent="0.3">
      <c r="H15" s="85"/>
      <c r="I15" s="85"/>
      <c r="J15" s="85"/>
      <c r="K15" s="85"/>
    </row>
    <row r="16" spans="1:34" x14ac:dyDescent="0.3">
      <c r="H16" s="85"/>
      <c r="I16" s="85"/>
      <c r="J16" s="85"/>
      <c r="K16" s="85"/>
    </row>
    <row r="17" spans="8:25" x14ac:dyDescent="0.3">
      <c r="H17" s="85"/>
      <c r="I17" s="85"/>
      <c r="J17" s="85"/>
      <c r="K17" s="85"/>
      <c r="Q17" s="5">
        <v>0</v>
      </c>
    </row>
    <row r="18" spans="8:25" s="3" customFormat="1" ht="11.4" x14ac:dyDescent="0.2">
      <c r="H18" s="86"/>
      <c r="I18" s="86"/>
      <c r="J18" s="86"/>
      <c r="K18" s="86"/>
      <c r="T18" s="5"/>
      <c r="U18" s="5"/>
      <c r="V18" s="5"/>
      <c r="W18" s="5"/>
      <c r="X18" s="5"/>
      <c r="Y18" s="5"/>
    </row>
    <row r="19" spans="8:25" x14ac:dyDescent="0.3">
      <c r="H19" s="85"/>
      <c r="I19" s="85"/>
      <c r="J19" s="85"/>
      <c r="K19" s="85"/>
    </row>
    <row r="20" spans="8:25" x14ac:dyDescent="0.3">
      <c r="H20" s="85"/>
      <c r="I20" s="85"/>
      <c r="J20" s="85"/>
      <c r="K20" s="85"/>
    </row>
    <row r="21" spans="8:25" x14ac:dyDescent="0.3">
      <c r="H21" s="85"/>
      <c r="I21" s="85"/>
      <c r="J21" s="85"/>
      <c r="K21" s="85"/>
    </row>
    <row r="22" spans="8:25" x14ac:dyDescent="0.3">
      <c r="H22" s="85"/>
      <c r="I22" s="85"/>
      <c r="J22" s="85"/>
      <c r="K22" s="85"/>
    </row>
    <row r="23" spans="8:25" x14ac:dyDescent="0.3">
      <c r="H23" s="87"/>
      <c r="I23" s="87"/>
      <c r="J23" s="87"/>
      <c r="K23" s="87"/>
    </row>
    <row r="24" spans="8:25" x14ac:dyDescent="0.3">
      <c r="H24" s="87"/>
      <c r="I24" s="87"/>
      <c r="J24" s="87"/>
      <c r="K24" s="87"/>
    </row>
    <row r="25" spans="8:25" s="3" customFormat="1" ht="10.199999999999999" x14ac:dyDescent="0.2">
      <c r="H25" s="87"/>
      <c r="I25" s="87"/>
      <c r="J25" s="87"/>
      <c r="K25" s="87"/>
    </row>
    <row r="26" spans="8:25" s="3" customFormat="1" ht="10.199999999999999" x14ac:dyDescent="0.2">
      <c r="H26" s="87"/>
      <c r="I26" s="87"/>
      <c r="J26" s="87"/>
      <c r="K26" s="87"/>
    </row>
    <row r="27" spans="8:25" s="3" customFormat="1" ht="10.199999999999999" x14ac:dyDescent="0.2">
      <c r="H27" s="87"/>
      <c r="I27" s="87"/>
      <c r="J27" s="87"/>
      <c r="K27" s="8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MJ42"/>
  <sheetViews>
    <sheetView topLeftCell="N13" zoomScaleNormal="100" workbookViewId="0">
      <selection activeCell="V13" sqref="V1:V1048576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6.109375" style="3" customWidth="1"/>
    <col min="4" max="4" width="14" style="4" hidden="1" customWidth="1"/>
    <col min="5" max="5" width="29.33203125" style="4" hidden="1" customWidth="1"/>
    <col min="6" max="6" width="7.88671875" style="2" customWidth="1"/>
    <col min="7" max="7" width="26.5546875" style="3" customWidth="1"/>
    <col min="8" max="8" width="11.109375" style="5" customWidth="1"/>
    <col min="9" max="9" width="9.5546875" style="5" hidden="1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9.88671875" style="5" customWidth="1"/>
    <col min="19" max="19" width="9.5546875" style="5" customWidth="1"/>
    <col min="20" max="20" width="10.5546875" style="5" customWidth="1"/>
    <col min="21" max="21" width="9.109375" style="5" customWidth="1"/>
    <col min="22" max="22" width="8.109375" style="5" customWidth="1"/>
    <col min="23" max="23" width="9.88671875" style="5" customWidth="1"/>
    <col min="24" max="24" width="9.21875" style="5" customWidth="1"/>
    <col min="25" max="25" width="8.21875" style="5" customWidth="1"/>
    <col min="26" max="26" width="8.6640625" style="5" customWidth="1"/>
    <col min="27" max="27" width="9.5546875" style="5" customWidth="1"/>
    <col min="28" max="29" width="8" style="5" customWidth="1"/>
    <col min="30" max="30" width="10.109375" style="5" customWidth="1"/>
    <col min="31" max="31" width="10.6640625" style="5" customWidth="1"/>
    <col min="32" max="32" width="8.88671875" style="3" customWidth="1"/>
    <col min="33" max="1024" width="9.109375" style="3" customWidth="1"/>
  </cols>
  <sheetData>
    <row r="1" spans="1:33" ht="12" customHeight="1" x14ac:dyDescent="0.3">
      <c r="A1" s="7" t="s">
        <v>0</v>
      </c>
      <c r="C1" s="8"/>
    </row>
    <row r="2" spans="1:33" ht="12" customHeight="1" x14ac:dyDescent="0.3">
      <c r="A2" s="7" t="s">
        <v>1</v>
      </c>
    </row>
    <row r="3" spans="1:33" ht="12" customHeight="1" x14ac:dyDescent="0.3">
      <c r="A3" s="96" t="s">
        <v>849</v>
      </c>
      <c r="B3" s="97"/>
      <c r="C3" s="98"/>
      <c r="D3" s="74"/>
      <c r="E3" s="74"/>
      <c r="F3" s="75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 t="s">
        <v>3</v>
      </c>
      <c r="Y3" s="10"/>
      <c r="Z3" s="10">
        <v>6230</v>
      </c>
      <c r="AA3" s="10" t="s">
        <v>4</v>
      </c>
      <c r="AB3" s="10">
        <v>6202</v>
      </c>
      <c r="AC3" s="10"/>
      <c r="AD3" s="10">
        <v>6109</v>
      </c>
      <c r="AE3" s="10">
        <v>1002</v>
      </c>
    </row>
    <row r="4" spans="1:33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24</v>
      </c>
      <c r="S4" s="13" t="s">
        <v>771</v>
      </c>
      <c r="T4" s="13" t="s">
        <v>23</v>
      </c>
      <c r="U4" s="13" t="s">
        <v>22</v>
      </c>
      <c r="V4" s="13" t="s">
        <v>27</v>
      </c>
      <c r="W4" s="13" t="s">
        <v>28</v>
      </c>
      <c r="X4" s="13" t="s">
        <v>29</v>
      </c>
      <c r="Y4" s="13" t="s">
        <v>30</v>
      </c>
      <c r="Z4" s="13" t="s">
        <v>31</v>
      </c>
      <c r="AA4" s="13" t="s">
        <v>32</v>
      </c>
      <c r="AB4" s="14" t="s">
        <v>613</v>
      </c>
      <c r="AC4" s="13" t="s">
        <v>34</v>
      </c>
      <c r="AD4" s="15" t="s">
        <v>35</v>
      </c>
      <c r="AE4" s="16" t="s">
        <v>36</v>
      </c>
    </row>
    <row r="5" spans="1:33" s="17" customFormat="1" ht="19.5" customHeight="1" x14ac:dyDescent="0.2">
      <c r="A5" s="81">
        <v>44149</v>
      </c>
      <c r="B5" s="12"/>
      <c r="C5" s="20" t="s">
        <v>47</v>
      </c>
      <c r="D5" s="12"/>
      <c r="E5" s="12"/>
      <c r="F5" s="82"/>
      <c r="G5" s="82" t="s">
        <v>850</v>
      </c>
      <c r="H5" s="84"/>
      <c r="I5" s="82"/>
      <c r="J5" s="84"/>
      <c r="K5" s="84">
        <f>104+26+130+580+130+130+615</f>
        <v>1715</v>
      </c>
      <c r="L5" s="83"/>
      <c r="M5" s="24">
        <f t="shared" ref="M5:M13" si="0">SUM(H5:J5,K5/1.12)</f>
        <v>1531.2499999999998</v>
      </c>
      <c r="N5" s="24">
        <f t="shared" ref="N5:N26" si="1">K5/1.12*0.12</f>
        <v>183.74999999999997</v>
      </c>
      <c r="O5" s="24">
        <f t="shared" ref="O5:O26" si="2">-SUM(I5:J5,K5/1.12)*L5</f>
        <v>0</v>
      </c>
      <c r="P5" s="24"/>
      <c r="Q5" s="25">
        <v>1531.25</v>
      </c>
      <c r="R5" s="25"/>
      <c r="S5" s="26"/>
      <c r="T5" s="26"/>
      <c r="U5" s="26"/>
      <c r="V5" s="26"/>
      <c r="W5" s="25"/>
      <c r="X5" s="25"/>
      <c r="Y5" s="25"/>
      <c r="Z5" s="25"/>
      <c r="AA5" s="26"/>
      <c r="AB5" s="26"/>
      <c r="AC5" s="25"/>
      <c r="AD5" s="25"/>
      <c r="AE5" s="24">
        <f>-SUM(N5:AD5)</f>
        <v>-1715</v>
      </c>
      <c r="AF5" s="27">
        <f>SUM(H5:K5)+AE5+O5</f>
        <v>0</v>
      </c>
      <c r="AG5" s="91">
        <f t="shared" ref="AG5:AG25" si="3">-AE5</f>
        <v>1715</v>
      </c>
    </row>
    <row r="6" spans="1:33" s="17" customFormat="1" ht="19.5" customHeight="1" x14ac:dyDescent="0.2">
      <c r="A6" s="81">
        <v>44149</v>
      </c>
      <c r="B6" s="12"/>
      <c r="C6" s="20" t="s">
        <v>47</v>
      </c>
      <c r="D6" s="12"/>
      <c r="E6" s="12"/>
      <c r="F6" s="82"/>
      <c r="G6" s="82" t="s">
        <v>851</v>
      </c>
      <c r="H6" s="84"/>
      <c r="I6" s="82"/>
      <c r="J6" s="84"/>
      <c r="K6" s="84">
        <f>3296.6-K5</f>
        <v>1581.6</v>
      </c>
      <c r="L6" s="83"/>
      <c r="M6" s="24">
        <f t="shared" si="0"/>
        <v>1412.1428571428569</v>
      </c>
      <c r="N6" s="24">
        <f t="shared" si="1"/>
        <v>169.45714285714283</v>
      </c>
      <c r="O6" s="24">
        <f t="shared" si="2"/>
        <v>0</v>
      </c>
      <c r="P6" s="24">
        <v>1412.14</v>
      </c>
      <c r="Q6" s="25"/>
      <c r="R6" s="25"/>
      <c r="S6" s="26"/>
      <c r="T6" s="26"/>
      <c r="U6" s="26"/>
      <c r="V6" s="26"/>
      <c r="W6" s="25"/>
      <c r="X6" s="25"/>
      <c r="Y6" s="25"/>
      <c r="Z6" s="25"/>
      <c r="AA6" s="26"/>
      <c r="AB6" s="26"/>
      <c r="AC6" s="25"/>
      <c r="AD6" s="25"/>
      <c r="AE6" s="24">
        <f>-SUM(N6:AD6)</f>
        <v>-1581.5971428571429</v>
      </c>
      <c r="AF6" s="27">
        <f>SUM(H6:K6)+AE6+O6</f>
        <v>2.8571428570103308E-3</v>
      </c>
      <c r="AG6" s="91">
        <f t="shared" si="3"/>
        <v>1581.5971428571429</v>
      </c>
    </row>
    <row r="7" spans="1:33" s="17" customFormat="1" ht="19.5" customHeight="1" x14ac:dyDescent="0.2">
      <c r="A7" s="81">
        <v>44149</v>
      </c>
      <c r="B7" s="12"/>
      <c r="C7" s="82" t="s">
        <v>605</v>
      </c>
      <c r="D7" s="12"/>
      <c r="E7" s="12"/>
      <c r="F7" s="82"/>
      <c r="G7" s="82" t="s">
        <v>762</v>
      </c>
      <c r="H7" s="84">
        <v>100</v>
      </c>
      <c r="I7" s="82"/>
      <c r="J7" s="84"/>
      <c r="K7" s="84"/>
      <c r="L7" s="83"/>
      <c r="M7" s="24">
        <f t="shared" si="0"/>
        <v>100</v>
      </c>
      <c r="N7" s="24">
        <f t="shared" si="1"/>
        <v>0</v>
      </c>
      <c r="O7" s="24">
        <f t="shared" si="2"/>
        <v>0</v>
      </c>
      <c r="P7" s="24"/>
      <c r="Q7" s="25"/>
      <c r="R7" s="25"/>
      <c r="S7" s="26"/>
      <c r="T7" s="26"/>
      <c r="U7" s="26"/>
      <c r="V7" s="26"/>
      <c r="W7" s="25"/>
      <c r="X7" s="25"/>
      <c r="Y7" s="25"/>
      <c r="Z7" s="25">
        <v>100</v>
      </c>
      <c r="AA7" s="26"/>
      <c r="AB7" s="26"/>
      <c r="AC7" s="25"/>
      <c r="AD7" s="25"/>
      <c r="AE7" s="24">
        <f>-SUM(N7:AD7)</f>
        <v>-100</v>
      </c>
      <c r="AF7" s="27">
        <f>SUM(H7:K7)+AE7+O7</f>
        <v>0</v>
      </c>
      <c r="AG7" s="91">
        <f t="shared" si="3"/>
        <v>100</v>
      </c>
    </row>
    <row r="8" spans="1:33" s="17" customFormat="1" ht="19.5" customHeight="1" x14ac:dyDescent="0.2">
      <c r="A8" s="81">
        <v>44151</v>
      </c>
      <c r="B8" s="12"/>
      <c r="C8" s="20" t="s">
        <v>123</v>
      </c>
      <c r="D8" s="12"/>
      <c r="E8" s="12"/>
      <c r="F8" s="82"/>
      <c r="G8" s="82" t="s">
        <v>597</v>
      </c>
      <c r="H8" s="82"/>
      <c r="I8" s="82"/>
      <c r="J8" s="84">
        <v>680</v>
      </c>
      <c r="K8" s="84"/>
      <c r="L8" s="83"/>
      <c r="M8" s="24">
        <f t="shared" si="0"/>
        <v>680</v>
      </c>
      <c r="N8" s="24">
        <f t="shared" si="1"/>
        <v>0</v>
      </c>
      <c r="O8" s="24">
        <f t="shared" si="2"/>
        <v>0</v>
      </c>
      <c r="P8" s="24">
        <v>680</v>
      </c>
      <c r="Q8" s="25"/>
      <c r="R8" s="25"/>
      <c r="S8" s="26"/>
      <c r="T8" s="26"/>
      <c r="U8" s="26"/>
      <c r="V8" s="26"/>
      <c r="W8" s="25"/>
      <c r="X8" s="25"/>
      <c r="Y8" s="25"/>
      <c r="Z8" s="25"/>
      <c r="AA8" s="26"/>
      <c r="AB8" s="26"/>
      <c r="AC8" s="25"/>
      <c r="AD8" s="25"/>
      <c r="AE8" s="24">
        <f>-SUM(N8:AD8)</f>
        <v>-680</v>
      </c>
      <c r="AF8" s="27">
        <f>SUM(H8:K8)+AE8+O8</f>
        <v>0</v>
      </c>
      <c r="AG8" s="91">
        <f t="shared" si="3"/>
        <v>680</v>
      </c>
    </row>
    <row r="9" spans="1:33" s="17" customFormat="1" ht="19.5" customHeight="1" x14ac:dyDescent="0.2">
      <c r="A9" s="81">
        <v>44151</v>
      </c>
      <c r="B9" s="12"/>
      <c r="C9" s="20" t="s">
        <v>592</v>
      </c>
      <c r="D9" s="12"/>
      <c r="E9" s="12"/>
      <c r="F9" s="82"/>
      <c r="G9" s="82" t="s">
        <v>852</v>
      </c>
      <c r="H9" s="82"/>
      <c r="I9" s="82"/>
      <c r="J9" s="84">
        <v>500</v>
      </c>
      <c r="K9" s="84"/>
      <c r="L9" s="83"/>
      <c r="M9" s="24">
        <f t="shared" si="0"/>
        <v>500</v>
      </c>
      <c r="N9" s="24">
        <f t="shared" si="1"/>
        <v>0</v>
      </c>
      <c r="O9" s="24">
        <f t="shared" si="2"/>
        <v>0</v>
      </c>
      <c r="P9" s="24">
        <v>500</v>
      </c>
      <c r="Q9" s="25"/>
      <c r="R9" s="25"/>
      <c r="S9" s="26"/>
      <c r="T9" s="26"/>
      <c r="U9" s="26"/>
      <c r="V9" s="26"/>
      <c r="W9" s="25"/>
      <c r="X9" s="25"/>
      <c r="Y9" s="25"/>
      <c r="Z9" s="25"/>
      <c r="AA9" s="26"/>
      <c r="AB9" s="26"/>
      <c r="AC9" s="25"/>
      <c r="AD9" s="25"/>
      <c r="AE9" s="24">
        <f>-SUM(N9:AD9)</f>
        <v>-500</v>
      </c>
      <c r="AF9" s="27">
        <f>SUM(H9:K9)+AE9+O9</f>
        <v>0</v>
      </c>
      <c r="AG9" s="91">
        <f t="shared" si="3"/>
        <v>500</v>
      </c>
    </row>
    <row r="10" spans="1:33" s="17" customFormat="1" ht="17.25" customHeight="1" x14ac:dyDescent="0.2">
      <c r="A10" s="81">
        <v>44151</v>
      </c>
      <c r="B10" s="12"/>
      <c r="C10" s="20" t="s">
        <v>853</v>
      </c>
      <c r="D10" s="12"/>
      <c r="E10" s="12"/>
      <c r="F10" s="82"/>
      <c r="G10" s="82" t="s">
        <v>854</v>
      </c>
      <c r="H10" s="84"/>
      <c r="I10" s="82"/>
      <c r="J10" s="84"/>
      <c r="K10" s="84">
        <v>329</v>
      </c>
      <c r="L10" s="83"/>
      <c r="M10" s="24">
        <f t="shared" si="0"/>
        <v>293.75</v>
      </c>
      <c r="N10" s="24">
        <f t="shared" si="1"/>
        <v>35.25</v>
      </c>
      <c r="O10" s="24">
        <f t="shared" si="2"/>
        <v>0</v>
      </c>
      <c r="P10" s="24">
        <v>293.75</v>
      </c>
      <c r="Q10" s="25"/>
      <c r="R10" s="25"/>
      <c r="S10" s="26"/>
      <c r="T10" s="26"/>
      <c r="U10" s="26"/>
      <c r="V10" s="26"/>
      <c r="W10" s="25"/>
      <c r="X10" s="25"/>
      <c r="Y10" s="25"/>
      <c r="Z10" s="25"/>
      <c r="AA10" s="26"/>
      <c r="AB10" s="26"/>
      <c r="AC10" s="25"/>
      <c r="AD10" s="25"/>
      <c r="AE10" s="24">
        <f>-SUM(N10:AD10)</f>
        <v>-329</v>
      </c>
      <c r="AF10" s="27">
        <f>SUM(H10:K10)+AE10+O10</f>
        <v>0</v>
      </c>
      <c r="AG10" s="91">
        <f t="shared" si="3"/>
        <v>329</v>
      </c>
    </row>
    <row r="11" spans="1:33" s="17" customFormat="1" ht="18" customHeight="1" x14ac:dyDescent="0.2">
      <c r="A11" s="81">
        <v>44151</v>
      </c>
      <c r="B11" s="12"/>
      <c r="C11" s="20" t="s">
        <v>45</v>
      </c>
      <c r="D11" s="12"/>
      <c r="E11" s="12"/>
      <c r="F11" s="82"/>
      <c r="G11" s="82" t="s">
        <v>165</v>
      </c>
      <c r="H11" s="84">
        <v>100</v>
      </c>
      <c r="I11" s="12"/>
      <c r="J11" s="84"/>
      <c r="K11" s="84"/>
      <c r="L11" s="13"/>
      <c r="M11" s="24">
        <f t="shared" si="0"/>
        <v>100</v>
      </c>
      <c r="N11" s="24">
        <f t="shared" si="1"/>
        <v>0</v>
      </c>
      <c r="O11" s="24">
        <f t="shared" si="2"/>
        <v>0</v>
      </c>
      <c r="P11" s="24"/>
      <c r="Q11" s="25"/>
      <c r="R11" s="25"/>
      <c r="S11" s="26"/>
      <c r="T11" s="26"/>
      <c r="U11" s="26"/>
      <c r="V11" s="26"/>
      <c r="W11" s="25"/>
      <c r="X11" s="25"/>
      <c r="Y11" s="25"/>
      <c r="Z11" s="25">
        <v>100</v>
      </c>
      <c r="AA11" s="26"/>
      <c r="AB11" s="26"/>
      <c r="AC11" s="25"/>
      <c r="AD11" s="25"/>
      <c r="AE11" s="24">
        <f>-SUM(N11:AD11)</f>
        <v>-100</v>
      </c>
      <c r="AF11" s="27">
        <f>SUM(H11:K11)+AE11+O11</f>
        <v>0</v>
      </c>
      <c r="AG11" s="91">
        <f t="shared" si="3"/>
        <v>100</v>
      </c>
    </row>
    <row r="12" spans="1:33" s="17" customFormat="1" ht="21.75" customHeight="1" x14ac:dyDescent="0.2">
      <c r="A12" s="81">
        <v>44151</v>
      </c>
      <c r="B12" s="12"/>
      <c r="C12" s="20" t="s">
        <v>47</v>
      </c>
      <c r="D12" s="12"/>
      <c r="E12" s="12"/>
      <c r="F12" s="82"/>
      <c r="G12" s="82" t="s">
        <v>855</v>
      </c>
      <c r="H12" s="84"/>
      <c r="I12" s="82"/>
      <c r="J12" s="82"/>
      <c r="K12" s="84">
        <f>3428.15-K13</f>
        <v>3188.55</v>
      </c>
      <c r="L12" s="13"/>
      <c r="M12" s="24">
        <f t="shared" si="0"/>
        <v>2846.9196428571427</v>
      </c>
      <c r="N12" s="24">
        <f t="shared" si="1"/>
        <v>341.63035714285712</v>
      </c>
      <c r="O12" s="24">
        <f t="shared" si="2"/>
        <v>0</v>
      </c>
      <c r="P12" s="24">
        <v>2846.92</v>
      </c>
      <c r="Q12" s="25"/>
      <c r="R12" s="25"/>
      <c r="S12" s="90"/>
      <c r="T12" s="26"/>
      <c r="U12" s="26"/>
      <c r="V12" s="26"/>
      <c r="W12" s="25"/>
      <c r="X12" s="25"/>
      <c r="Y12" s="25"/>
      <c r="Z12" s="25"/>
      <c r="AA12" s="26"/>
      <c r="AB12" s="26"/>
      <c r="AC12" s="25"/>
      <c r="AD12" s="25"/>
      <c r="AE12" s="24">
        <f>-SUM(N12:AD12)</f>
        <v>-3188.5503571428571</v>
      </c>
      <c r="AF12" s="27">
        <f>SUM(H12:K12)+AE12+O12</f>
        <v>-3.5714285695576109E-4</v>
      </c>
      <c r="AG12" s="91">
        <f t="shared" si="3"/>
        <v>3188.5503571428571</v>
      </c>
    </row>
    <row r="13" spans="1:33" s="17" customFormat="1" ht="21.75" customHeight="1" x14ac:dyDescent="0.2">
      <c r="A13" s="81">
        <v>44151</v>
      </c>
      <c r="B13" s="12"/>
      <c r="C13" s="20" t="s">
        <v>47</v>
      </c>
      <c r="D13" s="12"/>
      <c r="E13" s="12"/>
      <c r="F13" s="82"/>
      <c r="G13" s="82" t="s">
        <v>856</v>
      </c>
      <c r="H13" s="84"/>
      <c r="I13" s="82"/>
      <c r="J13" s="82"/>
      <c r="K13" s="84">
        <v>239.6</v>
      </c>
      <c r="L13" s="13"/>
      <c r="M13" s="24">
        <f t="shared" si="0"/>
        <v>213.92857142857142</v>
      </c>
      <c r="N13" s="24">
        <f t="shared" si="1"/>
        <v>25.671428571428567</v>
      </c>
      <c r="O13" s="24">
        <f t="shared" si="2"/>
        <v>0</v>
      </c>
      <c r="P13" s="24"/>
      <c r="Q13" s="25"/>
      <c r="R13" s="25"/>
      <c r="S13" s="90"/>
      <c r="T13" s="26"/>
      <c r="U13" s="26">
        <v>213.93</v>
      </c>
      <c r="V13" s="26"/>
      <c r="W13" s="25"/>
      <c r="X13" s="25"/>
      <c r="Y13" s="25"/>
      <c r="Z13" s="25"/>
      <c r="AA13" s="26"/>
      <c r="AB13" s="26"/>
      <c r="AC13" s="25"/>
      <c r="AD13" s="25"/>
      <c r="AE13" s="24">
        <f>-SUM(N13:AD13)</f>
        <v>-239.60142857142858</v>
      </c>
      <c r="AF13" s="27">
        <f>SUM(H13:K13)+AE13+O13</f>
        <v>-1.4285714285904305E-3</v>
      </c>
      <c r="AG13" s="91">
        <f t="shared" si="3"/>
        <v>239.60142857142858</v>
      </c>
    </row>
    <row r="14" spans="1:33" s="17" customFormat="1" ht="21.75" customHeight="1" x14ac:dyDescent="0.2">
      <c r="A14" s="81">
        <v>44151</v>
      </c>
      <c r="B14" s="12"/>
      <c r="C14" s="20" t="s">
        <v>45</v>
      </c>
      <c r="D14" s="12"/>
      <c r="E14" s="12"/>
      <c r="F14" s="82"/>
      <c r="G14" s="82" t="s">
        <v>762</v>
      </c>
      <c r="H14" s="84">
        <v>80</v>
      </c>
      <c r="I14" s="82"/>
      <c r="J14" s="82"/>
      <c r="K14" s="84"/>
      <c r="L14" s="13"/>
      <c r="M14" s="24"/>
      <c r="N14" s="24">
        <f t="shared" si="1"/>
        <v>0</v>
      </c>
      <c r="O14" s="24">
        <f t="shared" si="2"/>
        <v>0</v>
      </c>
      <c r="P14" s="24"/>
      <c r="Q14" s="25"/>
      <c r="R14" s="25"/>
      <c r="S14" s="90"/>
      <c r="T14" s="26"/>
      <c r="U14" s="26"/>
      <c r="V14" s="26"/>
      <c r="W14" s="25"/>
      <c r="X14" s="25"/>
      <c r="Y14" s="25"/>
      <c r="Z14" s="25">
        <v>80</v>
      </c>
      <c r="AA14" s="26"/>
      <c r="AB14" s="26"/>
      <c r="AC14" s="25"/>
      <c r="AD14" s="25"/>
      <c r="AE14" s="24">
        <f>-SUM(N14:AD14)</f>
        <v>-80</v>
      </c>
      <c r="AF14" s="27"/>
      <c r="AG14" s="91">
        <f t="shared" si="3"/>
        <v>80</v>
      </c>
    </row>
    <row r="15" spans="1:33" s="17" customFormat="1" ht="21.75" customHeight="1" x14ac:dyDescent="0.2">
      <c r="A15" s="81">
        <v>44151</v>
      </c>
      <c r="B15" s="12"/>
      <c r="C15" s="20" t="s">
        <v>325</v>
      </c>
      <c r="D15" s="12"/>
      <c r="E15" s="12"/>
      <c r="F15" s="82"/>
      <c r="G15" s="82" t="s">
        <v>857</v>
      </c>
      <c r="H15" s="84">
        <v>20</v>
      </c>
      <c r="I15" s="82"/>
      <c r="J15" s="84"/>
      <c r="K15" s="84"/>
      <c r="L15" s="13"/>
      <c r="M15" s="24">
        <f t="shared" ref="M15:M26" si="4">SUM(H15:J15,K15/1.12)</f>
        <v>20</v>
      </c>
      <c r="N15" s="24">
        <f t="shared" si="1"/>
        <v>0</v>
      </c>
      <c r="O15" s="24">
        <f t="shared" si="2"/>
        <v>0</v>
      </c>
      <c r="P15" s="24"/>
      <c r="Q15" s="25"/>
      <c r="R15" s="25"/>
      <c r="S15" s="90"/>
      <c r="T15" s="26"/>
      <c r="U15" s="26">
        <v>20</v>
      </c>
      <c r="V15" s="26"/>
      <c r="W15" s="25"/>
      <c r="X15" s="25"/>
      <c r="Y15" s="25"/>
      <c r="Z15" s="25"/>
      <c r="AA15" s="26"/>
      <c r="AB15" s="26"/>
      <c r="AC15" s="25"/>
      <c r="AD15" s="25"/>
      <c r="AE15" s="24">
        <f>-SUM(N15:AD15)</f>
        <v>-20</v>
      </c>
      <c r="AF15" s="27">
        <f>SUM(H15:K15)+AE15+O15</f>
        <v>0</v>
      </c>
      <c r="AG15" s="91">
        <f t="shared" si="3"/>
        <v>20</v>
      </c>
    </row>
    <row r="16" spans="1:33" s="17" customFormat="1" ht="21.75" customHeight="1" x14ac:dyDescent="0.2">
      <c r="A16" s="81">
        <v>44151</v>
      </c>
      <c r="B16" s="12"/>
      <c r="C16" s="20" t="s">
        <v>765</v>
      </c>
      <c r="D16" s="12"/>
      <c r="E16" s="12"/>
      <c r="F16" s="82"/>
      <c r="G16" s="82" t="s">
        <v>858</v>
      </c>
      <c r="H16" s="84"/>
      <c r="I16" s="82"/>
      <c r="J16" s="84">
        <v>148</v>
      </c>
      <c r="K16" s="84"/>
      <c r="L16" s="13"/>
      <c r="M16" s="24">
        <f t="shared" si="4"/>
        <v>148</v>
      </c>
      <c r="N16" s="24">
        <f t="shared" si="1"/>
        <v>0</v>
      </c>
      <c r="O16" s="24">
        <f t="shared" si="2"/>
        <v>0</v>
      </c>
      <c r="P16" s="24">
        <v>148</v>
      </c>
      <c r="Q16" s="25"/>
      <c r="R16" s="25"/>
      <c r="S16" s="90"/>
      <c r="T16" s="26"/>
      <c r="U16" s="26"/>
      <c r="V16" s="26"/>
      <c r="W16" s="25"/>
      <c r="X16" s="25"/>
      <c r="Y16" s="25"/>
      <c r="Z16" s="25"/>
      <c r="AA16" s="26"/>
      <c r="AB16" s="26"/>
      <c r="AC16" s="25"/>
      <c r="AD16" s="25"/>
      <c r="AE16" s="24">
        <f>-SUM(N16:AD16)</f>
        <v>-148</v>
      </c>
      <c r="AF16" s="27">
        <f>SUM(H16:K16)+AE16+O16</f>
        <v>0</v>
      </c>
      <c r="AG16" s="91">
        <f t="shared" si="3"/>
        <v>148</v>
      </c>
    </row>
    <row r="17" spans="1:33" s="17" customFormat="1" ht="21.75" customHeight="1" x14ac:dyDescent="0.2">
      <c r="A17" s="81">
        <v>44151</v>
      </c>
      <c r="B17" s="12"/>
      <c r="C17" s="20" t="s">
        <v>765</v>
      </c>
      <c r="D17" s="12"/>
      <c r="E17" s="12"/>
      <c r="F17" s="82"/>
      <c r="G17" s="82" t="s">
        <v>730</v>
      </c>
      <c r="H17" s="84"/>
      <c r="I17" s="82"/>
      <c r="J17" s="82"/>
      <c r="K17" s="84">
        <v>195</v>
      </c>
      <c r="L17" s="13"/>
      <c r="M17" s="24">
        <f t="shared" si="4"/>
        <v>174.10714285714283</v>
      </c>
      <c r="N17" s="24">
        <f t="shared" si="1"/>
        <v>20.892857142857139</v>
      </c>
      <c r="O17" s="24">
        <f t="shared" si="2"/>
        <v>0</v>
      </c>
      <c r="P17" s="24">
        <v>174.11</v>
      </c>
      <c r="Q17" s="25"/>
      <c r="R17" s="25"/>
      <c r="S17" s="90"/>
      <c r="T17" s="26"/>
      <c r="U17" s="26"/>
      <c r="V17" s="26"/>
      <c r="W17" s="25"/>
      <c r="X17" s="25"/>
      <c r="Y17" s="25"/>
      <c r="Z17" s="25"/>
      <c r="AA17" s="26"/>
      <c r="AB17" s="26"/>
      <c r="AC17" s="25"/>
      <c r="AD17" s="25"/>
      <c r="AE17" s="24">
        <f>-SUM(N17:AD17)</f>
        <v>-195.00285714285715</v>
      </c>
      <c r="AF17" s="27">
        <f>SUM(H17:K17)+AE17+O17</f>
        <v>-2.8571428571524393E-3</v>
      </c>
      <c r="AG17" s="91">
        <f t="shared" si="3"/>
        <v>195.00285714285715</v>
      </c>
    </row>
    <row r="18" spans="1:33" s="17" customFormat="1" ht="21.75" customHeight="1" x14ac:dyDescent="0.2">
      <c r="A18" s="81">
        <v>44151</v>
      </c>
      <c r="B18" s="12"/>
      <c r="C18" s="82" t="s">
        <v>325</v>
      </c>
      <c r="D18" s="12"/>
      <c r="E18" s="12"/>
      <c r="F18" s="82"/>
      <c r="G18" s="82" t="s">
        <v>859</v>
      </c>
      <c r="H18" s="84">
        <v>180</v>
      </c>
      <c r="I18" s="82"/>
      <c r="J18" s="84"/>
      <c r="K18" s="84"/>
      <c r="L18" s="13"/>
      <c r="M18" s="24">
        <f t="shared" si="4"/>
        <v>180</v>
      </c>
      <c r="N18" s="24">
        <f t="shared" si="1"/>
        <v>0</v>
      </c>
      <c r="O18" s="24">
        <f t="shared" si="2"/>
        <v>0</v>
      </c>
      <c r="P18" s="24"/>
      <c r="Q18" s="25"/>
      <c r="R18" s="25"/>
      <c r="S18" s="90"/>
      <c r="T18" s="26"/>
      <c r="U18" s="26"/>
      <c r="V18" s="26"/>
      <c r="W18" s="25"/>
      <c r="X18" s="25"/>
      <c r="Y18" s="25"/>
      <c r="Z18" s="25">
        <v>180</v>
      </c>
      <c r="AA18" s="26"/>
      <c r="AB18" s="26"/>
      <c r="AC18" s="25"/>
      <c r="AD18" s="25"/>
      <c r="AE18" s="24">
        <f>-SUM(N18:AD18)</f>
        <v>-180</v>
      </c>
      <c r="AF18" s="27">
        <f>SUM(H18:K18)+AE18+O18</f>
        <v>0</v>
      </c>
      <c r="AG18" s="91">
        <f t="shared" si="3"/>
        <v>180</v>
      </c>
    </row>
    <row r="19" spans="1:33" s="29" customFormat="1" ht="23.25" customHeight="1" x14ac:dyDescent="0.2">
      <c r="A19" s="81">
        <v>44152</v>
      </c>
      <c r="B19" s="19"/>
      <c r="C19" s="56" t="s">
        <v>106</v>
      </c>
      <c r="D19" s="20"/>
      <c r="E19" s="20"/>
      <c r="F19" s="21"/>
      <c r="G19" s="21" t="s">
        <v>860</v>
      </c>
      <c r="H19" s="22"/>
      <c r="I19" s="22"/>
      <c r="J19" s="22"/>
      <c r="K19" s="22">
        <v>297.25</v>
      </c>
      <c r="L19" s="23"/>
      <c r="M19" s="24">
        <f t="shared" si="4"/>
        <v>265.40178571428567</v>
      </c>
      <c r="N19" s="24">
        <f t="shared" si="1"/>
        <v>31.848214285714278</v>
      </c>
      <c r="O19" s="24">
        <f t="shared" si="2"/>
        <v>0</v>
      </c>
      <c r="P19" s="24"/>
      <c r="Q19" s="25"/>
      <c r="R19" s="25">
        <v>265.39999999999998</v>
      </c>
      <c r="S19" s="26"/>
      <c r="T19" s="26"/>
      <c r="U19" s="26"/>
      <c r="V19" s="26"/>
      <c r="W19" s="25"/>
      <c r="X19" s="25"/>
      <c r="Y19" s="25"/>
      <c r="Z19" s="25"/>
      <c r="AA19" s="26"/>
      <c r="AB19" s="26"/>
      <c r="AC19" s="25"/>
      <c r="AD19" s="25"/>
      <c r="AE19" s="24">
        <f>-SUM(N19:AD19)</f>
        <v>-297.24821428571425</v>
      </c>
      <c r="AF19" s="27">
        <f>SUM(H19:K19)+AE19+O19</f>
        <v>1.7857142857451436E-3</v>
      </c>
      <c r="AG19" s="91">
        <f t="shared" si="3"/>
        <v>297.24821428571425</v>
      </c>
    </row>
    <row r="20" spans="1:33" s="29" customFormat="1" ht="23.25" customHeight="1" x14ac:dyDescent="0.2">
      <c r="A20" s="81">
        <v>44153</v>
      </c>
      <c r="B20" s="19"/>
      <c r="C20" s="20" t="s">
        <v>861</v>
      </c>
      <c r="D20" s="20"/>
      <c r="E20" s="20"/>
      <c r="F20" s="21"/>
      <c r="G20" s="21" t="s">
        <v>862</v>
      </c>
      <c r="H20" s="22">
        <v>164</v>
      </c>
      <c r="I20" s="22"/>
      <c r="J20" s="22"/>
      <c r="K20" s="22"/>
      <c r="L20" s="23"/>
      <c r="M20" s="24">
        <f t="shared" si="4"/>
        <v>164</v>
      </c>
      <c r="N20" s="24">
        <f t="shared" si="1"/>
        <v>0</v>
      </c>
      <c r="O20" s="24">
        <f t="shared" si="2"/>
        <v>0</v>
      </c>
      <c r="P20" s="24"/>
      <c r="Q20" s="25"/>
      <c r="R20" s="25"/>
      <c r="S20" s="26"/>
      <c r="T20" s="26"/>
      <c r="U20" s="26"/>
      <c r="V20" s="26"/>
      <c r="W20" s="25"/>
      <c r="X20" s="25"/>
      <c r="Y20" s="25"/>
      <c r="Z20" s="25">
        <v>164</v>
      </c>
      <c r="AA20" s="26"/>
      <c r="AB20" s="26"/>
      <c r="AC20" s="25"/>
      <c r="AD20" s="25"/>
      <c r="AE20" s="24">
        <f>-SUM(N20:AD20)</f>
        <v>-164</v>
      </c>
      <c r="AF20" s="27">
        <f>SUM(H20:K20)+AE20+O20</f>
        <v>0</v>
      </c>
      <c r="AG20" s="91">
        <f t="shared" si="3"/>
        <v>164</v>
      </c>
    </row>
    <row r="21" spans="1:33" s="29" customFormat="1" ht="23.25" customHeight="1" x14ac:dyDescent="0.2">
      <c r="A21" s="81">
        <v>44153</v>
      </c>
      <c r="B21" s="19"/>
      <c r="C21" s="20" t="s">
        <v>863</v>
      </c>
      <c r="D21" s="20"/>
      <c r="E21" s="20"/>
      <c r="F21" s="21"/>
      <c r="G21" s="21" t="s">
        <v>864</v>
      </c>
      <c r="H21" s="22"/>
      <c r="I21" s="22"/>
      <c r="J21" s="22"/>
      <c r="K21" s="22">
        <v>1491</v>
      </c>
      <c r="L21" s="23"/>
      <c r="M21" s="24">
        <f t="shared" si="4"/>
        <v>1331.2499999999998</v>
      </c>
      <c r="N21" s="24">
        <f t="shared" si="1"/>
        <v>159.74999999999997</v>
      </c>
      <c r="O21" s="24">
        <f t="shared" si="2"/>
        <v>0</v>
      </c>
      <c r="P21" s="24"/>
      <c r="Q21" s="25"/>
      <c r="R21" s="25"/>
      <c r="S21" s="26"/>
      <c r="T21" s="26">
        <v>1331.25</v>
      </c>
      <c r="U21" s="26"/>
      <c r="V21" s="26"/>
      <c r="W21" s="25"/>
      <c r="X21" s="25"/>
      <c r="Y21" s="25"/>
      <c r="Z21" s="25"/>
      <c r="AA21" s="26"/>
      <c r="AB21" s="26"/>
      <c r="AC21" s="25"/>
      <c r="AD21" s="25"/>
      <c r="AE21" s="24">
        <f>-SUM(N21:AD21)</f>
        <v>-1491</v>
      </c>
      <c r="AF21" s="27"/>
      <c r="AG21" s="91">
        <f t="shared" si="3"/>
        <v>1491</v>
      </c>
    </row>
    <row r="22" spans="1:33" s="29" customFormat="1" ht="23.25" customHeight="1" x14ac:dyDescent="0.2">
      <c r="A22" s="81">
        <v>44153</v>
      </c>
      <c r="B22" s="19"/>
      <c r="C22" s="20" t="s">
        <v>865</v>
      </c>
      <c r="D22" s="20"/>
      <c r="E22" s="20"/>
      <c r="F22" s="21"/>
      <c r="G22" s="21" t="s">
        <v>866</v>
      </c>
      <c r="H22" s="22"/>
      <c r="I22" s="22"/>
      <c r="J22" s="22">
        <v>240</v>
      </c>
      <c r="K22" s="22"/>
      <c r="L22" s="23"/>
      <c r="M22" s="24">
        <f t="shared" si="4"/>
        <v>240</v>
      </c>
      <c r="N22" s="24">
        <f t="shared" si="1"/>
        <v>0</v>
      </c>
      <c r="O22" s="24">
        <f t="shared" si="2"/>
        <v>0</v>
      </c>
      <c r="P22" s="24">
        <v>240</v>
      </c>
      <c r="Q22" s="25"/>
      <c r="R22" s="25"/>
      <c r="S22" s="26"/>
      <c r="T22" s="26"/>
      <c r="U22" s="26"/>
      <c r="V22" s="26"/>
      <c r="W22" s="25"/>
      <c r="X22" s="25"/>
      <c r="Y22" s="25"/>
      <c r="Z22" s="25"/>
      <c r="AA22" s="26"/>
      <c r="AB22" s="26"/>
      <c r="AC22" s="25"/>
      <c r="AD22" s="25"/>
      <c r="AE22" s="24">
        <f>-SUM(N22:AD22)</f>
        <v>-240</v>
      </c>
      <c r="AF22" s="27"/>
      <c r="AG22" s="91">
        <f t="shared" si="3"/>
        <v>240</v>
      </c>
    </row>
    <row r="23" spans="1:33" s="29" customFormat="1" ht="23.25" customHeight="1" x14ac:dyDescent="0.2">
      <c r="A23" s="81">
        <v>44153</v>
      </c>
      <c r="B23" s="19"/>
      <c r="C23" s="20" t="s">
        <v>605</v>
      </c>
      <c r="D23" s="20"/>
      <c r="E23" s="20"/>
      <c r="F23" s="21"/>
      <c r="G23" s="21" t="s">
        <v>867</v>
      </c>
      <c r="H23" s="22">
        <v>70</v>
      </c>
      <c r="I23" s="22"/>
      <c r="J23" s="22"/>
      <c r="K23" s="22"/>
      <c r="L23" s="23"/>
      <c r="M23" s="24">
        <f t="shared" si="4"/>
        <v>70</v>
      </c>
      <c r="N23" s="24">
        <f t="shared" si="1"/>
        <v>0</v>
      </c>
      <c r="O23" s="24">
        <f t="shared" si="2"/>
        <v>0</v>
      </c>
      <c r="P23" s="24"/>
      <c r="Q23" s="25"/>
      <c r="R23" s="25"/>
      <c r="S23" s="26"/>
      <c r="T23" s="26"/>
      <c r="U23" s="26"/>
      <c r="V23" s="26"/>
      <c r="W23" s="25"/>
      <c r="X23" s="25"/>
      <c r="Y23" s="25"/>
      <c r="Z23" s="25">
        <v>70</v>
      </c>
      <c r="AA23" s="26"/>
      <c r="AB23" s="26"/>
      <c r="AC23" s="25"/>
      <c r="AD23" s="25"/>
      <c r="AE23" s="24">
        <f>-SUM(N23:AD23)</f>
        <v>-70</v>
      </c>
      <c r="AF23" s="27">
        <f>SUM(H23:K23)+AE23+O23</f>
        <v>0</v>
      </c>
      <c r="AG23" s="91">
        <f t="shared" si="3"/>
        <v>70</v>
      </c>
    </row>
    <row r="24" spans="1:33" s="29" customFormat="1" ht="23.25" customHeight="1" x14ac:dyDescent="0.2">
      <c r="A24" s="81">
        <v>44154</v>
      </c>
      <c r="B24" s="19"/>
      <c r="C24" s="56" t="s">
        <v>106</v>
      </c>
      <c r="D24" s="20"/>
      <c r="E24" s="20"/>
      <c r="F24" s="21"/>
      <c r="G24" s="21" t="s">
        <v>868</v>
      </c>
      <c r="H24" s="22"/>
      <c r="I24" s="22"/>
      <c r="J24" s="22"/>
      <c r="K24" s="22">
        <v>475</v>
      </c>
      <c r="L24" s="23"/>
      <c r="M24" s="24">
        <f t="shared" si="4"/>
        <v>424.10714285714283</v>
      </c>
      <c r="N24" s="24">
        <f t="shared" si="1"/>
        <v>50.892857142857139</v>
      </c>
      <c r="O24" s="24">
        <f t="shared" si="2"/>
        <v>0</v>
      </c>
      <c r="P24" s="24"/>
      <c r="Q24" s="25"/>
      <c r="R24" s="25">
        <v>424.11</v>
      </c>
      <c r="S24" s="26"/>
      <c r="T24" s="26"/>
      <c r="U24" s="26"/>
      <c r="V24" s="26"/>
      <c r="W24" s="25"/>
      <c r="X24" s="25"/>
      <c r="Y24" s="25"/>
      <c r="Z24" s="25"/>
      <c r="AA24" s="26"/>
      <c r="AB24" s="26"/>
      <c r="AC24" s="25"/>
      <c r="AD24" s="25"/>
      <c r="AE24" s="24">
        <f>-SUM(N24:AD24)</f>
        <v>-475.00285714285712</v>
      </c>
      <c r="AF24" s="27">
        <f>SUM(H24:K24)+AE24+O24</f>
        <v>-2.8571428571240176E-3</v>
      </c>
      <c r="AG24" s="91">
        <f t="shared" si="3"/>
        <v>475.00285714285712</v>
      </c>
    </row>
    <row r="25" spans="1:33" s="29" customFormat="1" ht="23.25" customHeight="1" x14ac:dyDescent="0.2">
      <c r="A25" s="81">
        <v>44154</v>
      </c>
      <c r="B25" s="19"/>
      <c r="C25" s="20" t="s">
        <v>711</v>
      </c>
      <c r="D25" s="20"/>
      <c r="E25" s="20"/>
      <c r="F25" s="21"/>
      <c r="G25" s="21" t="s">
        <v>869</v>
      </c>
      <c r="H25" s="22"/>
      <c r="I25" s="22"/>
      <c r="J25" s="22"/>
      <c r="K25" s="22">
        <v>244.75</v>
      </c>
      <c r="L25" s="23"/>
      <c r="M25" s="24">
        <f t="shared" si="4"/>
        <v>218.52678571428569</v>
      </c>
      <c r="N25" s="24">
        <f t="shared" si="1"/>
        <v>26.223214285714281</v>
      </c>
      <c r="O25" s="24">
        <f t="shared" si="2"/>
        <v>0</v>
      </c>
      <c r="P25" s="24">
        <v>218.53</v>
      </c>
      <c r="Q25" s="25"/>
      <c r="R25" s="25"/>
      <c r="S25" s="26"/>
      <c r="T25" s="26"/>
      <c r="U25" s="26"/>
      <c r="V25" s="26"/>
      <c r="W25" s="25"/>
      <c r="X25" s="25"/>
      <c r="Y25" s="25"/>
      <c r="Z25" s="25"/>
      <c r="AA25" s="26"/>
      <c r="AB25" s="26"/>
      <c r="AC25" s="25"/>
      <c r="AD25" s="25"/>
      <c r="AE25" s="24">
        <f>-SUM(N25:AD25)</f>
        <v>-244.75321428571428</v>
      </c>
      <c r="AF25" s="27">
        <f>SUM(H25:K25)+AE25+O25</f>
        <v>-3.2142857142787307E-3</v>
      </c>
      <c r="AG25" s="91">
        <f t="shared" si="3"/>
        <v>244.75321428571428</v>
      </c>
    </row>
    <row r="26" spans="1:33" s="29" customFormat="1" ht="10.199999999999999" x14ac:dyDescent="0.2">
      <c r="A26" s="18"/>
      <c r="B26" s="19"/>
      <c r="C26" s="43"/>
      <c r="D26" s="43"/>
      <c r="E26" s="43"/>
      <c r="F26" s="21"/>
      <c r="G26" s="30"/>
      <c r="H26" s="22"/>
      <c r="I26" s="22"/>
      <c r="J26" s="22"/>
      <c r="K26" s="22"/>
      <c r="L26" s="23"/>
      <c r="M26" s="25">
        <f t="shared" si="4"/>
        <v>0</v>
      </c>
      <c r="N26" s="25">
        <f t="shared" si="1"/>
        <v>0</v>
      </c>
      <c r="O26" s="25">
        <f t="shared" si="2"/>
        <v>0</v>
      </c>
      <c r="P26" s="25"/>
      <c r="Q26" s="25"/>
      <c r="R26" s="25"/>
      <c r="S26" s="25"/>
      <c r="T26" s="26"/>
      <c r="U26" s="51"/>
      <c r="V26" s="26"/>
      <c r="W26" s="26"/>
      <c r="X26" s="44"/>
      <c r="Y26" s="25"/>
      <c r="Z26" s="51"/>
      <c r="AA26" s="25"/>
      <c r="AB26" s="26"/>
      <c r="AC26" s="26"/>
      <c r="AD26" s="45"/>
      <c r="AE26" s="24">
        <f>-SUM(N26:AD26)</f>
        <v>0</v>
      </c>
      <c r="AF26" s="27">
        <f>SUM(H26:K26)+AE26+O26</f>
        <v>0</v>
      </c>
    </row>
    <row r="27" spans="1:33" s="52" customFormat="1" ht="10.199999999999999" x14ac:dyDescent="0.2">
      <c r="A27" s="46"/>
      <c r="B27" s="47"/>
      <c r="C27" s="48"/>
      <c r="D27" s="49"/>
      <c r="E27" s="49"/>
      <c r="F27" s="50"/>
      <c r="G27" s="48"/>
      <c r="H27" s="51">
        <f>SUM(H5:H25)</f>
        <v>714</v>
      </c>
      <c r="I27" s="51">
        <f>SUM(I25:I26)</f>
        <v>0</v>
      </c>
      <c r="J27" s="51">
        <f>SUM(J5:J25)</f>
        <v>1568</v>
      </c>
      <c r="K27" s="51">
        <f>SUM(K5:K25)</f>
        <v>9756.75</v>
      </c>
      <c r="L27" s="51">
        <f>SUM(L25:L26)</f>
        <v>0</v>
      </c>
      <c r="M27" s="51">
        <f>SUM(M5:M25)</f>
        <v>10913.383928571429</v>
      </c>
      <c r="N27" s="51">
        <f>SUM(N5:N25)</f>
        <v>1045.3660714285711</v>
      </c>
      <c r="O27" s="51">
        <f>SUM(O25:O26)</f>
        <v>0</v>
      </c>
      <c r="P27" s="51">
        <f>SUM(P5:P25)</f>
        <v>6513.45</v>
      </c>
      <c r="Q27" s="51">
        <f>SUM(Q5:Q25)</f>
        <v>1531.25</v>
      </c>
      <c r="R27" s="51">
        <f>SUM(R5:R25)</f>
        <v>689.51</v>
      </c>
      <c r="S27" s="51">
        <f>SUM(S10:S26)</f>
        <v>0</v>
      </c>
      <c r="T27" s="51">
        <f>SUM(T10:T26)</f>
        <v>1331.25</v>
      </c>
      <c r="U27" s="51">
        <f>SUM(U10:U26)</f>
        <v>233.93</v>
      </c>
      <c r="V27" s="51">
        <f>SUM(V25:V26)</f>
        <v>0</v>
      </c>
      <c r="W27" s="51">
        <f>SUM(W25:W26)</f>
        <v>0</v>
      </c>
      <c r="X27" s="51">
        <f>SUM(X25:X26)</f>
        <v>0</v>
      </c>
      <c r="Y27" s="51">
        <f>SUM(Y25:Y26)</f>
        <v>0</v>
      </c>
      <c r="Z27" s="51">
        <f>SUM(Z5:Z25)</f>
        <v>694</v>
      </c>
      <c r="AA27" s="51">
        <f>SUM(AA25:AA26)</f>
        <v>0</v>
      </c>
      <c r="AB27" s="51">
        <f>SUM(AB5:AB25)</f>
        <v>0</v>
      </c>
      <c r="AC27" s="51">
        <f>SUM(AC5:AC25)</f>
        <v>0</v>
      </c>
      <c r="AD27" s="51">
        <f>SUM(AD25:AD26)</f>
        <v>0</v>
      </c>
      <c r="AE27" s="51">
        <f>SUM(AE5:AE25)</f>
        <v>-12038.75607142857</v>
      </c>
      <c r="AF27" s="51">
        <f>SUM(AF25:AF26)</f>
        <v>-3.2142857142787307E-3</v>
      </c>
    </row>
    <row r="28" spans="1:33" s="77" customFormat="1" ht="10.199999999999999" x14ac:dyDescent="0.2"/>
    <row r="29" spans="1:33" x14ac:dyDescent="0.3">
      <c r="H29" s="85"/>
      <c r="I29" s="85"/>
      <c r="J29" s="85"/>
      <c r="K29" s="85"/>
    </row>
    <row r="30" spans="1:33" x14ac:dyDescent="0.3">
      <c r="H30" s="85"/>
      <c r="I30" s="85"/>
      <c r="J30" s="85"/>
      <c r="K30" s="85"/>
    </row>
    <row r="31" spans="1:33" x14ac:dyDescent="0.3">
      <c r="H31" s="85"/>
      <c r="I31" s="85"/>
      <c r="J31" s="85"/>
      <c r="K31" s="85"/>
    </row>
    <row r="32" spans="1:33" x14ac:dyDescent="0.3">
      <c r="H32" s="85"/>
      <c r="I32" s="85"/>
      <c r="J32" s="85"/>
      <c r="K32" s="85"/>
      <c r="Q32" s="5">
        <v>0</v>
      </c>
    </row>
    <row r="33" spans="8:24" s="3" customFormat="1" ht="11.4" x14ac:dyDescent="0.2">
      <c r="H33" s="86"/>
      <c r="I33" s="86"/>
      <c r="J33" s="86"/>
      <c r="K33" s="86"/>
      <c r="T33" s="5"/>
      <c r="U33" s="5"/>
      <c r="V33" s="5"/>
      <c r="W33" s="5"/>
      <c r="X33" s="5"/>
    </row>
    <row r="34" spans="8:24" x14ac:dyDescent="0.3">
      <c r="H34" s="85"/>
      <c r="I34" s="85"/>
      <c r="J34" s="85"/>
      <c r="K34" s="85"/>
    </row>
    <row r="35" spans="8:24" x14ac:dyDescent="0.3">
      <c r="H35" s="85"/>
      <c r="I35" s="85"/>
      <c r="J35" s="85"/>
      <c r="K35" s="85"/>
    </row>
    <row r="36" spans="8:24" x14ac:dyDescent="0.3">
      <c r="H36" s="85"/>
      <c r="I36" s="85"/>
      <c r="J36" s="85"/>
      <c r="K36" s="85"/>
    </row>
    <row r="37" spans="8:24" x14ac:dyDescent="0.3">
      <c r="H37" s="85"/>
      <c r="I37" s="85"/>
      <c r="J37" s="85"/>
      <c r="K37" s="85"/>
    </row>
    <row r="38" spans="8:24" x14ac:dyDescent="0.3">
      <c r="H38" s="87"/>
      <c r="I38" s="87"/>
      <c r="J38" s="87"/>
      <c r="K38" s="87"/>
    </row>
    <row r="39" spans="8:24" x14ac:dyDescent="0.3">
      <c r="H39" s="87"/>
      <c r="I39" s="87"/>
      <c r="J39" s="87"/>
      <c r="K39" s="87"/>
    </row>
    <row r="40" spans="8:24" s="3" customFormat="1" ht="10.199999999999999" x14ac:dyDescent="0.2">
      <c r="H40" s="87"/>
      <c r="I40" s="87"/>
      <c r="J40" s="87"/>
      <c r="K40" s="87"/>
    </row>
    <row r="41" spans="8:24" s="3" customFormat="1" ht="10.199999999999999" x14ac:dyDescent="0.2">
      <c r="H41" s="87"/>
      <c r="I41" s="87"/>
      <c r="J41" s="87"/>
      <c r="K41" s="87"/>
    </row>
    <row r="42" spans="8:24" s="3" customFormat="1" ht="10.199999999999999" x14ac:dyDescent="0.2">
      <c r="H42" s="87"/>
      <c r="I42" s="87"/>
      <c r="J42" s="87"/>
      <c r="K42" s="8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MK33"/>
  <sheetViews>
    <sheetView topLeftCell="L1" zoomScaleNormal="100" workbookViewId="0">
      <selection activeCell="V12" sqref="V12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6.109375" style="3" customWidth="1"/>
    <col min="4" max="4" width="14" style="4" hidden="1" customWidth="1"/>
    <col min="5" max="5" width="29.33203125" style="4" hidden="1" customWidth="1"/>
    <col min="6" max="6" width="7.88671875" style="2" customWidth="1"/>
    <col min="7" max="7" width="26.5546875" style="3" customWidth="1"/>
    <col min="8" max="8" width="11.109375" style="5" customWidth="1"/>
    <col min="9" max="9" width="9.5546875" style="5" hidden="1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10.6640625" style="5" customWidth="1"/>
    <col min="19" max="19" width="9.5546875" style="5" customWidth="1"/>
    <col min="20" max="21" width="9.109375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30" width="8" style="5" customWidth="1"/>
    <col min="31" max="31" width="10.109375" style="5" customWidth="1"/>
    <col min="32" max="32" width="10.6640625" style="5" customWidth="1"/>
    <col min="33" max="33" width="8.88671875" style="3" customWidth="1"/>
    <col min="34" max="1025" width="9.109375" style="3" customWidth="1"/>
  </cols>
  <sheetData>
    <row r="1" spans="1:34" ht="12" customHeight="1" x14ac:dyDescent="0.3">
      <c r="A1" s="7" t="s">
        <v>0</v>
      </c>
      <c r="C1" s="8"/>
    </row>
    <row r="2" spans="1:34" ht="12" customHeight="1" x14ac:dyDescent="0.3">
      <c r="A2" s="7" t="s">
        <v>1</v>
      </c>
    </row>
    <row r="3" spans="1:34" ht="12" customHeight="1" x14ac:dyDescent="0.3">
      <c r="A3" s="96" t="s">
        <v>870</v>
      </c>
      <c r="B3" s="97"/>
      <c r="C3" s="98"/>
      <c r="D3" s="74"/>
      <c r="E3" s="74"/>
      <c r="F3" s="75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4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771</v>
      </c>
      <c r="T4" s="13" t="s">
        <v>24</v>
      </c>
      <c r="U4" s="13" t="s">
        <v>25</v>
      </c>
      <c r="V4" s="13" t="s">
        <v>22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613</v>
      </c>
      <c r="AD4" s="13" t="s">
        <v>34</v>
      </c>
      <c r="AE4" s="15" t="s">
        <v>35</v>
      </c>
      <c r="AF4" s="16" t="s">
        <v>36</v>
      </c>
    </row>
    <row r="5" spans="1:34" s="17" customFormat="1" ht="19.5" customHeight="1" x14ac:dyDescent="0.2">
      <c r="A5" s="81">
        <v>44153</v>
      </c>
      <c r="B5" s="12"/>
      <c r="C5" s="20" t="s">
        <v>409</v>
      </c>
      <c r="D5" s="12"/>
      <c r="E5" s="12"/>
      <c r="F5" s="82">
        <v>647</v>
      </c>
      <c r="G5" s="82" t="s">
        <v>256</v>
      </c>
      <c r="H5" s="84"/>
      <c r="I5" s="82"/>
      <c r="J5" s="84">
        <v>8302</v>
      </c>
      <c r="K5" s="84"/>
      <c r="L5" s="83"/>
      <c r="M5" s="24">
        <f t="shared" ref="M5:M18" si="0">SUM(H5:J5,K5/1.12)</f>
        <v>8302</v>
      </c>
      <c r="N5" s="24">
        <f t="shared" ref="N5:N18" si="1">K5/1.12*0.12</f>
        <v>0</v>
      </c>
      <c r="O5" s="24">
        <f t="shared" ref="O5:O18" si="2">-SUM(I5:J5,K5/1.12)*L5</f>
        <v>0</v>
      </c>
      <c r="P5" s="24">
        <v>8302</v>
      </c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>
        <f t="shared" ref="AF5:AF18" si="3">-SUM(N5:AE5)</f>
        <v>-8302</v>
      </c>
      <c r="AG5" s="27">
        <f t="shared" ref="AG5:AG18" si="4">SUM(H5:K5)+AF5+O5</f>
        <v>0</v>
      </c>
      <c r="AH5" s="91">
        <f t="shared" ref="AH5:AH11" si="5">-AF5</f>
        <v>8302</v>
      </c>
    </row>
    <row r="6" spans="1:34" s="17" customFormat="1" ht="19.5" customHeight="1" x14ac:dyDescent="0.2">
      <c r="A6" s="81">
        <v>44153</v>
      </c>
      <c r="B6" s="12"/>
      <c r="C6" s="20" t="s">
        <v>871</v>
      </c>
      <c r="D6" s="12"/>
      <c r="E6" s="12"/>
      <c r="F6" s="82">
        <v>254</v>
      </c>
      <c r="G6" s="82" t="s">
        <v>481</v>
      </c>
      <c r="H6" s="84"/>
      <c r="I6" s="82"/>
      <c r="J6" s="84">
        <v>2640.3</v>
      </c>
      <c r="K6" s="84"/>
      <c r="L6" s="83"/>
      <c r="M6" s="24">
        <f t="shared" si="0"/>
        <v>2640.3</v>
      </c>
      <c r="N6" s="24">
        <f t="shared" si="1"/>
        <v>0</v>
      </c>
      <c r="O6" s="24">
        <f t="shared" si="2"/>
        <v>0</v>
      </c>
      <c r="P6" s="24">
        <v>2640.3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>
        <f t="shared" si="3"/>
        <v>-2640.3</v>
      </c>
      <c r="AG6" s="27">
        <f t="shared" si="4"/>
        <v>0</v>
      </c>
      <c r="AH6" s="91">
        <f t="shared" si="5"/>
        <v>2640.3</v>
      </c>
    </row>
    <row r="7" spans="1:34" s="17" customFormat="1" ht="19.5" customHeight="1" x14ac:dyDescent="0.2">
      <c r="A7" s="81">
        <v>44155</v>
      </c>
      <c r="B7" s="12"/>
      <c r="C7" s="20" t="s">
        <v>872</v>
      </c>
      <c r="D7" s="12"/>
      <c r="E7" s="12"/>
      <c r="F7" s="82"/>
      <c r="G7" s="82" t="s">
        <v>873</v>
      </c>
      <c r="H7" s="84">
        <v>100</v>
      </c>
      <c r="I7" s="82"/>
      <c r="J7" s="84"/>
      <c r="K7" s="84"/>
      <c r="L7" s="83"/>
      <c r="M7" s="24">
        <f t="shared" si="0"/>
        <v>100</v>
      </c>
      <c r="N7" s="24">
        <f t="shared" si="1"/>
        <v>0</v>
      </c>
      <c r="O7" s="24">
        <f t="shared" si="2"/>
        <v>0</v>
      </c>
      <c r="P7" s="24"/>
      <c r="Q7" s="25"/>
      <c r="R7" s="25"/>
      <c r="S7" s="26"/>
      <c r="T7" s="26"/>
      <c r="U7" s="26"/>
      <c r="V7" s="26"/>
      <c r="W7" s="26"/>
      <c r="X7" s="25"/>
      <c r="Y7" s="25"/>
      <c r="Z7" s="25"/>
      <c r="AA7" s="25">
        <v>100</v>
      </c>
      <c r="AB7" s="26"/>
      <c r="AC7" s="26"/>
      <c r="AD7" s="25"/>
      <c r="AE7" s="25"/>
      <c r="AF7" s="24">
        <f t="shared" si="3"/>
        <v>-100</v>
      </c>
      <c r="AG7" s="27">
        <f t="shared" si="4"/>
        <v>0</v>
      </c>
      <c r="AH7" s="91">
        <f t="shared" si="5"/>
        <v>100</v>
      </c>
    </row>
    <row r="8" spans="1:34" s="17" customFormat="1" ht="19.5" customHeight="1" x14ac:dyDescent="0.2">
      <c r="A8" s="81">
        <v>44155</v>
      </c>
      <c r="B8" s="12"/>
      <c r="C8" s="20" t="s">
        <v>325</v>
      </c>
      <c r="D8" s="12"/>
      <c r="E8" s="12"/>
      <c r="F8" s="82"/>
      <c r="G8" s="82" t="s">
        <v>803</v>
      </c>
      <c r="H8" s="84">
        <v>120</v>
      </c>
      <c r="I8" s="82"/>
      <c r="J8" s="84"/>
      <c r="K8" s="84"/>
      <c r="L8" s="83"/>
      <c r="M8" s="24">
        <f t="shared" si="0"/>
        <v>120</v>
      </c>
      <c r="N8" s="24">
        <f t="shared" si="1"/>
        <v>0</v>
      </c>
      <c r="O8" s="24">
        <f t="shared" si="2"/>
        <v>0</v>
      </c>
      <c r="P8" s="24"/>
      <c r="Q8" s="25"/>
      <c r="R8" s="25"/>
      <c r="S8" s="26"/>
      <c r="T8" s="26"/>
      <c r="U8" s="26"/>
      <c r="V8" s="26"/>
      <c r="W8" s="26"/>
      <c r="X8" s="25"/>
      <c r="Y8" s="25"/>
      <c r="Z8" s="25"/>
      <c r="AA8" s="25">
        <v>120</v>
      </c>
      <c r="AB8" s="26"/>
      <c r="AC8" s="26"/>
      <c r="AD8" s="25"/>
      <c r="AE8" s="25"/>
      <c r="AF8" s="24">
        <f t="shared" si="3"/>
        <v>-120</v>
      </c>
      <c r="AG8" s="27">
        <f t="shared" si="4"/>
        <v>0</v>
      </c>
      <c r="AH8" s="91">
        <f t="shared" si="5"/>
        <v>120</v>
      </c>
    </row>
    <row r="9" spans="1:34" s="17" customFormat="1" ht="19.5" customHeight="1" x14ac:dyDescent="0.2">
      <c r="A9" s="81">
        <v>44155</v>
      </c>
      <c r="B9" s="12"/>
      <c r="C9" s="20" t="s">
        <v>47</v>
      </c>
      <c r="D9" s="12"/>
      <c r="E9" s="12"/>
      <c r="F9" s="82">
        <v>319965</v>
      </c>
      <c r="G9" s="82" t="s">
        <v>874</v>
      </c>
      <c r="H9" s="84"/>
      <c r="I9" s="82"/>
      <c r="J9" s="84">
        <v>511.4</v>
      </c>
      <c r="K9" s="84"/>
      <c r="L9" s="83"/>
      <c r="M9" s="24">
        <f t="shared" si="0"/>
        <v>511.4</v>
      </c>
      <c r="N9" s="24">
        <f t="shared" si="1"/>
        <v>0</v>
      </c>
      <c r="O9" s="24">
        <f t="shared" si="2"/>
        <v>0</v>
      </c>
      <c r="P9" s="24">
        <v>511.4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>
        <f t="shared" si="3"/>
        <v>-511.4</v>
      </c>
      <c r="AG9" s="27">
        <f t="shared" si="4"/>
        <v>0</v>
      </c>
      <c r="AH9" s="91">
        <f t="shared" si="5"/>
        <v>511.4</v>
      </c>
    </row>
    <row r="10" spans="1:34" s="17" customFormat="1" ht="21.75" customHeight="1" x14ac:dyDescent="0.2">
      <c r="A10" s="81">
        <v>44155</v>
      </c>
      <c r="B10" s="12"/>
      <c r="C10" s="20" t="s">
        <v>729</v>
      </c>
      <c r="D10" s="12"/>
      <c r="E10" s="12"/>
      <c r="F10" s="82">
        <v>3287</v>
      </c>
      <c r="G10" s="82" t="s">
        <v>138</v>
      </c>
      <c r="H10" s="84"/>
      <c r="I10" s="82"/>
      <c r="J10" s="84"/>
      <c r="K10" s="84">
        <v>156</v>
      </c>
      <c r="L10" s="83"/>
      <c r="M10" s="24">
        <f t="shared" si="0"/>
        <v>139.28571428571428</v>
      </c>
      <c r="N10" s="24">
        <f t="shared" si="1"/>
        <v>16.714285714285712</v>
      </c>
      <c r="O10" s="24">
        <f t="shared" si="2"/>
        <v>0</v>
      </c>
      <c r="P10" s="24">
        <v>139.29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>
        <f t="shared" si="3"/>
        <v>-156.00428571428571</v>
      </c>
      <c r="AG10" s="27">
        <f t="shared" si="4"/>
        <v>-4.2857142857144481E-3</v>
      </c>
      <c r="AH10" s="91">
        <f t="shared" si="5"/>
        <v>156.00428571428571</v>
      </c>
    </row>
    <row r="11" spans="1:34" s="17" customFormat="1" ht="18" customHeight="1" x14ac:dyDescent="0.2">
      <c r="A11" s="81">
        <v>44155</v>
      </c>
      <c r="B11" s="12"/>
      <c r="C11" s="20" t="s">
        <v>875</v>
      </c>
      <c r="D11" s="12"/>
      <c r="E11" s="12"/>
      <c r="F11" s="82">
        <v>320525</v>
      </c>
      <c r="G11" s="82" t="s">
        <v>800</v>
      </c>
      <c r="H11" s="84"/>
      <c r="I11" s="12"/>
      <c r="J11" s="84"/>
      <c r="K11" s="84">
        <v>125</v>
      </c>
      <c r="L11" s="13"/>
      <c r="M11" s="24">
        <f t="shared" si="0"/>
        <v>111.60714285714285</v>
      </c>
      <c r="N11" s="24">
        <f t="shared" si="1"/>
        <v>13.392857142857141</v>
      </c>
      <c r="O11" s="24">
        <f t="shared" si="2"/>
        <v>0</v>
      </c>
      <c r="P11" s="24"/>
      <c r="Q11" s="25">
        <v>111.61</v>
      </c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>
        <f t="shared" si="3"/>
        <v>-125.00285714285714</v>
      </c>
      <c r="AG11" s="27">
        <f t="shared" si="4"/>
        <v>-2.8571428571382285E-3</v>
      </c>
      <c r="AH11" s="91">
        <f t="shared" si="5"/>
        <v>125.00285714285714</v>
      </c>
    </row>
    <row r="12" spans="1:34" s="17" customFormat="1" ht="21.75" customHeight="1" x14ac:dyDescent="0.2">
      <c r="A12" s="81"/>
      <c r="B12" s="12"/>
      <c r="C12" s="20"/>
      <c r="D12" s="12"/>
      <c r="E12" s="12"/>
      <c r="F12" s="82"/>
      <c r="G12" s="82"/>
      <c r="H12" s="84"/>
      <c r="I12" s="82"/>
      <c r="J12" s="82"/>
      <c r="K12" s="84"/>
      <c r="L12" s="13"/>
      <c r="M12" s="24">
        <f t="shared" si="0"/>
        <v>0</v>
      </c>
      <c r="N12" s="24">
        <f t="shared" si="1"/>
        <v>0</v>
      </c>
      <c r="O12" s="24">
        <f t="shared" si="2"/>
        <v>0</v>
      </c>
      <c r="P12" s="24"/>
      <c r="Q12" s="25"/>
      <c r="R12" s="25"/>
      <c r="S12" s="90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>
        <f t="shared" si="3"/>
        <v>0</v>
      </c>
      <c r="AG12" s="27">
        <f t="shared" si="4"/>
        <v>0</v>
      </c>
    </row>
    <row r="13" spans="1:34" s="17" customFormat="1" ht="21.75" customHeight="1" x14ac:dyDescent="0.2">
      <c r="A13" s="81"/>
      <c r="B13" s="12"/>
      <c r="C13" s="20"/>
      <c r="D13" s="12"/>
      <c r="E13" s="12"/>
      <c r="F13" s="82"/>
      <c r="G13" s="82"/>
      <c r="H13" s="84"/>
      <c r="I13" s="82"/>
      <c r="J13" s="82"/>
      <c r="K13" s="84"/>
      <c r="L13" s="13"/>
      <c r="M13" s="24">
        <f t="shared" si="0"/>
        <v>0</v>
      </c>
      <c r="N13" s="24">
        <f t="shared" si="1"/>
        <v>0</v>
      </c>
      <c r="O13" s="24">
        <f t="shared" si="2"/>
        <v>0</v>
      </c>
      <c r="P13" s="24"/>
      <c r="Q13" s="25"/>
      <c r="R13" s="25"/>
      <c r="S13" s="90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>
        <f t="shared" si="3"/>
        <v>0</v>
      </c>
      <c r="AG13" s="27">
        <f t="shared" si="4"/>
        <v>0</v>
      </c>
    </row>
    <row r="14" spans="1:34" s="17" customFormat="1" ht="21.75" customHeight="1" x14ac:dyDescent="0.2">
      <c r="A14" s="81"/>
      <c r="B14" s="12"/>
      <c r="C14" s="20"/>
      <c r="D14" s="12"/>
      <c r="E14" s="12"/>
      <c r="F14" s="82"/>
      <c r="G14" s="82"/>
      <c r="H14" s="84"/>
      <c r="I14" s="82"/>
      <c r="J14" s="84"/>
      <c r="K14" s="84"/>
      <c r="L14" s="13"/>
      <c r="M14" s="24">
        <f t="shared" si="0"/>
        <v>0</v>
      </c>
      <c r="N14" s="24">
        <f t="shared" si="1"/>
        <v>0</v>
      </c>
      <c r="O14" s="24">
        <f t="shared" si="2"/>
        <v>0</v>
      </c>
      <c r="P14" s="24"/>
      <c r="Q14" s="25"/>
      <c r="R14" s="25"/>
      <c r="S14" s="90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>
        <f t="shared" si="3"/>
        <v>0</v>
      </c>
      <c r="AG14" s="27">
        <f t="shared" si="4"/>
        <v>0</v>
      </c>
    </row>
    <row r="15" spans="1:34" s="17" customFormat="1" ht="21.75" customHeight="1" x14ac:dyDescent="0.2">
      <c r="A15" s="81"/>
      <c r="B15" s="12"/>
      <c r="C15" s="20"/>
      <c r="D15" s="12"/>
      <c r="E15" s="12"/>
      <c r="F15" s="82"/>
      <c r="G15" s="82"/>
      <c r="H15" s="84"/>
      <c r="I15" s="82"/>
      <c r="J15" s="82"/>
      <c r="K15" s="84"/>
      <c r="L15" s="13"/>
      <c r="M15" s="24">
        <f t="shared" si="0"/>
        <v>0</v>
      </c>
      <c r="N15" s="24">
        <f t="shared" si="1"/>
        <v>0</v>
      </c>
      <c r="O15" s="24">
        <f t="shared" si="2"/>
        <v>0</v>
      </c>
      <c r="P15" s="24"/>
      <c r="Q15" s="25"/>
      <c r="R15" s="25"/>
      <c r="S15" s="90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>
        <f t="shared" si="3"/>
        <v>0</v>
      </c>
      <c r="AG15" s="27">
        <f t="shared" si="4"/>
        <v>0</v>
      </c>
    </row>
    <row r="16" spans="1:34" s="17" customFormat="1" ht="21.75" customHeight="1" x14ac:dyDescent="0.2">
      <c r="A16" s="81"/>
      <c r="B16" s="12"/>
      <c r="C16" s="20"/>
      <c r="D16" s="12"/>
      <c r="E16" s="12"/>
      <c r="F16" s="82"/>
      <c r="G16" s="82"/>
      <c r="H16" s="84"/>
      <c r="I16" s="82"/>
      <c r="J16" s="82"/>
      <c r="K16" s="84"/>
      <c r="L16" s="13"/>
      <c r="M16" s="24">
        <f t="shared" si="0"/>
        <v>0</v>
      </c>
      <c r="N16" s="24">
        <f t="shared" si="1"/>
        <v>0</v>
      </c>
      <c r="O16" s="24">
        <f t="shared" si="2"/>
        <v>0</v>
      </c>
      <c r="P16" s="24"/>
      <c r="Q16" s="25"/>
      <c r="R16" s="25"/>
      <c r="S16" s="90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5"/>
      <c r="AF16" s="24">
        <f t="shared" si="3"/>
        <v>0</v>
      </c>
      <c r="AG16" s="27">
        <f t="shared" si="4"/>
        <v>0</v>
      </c>
    </row>
    <row r="17" spans="1:33" s="17" customFormat="1" ht="21.75" customHeight="1" x14ac:dyDescent="0.2">
      <c r="A17" s="81"/>
      <c r="B17" s="12"/>
      <c r="C17" s="82"/>
      <c r="D17" s="12"/>
      <c r="E17" s="12"/>
      <c r="F17" s="82"/>
      <c r="G17" s="57"/>
      <c r="H17" s="84"/>
      <c r="I17" s="82"/>
      <c r="J17" s="84"/>
      <c r="K17" s="84"/>
      <c r="L17" s="13"/>
      <c r="M17" s="24">
        <f t="shared" si="0"/>
        <v>0</v>
      </c>
      <c r="N17" s="24">
        <f t="shared" si="1"/>
        <v>0</v>
      </c>
      <c r="O17" s="24">
        <f t="shared" si="2"/>
        <v>0</v>
      </c>
      <c r="P17" s="24"/>
      <c r="Q17" s="25"/>
      <c r="R17" s="25"/>
      <c r="S17" s="90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>
        <f t="shared" si="3"/>
        <v>0</v>
      </c>
      <c r="AG17" s="27">
        <f t="shared" si="4"/>
        <v>0</v>
      </c>
    </row>
    <row r="18" spans="1:33" s="29" customFormat="1" ht="10.199999999999999" x14ac:dyDescent="0.2">
      <c r="A18" s="18"/>
      <c r="B18" s="19"/>
      <c r="C18" s="43"/>
      <c r="D18" s="43"/>
      <c r="E18" s="43"/>
      <c r="F18" s="21"/>
      <c r="G18" s="30"/>
      <c r="H18" s="22"/>
      <c r="I18" s="22"/>
      <c r="J18" s="22"/>
      <c r="K18" s="22"/>
      <c r="L18" s="23"/>
      <c r="M18" s="25">
        <f t="shared" si="0"/>
        <v>0</v>
      </c>
      <c r="N18" s="25">
        <f t="shared" si="1"/>
        <v>0</v>
      </c>
      <c r="O18" s="25">
        <f t="shared" si="2"/>
        <v>0</v>
      </c>
      <c r="P18" s="25"/>
      <c r="Q18" s="25"/>
      <c r="R18" s="25"/>
      <c r="S18" s="25"/>
      <c r="T18" s="26"/>
      <c r="U18" s="51"/>
      <c r="V18" s="26"/>
      <c r="W18" s="26"/>
      <c r="X18" s="26"/>
      <c r="Y18" s="44"/>
      <c r="Z18" s="25"/>
      <c r="AA18" s="51"/>
      <c r="AB18" s="25"/>
      <c r="AC18" s="26"/>
      <c r="AD18" s="26"/>
      <c r="AE18" s="45"/>
      <c r="AF18" s="24">
        <f t="shared" si="3"/>
        <v>0</v>
      </c>
      <c r="AG18" s="27">
        <f t="shared" si="4"/>
        <v>0</v>
      </c>
    </row>
    <row r="19" spans="1:33" s="52" customFormat="1" ht="10.199999999999999" x14ac:dyDescent="0.2">
      <c r="A19" s="46"/>
      <c r="B19" s="47"/>
      <c r="C19" s="48"/>
      <c r="D19" s="49"/>
      <c r="E19" s="49"/>
      <c r="F19" s="50"/>
      <c r="G19" s="48"/>
      <c r="H19" s="51">
        <f>SUM(H5:H17)</f>
        <v>220</v>
      </c>
      <c r="I19" s="51">
        <f>SUM(I18:I18)</f>
        <v>0</v>
      </c>
      <c r="J19" s="51">
        <f>SUM(J5:J17)</f>
        <v>11453.699999999999</v>
      </c>
      <c r="K19" s="51">
        <f>SUM(K5:K17)</f>
        <v>281</v>
      </c>
      <c r="L19" s="51">
        <f>SUM(L18:L18)</f>
        <v>0</v>
      </c>
      <c r="M19" s="51">
        <f>SUM(M5:M17)</f>
        <v>11924.592857142856</v>
      </c>
      <c r="N19" s="51">
        <f>SUM(N5:N17)</f>
        <v>30.107142857142854</v>
      </c>
      <c r="O19" s="51">
        <f>SUM(O18:O18)</f>
        <v>0</v>
      </c>
      <c r="P19" s="51">
        <f>SUM(P5:P17)</f>
        <v>11592.99</v>
      </c>
      <c r="Q19" s="51">
        <f>SUM(Q5:Q17)</f>
        <v>111.61</v>
      </c>
      <c r="R19" s="51">
        <f>SUM(R5:R17)</f>
        <v>0</v>
      </c>
      <c r="S19" s="51">
        <f>SUM(S10:S18)</f>
        <v>0</v>
      </c>
      <c r="T19" s="51">
        <f>SUM(T10:T18)</f>
        <v>0</v>
      </c>
      <c r="U19" s="51">
        <f>SUM(U10:U18)</f>
        <v>0</v>
      </c>
      <c r="V19" s="51">
        <f>SUM(V10:V18)</f>
        <v>0</v>
      </c>
      <c r="W19" s="51">
        <f>SUM(W18:W18)</f>
        <v>0</v>
      </c>
      <c r="X19" s="51">
        <f>SUM(X18:X18)</f>
        <v>0</v>
      </c>
      <c r="Y19" s="51">
        <f>SUM(Y18:Y18)</f>
        <v>0</v>
      </c>
      <c r="Z19" s="51">
        <f>SUM(Z18:Z18)</f>
        <v>0</v>
      </c>
      <c r="AA19" s="51">
        <f>SUM(AA5:AA17)</f>
        <v>220</v>
      </c>
      <c r="AB19" s="51">
        <f>SUM(AB18:AB18)</f>
        <v>0</v>
      </c>
      <c r="AC19" s="51">
        <f>SUM(AC5:AC17)</f>
        <v>0</v>
      </c>
      <c r="AD19" s="51">
        <f>SUM(AD5:AD17)</f>
        <v>0</v>
      </c>
      <c r="AE19" s="51">
        <f>SUM(AE18:AE18)</f>
        <v>0</v>
      </c>
      <c r="AF19" s="51">
        <f>SUM(AF5:AF17)</f>
        <v>-11954.707142857142</v>
      </c>
      <c r="AG19" s="51">
        <f>SUM(AG18:AG18)</f>
        <v>0</v>
      </c>
    </row>
    <row r="20" spans="1:33" s="77" customFormat="1" ht="10.199999999999999" x14ac:dyDescent="0.2"/>
    <row r="21" spans="1:33" x14ac:dyDescent="0.3">
      <c r="H21" s="85"/>
      <c r="I21" s="85"/>
      <c r="J21" s="85"/>
      <c r="K21" s="85"/>
    </row>
    <row r="22" spans="1:33" x14ac:dyDescent="0.3">
      <c r="H22" s="85"/>
      <c r="I22" s="85"/>
      <c r="J22" s="85"/>
      <c r="K22" s="85"/>
    </row>
    <row r="23" spans="1:33" x14ac:dyDescent="0.3">
      <c r="H23" s="85"/>
      <c r="I23" s="85"/>
      <c r="J23" s="85"/>
      <c r="K23" s="85"/>
      <c r="Q23" s="5">
        <v>0</v>
      </c>
    </row>
    <row r="24" spans="1:33" s="3" customFormat="1" ht="11.4" x14ac:dyDescent="0.2">
      <c r="H24" s="86"/>
      <c r="I24" s="86"/>
      <c r="J24" s="86"/>
      <c r="K24" s="86"/>
      <c r="T24" s="5"/>
      <c r="U24" s="5"/>
      <c r="V24" s="5"/>
      <c r="W24" s="5"/>
      <c r="X24" s="5"/>
      <c r="Y24" s="5"/>
    </row>
    <row r="25" spans="1:33" x14ac:dyDescent="0.3">
      <c r="H25" s="85"/>
      <c r="I25" s="85"/>
      <c r="J25" s="85"/>
      <c r="K25" s="85"/>
    </row>
    <row r="26" spans="1:33" x14ac:dyDescent="0.3">
      <c r="H26" s="85"/>
      <c r="I26" s="85"/>
      <c r="J26" s="85"/>
      <c r="K26" s="85"/>
    </row>
    <row r="27" spans="1:33" x14ac:dyDescent="0.3">
      <c r="H27" s="85"/>
      <c r="I27" s="85"/>
      <c r="J27" s="85"/>
      <c r="K27" s="85"/>
    </row>
    <row r="28" spans="1:33" x14ac:dyDescent="0.3">
      <c r="H28" s="85"/>
      <c r="I28" s="85"/>
      <c r="J28" s="85"/>
      <c r="K28" s="85"/>
    </row>
    <row r="29" spans="1:33" x14ac:dyDescent="0.3">
      <c r="H29" s="87"/>
      <c r="I29" s="87"/>
      <c r="J29" s="87"/>
      <c r="K29" s="87"/>
    </row>
    <row r="30" spans="1:33" x14ac:dyDescent="0.3">
      <c r="H30" s="87"/>
      <c r="I30" s="87"/>
      <c r="J30" s="87"/>
      <c r="K30" s="87"/>
    </row>
    <row r="31" spans="1:33" s="3" customFormat="1" ht="10.199999999999999" x14ac:dyDescent="0.2">
      <c r="H31" s="87"/>
      <c r="I31" s="87"/>
      <c r="J31" s="87"/>
      <c r="K31" s="87"/>
    </row>
    <row r="32" spans="1:33" s="3" customFormat="1" ht="10.199999999999999" x14ac:dyDescent="0.2">
      <c r="H32" s="87"/>
      <c r="I32" s="87"/>
      <c r="J32" s="87"/>
      <c r="K32" s="87"/>
    </row>
    <row r="33" spans="8:11" s="3" customFormat="1" ht="10.199999999999999" x14ac:dyDescent="0.2">
      <c r="H33" s="87"/>
      <c r="I33" s="87"/>
      <c r="J33" s="87"/>
      <c r="K33" s="8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MK24"/>
  <sheetViews>
    <sheetView topLeftCell="L1" zoomScaleNormal="100" workbookViewId="0">
      <selection activeCell="V5" sqref="V5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6.109375" style="3" customWidth="1"/>
    <col min="4" max="4" width="14" style="4" hidden="1" customWidth="1"/>
    <col min="5" max="5" width="29.33203125" style="4" hidden="1" customWidth="1"/>
    <col min="6" max="6" width="7.88671875" style="2" customWidth="1"/>
    <col min="7" max="7" width="26.5546875" style="3" customWidth="1"/>
    <col min="8" max="8" width="11.109375" style="5" hidden="1" customWidth="1"/>
    <col min="9" max="9" width="9.5546875" style="5" hidden="1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10.6640625" style="5" customWidth="1"/>
    <col min="19" max="19" width="9.5546875" style="5" customWidth="1"/>
    <col min="20" max="21" width="9.109375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30" width="8" style="5" customWidth="1"/>
    <col min="31" max="31" width="10.109375" style="5" customWidth="1"/>
    <col min="32" max="32" width="10.6640625" style="5" customWidth="1"/>
    <col min="33" max="33" width="8.88671875" style="3" customWidth="1"/>
    <col min="34" max="1025" width="9.109375" style="3" customWidth="1"/>
  </cols>
  <sheetData>
    <row r="1" spans="1:34" ht="12" customHeight="1" x14ac:dyDescent="0.3">
      <c r="A1" s="7" t="s">
        <v>0</v>
      </c>
      <c r="C1" s="8"/>
    </row>
    <row r="2" spans="1:34" ht="12" customHeight="1" x14ac:dyDescent="0.3">
      <c r="A2" s="7" t="s">
        <v>1</v>
      </c>
    </row>
    <row r="3" spans="1:34" ht="12" customHeight="1" x14ac:dyDescent="0.3">
      <c r="A3" s="96" t="s">
        <v>876</v>
      </c>
      <c r="B3" s="97"/>
      <c r="C3" s="98"/>
      <c r="D3" s="74"/>
      <c r="E3" s="74"/>
      <c r="F3" s="75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4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771</v>
      </c>
      <c r="T4" s="13" t="s">
        <v>24</v>
      </c>
      <c r="U4" s="13" t="s">
        <v>25</v>
      </c>
      <c r="V4" s="13" t="s">
        <v>22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613</v>
      </c>
      <c r="AD4" s="13" t="s">
        <v>34</v>
      </c>
      <c r="AE4" s="15" t="s">
        <v>35</v>
      </c>
      <c r="AF4" s="16" t="s">
        <v>36</v>
      </c>
    </row>
    <row r="5" spans="1:34" s="17" customFormat="1" ht="19.5" customHeight="1" x14ac:dyDescent="0.2">
      <c r="A5" s="81">
        <v>44158</v>
      </c>
      <c r="B5" s="12"/>
      <c r="C5" s="20" t="s">
        <v>877</v>
      </c>
      <c r="D5" s="12"/>
      <c r="E5" s="12"/>
      <c r="F5" s="82">
        <v>220797</v>
      </c>
      <c r="G5" s="82" t="s">
        <v>878</v>
      </c>
      <c r="H5" s="84"/>
      <c r="I5" s="82"/>
      <c r="J5" s="84"/>
      <c r="K5" s="84">
        <v>240</v>
      </c>
      <c r="L5" s="83"/>
      <c r="M5" s="24">
        <f>SUM(H5:J5,K5/1.12)</f>
        <v>214.28571428571428</v>
      </c>
      <c r="N5" s="24">
        <f>K5/1.12*0.12</f>
        <v>25.714285714285712</v>
      </c>
      <c r="O5" s="24">
        <f>-SUM(I5:J5,K5/1.12)*L5</f>
        <v>0</v>
      </c>
      <c r="P5" s="24"/>
      <c r="Q5" s="25"/>
      <c r="R5" s="25"/>
      <c r="S5" s="26"/>
      <c r="T5" s="26"/>
      <c r="U5" s="26"/>
      <c r="V5" s="26"/>
      <c r="W5" s="26"/>
      <c r="X5" s="25"/>
      <c r="Y5" s="25">
        <v>214.29</v>
      </c>
      <c r="Z5" s="25"/>
      <c r="AA5" s="25"/>
      <c r="AB5" s="26"/>
      <c r="AC5" s="26"/>
      <c r="AD5" s="25"/>
      <c r="AE5" s="25"/>
      <c r="AF5" s="24">
        <f>-SUM(N5:AE5)</f>
        <v>-240.00428571428571</v>
      </c>
      <c r="AG5" s="27">
        <f>SUM(H5:K5)+AF5+O5</f>
        <v>-4.2857142857144481E-3</v>
      </c>
      <c r="AH5" s="91">
        <f>-AF5</f>
        <v>240.00428571428571</v>
      </c>
    </row>
    <row r="6" spans="1:34" s="17" customFormat="1" ht="19.5" customHeight="1" x14ac:dyDescent="0.2">
      <c r="A6" s="81">
        <v>44158</v>
      </c>
      <c r="B6" s="12"/>
      <c r="C6" s="20" t="s">
        <v>47</v>
      </c>
      <c r="D6" s="12"/>
      <c r="E6" s="12"/>
      <c r="F6" s="82">
        <v>265098</v>
      </c>
      <c r="G6" s="82" t="s">
        <v>879</v>
      </c>
      <c r="H6" s="84"/>
      <c r="I6" s="82"/>
      <c r="J6" s="84"/>
      <c r="K6" s="84">
        <v>1639.6</v>
      </c>
      <c r="L6" s="83"/>
      <c r="M6" s="24">
        <f>SUM(H6:J6,K6/1.12)</f>
        <v>1463.9285714285711</v>
      </c>
      <c r="N6" s="24">
        <f>K6/1.12*0.12</f>
        <v>175.67142857142852</v>
      </c>
      <c r="O6" s="24">
        <f>-SUM(I6:J6,K6/1.12)*L6</f>
        <v>0</v>
      </c>
      <c r="P6" s="24">
        <v>1463.93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>
        <f>-SUM(N6:AE6)</f>
        <v>-1639.6014285714286</v>
      </c>
      <c r="AG6" s="27">
        <f>SUM(H6:K6)+AF6+O6</f>
        <v>-1.4285714287325391E-3</v>
      </c>
      <c r="AH6" s="91">
        <f>-AF6</f>
        <v>1639.6014285714286</v>
      </c>
    </row>
    <row r="7" spans="1:34" s="17" customFormat="1" ht="19.5" customHeight="1" x14ac:dyDescent="0.2">
      <c r="A7" s="81">
        <v>40506</v>
      </c>
      <c r="B7" s="12"/>
      <c r="C7" s="20" t="s">
        <v>47</v>
      </c>
      <c r="D7" s="12"/>
      <c r="E7" s="12"/>
      <c r="F7" s="82">
        <v>123941</v>
      </c>
      <c r="G7" s="82" t="s">
        <v>880</v>
      </c>
      <c r="H7" s="84"/>
      <c r="I7" s="82"/>
      <c r="J7" s="84"/>
      <c r="K7" s="84">
        <v>639.5</v>
      </c>
      <c r="L7" s="83"/>
      <c r="M7" s="24">
        <f>SUM(H7:J7,K7/1.12)</f>
        <v>570.98214285714278</v>
      </c>
      <c r="N7" s="24">
        <f>K7/1.12*0.12</f>
        <v>68.517857142857125</v>
      </c>
      <c r="O7" s="24">
        <f>-SUM(I7:J7,K7/1.12)*L7</f>
        <v>0</v>
      </c>
      <c r="P7" s="24"/>
      <c r="Q7" s="25"/>
      <c r="R7" s="25"/>
      <c r="S7" s="26"/>
      <c r="T7" s="26"/>
      <c r="U7" s="26"/>
      <c r="V7" s="26"/>
      <c r="W7" s="26"/>
      <c r="X7" s="25"/>
      <c r="Y7" s="25">
        <v>570.98</v>
      </c>
      <c r="Z7" s="25"/>
      <c r="AA7" s="25"/>
      <c r="AB7" s="26"/>
      <c r="AC7" s="26"/>
      <c r="AD7" s="25"/>
      <c r="AE7" s="25"/>
      <c r="AF7" s="24">
        <f>-SUM(N7:AE7)</f>
        <v>-639.49785714285713</v>
      </c>
      <c r="AG7" s="27">
        <f>SUM(H7:K7)+AF7+O7</f>
        <v>2.1428571428714349E-3</v>
      </c>
      <c r="AH7" s="91">
        <f>-AF7</f>
        <v>639.49785714285713</v>
      </c>
    </row>
    <row r="8" spans="1:34" s="17" customFormat="1" ht="21.75" customHeight="1" x14ac:dyDescent="0.2">
      <c r="A8" s="81"/>
      <c r="B8" s="12"/>
      <c r="C8" s="82"/>
      <c r="D8" s="12"/>
      <c r="E8" s="12"/>
      <c r="F8" s="82"/>
      <c r="G8" s="57"/>
      <c r="H8" s="84"/>
      <c r="I8" s="82"/>
      <c r="J8" s="84"/>
      <c r="K8" s="84"/>
      <c r="L8" s="13"/>
      <c r="M8" s="24">
        <f>SUM(H8:J8,K8/1.12)</f>
        <v>0</v>
      </c>
      <c r="N8" s="24">
        <f>K8/1.12*0.12</f>
        <v>0</v>
      </c>
      <c r="O8" s="24">
        <f>-SUM(I8:J8,K8/1.12)*L8</f>
        <v>0</v>
      </c>
      <c r="P8" s="24"/>
      <c r="Q8" s="25"/>
      <c r="R8" s="25"/>
      <c r="S8" s="90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>
        <f>-SUM(N8:AE8)</f>
        <v>0</v>
      </c>
      <c r="AG8" s="27">
        <f>SUM(H8:K8)+AF8+O8</f>
        <v>0</v>
      </c>
    </row>
    <row r="9" spans="1:34" s="29" customFormat="1" ht="10.199999999999999" x14ac:dyDescent="0.2">
      <c r="A9" s="18"/>
      <c r="B9" s="19"/>
      <c r="C9" s="43"/>
      <c r="D9" s="43"/>
      <c r="E9" s="43"/>
      <c r="F9" s="21"/>
      <c r="G9" s="30"/>
      <c r="H9" s="22"/>
      <c r="I9" s="22"/>
      <c r="J9" s="22"/>
      <c r="K9" s="22"/>
      <c r="L9" s="23"/>
      <c r="M9" s="25">
        <f>SUM(H9:J9,K9/1.12)</f>
        <v>0</v>
      </c>
      <c r="N9" s="25">
        <f>K9/1.12*0.12</f>
        <v>0</v>
      </c>
      <c r="O9" s="25">
        <f>-SUM(I9:J9,K9/1.12)*L9</f>
        <v>0</v>
      </c>
      <c r="P9" s="25"/>
      <c r="Q9" s="25"/>
      <c r="R9" s="25"/>
      <c r="S9" s="25"/>
      <c r="T9" s="26"/>
      <c r="U9" s="51"/>
      <c r="V9" s="26"/>
      <c r="W9" s="26"/>
      <c r="X9" s="26"/>
      <c r="Y9" s="44"/>
      <c r="Z9" s="25"/>
      <c r="AA9" s="51"/>
      <c r="AB9" s="25"/>
      <c r="AC9" s="26"/>
      <c r="AD9" s="26"/>
      <c r="AE9" s="45"/>
      <c r="AF9" s="24">
        <f>-SUM(N9:AE9)</f>
        <v>0</v>
      </c>
      <c r="AG9" s="27">
        <f>SUM(H9:K9)+AF9+O9</f>
        <v>0</v>
      </c>
    </row>
    <row r="10" spans="1:34" s="52" customFormat="1" ht="10.199999999999999" x14ac:dyDescent="0.2">
      <c r="A10" s="46"/>
      <c r="B10" s="47"/>
      <c r="C10" s="48"/>
      <c r="D10" s="49"/>
      <c r="E10" s="49"/>
      <c r="F10" s="50"/>
      <c r="G10" s="48"/>
      <c r="H10" s="51">
        <f>SUM(H5:H8)</f>
        <v>0</v>
      </c>
      <c r="I10" s="51">
        <f>SUM(I9:I9)</f>
        <v>0</v>
      </c>
      <c r="J10" s="51">
        <f>SUM(J5:J8)</f>
        <v>0</v>
      </c>
      <c r="K10" s="51">
        <f>SUM(K5:K8)</f>
        <v>2519.1</v>
      </c>
      <c r="L10" s="51">
        <f>SUM(L9:L9)</f>
        <v>0</v>
      </c>
      <c r="M10" s="51">
        <f>SUM(M5:M8)</f>
        <v>2249.196428571428</v>
      </c>
      <c r="N10" s="51">
        <f>SUM(N5:N8)</f>
        <v>269.90357142857135</v>
      </c>
      <c r="O10" s="51">
        <f>SUM(O9:O9)</f>
        <v>0</v>
      </c>
      <c r="P10" s="51">
        <f>SUM(P5:P8)</f>
        <v>1463.93</v>
      </c>
      <c r="Q10" s="51">
        <f>SUM(Q5:Q8)</f>
        <v>0</v>
      </c>
      <c r="R10" s="51">
        <f>SUM(R5:R8)</f>
        <v>0</v>
      </c>
      <c r="S10" s="51">
        <f>SUM(S8:S9)</f>
        <v>0</v>
      </c>
      <c r="T10" s="51">
        <f>SUM(T8:T9)</f>
        <v>0</v>
      </c>
      <c r="U10" s="51">
        <f>SUM(U8:U9)</f>
        <v>0</v>
      </c>
      <c r="V10" s="51">
        <f>SUM(V8:V9)</f>
        <v>0</v>
      </c>
      <c r="W10" s="51">
        <f>SUM(W9:W9)</f>
        <v>0</v>
      </c>
      <c r="X10" s="51">
        <f>SUM(X9:X9)</f>
        <v>0</v>
      </c>
      <c r="Y10" s="51">
        <f>SUM(Y9:Y9)</f>
        <v>0</v>
      </c>
      <c r="Z10" s="51">
        <f>SUM(Z9:Z9)</f>
        <v>0</v>
      </c>
      <c r="AA10" s="51">
        <f>SUM(AA5:AA8)</f>
        <v>0</v>
      </c>
      <c r="AB10" s="51">
        <f>SUM(AB9:AB9)</f>
        <v>0</v>
      </c>
      <c r="AC10" s="51">
        <f>SUM(AC5:AC8)</f>
        <v>0</v>
      </c>
      <c r="AD10" s="51">
        <f>SUM(AD5:AD8)</f>
        <v>0</v>
      </c>
      <c r="AE10" s="51">
        <f>SUM(AE9:AE9)</f>
        <v>0</v>
      </c>
      <c r="AF10" s="51">
        <f>SUM(AF5:AF8)</f>
        <v>-2519.1035714285717</v>
      </c>
      <c r="AG10" s="51">
        <f>SUM(AG9:AG9)</f>
        <v>0</v>
      </c>
    </row>
    <row r="11" spans="1:34" s="77" customFormat="1" ht="10.199999999999999" x14ac:dyDescent="0.2"/>
    <row r="12" spans="1:34" x14ac:dyDescent="0.3">
      <c r="H12" s="85"/>
      <c r="I12" s="85"/>
      <c r="J12" s="85"/>
      <c r="K12" s="85"/>
    </row>
    <row r="13" spans="1:34" x14ac:dyDescent="0.3">
      <c r="H13" s="85"/>
      <c r="I13" s="85"/>
      <c r="J13" s="85"/>
      <c r="K13" s="85"/>
    </row>
    <row r="14" spans="1:34" x14ac:dyDescent="0.3">
      <c r="H14" s="85"/>
      <c r="I14" s="85"/>
      <c r="J14" s="85"/>
      <c r="K14" s="85"/>
      <c r="Q14" s="5">
        <v>0</v>
      </c>
    </row>
    <row r="15" spans="1:34" s="3" customFormat="1" ht="11.4" x14ac:dyDescent="0.2">
      <c r="H15" s="86"/>
      <c r="I15" s="86"/>
      <c r="J15" s="86"/>
      <c r="K15" s="86"/>
      <c r="T15" s="5"/>
      <c r="U15" s="5"/>
      <c r="V15" s="5"/>
      <c r="W15" s="5"/>
      <c r="X15" s="5"/>
      <c r="Y15" s="5"/>
    </row>
    <row r="16" spans="1:34" x14ac:dyDescent="0.3">
      <c r="H16" s="85"/>
      <c r="I16" s="85"/>
      <c r="J16" s="85"/>
      <c r="K16" s="85"/>
    </row>
    <row r="17" spans="8:11" x14ac:dyDescent="0.3">
      <c r="H17" s="85"/>
      <c r="I17" s="85"/>
      <c r="J17" s="85"/>
      <c r="K17" s="85"/>
    </row>
    <row r="18" spans="8:11" x14ac:dyDescent="0.3">
      <c r="H18" s="85"/>
      <c r="I18" s="85"/>
      <c r="J18" s="85"/>
      <c r="K18" s="85"/>
    </row>
    <row r="19" spans="8:11" x14ac:dyDescent="0.3">
      <c r="H19" s="85"/>
      <c r="I19" s="85"/>
      <c r="J19" s="85"/>
      <c r="K19" s="85"/>
    </row>
    <row r="20" spans="8:11" x14ac:dyDescent="0.3">
      <c r="H20" s="87"/>
      <c r="I20" s="87"/>
      <c r="J20" s="87"/>
      <c r="K20" s="87"/>
    </row>
    <row r="21" spans="8:11" x14ac:dyDescent="0.3">
      <c r="H21" s="87"/>
      <c r="I21" s="87"/>
      <c r="J21" s="87"/>
      <c r="K21" s="87"/>
    </row>
    <row r="22" spans="8:11" s="3" customFormat="1" ht="10.199999999999999" x14ac:dyDescent="0.2">
      <c r="H22" s="87"/>
      <c r="I22" s="87"/>
      <c r="J22" s="87"/>
      <c r="K22" s="87"/>
    </row>
    <row r="23" spans="8:11" s="3" customFormat="1" ht="10.199999999999999" x14ac:dyDescent="0.2">
      <c r="H23" s="87"/>
      <c r="I23" s="87"/>
      <c r="J23" s="87"/>
      <c r="K23" s="87"/>
    </row>
    <row r="24" spans="8:11" s="3" customFormat="1" ht="10.199999999999999" x14ac:dyDescent="0.2">
      <c r="H24" s="87"/>
      <c r="I24" s="87"/>
      <c r="J24" s="87"/>
      <c r="K24" s="8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74"/>
  <sheetViews>
    <sheetView topLeftCell="A61" zoomScale="90" zoomScaleNormal="90" workbookViewId="0">
      <selection activeCell="G70" sqref="A70:XFD78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4" style="3" customWidth="1"/>
    <col min="4" max="4" width="14" style="4" customWidth="1"/>
    <col min="5" max="5" width="28" style="4" customWidth="1"/>
    <col min="6" max="6" width="7.88671875" style="2" customWidth="1"/>
    <col min="7" max="7" width="31.5546875" style="3" customWidth="1"/>
    <col min="8" max="8" width="11" style="5" customWidth="1"/>
    <col min="9" max="9" width="8.44140625" style="5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9.5546875" style="5" customWidth="1"/>
    <col min="18" max="18" width="10.6640625" style="5" customWidth="1"/>
    <col min="19" max="19" width="8.109375" style="5" customWidth="1"/>
    <col min="20" max="21" width="9.109375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30" width="8" style="5" customWidth="1"/>
    <col min="31" max="31" width="10.109375" style="5" customWidth="1"/>
    <col min="32" max="32" width="10.6640625" style="5" customWidth="1"/>
    <col min="33" max="33" width="7.6640625" style="3" customWidth="1"/>
    <col min="34" max="1025" width="9.109375" style="3" customWidth="1"/>
  </cols>
  <sheetData>
    <row r="1" spans="1:33" ht="12" customHeight="1" x14ac:dyDescent="0.3">
      <c r="A1" s="7" t="s">
        <v>0</v>
      </c>
      <c r="C1" s="8"/>
    </row>
    <row r="2" spans="1:33" ht="12" customHeight="1" x14ac:dyDescent="0.3">
      <c r="A2" s="7" t="s">
        <v>1</v>
      </c>
    </row>
    <row r="3" spans="1:33" ht="12" customHeight="1" x14ac:dyDescent="0.3">
      <c r="A3" s="7" t="s">
        <v>337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3" s="17" customFormat="1" ht="43.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6" t="s">
        <v>36</v>
      </c>
    </row>
    <row r="5" spans="1:33" s="29" customFormat="1" ht="23.25" customHeight="1" x14ac:dyDescent="0.2">
      <c r="A5" s="18">
        <v>43892</v>
      </c>
      <c r="B5" s="19"/>
      <c r="C5" s="20" t="s">
        <v>39</v>
      </c>
      <c r="D5" s="20" t="s">
        <v>40</v>
      </c>
      <c r="E5" s="20" t="s">
        <v>41</v>
      </c>
      <c r="F5" s="21">
        <v>160532</v>
      </c>
      <c r="G5" s="21" t="s">
        <v>338</v>
      </c>
      <c r="H5" s="22"/>
      <c r="I5" s="22"/>
      <c r="J5" s="22"/>
      <c r="K5" s="22">
        <v>488</v>
      </c>
      <c r="L5" s="23"/>
      <c r="M5" s="24">
        <f t="shared" ref="M5:M36" si="0">SUM(H5:J5,K5/1.12)</f>
        <v>435.71428571428567</v>
      </c>
      <c r="N5" s="24">
        <f t="shared" ref="N5:N36" si="1">K5/1.12*0.12</f>
        <v>52.285714285714278</v>
      </c>
      <c r="O5" s="24">
        <f t="shared" ref="O5:O36" si="2">-SUM(I5:J5,K5/1.12)*L5</f>
        <v>0</v>
      </c>
      <c r="P5" s="24">
        <v>435.71</v>
      </c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>
        <f t="shared" ref="AF5:AF36" si="3">-SUM(N5:AE5)</f>
        <v>-487.99571428571426</v>
      </c>
      <c r="AG5" s="27">
        <f t="shared" ref="AG5:AG36" si="4">SUM(H5:K5)+AF5+O5</f>
        <v>4.2857142857428698E-3</v>
      </c>
    </row>
    <row r="6" spans="1:33" s="29" customFormat="1" ht="23.25" customHeight="1" x14ac:dyDescent="0.2">
      <c r="A6" s="18">
        <v>43892</v>
      </c>
      <c r="B6" s="19"/>
      <c r="C6" s="20" t="s">
        <v>45</v>
      </c>
      <c r="D6" s="20"/>
      <c r="E6" s="20"/>
      <c r="F6" s="21"/>
      <c r="G6" s="21" t="s">
        <v>244</v>
      </c>
      <c r="H6" s="22"/>
      <c r="I6" s="22"/>
      <c r="J6" s="22">
        <v>500</v>
      </c>
      <c r="K6" s="22"/>
      <c r="L6" s="23"/>
      <c r="M6" s="24">
        <f t="shared" si="0"/>
        <v>500</v>
      </c>
      <c r="N6" s="24">
        <f t="shared" si="1"/>
        <v>0</v>
      </c>
      <c r="O6" s="24">
        <f t="shared" si="2"/>
        <v>0</v>
      </c>
      <c r="P6" s="24">
        <v>500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>
        <f t="shared" si="3"/>
        <v>-500</v>
      </c>
      <c r="AG6" s="27">
        <f t="shared" si="4"/>
        <v>0</v>
      </c>
    </row>
    <row r="7" spans="1:33" s="29" customFormat="1" ht="23.25" customHeight="1" x14ac:dyDescent="0.2">
      <c r="A7" s="18">
        <v>43892</v>
      </c>
      <c r="B7" s="19"/>
      <c r="C7" s="20" t="s">
        <v>45</v>
      </c>
      <c r="D7" s="20"/>
      <c r="E7" s="20"/>
      <c r="F7" s="21"/>
      <c r="G7" s="21" t="s">
        <v>46</v>
      </c>
      <c r="H7" s="22">
        <v>50</v>
      </c>
      <c r="I7" s="22"/>
      <c r="J7" s="22"/>
      <c r="K7" s="22"/>
      <c r="L7" s="23"/>
      <c r="M7" s="24">
        <f t="shared" si="0"/>
        <v>50</v>
      </c>
      <c r="N7" s="24">
        <f t="shared" si="1"/>
        <v>0</v>
      </c>
      <c r="O7" s="24">
        <f t="shared" si="2"/>
        <v>0</v>
      </c>
      <c r="P7" s="24"/>
      <c r="Q7" s="25"/>
      <c r="R7" s="25"/>
      <c r="S7" s="26"/>
      <c r="T7" s="26"/>
      <c r="U7" s="26"/>
      <c r="V7" s="26"/>
      <c r="W7" s="26"/>
      <c r="X7" s="25"/>
      <c r="Y7" s="25"/>
      <c r="Z7" s="25"/>
      <c r="AA7" s="25">
        <v>50</v>
      </c>
      <c r="AB7" s="26"/>
      <c r="AC7" s="26"/>
      <c r="AD7" s="25"/>
      <c r="AE7" s="25"/>
      <c r="AF7" s="24">
        <f t="shared" si="3"/>
        <v>-50</v>
      </c>
      <c r="AG7" s="27">
        <f t="shared" si="4"/>
        <v>0</v>
      </c>
    </row>
    <row r="8" spans="1:33" s="29" customFormat="1" ht="23.25" customHeight="1" x14ac:dyDescent="0.2">
      <c r="A8" s="18">
        <v>43892</v>
      </c>
      <c r="B8" s="19"/>
      <c r="C8" s="20" t="s">
        <v>55</v>
      </c>
      <c r="D8" s="20" t="s">
        <v>56</v>
      </c>
      <c r="E8" s="20" t="s">
        <v>57</v>
      </c>
      <c r="F8" s="21">
        <v>171821</v>
      </c>
      <c r="G8" s="21" t="s">
        <v>58</v>
      </c>
      <c r="H8" s="22"/>
      <c r="I8" s="22"/>
      <c r="J8" s="22"/>
      <c r="K8" s="22">
        <v>180</v>
      </c>
      <c r="L8" s="23"/>
      <c r="M8" s="24">
        <f t="shared" si="0"/>
        <v>160.71428571428569</v>
      </c>
      <c r="N8" s="24">
        <f t="shared" si="1"/>
        <v>19.285714285714281</v>
      </c>
      <c r="O8" s="24">
        <f t="shared" si="2"/>
        <v>0</v>
      </c>
      <c r="P8" s="24"/>
      <c r="Q8" s="25">
        <v>160.71</v>
      </c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>
        <f t="shared" si="3"/>
        <v>-179.99571428571429</v>
      </c>
      <c r="AG8" s="27">
        <f t="shared" si="4"/>
        <v>4.2857142857144481E-3</v>
      </c>
    </row>
    <row r="9" spans="1:33" s="62" customFormat="1" ht="23.25" customHeight="1" x14ac:dyDescent="0.2">
      <c r="A9" s="18">
        <v>43892</v>
      </c>
      <c r="B9" s="19"/>
      <c r="C9" s="20" t="s">
        <v>339</v>
      </c>
      <c r="D9" s="20"/>
      <c r="E9" s="20"/>
      <c r="F9" s="21"/>
      <c r="G9" s="21" t="s">
        <v>340</v>
      </c>
      <c r="H9" s="22"/>
      <c r="I9" s="22"/>
      <c r="J9" s="22"/>
      <c r="K9" s="22">
        <v>6500</v>
      </c>
      <c r="L9" s="23"/>
      <c r="M9" s="24">
        <f t="shared" si="0"/>
        <v>5803.5714285714284</v>
      </c>
      <c r="N9" s="24">
        <f t="shared" si="1"/>
        <v>696.42857142857133</v>
      </c>
      <c r="O9" s="24">
        <f t="shared" si="2"/>
        <v>0</v>
      </c>
      <c r="P9" s="24"/>
      <c r="Q9" s="25"/>
      <c r="R9" s="25"/>
      <c r="S9" s="26"/>
      <c r="T9" s="26"/>
      <c r="U9" s="26"/>
      <c r="V9" s="26"/>
      <c r="W9" s="26"/>
      <c r="X9" s="25"/>
      <c r="Y9" s="25">
        <v>5803.57</v>
      </c>
      <c r="Z9" s="25"/>
      <c r="AA9" s="25"/>
      <c r="AB9" s="26"/>
      <c r="AC9" s="26"/>
      <c r="AD9" s="25"/>
      <c r="AE9" s="25"/>
      <c r="AF9" s="24">
        <f t="shared" si="3"/>
        <v>-6499.9985714285713</v>
      </c>
      <c r="AG9" s="27">
        <f t="shared" si="4"/>
        <v>1.4285714287325391E-3</v>
      </c>
    </row>
    <row r="10" spans="1:33" s="29" customFormat="1" ht="23.25" customHeight="1" x14ac:dyDescent="0.2">
      <c r="A10" s="18">
        <v>43892</v>
      </c>
      <c r="B10" s="19"/>
      <c r="C10" s="20" t="s">
        <v>47</v>
      </c>
      <c r="D10" s="20" t="s">
        <v>48</v>
      </c>
      <c r="E10" s="20" t="s">
        <v>49</v>
      </c>
      <c r="F10" s="21">
        <v>205454</v>
      </c>
      <c r="G10" s="21" t="s">
        <v>236</v>
      </c>
      <c r="H10" s="22"/>
      <c r="I10" s="22"/>
      <c r="J10" s="22">
        <v>373.3</v>
      </c>
      <c r="K10" s="22"/>
      <c r="L10" s="23"/>
      <c r="M10" s="24">
        <f t="shared" si="0"/>
        <v>373.3</v>
      </c>
      <c r="N10" s="24">
        <f t="shared" si="1"/>
        <v>0</v>
      </c>
      <c r="O10" s="24">
        <f t="shared" si="2"/>
        <v>0</v>
      </c>
      <c r="P10" s="24">
        <v>373.3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>
        <f t="shared" si="3"/>
        <v>-373.3</v>
      </c>
      <c r="AG10" s="27">
        <f t="shared" si="4"/>
        <v>0</v>
      </c>
    </row>
    <row r="11" spans="1:33" s="62" customFormat="1" ht="23.25" customHeight="1" x14ac:dyDescent="0.2">
      <c r="A11" s="18">
        <v>43892</v>
      </c>
      <c r="B11" s="19"/>
      <c r="C11" s="20" t="s">
        <v>47</v>
      </c>
      <c r="D11" s="20" t="s">
        <v>48</v>
      </c>
      <c r="E11" s="20" t="s">
        <v>49</v>
      </c>
      <c r="F11" s="21">
        <v>205451</v>
      </c>
      <c r="G11" s="21" t="s">
        <v>341</v>
      </c>
      <c r="H11" s="22"/>
      <c r="I11" s="22"/>
      <c r="J11" s="22"/>
      <c r="K11" s="22">
        <v>2845.3</v>
      </c>
      <c r="L11" s="23"/>
      <c r="M11" s="24">
        <f t="shared" si="0"/>
        <v>2540.4464285714284</v>
      </c>
      <c r="N11" s="24">
        <f t="shared" si="1"/>
        <v>304.8535714285714</v>
      </c>
      <c r="O11" s="24">
        <f t="shared" si="2"/>
        <v>0</v>
      </c>
      <c r="P11" s="24">
        <v>2540.4499999999998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>
        <f t="shared" si="3"/>
        <v>-2845.3035714285711</v>
      </c>
      <c r="AG11" s="27">
        <f t="shared" si="4"/>
        <v>-3.571428570921853E-3</v>
      </c>
    </row>
    <row r="12" spans="1:33" s="42" customFormat="1" ht="23.25" customHeight="1" x14ac:dyDescent="0.2">
      <c r="A12" s="32">
        <v>43893</v>
      </c>
      <c r="B12" s="33"/>
      <c r="C12" s="34" t="s">
        <v>55</v>
      </c>
      <c r="D12" s="34" t="s">
        <v>56</v>
      </c>
      <c r="E12" s="34" t="s">
        <v>57</v>
      </c>
      <c r="F12" s="35">
        <v>171875</v>
      </c>
      <c r="G12" s="35" t="s">
        <v>58</v>
      </c>
      <c r="H12" s="36"/>
      <c r="I12" s="36"/>
      <c r="J12" s="36"/>
      <c r="K12" s="36">
        <v>180</v>
      </c>
      <c r="L12" s="37"/>
      <c r="M12" s="38">
        <f t="shared" si="0"/>
        <v>160.71428571428569</v>
      </c>
      <c r="N12" s="38">
        <f t="shared" si="1"/>
        <v>19.285714285714281</v>
      </c>
      <c r="O12" s="38">
        <f t="shared" si="2"/>
        <v>0</v>
      </c>
      <c r="P12" s="38"/>
      <c r="Q12" s="39">
        <v>160.71</v>
      </c>
      <c r="R12" s="39"/>
      <c r="S12" s="40"/>
      <c r="T12" s="40"/>
      <c r="U12" s="40"/>
      <c r="V12" s="40"/>
      <c r="W12" s="40"/>
      <c r="X12" s="39"/>
      <c r="Y12" s="39"/>
      <c r="Z12" s="39"/>
      <c r="AA12" s="39"/>
      <c r="AB12" s="40"/>
      <c r="AC12" s="40"/>
      <c r="AD12" s="39"/>
      <c r="AE12" s="39"/>
      <c r="AF12" s="38">
        <f t="shared" si="3"/>
        <v>-179.99571428571429</v>
      </c>
      <c r="AG12" s="41">
        <f t="shared" si="4"/>
        <v>4.2857142857144481E-3</v>
      </c>
    </row>
    <row r="13" spans="1:33" s="29" customFormat="1" ht="23.25" customHeight="1" x14ac:dyDescent="0.2">
      <c r="A13" s="18">
        <v>43892</v>
      </c>
      <c r="B13" s="19"/>
      <c r="C13" s="20" t="s">
        <v>342</v>
      </c>
      <c r="D13" s="20" t="s">
        <v>322</v>
      </c>
      <c r="E13" s="20" t="s">
        <v>49</v>
      </c>
      <c r="F13" s="21">
        <v>79627</v>
      </c>
      <c r="G13" s="21" t="s">
        <v>343</v>
      </c>
      <c r="H13" s="22"/>
      <c r="I13" s="22"/>
      <c r="J13" s="22"/>
      <c r="K13" s="22">
        <v>518.5</v>
      </c>
      <c r="L13" s="23"/>
      <c r="M13" s="24">
        <f t="shared" si="0"/>
        <v>462.94642857142856</v>
      </c>
      <c r="N13" s="24">
        <f t="shared" si="1"/>
        <v>55.553571428571423</v>
      </c>
      <c r="O13" s="24">
        <f t="shared" si="2"/>
        <v>0</v>
      </c>
      <c r="P13" s="24"/>
      <c r="Q13" s="25"/>
      <c r="R13" s="25">
        <v>462.95</v>
      </c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>
        <f t="shared" si="3"/>
        <v>-518.50357142857138</v>
      </c>
      <c r="AG13" s="27">
        <f t="shared" si="4"/>
        <v>-3.5714285713766003E-3</v>
      </c>
    </row>
    <row r="14" spans="1:33" s="29" customFormat="1" ht="23.25" customHeight="1" x14ac:dyDescent="0.2">
      <c r="A14" s="18">
        <v>43893</v>
      </c>
      <c r="B14" s="19"/>
      <c r="C14" s="20" t="s">
        <v>240</v>
      </c>
      <c r="D14" s="20" t="s">
        <v>111</v>
      </c>
      <c r="E14" s="20" t="s">
        <v>49</v>
      </c>
      <c r="F14" s="21">
        <v>577022</v>
      </c>
      <c r="G14" s="21" t="s">
        <v>344</v>
      </c>
      <c r="H14" s="22"/>
      <c r="I14" s="22"/>
      <c r="J14" s="22"/>
      <c r="K14" s="22">
        <v>2559</v>
      </c>
      <c r="L14" s="23"/>
      <c r="M14" s="24">
        <f t="shared" si="0"/>
        <v>2284.8214285714284</v>
      </c>
      <c r="N14" s="24">
        <f t="shared" si="1"/>
        <v>274.17857142857139</v>
      </c>
      <c r="O14" s="24">
        <f t="shared" si="2"/>
        <v>0</v>
      </c>
      <c r="P14" s="24">
        <v>2284.8200000000002</v>
      </c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>
        <f t="shared" si="3"/>
        <v>-2558.9985714285717</v>
      </c>
      <c r="AG14" s="27">
        <f t="shared" si="4"/>
        <v>1.4285714282777917E-3</v>
      </c>
    </row>
    <row r="15" spans="1:33" s="29" customFormat="1" ht="23.25" customHeight="1" x14ac:dyDescent="0.2">
      <c r="A15" s="18">
        <v>43893</v>
      </c>
      <c r="B15" s="19"/>
      <c r="C15" s="20" t="s">
        <v>309</v>
      </c>
      <c r="D15" s="20" t="s">
        <v>345</v>
      </c>
      <c r="E15" s="20" t="s">
        <v>49</v>
      </c>
      <c r="F15" s="21">
        <v>2494</v>
      </c>
      <c r="G15" s="21" t="s">
        <v>312</v>
      </c>
      <c r="H15" s="22"/>
      <c r="I15" s="22"/>
      <c r="J15" s="22"/>
      <c r="K15" s="22">
        <v>300</v>
      </c>
      <c r="L15" s="23"/>
      <c r="M15" s="24">
        <f t="shared" si="0"/>
        <v>267.85714285714283</v>
      </c>
      <c r="N15" s="24">
        <f t="shared" si="1"/>
        <v>32.142857142857139</v>
      </c>
      <c r="O15" s="24">
        <f t="shared" si="2"/>
        <v>0</v>
      </c>
      <c r="P15" s="24">
        <v>267.86</v>
      </c>
      <c r="Q15" s="25"/>
      <c r="R15" s="25"/>
      <c r="S15" s="26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>
        <f t="shared" si="3"/>
        <v>-300.00285714285712</v>
      </c>
      <c r="AG15" s="27">
        <f t="shared" si="4"/>
        <v>-2.8571428571240176E-3</v>
      </c>
    </row>
    <row r="16" spans="1:33" s="29" customFormat="1" ht="23.25" customHeight="1" x14ac:dyDescent="0.2">
      <c r="A16" s="18">
        <v>43893</v>
      </c>
      <c r="B16" s="19"/>
      <c r="C16" s="20" t="s">
        <v>47</v>
      </c>
      <c r="D16" s="20" t="s">
        <v>48</v>
      </c>
      <c r="E16" s="20" t="s">
        <v>49</v>
      </c>
      <c r="F16" s="21">
        <v>187311</v>
      </c>
      <c r="G16" s="21" t="s">
        <v>346</v>
      </c>
      <c r="H16" s="22"/>
      <c r="I16" s="22"/>
      <c r="J16" s="22"/>
      <c r="K16" s="22">
        <v>189.5</v>
      </c>
      <c r="L16" s="23"/>
      <c r="M16" s="24">
        <f t="shared" si="0"/>
        <v>169.19642857142856</v>
      </c>
      <c r="N16" s="24">
        <f t="shared" si="1"/>
        <v>20.303571428571427</v>
      </c>
      <c r="O16" s="24">
        <f t="shared" si="2"/>
        <v>0</v>
      </c>
      <c r="P16" s="24">
        <v>169.2</v>
      </c>
      <c r="Q16" s="25"/>
      <c r="R16" s="25"/>
      <c r="S16" s="26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5"/>
      <c r="AF16" s="24">
        <f t="shared" si="3"/>
        <v>-189.50357142857141</v>
      </c>
      <c r="AG16" s="27">
        <f t="shared" si="4"/>
        <v>-3.571428571405022E-3</v>
      </c>
    </row>
    <row r="17" spans="1:33" s="29" customFormat="1" ht="23.25" customHeight="1" x14ac:dyDescent="0.2">
      <c r="A17" s="18">
        <v>43893</v>
      </c>
      <c r="B17" s="19"/>
      <c r="C17" s="20" t="s">
        <v>39</v>
      </c>
      <c r="D17" s="20" t="s">
        <v>40</v>
      </c>
      <c r="E17" s="20" t="s">
        <v>41</v>
      </c>
      <c r="F17" s="21">
        <v>712227</v>
      </c>
      <c r="G17" s="21" t="s">
        <v>138</v>
      </c>
      <c r="H17" s="22"/>
      <c r="I17" s="22"/>
      <c r="J17" s="22"/>
      <c r="K17" s="22">
        <v>390</v>
      </c>
      <c r="L17" s="23"/>
      <c r="M17" s="24">
        <f t="shared" si="0"/>
        <v>348.21428571428567</v>
      </c>
      <c r="N17" s="24">
        <f t="shared" si="1"/>
        <v>41.785714285714278</v>
      </c>
      <c r="O17" s="24">
        <f t="shared" si="2"/>
        <v>0</v>
      </c>
      <c r="P17" s="24">
        <v>348.21</v>
      </c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>
        <f t="shared" si="3"/>
        <v>-389.99571428571426</v>
      </c>
      <c r="AG17" s="27">
        <f t="shared" si="4"/>
        <v>4.2857142857428698E-3</v>
      </c>
    </row>
    <row r="18" spans="1:33" s="29" customFormat="1" ht="23.25" customHeight="1" x14ac:dyDescent="0.2">
      <c r="A18" s="18">
        <v>43893</v>
      </c>
      <c r="B18" s="19"/>
      <c r="C18" s="20" t="s">
        <v>45</v>
      </c>
      <c r="D18" s="20"/>
      <c r="E18" s="20"/>
      <c r="F18" s="21"/>
      <c r="G18" s="21" t="s">
        <v>347</v>
      </c>
      <c r="H18" s="22">
        <v>50</v>
      </c>
      <c r="I18" s="22"/>
      <c r="J18" s="22"/>
      <c r="K18" s="22"/>
      <c r="L18" s="23"/>
      <c r="M18" s="24">
        <f t="shared" si="0"/>
        <v>50</v>
      </c>
      <c r="N18" s="24">
        <f t="shared" si="1"/>
        <v>0</v>
      </c>
      <c r="O18" s="24">
        <f t="shared" si="2"/>
        <v>0</v>
      </c>
      <c r="P18" s="24"/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>
        <v>50</v>
      </c>
      <c r="AE18" s="25"/>
      <c r="AF18" s="24">
        <f t="shared" si="3"/>
        <v>-50</v>
      </c>
      <c r="AG18" s="27">
        <f t="shared" si="4"/>
        <v>0</v>
      </c>
    </row>
    <row r="19" spans="1:33" s="29" customFormat="1" ht="23.25" customHeight="1" x14ac:dyDescent="0.2">
      <c r="A19" s="18">
        <v>43893</v>
      </c>
      <c r="B19" s="19"/>
      <c r="C19" s="20" t="s">
        <v>246</v>
      </c>
      <c r="D19" s="20"/>
      <c r="E19" s="20"/>
      <c r="F19" s="21"/>
      <c r="G19" s="21" t="s">
        <v>247</v>
      </c>
      <c r="H19" s="22">
        <v>537</v>
      </c>
      <c r="I19" s="22"/>
      <c r="J19" s="22"/>
      <c r="K19" s="22"/>
      <c r="L19" s="23"/>
      <c r="M19" s="24">
        <f t="shared" si="0"/>
        <v>537</v>
      </c>
      <c r="N19" s="24">
        <f t="shared" si="1"/>
        <v>0</v>
      </c>
      <c r="O19" s="24">
        <f t="shared" si="2"/>
        <v>0</v>
      </c>
      <c r="P19" s="24"/>
      <c r="Q19" s="25"/>
      <c r="R19" s="25"/>
      <c r="S19" s="26"/>
      <c r="T19" s="26"/>
      <c r="U19" s="26"/>
      <c r="V19" s="26"/>
      <c r="W19" s="26"/>
      <c r="X19" s="25"/>
      <c r="Y19" s="25"/>
      <c r="Z19" s="25"/>
      <c r="AA19" s="25"/>
      <c r="AB19" s="26">
        <v>537</v>
      </c>
      <c r="AC19" s="26"/>
      <c r="AD19" s="25"/>
      <c r="AE19" s="25"/>
      <c r="AF19" s="24">
        <f t="shared" si="3"/>
        <v>-537</v>
      </c>
      <c r="AG19" s="27">
        <f t="shared" si="4"/>
        <v>0</v>
      </c>
    </row>
    <row r="20" spans="1:33" s="29" customFormat="1" ht="23.25" customHeight="1" x14ac:dyDescent="0.2">
      <c r="A20" s="18">
        <v>43893</v>
      </c>
      <c r="B20" s="19"/>
      <c r="C20" s="20" t="s">
        <v>224</v>
      </c>
      <c r="D20" s="20" t="s">
        <v>225</v>
      </c>
      <c r="E20" s="20" t="s">
        <v>49</v>
      </c>
      <c r="F20" s="21">
        <v>12443</v>
      </c>
      <c r="G20" s="21" t="s">
        <v>348</v>
      </c>
      <c r="H20" s="22"/>
      <c r="I20" s="22"/>
      <c r="J20" s="22"/>
      <c r="K20" s="22">
        <v>4</v>
      </c>
      <c r="L20" s="23"/>
      <c r="M20" s="24">
        <f t="shared" si="0"/>
        <v>3.5714285714285712</v>
      </c>
      <c r="N20" s="24">
        <f t="shared" si="1"/>
        <v>0.42857142857142855</v>
      </c>
      <c r="O20" s="24">
        <f t="shared" si="2"/>
        <v>0</v>
      </c>
      <c r="P20" s="24">
        <v>3.57</v>
      </c>
      <c r="Q20" s="25"/>
      <c r="R20" s="25"/>
      <c r="S20" s="26"/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>
        <f t="shared" si="3"/>
        <v>-3.9985714285714282</v>
      </c>
      <c r="AG20" s="27">
        <f t="shared" si="4"/>
        <v>1.4285714285717788E-3</v>
      </c>
    </row>
    <row r="21" spans="1:33" s="29" customFormat="1" ht="23.25" customHeight="1" x14ac:dyDescent="0.2">
      <c r="A21" s="18">
        <v>43894</v>
      </c>
      <c r="B21" s="19"/>
      <c r="C21" s="20" t="s">
        <v>206</v>
      </c>
      <c r="D21" s="20" t="s">
        <v>79</v>
      </c>
      <c r="E21" s="20" t="s">
        <v>67</v>
      </c>
      <c r="F21" s="21">
        <v>21002</v>
      </c>
      <c r="G21" s="21" t="s">
        <v>349</v>
      </c>
      <c r="H21" s="22"/>
      <c r="I21" s="22"/>
      <c r="J21" s="22">
        <v>1350</v>
      </c>
      <c r="K21" s="22"/>
      <c r="L21" s="23"/>
      <c r="M21" s="24">
        <f t="shared" si="0"/>
        <v>1350</v>
      </c>
      <c r="N21" s="24">
        <f t="shared" si="1"/>
        <v>0</v>
      </c>
      <c r="O21" s="24">
        <f t="shared" si="2"/>
        <v>0</v>
      </c>
      <c r="P21" s="24">
        <v>1350</v>
      </c>
      <c r="Q21" s="25"/>
      <c r="R21" s="25"/>
      <c r="S21" s="26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>
        <f t="shared" si="3"/>
        <v>-1350</v>
      </c>
      <c r="AG21" s="27">
        <f t="shared" si="4"/>
        <v>0</v>
      </c>
    </row>
    <row r="22" spans="1:33" s="29" customFormat="1" ht="23.25" customHeight="1" x14ac:dyDescent="0.2">
      <c r="A22" s="18">
        <v>43894</v>
      </c>
      <c r="B22" s="19"/>
      <c r="C22" s="20" t="s">
        <v>123</v>
      </c>
      <c r="D22" s="20" t="s">
        <v>124</v>
      </c>
      <c r="E22" s="20" t="s">
        <v>67</v>
      </c>
      <c r="F22" s="21">
        <v>3196</v>
      </c>
      <c r="G22" s="21" t="s">
        <v>68</v>
      </c>
      <c r="H22" s="22"/>
      <c r="I22" s="22"/>
      <c r="J22" s="22"/>
      <c r="K22" s="22">
        <v>1325</v>
      </c>
      <c r="L22" s="23"/>
      <c r="M22" s="24">
        <f t="shared" si="0"/>
        <v>1183.0357142857142</v>
      </c>
      <c r="N22" s="24">
        <f t="shared" si="1"/>
        <v>141.96428571428569</v>
      </c>
      <c r="O22" s="24">
        <f t="shared" si="2"/>
        <v>0</v>
      </c>
      <c r="P22" s="24">
        <v>1183.04</v>
      </c>
      <c r="Q22" s="25"/>
      <c r="R22" s="25"/>
      <c r="S22" s="26"/>
      <c r="T22" s="26"/>
      <c r="U22" s="26"/>
      <c r="V22" s="26"/>
      <c r="W22" s="26"/>
      <c r="X22" s="25"/>
      <c r="Y22" s="25"/>
      <c r="Z22" s="25"/>
      <c r="AA22" s="25"/>
      <c r="AB22" s="26"/>
      <c r="AC22" s="26"/>
      <c r="AD22" s="25"/>
      <c r="AE22" s="25"/>
      <c r="AF22" s="24">
        <f t="shared" si="3"/>
        <v>-1325.0042857142857</v>
      </c>
      <c r="AG22" s="27">
        <f t="shared" si="4"/>
        <v>-4.2857142857428698E-3</v>
      </c>
    </row>
    <row r="23" spans="1:33" s="29" customFormat="1" ht="23.25" customHeight="1" x14ac:dyDescent="0.2">
      <c r="A23" s="18">
        <v>43894</v>
      </c>
      <c r="B23" s="19"/>
      <c r="C23" s="20" t="s">
        <v>45</v>
      </c>
      <c r="D23" s="20"/>
      <c r="E23" s="20"/>
      <c r="F23" s="21"/>
      <c r="G23" s="21" t="s">
        <v>69</v>
      </c>
      <c r="H23" s="22">
        <v>100</v>
      </c>
      <c r="I23" s="22"/>
      <c r="J23" s="22"/>
      <c r="K23" s="22"/>
      <c r="L23" s="23"/>
      <c r="M23" s="24">
        <f t="shared" si="0"/>
        <v>100</v>
      </c>
      <c r="N23" s="24">
        <f t="shared" si="1"/>
        <v>0</v>
      </c>
      <c r="O23" s="24">
        <f t="shared" si="2"/>
        <v>0</v>
      </c>
      <c r="P23" s="24"/>
      <c r="Q23" s="25"/>
      <c r="R23" s="25"/>
      <c r="S23" s="26"/>
      <c r="T23" s="26"/>
      <c r="U23" s="26"/>
      <c r="V23" s="26"/>
      <c r="W23" s="26"/>
      <c r="X23" s="25"/>
      <c r="Y23" s="25"/>
      <c r="Z23" s="25"/>
      <c r="AA23" s="25">
        <v>100</v>
      </c>
      <c r="AB23" s="26"/>
      <c r="AC23" s="26"/>
      <c r="AD23" s="25"/>
      <c r="AE23" s="25"/>
      <c r="AF23" s="24">
        <f t="shared" si="3"/>
        <v>-100</v>
      </c>
      <c r="AG23" s="27">
        <f t="shared" si="4"/>
        <v>0</v>
      </c>
    </row>
    <row r="24" spans="1:33" s="29" customFormat="1" ht="23.25" customHeight="1" x14ac:dyDescent="0.2">
      <c r="A24" s="18">
        <v>43894</v>
      </c>
      <c r="B24" s="19"/>
      <c r="C24" s="20" t="s">
        <v>106</v>
      </c>
      <c r="D24" s="20" t="s">
        <v>107</v>
      </c>
      <c r="E24" s="20" t="s">
        <v>49</v>
      </c>
      <c r="F24" s="21">
        <v>755058</v>
      </c>
      <c r="G24" s="21" t="s">
        <v>350</v>
      </c>
      <c r="H24" s="22"/>
      <c r="I24" s="22"/>
      <c r="J24" s="22"/>
      <c r="K24" s="22">
        <v>45</v>
      </c>
      <c r="L24" s="23"/>
      <c r="M24" s="24">
        <f t="shared" si="0"/>
        <v>40.178571428571423</v>
      </c>
      <c r="N24" s="24">
        <f t="shared" si="1"/>
        <v>4.8214285714285703</v>
      </c>
      <c r="O24" s="24">
        <f t="shared" si="2"/>
        <v>0</v>
      </c>
      <c r="P24" s="24"/>
      <c r="Q24" s="25"/>
      <c r="R24" s="25"/>
      <c r="S24" s="26"/>
      <c r="T24" s="26"/>
      <c r="U24" s="26"/>
      <c r="V24" s="26"/>
      <c r="W24" s="26"/>
      <c r="X24" s="25"/>
      <c r="Y24" s="25"/>
      <c r="Z24" s="25">
        <v>40.18</v>
      </c>
      <c r="AA24" s="25"/>
      <c r="AB24" s="26"/>
      <c r="AC24" s="26"/>
      <c r="AD24" s="25"/>
      <c r="AE24" s="25"/>
      <c r="AF24" s="24">
        <f t="shared" si="3"/>
        <v>-45.001428571428569</v>
      </c>
      <c r="AG24" s="27">
        <f t="shared" si="4"/>
        <v>-1.4285714285691142E-3</v>
      </c>
    </row>
    <row r="25" spans="1:33" s="29" customFormat="1" ht="23.25" customHeight="1" x14ac:dyDescent="0.2">
      <c r="A25" s="18">
        <v>43894</v>
      </c>
      <c r="B25" s="19"/>
      <c r="C25" s="20" t="s">
        <v>47</v>
      </c>
      <c r="D25" s="20" t="s">
        <v>48</v>
      </c>
      <c r="E25" s="20" t="s">
        <v>49</v>
      </c>
      <c r="F25" s="21">
        <v>208315</v>
      </c>
      <c r="G25" s="21" t="s">
        <v>351</v>
      </c>
      <c r="H25" s="22"/>
      <c r="I25" s="22"/>
      <c r="J25" s="22"/>
      <c r="K25" s="22">
        <v>263.3</v>
      </c>
      <c r="L25" s="23"/>
      <c r="M25" s="24">
        <f t="shared" si="0"/>
        <v>235.08928571428569</v>
      </c>
      <c r="N25" s="24">
        <f t="shared" si="1"/>
        <v>28.210714285714282</v>
      </c>
      <c r="O25" s="24">
        <f t="shared" si="2"/>
        <v>0</v>
      </c>
      <c r="P25" s="24">
        <v>235.09</v>
      </c>
      <c r="Q25" s="25"/>
      <c r="R25" s="25"/>
      <c r="S25" s="26"/>
      <c r="T25" s="26"/>
      <c r="U25" s="26"/>
      <c r="V25" s="26"/>
      <c r="W25" s="26"/>
      <c r="X25" s="25"/>
      <c r="Y25" s="25"/>
      <c r="Z25" s="25"/>
      <c r="AA25" s="25"/>
      <c r="AB25" s="26"/>
      <c r="AC25" s="26"/>
      <c r="AD25" s="25"/>
      <c r="AE25" s="25"/>
      <c r="AF25" s="24">
        <f t="shared" si="3"/>
        <v>-263.30071428571426</v>
      </c>
      <c r="AG25" s="27">
        <f t="shared" si="4"/>
        <v>-7.1428571425258269E-4</v>
      </c>
    </row>
    <row r="26" spans="1:33" s="29" customFormat="1" ht="23.25" customHeight="1" x14ac:dyDescent="0.2">
      <c r="A26" s="18">
        <v>43894</v>
      </c>
      <c r="B26" s="19"/>
      <c r="C26" s="20" t="s">
        <v>47</v>
      </c>
      <c r="D26" s="20" t="s">
        <v>48</v>
      </c>
      <c r="E26" s="20" t="s">
        <v>49</v>
      </c>
      <c r="F26" s="21">
        <v>208315</v>
      </c>
      <c r="G26" s="21" t="s">
        <v>352</v>
      </c>
      <c r="H26" s="22"/>
      <c r="I26" s="22"/>
      <c r="J26" s="22"/>
      <c r="K26" s="22">
        <f>337.68+40.52</f>
        <v>378.2</v>
      </c>
      <c r="L26" s="23"/>
      <c r="M26" s="24">
        <f t="shared" si="0"/>
        <v>337.67857142857139</v>
      </c>
      <c r="N26" s="24">
        <f t="shared" si="1"/>
        <v>40.521428571428565</v>
      </c>
      <c r="O26" s="24">
        <f t="shared" si="2"/>
        <v>0</v>
      </c>
      <c r="P26" s="24">
        <v>337.68</v>
      </c>
      <c r="Q26" s="25"/>
      <c r="R26" s="25"/>
      <c r="S26" s="26"/>
      <c r="T26" s="26"/>
      <c r="U26" s="26"/>
      <c r="V26" s="26"/>
      <c r="W26" s="26"/>
      <c r="X26" s="25"/>
      <c r="Y26" s="25"/>
      <c r="Z26" s="25"/>
      <c r="AA26" s="25"/>
      <c r="AB26" s="26"/>
      <c r="AC26" s="26"/>
      <c r="AD26" s="25"/>
      <c r="AE26" s="25"/>
      <c r="AF26" s="24">
        <f t="shared" si="3"/>
        <v>-378.20142857142855</v>
      </c>
      <c r="AG26" s="27">
        <f t="shared" si="4"/>
        <v>-1.4285714285620088E-3</v>
      </c>
    </row>
    <row r="27" spans="1:33" s="29" customFormat="1" ht="23.25" customHeight="1" x14ac:dyDescent="0.2">
      <c r="A27" s="18">
        <v>43894</v>
      </c>
      <c r="B27" s="19"/>
      <c r="C27" s="20" t="s">
        <v>55</v>
      </c>
      <c r="D27" s="20" t="s">
        <v>56</v>
      </c>
      <c r="E27" s="20" t="s">
        <v>57</v>
      </c>
      <c r="F27" s="21">
        <v>171927</v>
      </c>
      <c r="G27" s="21" t="s">
        <v>58</v>
      </c>
      <c r="H27" s="22"/>
      <c r="I27" s="22"/>
      <c r="J27" s="22"/>
      <c r="K27" s="22">
        <v>180</v>
      </c>
      <c r="L27" s="23"/>
      <c r="M27" s="24">
        <f t="shared" si="0"/>
        <v>160.71428571428569</v>
      </c>
      <c r="N27" s="24">
        <f t="shared" si="1"/>
        <v>19.285714285714281</v>
      </c>
      <c r="O27" s="24">
        <f t="shared" si="2"/>
        <v>0</v>
      </c>
      <c r="P27" s="24"/>
      <c r="Q27" s="25">
        <v>160.71</v>
      </c>
      <c r="R27" s="25"/>
      <c r="S27" s="26"/>
      <c r="T27" s="26"/>
      <c r="U27" s="26"/>
      <c r="V27" s="26"/>
      <c r="W27" s="26"/>
      <c r="X27" s="25"/>
      <c r="Y27" s="25"/>
      <c r="Z27" s="25"/>
      <c r="AA27" s="25"/>
      <c r="AB27" s="26"/>
      <c r="AC27" s="26"/>
      <c r="AD27" s="25"/>
      <c r="AE27" s="25"/>
      <c r="AF27" s="24">
        <f t="shared" si="3"/>
        <v>-179.99571428571429</v>
      </c>
      <c r="AG27" s="27">
        <f t="shared" si="4"/>
        <v>4.2857142857144481E-3</v>
      </c>
    </row>
    <row r="28" spans="1:33" s="29" customFormat="1" ht="23.25" customHeight="1" x14ac:dyDescent="0.2">
      <c r="A28" s="18">
        <v>43894</v>
      </c>
      <c r="B28" s="19"/>
      <c r="C28" s="20" t="s">
        <v>309</v>
      </c>
      <c r="D28" s="20" t="s">
        <v>345</v>
      </c>
      <c r="E28" s="20" t="s">
        <v>49</v>
      </c>
      <c r="F28" s="21">
        <v>2153216</v>
      </c>
      <c r="G28" s="21" t="s">
        <v>312</v>
      </c>
      <c r="H28" s="22"/>
      <c r="I28" s="22"/>
      <c r="J28" s="22"/>
      <c r="K28" s="22">
        <v>100</v>
      </c>
      <c r="L28" s="23"/>
      <c r="M28" s="24">
        <f t="shared" si="0"/>
        <v>89.285714285714278</v>
      </c>
      <c r="N28" s="24">
        <f t="shared" si="1"/>
        <v>10.714285714285714</v>
      </c>
      <c r="O28" s="24">
        <f t="shared" si="2"/>
        <v>0</v>
      </c>
      <c r="P28" s="24">
        <v>89.29</v>
      </c>
      <c r="Q28" s="25"/>
      <c r="R28" s="25"/>
      <c r="S28" s="26"/>
      <c r="T28" s="26"/>
      <c r="U28" s="26"/>
      <c r="V28" s="26"/>
      <c r="W28" s="26"/>
      <c r="X28" s="25"/>
      <c r="Y28" s="25"/>
      <c r="Z28" s="25"/>
      <c r="AA28" s="25"/>
      <c r="AB28" s="26"/>
      <c r="AC28" s="26"/>
      <c r="AD28" s="25"/>
      <c r="AE28" s="25"/>
      <c r="AF28" s="24">
        <f t="shared" si="3"/>
        <v>-100.00428571428571</v>
      </c>
      <c r="AG28" s="27">
        <f t="shared" si="4"/>
        <v>-4.2857142857144481E-3</v>
      </c>
    </row>
    <row r="29" spans="1:33" s="29" customFormat="1" ht="23.25" customHeight="1" x14ac:dyDescent="0.2">
      <c r="A29" s="18">
        <v>43894</v>
      </c>
      <c r="B29" s="19"/>
      <c r="C29" s="20" t="s">
        <v>47</v>
      </c>
      <c r="D29" s="20" t="s">
        <v>48</v>
      </c>
      <c r="E29" s="20" t="s">
        <v>49</v>
      </c>
      <c r="F29" s="21">
        <v>185059</v>
      </c>
      <c r="G29" s="21" t="s">
        <v>353</v>
      </c>
      <c r="H29" s="22"/>
      <c r="I29" s="22"/>
      <c r="J29" s="22">
        <v>2776.05</v>
      </c>
      <c r="K29" s="22"/>
      <c r="L29" s="23"/>
      <c r="M29" s="24">
        <f t="shared" si="0"/>
        <v>2776.05</v>
      </c>
      <c r="N29" s="24">
        <f t="shared" si="1"/>
        <v>0</v>
      </c>
      <c r="O29" s="24">
        <f t="shared" si="2"/>
        <v>0</v>
      </c>
      <c r="P29" s="24">
        <v>2776.05</v>
      </c>
      <c r="Q29" s="25"/>
      <c r="R29" s="25"/>
      <c r="S29" s="26"/>
      <c r="T29" s="26"/>
      <c r="U29" s="26"/>
      <c r="V29" s="26"/>
      <c r="W29" s="26"/>
      <c r="X29" s="25"/>
      <c r="Y29" s="25"/>
      <c r="Z29" s="25"/>
      <c r="AA29" s="25"/>
      <c r="AB29" s="26"/>
      <c r="AC29" s="26"/>
      <c r="AD29" s="25"/>
      <c r="AE29" s="25"/>
      <c r="AF29" s="24">
        <f t="shared" si="3"/>
        <v>-2776.05</v>
      </c>
      <c r="AG29" s="27">
        <f t="shared" si="4"/>
        <v>0</v>
      </c>
    </row>
    <row r="30" spans="1:33" s="29" customFormat="1" ht="23.25" customHeight="1" x14ac:dyDescent="0.2">
      <c r="A30" s="18">
        <v>43894</v>
      </c>
      <c r="B30" s="19"/>
      <c r="C30" s="20" t="s">
        <v>47</v>
      </c>
      <c r="D30" s="20" t="s">
        <v>48</v>
      </c>
      <c r="E30" s="20" t="s">
        <v>49</v>
      </c>
      <c r="F30" s="21">
        <v>185059</v>
      </c>
      <c r="G30" s="21" t="s">
        <v>354</v>
      </c>
      <c r="H30" s="22"/>
      <c r="I30" s="22"/>
      <c r="J30" s="22"/>
      <c r="K30" s="22">
        <f>1074.29+128.91</f>
        <v>1203.2</v>
      </c>
      <c r="L30" s="23"/>
      <c r="M30" s="24">
        <f t="shared" si="0"/>
        <v>1074.2857142857142</v>
      </c>
      <c r="N30" s="24">
        <f t="shared" si="1"/>
        <v>128.91428571428571</v>
      </c>
      <c r="O30" s="24">
        <f t="shared" si="2"/>
        <v>0</v>
      </c>
      <c r="P30" s="24">
        <v>1074.29</v>
      </c>
      <c r="Q30" s="25"/>
      <c r="R30" s="25"/>
      <c r="S30" s="26"/>
      <c r="T30" s="26"/>
      <c r="U30" s="26"/>
      <c r="V30" s="26"/>
      <c r="W30" s="26"/>
      <c r="X30" s="25"/>
      <c r="Y30" s="25"/>
      <c r="Z30" s="25"/>
      <c r="AA30" s="25"/>
      <c r="AB30" s="26"/>
      <c r="AC30" s="26"/>
      <c r="AD30" s="25"/>
      <c r="AE30" s="25"/>
      <c r="AF30" s="24">
        <f t="shared" si="3"/>
        <v>-1203.2042857142856</v>
      </c>
      <c r="AG30" s="27">
        <f t="shared" si="4"/>
        <v>-4.2857142855154962E-3</v>
      </c>
    </row>
    <row r="31" spans="1:33" s="29" customFormat="1" ht="23.25" customHeight="1" x14ac:dyDescent="0.2">
      <c r="A31" s="18">
        <v>43894</v>
      </c>
      <c r="B31" s="19"/>
      <c r="C31" s="20" t="s">
        <v>39</v>
      </c>
      <c r="D31" s="20" t="s">
        <v>40</v>
      </c>
      <c r="E31" s="20" t="s">
        <v>41</v>
      </c>
      <c r="F31" s="21">
        <v>105588</v>
      </c>
      <c r="G31" s="21" t="s">
        <v>355</v>
      </c>
      <c r="H31" s="22"/>
      <c r="I31" s="22"/>
      <c r="J31" s="22"/>
      <c r="K31" s="22">
        <v>61</v>
      </c>
      <c r="L31" s="23"/>
      <c r="M31" s="24">
        <f t="shared" si="0"/>
        <v>54.464285714285708</v>
      </c>
      <c r="N31" s="24">
        <f t="shared" si="1"/>
        <v>6.5357142857142847</v>
      </c>
      <c r="O31" s="24">
        <f t="shared" si="2"/>
        <v>0</v>
      </c>
      <c r="P31" s="24">
        <v>54.46</v>
      </c>
      <c r="Q31" s="25"/>
      <c r="R31" s="25"/>
      <c r="S31" s="26"/>
      <c r="T31" s="26"/>
      <c r="U31" s="26"/>
      <c r="V31" s="26"/>
      <c r="W31" s="26"/>
      <c r="X31" s="25"/>
      <c r="Y31" s="25"/>
      <c r="Z31" s="25"/>
      <c r="AA31" s="25"/>
      <c r="AB31" s="26"/>
      <c r="AC31" s="26"/>
      <c r="AD31" s="25"/>
      <c r="AE31" s="25"/>
      <c r="AF31" s="24">
        <f t="shared" si="3"/>
        <v>-60.995714285714286</v>
      </c>
      <c r="AG31" s="27">
        <f t="shared" si="4"/>
        <v>4.2857142857144481E-3</v>
      </c>
    </row>
    <row r="32" spans="1:33" s="29" customFormat="1" ht="23.25" customHeight="1" x14ac:dyDescent="0.2">
      <c r="A32" s="18">
        <v>43894</v>
      </c>
      <c r="B32" s="19"/>
      <c r="C32" s="20" t="s">
        <v>39</v>
      </c>
      <c r="D32" s="20" t="s">
        <v>40</v>
      </c>
      <c r="E32" s="20" t="s">
        <v>41</v>
      </c>
      <c r="F32" s="21">
        <v>105588</v>
      </c>
      <c r="G32" s="21" t="s">
        <v>356</v>
      </c>
      <c r="H32" s="22"/>
      <c r="I32" s="22"/>
      <c r="J32" s="22"/>
      <c r="K32" s="22">
        <f>469.25-61</f>
        <v>408.25</v>
      </c>
      <c r="L32" s="23"/>
      <c r="M32" s="24">
        <f t="shared" si="0"/>
        <v>364.50892857142856</v>
      </c>
      <c r="N32" s="24">
        <f t="shared" si="1"/>
        <v>43.741071428571423</v>
      </c>
      <c r="O32" s="24">
        <f t="shared" si="2"/>
        <v>0</v>
      </c>
      <c r="P32" s="24"/>
      <c r="Q32" s="25"/>
      <c r="R32" s="25">
        <v>364.51</v>
      </c>
      <c r="S32" s="26"/>
      <c r="T32" s="26"/>
      <c r="U32" s="26"/>
      <c r="V32" s="26"/>
      <c r="W32" s="26"/>
      <c r="X32" s="25"/>
      <c r="Y32" s="25"/>
      <c r="Z32" s="25"/>
      <c r="AA32" s="25"/>
      <c r="AB32" s="26"/>
      <c r="AC32" s="26"/>
      <c r="AD32" s="25"/>
      <c r="AE32" s="25"/>
      <c r="AF32" s="24">
        <f t="shared" si="3"/>
        <v>-408.25107142857144</v>
      </c>
      <c r="AG32" s="27">
        <f t="shared" si="4"/>
        <v>-1.0714285714357175E-3</v>
      </c>
    </row>
    <row r="33" spans="1:33" s="29" customFormat="1" ht="23.25" customHeight="1" x14ac:dyDescent="0.2">
      <c r="A33" s="18">
        <v>43894</v>
      </c>
      <c r="B33" s="19"/>
      <c r="C33" s="20" t="s">
        <v>233</v>
      </c>
      <c r="D33" s="20" t="s">
        <v>71</v>
      </c>
      <c r="E33" s="20" t="s">
        <v>72</v>
      </c>
      <c r="F33" s="21">
        <v>17249</v>
      </c>
      <c r="G33" s="21" t="s">
        <v>357</v>
      </c>
      <c r="H33" s="22"/>
      <c r="I33" s="22"/>
      <c r="J33" s="22"/>
      <c r="K33" s="22">
        <v>1481</v>
      </c>
      <c r="L33" s="23"/>
      <c r="M33" s="24">
        <f t="shared" si="0"/>
        <v>1322.3214285714284</v>
      </c>
      <c r="N33" s="24">
        <f t="shared" si="1"/>
        <v>158.67857142857142</v>
      </c>
      <c r="O33" s="24">
        <f t="shared" si="2"/>
        <v>0</v>
      </c>
      <c r="P33" s="24">
        <v>1322.32</v>
      </c>
      <c r="Q33" s="25"/>
      <c r="R33" s="25"/>
      <c r="S33" s="26"/>
      <c r="T33" s="26"/>
      <c r="U33" s="26"/>
      <c r="V33" s="26"/>
      <c r="W33" s="26"/>
      <c r="X33" s="25"/>
      <c r="Y33" s="25"/>
      <c r="Z33" s="25"/>
      <c r="AA33" s="25"/>
      <c r="AB33" s="26"/>
      <c r="AC33" s="26"/>
      <c r="AD33" s="25"/>
      <c r="AE33" s="25"/>
      <c r="AF33" s="24">
        <f t="shared" si="3"/>
        <v>-1480.9985714285713</v>
      </c>
      <c r="AG33" s="27">
        <f t="shared" si="4"/>
        <v>1.4285714287325391E-3</v>
      </c>
    </row>
    <row r="34" spans="1:33" s="29" customFormat="1" ht="23.25" customHeight="1" x14ac:dyDescent="0.2">
      <c r="A34" s="18">
        <v>43895</v>
      </c>
      <c r="B34" s="19"/>
      <c r="C34" s="20" t="s">
        <v>278</v>
      </c>
      <c r="D34" s="20" t="s">
        <v>279</v>
      </c>
      <c r="E34" s="20" t="s">
        <v>280</v>
      </c>
      <c r="F34" s="21">
        <v>122475</v>
      </c>
      <c r="G34" s="21" t="s">
        <v>281</v>
      </c>
      <c r="H34" s="22"/>
      <c r="I34" s="22"/>
      <c r="J34" s="22"/>
      <c r="K34" s="22">
        <v>664.78</v>
      </c>
      <c r="L34" s="23"/>
      <c r="M34" s="24">
        <f t="shared" si="0"/>
        <v>593.55357142857133</v>
      </c>
      <c r="N34" s="24">
        <f t="shared" si="1"/>
        <v>71.226428571428556</v>
      </c>
      <c r="O34" s="24">
        <f t="shared" si="2"/>
        <v>0</v>
      </c>
      <c r="P34" s="24">
        <v>593.54999999999995</v>
      </c>
      <c r="Q34" s="25"/>
      <c r="R34" s="25"/>
      <c r="S34" s="26"/>
      <c r="T34" s="26"/>
      <c r="U34" s="26"/>
      <c r="V34" s="26"/>
      <c r="W34" s="26"/>
      <c r="X34" s="25"/>
      <c r="Y34" s="25"/>
      <c r="Z34" s="25"/>
      <c r="AA34" s="25"/>
      <c r="AB34" s="26"/>
      <c r="AC34" s="26"/>
      <c r="AD34" s="25"/>
      <c r="AE34" s="25"/>
      <c r="AF34" s="24">
        <f t="shared" si="3"/>
        <v>-664.77642857142848</v>
      </c>
      <c r="AG34" s="27">
        <f t="shared" si="4"/>
        <v>3.5714285714902871E-3</v>
      </c>
    </row>
    <row r="35" spans="1:33" s="29" customFormat="1" ht="23.25" customHeight="1" x14ac:dyDescent="0.2">
      <c r="A35" s="18">
        <v>43895</v>
      </c>
      <c r="B35" s="19"/>
      <c r="C35" s="20" t="s">
        <v>358</v>
      </c>
      <c r="D35" s="20" t="s">
        <v>71</v>
      </c>
      <c r="E35" s="20" t="s">
        <v>72</v>
      </c>
      <c r="F35" s="21">
        <v>369377</v>
      </c>
      <c r="G35" s="21" t="s">
        <v>359</v>
      </c>
      <c r="H35" s="22"/>
      <c r="I35" s="22"/>
      <c r="J35" s="22"/>
      <c r="K35" s="22">
        <v>95</v>
      </c>
      <c r="L35" s="23"/>
      <c r="M35" s="24">
        <f t="shared" si="0"/>
        <v>84.821428571428569</v>
      </c>
      <c r="N35" s="24">
        <f t="shared" si="1"/>
        <v>10.178571428571429</v>
      </c>
      <c r="O35" s="24">
        <f t="shared" si="2"/>
        <v>0</v>
      </c>
      <c r="P35" s="24">
        <v>84.82</v>
      </c>
      <c r="Q35" s="25"/>
      <c r="R35" s="25"/>
      <c r="S35" s="26"/>
      <c r="T35" s="26"/>
      <c r="U35" s="26"/>
      <c r="V35" s="26"/>
      <c r="W35" s="26"/>
      <c r="X35" s="25"/>
      <c r="Y35" s="25"/>
      <c r="Z35" s="25"/>
      <c r="AA35" s="25"/>
      <c r="AB35" s="26"/>
      <c r="AC35" s="26"/>
      <c r="AD35" s="25"/>
      <c r="AE35" s="25"/>
      <c r="AF35" s="24">
        <f t="shared" si="3"/>
        <v>-94.998571428571424</v>
      </c>
      <c r="AG35" s="27">
        <f t="shared" si="4"/>
        <v>1.4285714285762197E-3</v>
      </c>
    </row>
    <row r="36" spans="1:33" s="29" customFormat="1" ht="23.25" customHeight="1" x14ac:dyDescent="0.2">
      <c r="A36" s="18">
        <v>43895</v>
      </c>
      <c r="B36" s="19"/>
      <c r="C36" s="20" t="s">
        <v>45</v>
      </c>
      <c r="D36" s="20"/>
      <c r="E36" s="20"/>
      <c r="F36" s="21"/>
      <c r="G36" s="21" t="s">
        <v>244</v>
      </c>
      <c r="H36" s="22"/>
      <c r="I36" s="22"/>
      <c r="J36" s="22">
        <v>500</v>
      </c>
      <c r="K36" s="22"/>
      <c r="L36" s="23"/>
      <c r="M36" s="24">
        <f t="shared" si="0"/>
        <v>500</v>
      </c>
      <c r="N36" s="24">
        <f t="shared" si="1"/>
        <v>0</v>
      </c>
      <c r="O36" s="24">
        <f t="shared" si="2"/>
        <v>0</v>
      </c>
      <c r="P36" s="24"/>
      <c r="Q36" s="25"/>
      <c r="R36" s="25"/>
      <c r="S36" s="26">
        <v>500</v>
      </c>
      <c r="T36" s="26"/>
      <c r="U36" s="26"/>
      <c r="V36" s="26"/>
      <c r="W36" s="26"/>
      <c r="X36" s="25"/>
      <c r="Y36" s="25"/>
      <c r="Z36" s="25"/>
      <c r="AA36" s="25"/>
      <c r="AB36" s="26"/>
      <c r="AC36" s="26"/>
      <c r="AD36" s="25"/>
      <c r="AE36" s="25"/>
      <c r="AF36" s="24">
        <f t="shared" si="3"/>
        <v>-500</v>
      </c>
      <c r="AG36" s="27">
        <f t="shared" si="4"/>
        <v>0</v>
      </c>
    </row>
    <row r="37" spans="1:33" s="62" customFormat="1" ht="23.25" customHeight="1" x14ac:dyDescent="0.2">
      <c r="A37" s="18">
        <v>43895</v>
      </c>
      <c r="B37" s="19"/>
      <c r="C37" s="20" t="s">
        <v>45</v>
      </c>
      <c r="D37" s="20"/>
      <c r="E37" s="20"/>
      <c r="F37" s="21"/>
      <c r="G37" s="21" t="s">
        <v>360</v>
      </c>
      <c r="H37" s="22"/>
      <c r="I37" s="22"/>
      <c r="J37" s="22"/>
      <c r="K37" s="22">
        <v>180</v>
      </c>
      <c r="L37" s="23"/>
      <c r="M37" s="24">
        <f t="shared" ref="M37:M66" si="5">SUM(H37:J37,K37/1.12)</f>
        <v>160.71428571428569</v>
      </c>
      <c r="N37" s="24">
        <f t="shared" ref="N37:N66" si="6">K37/1.12*0.12</f>
        <v>19.285714285714281</v>
      </c>
      <c r="O37" s="24">
        <f t="shared" ref="O37:O66" si="7">-SUM(I37:J37,K37/1.12)*L37</f>
        <v>0</v>
      </c>
      <c r="P37" s="24"/>
      <c r="Q37" s="25"/>
      <c r="R37" s="25"/>
      <c r="S37" s="26">
        <v>160.71</v>
      </c>
      <c r="T37" s="26"/>
      <c r="U37" s="26"/>
      <c r="V37" s="26"/>
      <c r="W37" s="26"/>
      <c r="X37" s="25"/>
      <c r="Y37" s="25"/>
      <c r="Z37" s="25"/>
      <c r="AA37" s="25"/>
      <c r="AB37" s="26"/>
      <c r="AC37" s="26"/>
      <c r="AD37" s="25"/>
      <c r="AE37" s="25"/>
      <c r="AF37" s="24">
        <f t="shared" ref="AF37:AF66" si="8">-SUM(N37:AE37)</f>
        <v>-179.99571428571429</v>
      </c>
      <c r="AG37" s="27">
        <f t="shared" ref="AG37:AG66" si="9">SUM(H37:K37)+AF37+O37</f>
        <v>4.2857142857144481E-3</v>
      </c>
    </row>
    <row r="38" spans="1:33" s="62" customFormat="1" ht="23.25" customHeight="1" x14ac:dyDescent="0.2">
      <c r="A38" s="18">
        <v>43895</v>
      </c>
      <c r="B38" s="19"/>
      <c r="C38" s="20" t="s">
        <v>45</v>
      </c>
      <c r="D38" s="20"/>
      <c r="E38" s="20"/>
      <c r="F38" s="21"/>
      <c r="G38" s="21" t="s">
        <v>361</v>
      </c>
      <c r="H38" s="22">
        <v>50</v>
      </c>
      <c r="I38" s="22"/>
      <c r="J38" s="22"/>
      <c r="K38" s="22"/>
      <c r="L38" s="23"/>
      <c r="M38" s="24">
        <f t="shared" si="5"/>
        <v>50</v>
      </c>
      <c r="N38" s="24">
        <f t="shared" si="6"/>
        <v>0</v>
      </c>
      <c r="O38" s="24">
        <f t="shared" si="7"/>
        <v>0</v>
      </c>
      <c r="P38" s="24"/>
      <c r="Q38" s="25"/>
      <c r="R38" s="25"/>
      <c r="S38" s="26"/>
      <c r="T38" s="26"/>
      <c r="U38" s="26"/>
      <c r="V38" s="26"/>
      <c r="W38" s="26"/>
      <c r="X38" s="25"/>
      <c r="Y38" s="25"/>
      <c r="Z38" s="25"/>
      <c r="AA38" s="25">
        <v>50</v>
      </c>
      <c r="AB38" s="26"/>
      <c r="AC38" s="26"/>
      <c r="AD38" s="25"/>
      <c r="AE38" s="25"/>
      <c r="AF38" s="24">
        <f t="shared" si="8"/>
        <v>-50</v>
      </c>
      <c r="AG38" s="27">
        <f t="shared" si="9"/>
        <v>0</v>
      </c>
    </row>
    <row r="39" spans="1:33" s="62" customFormat="1" ht="23.25" customHeight="1" x14ac:dyDescent="0.2">
      <c r="A39" s="18">
        <v>43895</v>
      </c>
      <c r="B39" s="19"/>
      <c r="C39" s="20" t="s">
        <v>362</v>
      </c>
      <c r="D39" s="20" t="s">
        <v>225</v>
      </c>
      <c r="E39" s="20" t="s">
        <v>49</v>
      </c>
      <c r="F39" s="21">
        <v>163509</v>
      </c>
      <c r="G39" s="21" t="s">
        <v>299</v>
      </c>
      <c r="H39" s="22"/>
      <c r="I39" s="22"/>
      <c r="J39" s="22"/>
      <c r="K39" s="22">
        <v>100</v>
      </c>
      <c r="L39" s="23"/>
      <c r="M39" s="24">
        <f t="shared" si="5"/>
        <v>89.285714285714278</v>
      </c>
      <c r="N39" s="24">
        <f t="shared" si="6"/>
        <v>10.714285714285714</v>
      </c>
      <c r="O39" s="24">
        <f t="shared" si="7"/>
        <v>0</v>
      </c>
      <c r="P39" s="24"/>
      <c r="Q39" s="25"/>
      <c r="R39" s="25"/>
      <c r="S39" s="26"/>
      <c r="T39" s="26"/>
      <c r="U39" s="26"/>
      <c r="V39" s="26"/>
      <c r="W39" s="26"/>
      <c r="X39" s="25"/>
      <c r="Y39" s="25">
        <v>89.29</v>
      </c>
      <c r="Z39" s="25"/>
      <c r="AA39" s="25"/>
      <c r="AB39" s="26"/>
      <c r="AC39" s="26"/>
      <c r="AD39" s="25"/>
      <c r="AE39" s="25"/>
      <c r="AF39" s="24">
        <f t="shared" si="8"/>
        <v>-100.00428571428571</v>
      </c>
      <c r="AG39" s="27">
        <f t="shared" si="9"/>
        <v>-4.2857142857144481E-3</v>
      </c>
    </row>
    <row r="40" spans="1:33" s="29" customFormat="1" ht="23.25" customHeight="1" x14ac:dyDescent="0.2">
      <c r="A40" s="18">
        <v>43895</v>
      </c>
      <c r="B40" s="19"/>
      <c r="C40" s="20" t="s">
        <v>55</v>
      </c>
      <c r="D40" s="20" t="s">
        <v>56</v>
      </c>
      <c r="E40" s="20" t="s">
        <v>57</v>
      </c>
      <c r="F40" s="21">
        <v>226126</v>
      </c>
      <c r="G40" s="21" t="s">
        <v>58</v>
      </c>
      <c r="H40" s="22"/>
      <c r="I40" s="22"/>
      <c r="J40" s="22"/>
      <c r="K40" s="22">
        <v>180</v>
      </c>
      <c r="L40" s="23"/>
      <c r="M40" s="24">
        <f t="shared" si="5"/>
        <v>160.71428571428569</v>
      </c>
      <c r="N40" s="24">
        <f t="shared" si="6"/>
        <v>19.285714285714281</v>
      </c>
      <c r="O40" s="24">
        <f t="shared" si="7"/>
        <v>0</v>
      </c>
      <c r="P40" s="24"/>
      <c r="Q40" s="25">
        <v>160.71</v>
      </c>
      <c r="R40" s="25"/>
      <c r="S40" s="26"/>
      <c r="T40" s="26"/>
      <c r="U40" s="26"/>
      <c r="V40" s="26"/>
      <c r="W40" s="26"/>
      <c r="X40" s="25"/>
      <c r="Y40" s="25"/>
      <c r="Z40" s="25"/>
      <c r="AA40" s="25"/>
      <c r="AB40" s="26"/>
      <c r="AC40" s="26"/>
      <c r="AD40" s="25"/>
      <c r="AE40" s="25"/>
      <c r="AF40" s="24">
        <f t="shared" si="8"/>
        <v>-179.99571428571429</v>
      </c>
      <c r="AG40" s="27">
        <f t="shared" si="9"/>
        <v>4.2857142857144481E-3</v>
      </c>
    </row>
    <row r="41" spans="1:33" s="62" customFormat="1" ht="23.25" customHeight="1" x14ac:dyDescent="0.2">
      <c r="A41" s="18">
        <v>43895</v>
      </c>
      <c r="B41" s="19"/>
      <c r="C41" s="20" t="s">
        <v>39</v>
      </c>
      <c r="D41" s="20" t="s">
        <v>40</v>
      </c>
      <c r="E41" s="20" t="s">
        <v>41</v>
      </c>
      <c r="F41" s="21">
        <v>161740</v>
      </c>
      <c r="G41" s="21" t="s">
        <v>363</v>
      </c>
      <c r="H41" s="22"/>
      <c r="I41" s="22"/>
      <c r="J41" s="22"/>
      <c r="K41" s="22">
        <v>336</v>
      </c>
      <c r="L41" s="23"/>
      <c r="M41" s="24">
        <f t="shared" si="5"/>
        <v>299.99999999999994</v>
      </c>
      <c r="N41" s="24">
        <f t="shared" si="6"/>
        <v>35.999999999999993</v>
      </c>
      <c r="O41" s="24">
        <f t="shared" si="7"/>
        <v>0</v>
      </c>
      <c r="P41" s="24">
        <v>300</v>
      </c>
      <c r="Q41" s="25"/>
      <c r="R41" s="25"/>
      <c r="S41" s="26"/>
      <c r="T41" s="26"/>
      <c r="U41" s="26"/>
      <c r="V41" s="26"/>
      <c r="W41" s="26"/>
      <c r="X41" s="25"/>
      <c r="Y41" s="25"/>
      <c r="Z41" s="25"/>
      <c r="AA41" s="25"/>
      <c r="AB41" s="26"/>
      <c r="AC41" s="26"/>
      <c r="AD41" s="25"/>
      <c r="AE41" s="25"/>
      <c r="AF41" s="24">
        <f t="shared" si="8"/>
        <v>-336</v>
      </c>
      <c r="AG41" s="27">
        <f t="shared" si="9"/>
        <v>0</v>
      </c>
    </row>
    <row r="42" spans="1:33" s="62" customFormat="1" ht="23.25" customHeight="1" x14ac:dyDescent="0.2">
      <c r="A42" s="18">
        <v>43895</v>
      </c>
      <c r="B42" s="19"/>
      <c r="C42" s="20" t="s">
        <v>62</v>
      </c>
      <c r="D42" s="20"/>
      <c r="E42" s="20"/>
      <c r="F42" s="21"/>
      <c r="G42" s="21" t="s">
        <v>63</v>
      </c>
      <c r="H42" s="22"/>
      <c r="I42" s="22"/>
      <c r="J42" s="22">
        <v>80</v>
      </c>
      <c r="K42" s="22"/>
      <c r="L42" s="23"/>
      <c r="M42" s="24">
        <f t="shared" si="5"/>
        <v>80</v>
      </c>
      <c r="N42" s="24">
        <f t="shared" si="6"/>
        <v>0</v>
      </c>
      <c r="O42" s="24">
        <f t="shared" si="7"/>
        <v>0</v>
      </c>
      <c r="P42" s="24">
        <v>80</v>
      </c>
      <c r="Q42" s="25"/>
      <c r="R42" s="25"/>
      <c r="S42" s="26"/>
      <c r="T42" s="26"/>
      <c r="U42" s="26"/>
      <c r="V42" s="26"/>
      <c r="W42" s="26"/>
      <c r="X42" s="25"/>
      <c r="Y42" s="25"/>
      <c r="Z42" s="25"/>
      <c r="AA42" s="25"/>
      <c r="AB42" s="26"/>
      <c r="AC42" s="26"/>
      <c r="AD42" s="25"/>
      <c r="AE42" s="25"/>
      <c r="AF42" s="24">
        <f t="shared" si="8"/>
        <v>-80</v>
      </c>
      <c r="AG42" s="27">
        <f t="shared" si="9"/>
        <v>0</v>
      </c>
    </row>
    <row r="43" spans="1:33" s="62" customFormat="1" ht="23.25" customHeight="1" x14ac:dyDescent="0.2">
      <c r="A43" s="18">
        <v>35</v>
      </c>
      <c r="B43" s="19"/>
      <c r="C43" s="20" t="s">
        <v>39</v>
      </c>
      <c r="D43" s="20" t="s">
        <v>40</v>
      </c>
      <c r="E43" s="20" t="s">
        <v>41</v>
      </c>
      <c r="F43" s="21">
        <v>105696</v>
      </c>
      <c r="G43" s="21" t="s">
        <v>364</v>
      </c>
      <c r="H43" s="22"/>
      <c r="I43" s="22"/>
      <c r="J43" s="22"/>
      <c r="K43" s="22">
        <v>868.5</v>
      </c>
      <c r="L43" s="23"/>
      <c r="M43" s="24">
        <f t="shared" si="5"/>
        <v>775.44642857142844</v>
      </c>
      <c r="N43" s="24">
        <f t="shared" si="6"/>
        <v>93.053571428571416</v>
      </c>
      <c r="O43" s="24">
        <f t="shared" si="7"/>
        <v>0</v>
      </c>
      <c r="P43" s="24">
        <v>775.45</v>
      </c>
      <c r="Q43" s="25"/>
      <c r="R43" s="25"/>
      <c r="S43" s="26"/>
      <c r="T43" s="26"/>
      <c r="U43" s="26"/>
      <c r="V43" s="26"/>
      <c r="W43" s="26"/>
      <c r="X43" s="25"/>
      <c r="Y43" s="25"/>
      <c r="Z43" s="25"/>
      <c r="AA43" s="25"/>
      <c r="AB43" s="26"/>
      <c r="AC43" s="26"/>
      <c r="AD43" s="25"/>
      <c r="AE43" s="25"/>
      <c r="AF43" s="24">
        <f t="shared" si="8"/>
        <v>-868.50357142857149</v>
      </c>
      <c r="AG43" s="27">
        <f t="shared" si="9"/>
        <v>-3.5714285714902871E-3</v>
      </c>
    </row>
    <row r="44" spans="1:33" s="62" customFormat="1" ht="23.25" customHeight="1" x14ac:dyDescent="0.2">
      <c r="A44" s="18">
        <v>43895</v>
      </c>
      <c r="B44" s="19"/>
      <c r="C44" s="20" t="s">
        <v>60</v>
      </c>
      <c r="D44" s="20"/>
      <c r="E44" s="20"/>
      <c r="F44" s="21"/>
      <c r="G44" s="21" t="s">
        <v>64</v>
      </c>
      <c r="H44" s="22">
        <v>50</v>
      </c>
      <c r="I44" s="22"/>
      <c r="J44" s="22"/>
      <c r="K44" s="22"/>
      <c r="L44" s="23"/>
      <c r="M44" s="24">
        <f t="shared" si="5"/>
        <v>50</v>
      </c>
      <c r="N44" s="24">
        <f t="shared" si="6"/>
        <v>0</v>
      </c>
      <c r="O44" s="24">
        <f t="shared" si="7"/>
        <v>0</v>
      </c>
      <c r="P44" s="24"/>
      <c r="Q44" s="25"/>
      <c r="R44" s="25"/>
      <c r="S44" s="26"/>
      <c r="T44" s="26"/>
      <c r="U44" s="26"/>
      <c r="V44" s="26"/>
      <c r="W44" s="26"/>
      <c r="X44" s="25"/>
      <c r="Y44" s="25"/>
      <c r="Z44" s="25"/>
      <c r="AA44" s="25">
        <v>50</v>
      </c>
      <c r="AB44" s="26"/>
      <c r="AC44" s="26"/>
      <c r="AD44" s="25"/>
      <c r="AE44" s="25"/>
      <c r="AF44" s="24">
        <f t="shared" si="8"/>
        <v>-50</v>
      </c>
      <c r="AG44" s="27">
        <f t="shared" si="9"/>
        <v>0</v>
      </c>
    </row>
    <row r="45" spans="1:33" s="62" customFormat="1" ht="23.25" customHeight="1" x14ac:dyDescent="0.2">
      <c r="A45" s="18">
        <v>43895</v>
      </c>
      <c r="B45" s="19"/>
      <c r="C45" s="20" t="s">
        <v>39</v>
      </c>
      <c r="D45" s="20" t="s">
        <v>40</v>
      </c>
      <c r="E45" s="20" t="s">
        <v>41</v>
      </c>
      <c r="F45" s="21">
        <v>141845</v>
      </c>
      <c r="G45" s="21" t="s">
        <v>365</v>
      </c>
      <c r="H45" s="22"/>
      <c r="I45" s="22"/>
      <c r="J45" s="22"/>
      <c r="K45" s="22">
        <v>462.25</v>
      </c>
      <c r="L45" s="23"/>
      <c r="M45" s="24">
        <f t="shared" si="5"/>
        <v>412.72321428571422</v>
      </c>
      <c r="N45" s="24">
        <f t="shared" si="6"/>
        <v>49.526785714285708</v>
      </c>
      <c r="O45" s="24">
        <f t="shared" si="7"/>
        <v>0</v>
      </c>
      <c r="P45" s="24">
        <v>412.72</v>
      </c>
      <c r="Q45" s="25"/>
      <c r="R45" s="25"/>
      <c r="S45" s="26"/>
      <c r="T45" s="26"/>
      <c r="U45" s="26"/>
      <c r="V45" s="26"/>
      <c r="W45" s="26"/>
      <c r="X45" s="25"/>
      <c r="Y45" s="25"/>
      <c r="Z45" s="25"/>
      <c r="AA45" s="25"/>
      <c r="AB45" s="26"/>
      <c r="AC45" s="26"/>
      <c r="AD45" s="25"/>
      <c r="AE45" s="25"/>
      <c r="AF45" s="24">
        <f t="shared" si="8"/>
        <v>-462.24678571428575</v>
      </c>
      <c r="AG45" s="27">
        <f t="shared" si="9"/>
        <v>3.214285714250309E-3</v>
      </c>
    </row>
    <row r="46" spans="1:33" s="62" customFormat="1" ht="23.25" customHeight="1" x14ac:dyDescent="0.2">
      <c r="A46" s="18">
        <v>43895</v>
      </c>
      <c r="B46" s="19"/>
      <c r="C46" s="20" t="s">
        <v>106</v>
      </c>
      <c r="D46" s="20" t="s">
        <v>107</v>
      </c>
      <c r="E46" s="20" t="s">
        <v>49</v>
      </c>
      <c r="F46" s="21">
        <v>5046</v>
      </c>
      <c r="G46" s="21" t="s">
        <v>366</v>
      </c>
      <c r="H46" s="22"/>
      <c r="I46" s="22"/>
      <c r="J46" s="22"/>
      <c r="K46" s="22">
        <v>475</v>
      </c>
      <c r="L46" s="23"/>
      <c r="M46" s="24">
        <f t="shared" si="5"/>
        <v>424.10714285714283</v>
      </c>
      <c r="N46" s="24">
        <f t="shared" si="6"/>
        <v>50.892857142857139</v>
      </c>
      <c r="O46" s="24">
        <f t="shared" si="7"/>
        <v>0</v>
      </c>
      <c r="P46" s="24"/>
      <c r="Q46" s="25"/>
      <c r="R46" s="25"/>
      <c r="S46" s="26"/>
      <c r="T46" s="26">
        <v>424.11</v>
      </c>
      <c r="U46" s="26"/>
      <c r="V46" s="26"/>
      <c r="W46" s="26"/>
      <c r="X46" s="25"/>
      <c r="Y46" s="25"/>
      <c r="Z46" s="25"/>
      <c r="AA46" s="25"/>
      <c r="AB46" s="26"/>
      <c r="AC46" s="26"/>
      <c r="AD46" s="25"/>
      <c r="AE46" s="25"/>
      <c r="AF46" s="24">
        <f t="shared" si="8"/>
        <v>-475.00285714285712</v>
      </c>
      <c r="AG46" s="27">
        <f t="shared" si="9"/>
        <v>-2.8571428571240176E-3</v>
      </c>
    </row>
    <row r="47" spans="1:33" s="62" customFormat="1" ht="23.25" customHeight="1" x14ac:dyDescent="0.2">
      <c r="A47" s="18">
        <v>43895</v>
      </c>
      <c r="B47" s="19"/>
      <c r="C47" s="20" t="s">
        <v>39</v>
      </c>
      <c r="D47" s="20" t="s">
        <v>40</v>
      </c>
      <c r="E47" s="20" t="s">
        <v>41</v>
      </c>
      <c r="F47" s="21">
        <v>141864</v>
      </c>
      <c r="G47" s="21" t="s">
        <v>367</v>
      </c>
      <c r="H47" s="22"/>
      <c r="I47" s="22"/>
      <c r="J47" s="22"/>
      <c r="K47" s="22">
        <v>35</v>
      </c>
      <c r="L47" s="23"/>
      <c r="M47" s="24">
        <f t="shared" si="5"/>
        <v>31.249999999999996</v>
      </c>
      <c r="N47" s="24">
        <f t="shared" si="6"/>
        <v>3.7499999999999996</v>
      </c>
      <c r="O47" s="24">
        <f t="shared" si="7"/>
        <v>0</v>
      </c>
      <c r="P47" s="24"/>
      <c r="Q47" s="25">
        <v>31.25</v>
      </c>
      <c r="R47" s="25"/>
      <c r="S47" s="26"/>
      <c r="T47" s="26"/>
      <c r="U47" s="26"/>
      <c r="V47" s="26"/>
      <c r="W47" s="26"/>
      <c r="X47" s="25"/>
      <c r="Y47" s="25"/>
      <c r="Z47" s="25"/>
      <c r="AA47" s="25"/>
      <c r="AB47" s="26"/>
      <c r="AC47" s="26"/>
      <c r="AD47" s="25"/>
      <c r="AE47" s="25"/>
      <c r="AF47" s="24">
        <f t="shared" si="8"/>
        <v>-35</v>
      </c>
      <c r="AG47" s="27">
        <f t="shared" si="9"/>
        <v>0</v>
      </c>
    </row>
    <row r="48" spans="1:33" s="62" customFormat="1" ht="23.25" customHeight="1" x14ac:dyDescent="0.2">
      <c r="A48" s="18">
        <v>43895</v>
      </c>
      <c r="B48" s="19"/>
      <c r="C48" s="20" t="s">
        <v>47</v>
      </c>
      <c r="D48" s="20" t="s">
        <v>48</v>
      </c>
      <c r="E48" s="20" t="s">
        <v>49</v>
      </c>
      <c r="F48" s="21">
        <v>271955</v>
      </c>
      <c r="G48" s="21" t="s">
        <v>368</v>
      </c>
      <c r="H48" s="22"/>
      <c r="I48" s="22"/>
      <c r="J48" s="22">
        <v>45</v>
      </c>
      <c r="K48" s="22"/>
      <c r="L48" s="23"/>
      <c r="M48" s="24">
        <f t="shared" si="5"/>
        <v>45</v>
      </c>
      <c r="N48" s="24">
        <f t="shared" si="6"/>
        <v>0</v>
      </c>
      <c r="O48" s="24">
        <f t="shared" si="7"/>
        <v>0</v>
      </c>
      <c r="P48" s="24">
        <v>45</v>
      </c>
      <c r="Q48" s="25"/>
      <c r="R48" s="25"/>
      <c r="S48" s="26"/>
      <c r="T48" s="26"/>
      <c r="U48" s="26"/>
      <c r="V48" s="26"/>
      <c r="W48" s="26"/>
      <c r="X48" s="25"/>
      <c r="Y48" s="25"/>
      <c r="Z48" s="25"/>
      <c r="AA48" s="25"/>
      <c r="AB48" s="26"/>
      <c r="AC48" s="26"/>
      <c r="AD48" s="25"/>
      <c r="AE48" s="25"/>
      <c r="AF48" s="24">
        <f t="shared" si="8"/>
        <v>-45</v>
      </c>
      <c r="AG48" s="27">
        <f t="shared" si="9"/>
        <v>0</v>
      </c>
    </row>
    <row r="49" spans="1:33" s="62" customFormat="1" ht="23.25" customHeight="1" x14ac:dyDescent="0.2">
      <c r="A49" s="18">
        <v>43895</v>
      </c>
      <c r="B49" s="19"/>
      <c r="C49" s="20" t="s">
        <v>47</v>
      </c>
      <c r="D49" s="20" t="s">
        <v>48</v>
      </c>
      <c r="E49" s="20" t="s">
        <v>49</v>
      </c>
      <c r="F49" s="21">
        <v>271955</v>
      </c>
      <c r="G49" s="21" t="s">
        <v>369</v>
      </c>
      <c r="H49" s="22"/>
      <c r="I49" s="22"/>
      <c r="J49" s="22"/>
      <c r="K49" s="22">
        <f>828.39+99.41</f>
        <v>927.8</v>
      </c>
      <c r="L49" s="23"/>
      <c r="M49" s="24">
        <f t="shared" si="5"/>
        <v>828.392857142857</v>
      </c>
      <c r="N49" s="24">
        <f t="shared" si="6"/>
        <v>99.40714285714283</v>
      </c>
      <c r="O49" s="24">
        <f t="shared" si="7"/>
        <v>0</v>
      </c>
      <c r="P49" s="24">
        <v>828.39</v>
      </c>
      <c r="Q49" s="25"/>
      <c r="R49" s="25"/>
      <c r="S49" s="26"/>
      <c r="T49" s="26"/>
      <c r="U49" s="26"/>
      <c r="V49" s="26"/>
      <c r="W49" s="26"/>
      <c r="X49" s="25"/>
      <c r="Y49" s="25"/>
      <c r="Z49" s="25"/>
      <c r="AA49" s="25"/>
      <c r="AB49" s="26"/>
      <c r="AC49" s="26"/>
      <c r="AD49" s="25"/>
      <c r="AE49" s="25"/>
      <c r="AF49" s="24">
        <f t="shared" si="8"/>
        <v>-927.79714285714283</v>
      </c>
      <c r="AG49" s="27">
        <f t="shared" si="9"/>
        <v>2.8571428571240176E-3</v>
      </c>
    </row>
    <row r="50" spans="1:33" s="29" customFormat="1" ht="23.25" customHeight="1" x14ac:dyDescent="0.2">
      <c r="A50" s="18">
        <v>43896</v>
      </c>
      <c r="B50" s="19"/>
      <c r="C50" s="20" t="s">
        <v>55</v>
      </c>
      <c r="D50" s="20" t="s">
        <v>56</v>
      </c>
      <c r="E50" s="20" t="s">
        <v>57</v>
      </c>
      <c r="F50" s="21">
        <v>226167</v>
      </c>
      <c r="G50" s="21" t="s">
        <v>58</v>
      </c>
      <c r="H50" s="22"/>
      <c r="I50" s="22"/>
      <c r="J50" s="22"/>
      <c r="K50" s="22">
        <v>180</v>
      </c>
      <c r="L50" s="23"/>
      <c r="M50" s="24">
        <f t="shared" si="5"/>
        <v>160.71428571428569</v>
      </c>
      <c r="N50" s="24">
        <f t="shared" si="6"/>
        <v>19.285714285714281</v>
      </c>
      <c r="O50" s="24">
        <f t="shared" si="7"/>
        <v>0</v>
      </c>
      <c r="P50" s="24"/>
      <c r="Q50" s="25">
        <v>160.71</v>
      </c>
      <c r="R50" s="25"/>
      <c r="S50" s="26"/>
      <c r="T50" s="26"/>
      <c r="U50" s="26"/>
      <c r="V50" s="26"/>
      <c r="W50" s="26"/>
      <c r="X50" s="25"/>
      <c r="Y50" s="25"/>
      <c r="Z50" s="25"/>
      <c r="AA50" s="25"/>
      <c r="AB50" s="26"/>
      <c r="AC50" s="26"/>
      <c r="AD50" s="25"/>
      <c r="AE50" s="25"/>
      <c r="AF50" s="24">
        <f t="shared" si="8"/>
        <v>-179.99571428571429</v>
      </c>
      <c r="AG50" s="27">
        <f t="shared" si="9"/>
        <v>4.2857142857144481E-3</v>
      </c>
    </row>
    <row r="51" spans="1:33" s="62" customFormat="1" ht="23.25" customHeight="1" x14ac:dyDescent="0.2">
      <c r="A51" s="18">
        <v>43896</v>
      </c>
      <c r="B51" s="19"/>
      <c r="C51" s="20" t="s">
        <v>309</v>
      </c>
      <c r="D51" s="20" t="s">
        <v>345</v>
      </c>
      <c r="E51" s="20" t="s">
        <v>49</v>
      </c>
      <c r="F51" s="21">
        <v>546546</v>
      </c>
      <c r="G51" s="21" t="s">
        <v>312</v>
      </c>
      <c r="H51" s="22"/>
      <c r="I51" s="22"/>
      <c r="J51" s="22"/>
      <c r="K51" s="22">
        <v>100</v>
      </c>
      <c r="L51" s="23"/>
      <c r="M51" s="24">
        <f t="shared" si="5"/>
        <v>89.285714285714278</v>
      </c>
      <c r="N51" s="24">
        <f t="shared" si="6"/>
        <v>10.714285714285714</v>
      </c>
      <c r="O51" s="24">
        <f t="shared" si="7"/>
        <v>0</v>
      </c>
      <c r="P51" s="24">
        <v>89.29</v>
      </c>
      <c r="Q51" s="25"/>
      <c r="R51" s="25"/>
      <c r="S51" s="26"/>
      <c r="T51" s="26"/>
      <c r="U51" s="26"/>
      <c r="V51" s="26"/>
      <c r="W51" s="26"/>
      <c r="X51" s="25"/>
      <c r="Y51" s="25"/>
      <c r="Z51" s="25"/>
      <c r="AA51" s="25"/>
      <c r="AB51" s="26"/>
      <c r="AC51" s="26"/>
      <c r="AD51" s="25"/>
      <c r="AE51" s="25"/>
      <c r="AF51" s="24">
        <f t="shared" si="8"/>
        <v>-100.00428571428571</v>
      </c>
      <c r="AG51" s="27">
        <f t="shared" si="9"/>
        <v>-4.2857142857144481E-3</v>
      </c>
    </row>
    <row r="52" spans="1:33" s="62" customFormat="1" ht="23.25" customHeight="1" x14ac:dyDescent="0.2">
      <c r="A52" s="18">
        <v>43896</v>
      </c>
      <c r="B52" s="19"/>
      <c r="C52" s="20" t="s">
        <v>39</v>
      </c>
      <c r="D52" s="20" t="s">
        <v>40</v>
      </c>
      <c r="E52" s="20" t="s">
        <v>41</v>
      </c>
      <c r="F52" s="21">
        <v>141982</v>
      </c>
      <c r="G52" s="21" t="s">
        <v>370</v>
      </c>
      <c r="H52" s="22"/>
      <c r="I52" s="22"/>
      <c r="J52" s="22"/>
      <c r="K52" s="22">
        <v>105.5</v>
      </c>
      <c r="L52" s="23"/>
      <c r="M52" s="24">
        <f t="shared" si="5"/>
        <v>94.196428571428569</v>
      </c>
      <c r="N52" s="24">
        <f t="shared" si="6"/>
        <v>11.303571428571427</v>
      </c>
      <c r="O52" s="24">
        <f t="shared" si="7"/>
        <v>0</v>
      </c>
      <c r="P52" s="24">
        <v>94.2</v>
      </c>
      <c r="Q52" s="25"/>
      <c r="R52" s="25"/>
      <c r="S52" s="26"/>
      <c r="T52" s="26"/>
      <c r="U52" s="26"/>
      <c r="V52" s="26"/>
      <c r="W52" s="26"/>
      <c r="X52" s="25"/>
      <c r="Y52" s="25"/>
      <c r="Z52" s="25"/>
      <c r="AA52" s="25"/>
      <c r="AB52" s="26"/>
      <c r="AC52" s="26"/>
      <c r="AD52" s="25"/>
      <c r="AE52" s="25"/>
      <c r="AF52" s="24">
        <f t="shared" si="8"/>
        <v>-105.50357142857143</v>
      </c>
      <c r="AG52" s="27">
        <f t="shared" si="9"/>
        <v>-3.5714285714334437E-3</v>
      </c>
    </row>
    <row r="53" spans="1:33" s="62" customFormat="1" ht="23.25" customHeight="1" x14ac:dyDescent="0.2">
      <c r="A53" s="18">
        <v>43897</v>
      </c>
      <c r="B53" s="19"/>
      <c r="C53" s="20" t="s">
        <v>371</v>
      </c>
      <c r="D53" s="20"/>
      <c r="E53" s="20"/>
      <c r="F53" s="21"/>
      <c r="G53" s="21" t="s">
        <v>372</v>
      </c>
      <c r="H53" s="22">
        <v>468</v>
      </c>
      <c r="I53" s="22"/>
      <c r="J53" s="22"/>
      <c r="K53" s="22"/>
      <c r="L53" s="23"/>
      <c r="M53" s="24">
        <f t="shared" si="5"/>
        <v>468</v>
      </c>
      <c r="N53" s="24">
        <f t="shared" si="6"/>
        <v>0</v>
      </c>
      <c r="O53" s="24">
        <f t="shared" si="7"/>
        <v>0</v>
      </c>
      <c r="P53" s="24"/>
      <c r="Q53" s="25"/>
      <c r="R53" s="25"/>
      <c r="S53" s="26"/>
      <c r="T53" s="26"/>
      <c r="U53" s="26"/>
      <c r="V53" s="26"/>
      <c r="W53" s="26"/>
      <c r="X53" s="25"/>
      <c r="Y53" s="25"/>
      <c r="Z53" s="25"/>
      <c r="AA53" s="25">
        <v>468</v>
      </c>
      <c r="AB53" s="26"/>
      <c r="AC53" s="26"/>
      <c r="AD53" s="25"/>
      <c r="AE53" s="25"/>
      <c r="AF53" s="24">
        <f t="shared" si="8"/>
        <v>-468</v>
      </c>
      <c r="AG53" s="27">
        <f t="shared" si="9"/>
        <v>0</v>
      </c>
    </row>
    <row r="54" spans="1:33" s="62" customFormat="1" ht="23.25" customHeight="1" x14ac:dyDescent="0.2">
      <c r="A54" s="18">
        <v>43897</v>
      </c>
      <c r="B54" s="19"/>
      <c r="C54" s="20" t="s">
        <v>39</v>
      </c>
      <c r="D54" s="20" t="s">
        <v>40</v>
      </c>
      <c r="E54" s="20" t="s">
        <v>41</v>
      </c>
      <c r="F54" s="21">
        <v>38012</v>
      </c>
      <c r="G54" s="21" t="s">
        <v>373</v>
      </c>
      <c r="H54" s="22"/>
      <c r="I54" s="22"/>
      <c r="J54" s="22"/>
      <c r="K54" s="22">
        <v>449.28</v>
      </c>
      <c r="L54" s="23"/>
      <c r="M54" s="24">
        <f t="shared" si="5"/>
        <v>401.14285714285705</v>
      </c>
      <c r="N54" s="24">
        <f t="shared" si="6"/>
        <v>48.137142857142848</v>
      </c>
      <c r="O54" s="24">
        <f t="shared" si="7"/>
        <v>0</v>
      </c>
      <c r="P54" s="24">
        <v>401.14</v>
      </c>
      <c r="Q54" s="25"/>
      <c r="R54" s="25"/>
      <c r="S54" s="26"/>
      <c r="T54" s="26"/>
      <c r="U54" s="26"/>
      <c r="V54" s="26"/>
      <c r="W54" s="26"/>
      <c r="X54" s="25"/>
      <c r="Y54" s="25"/>
      <c r="Z54" s="25"/>
      <c r="AA54" s="25"/>
      <c r="AB54" s="26"/>
      <c r="AC54" s="26"/>
      <c r="AD54" s="25"/>
      <c r="AE54" s="25"/>
      <c r="AF54" s="24">
        <f t="shared" si="8"/>
        <v>-449.27714285714285</v>
      </c>
      <c r="AG54" s="27">
        <f t="shared" si="9"/>
        <v>2.8571428571240176E-3</v>
      </c>
    </row>
    <row r="55" spans="1:33" s="62" customFormat="1" ht="23.25" customHeight="1" x14ac:dyDescent="0.2">
      <c r="A55" s="18">
        <v>43897</v>
      </c>
      <c r="B55" s="19"/>
      <c r="C55" s="20" t="s">
        <v>374</v>
      </c>
      <c r="D55" s="20" t="s">
        <v>375</v>
      </c>
      <c r="E55" s="20" t="s">
        <v>49</v>
      </c>
      <c r="F55" s="21">
        <v>1990768</v>
      </c>
      <c r="G55" s="21" t="s">
        <v>58</v>
      </c>
      <c r="H55" s="22"/>
      <c r="I55" s="22"/>
      <c r="J55" s="22"/>
      <c r="K55" s="22">
        <v>48</v>
      </c>
      <c r="L55" s="23"/>
      <c r="M55" s="24">
        <f t="shared" si="5"/>
        <v>42.857142857142854</v>
      </c>
      <c r="N55" s="24">
        <f t="shared" si="6"/>
        <v>5.1428571428571423</v>
      </c>
      <c r="O55" s="24">
        <f t="shared" si="7"/>
        <v>0</v>
      </c>
      <c r="P55" s="24"/>
      <c r="Q55" s="25">
        <v>42.86</v>
      </c>
      <c r="R55" s="25"/>
      <c r="S55" s="26"/>
      <c r="T55" s="26"/>
      <c r="U55" s="26"/>
      <c r="V55" s="26"/>
      <c r="W55" s="26"/>
      <c r="X55" s="25"/>
      <c r="Y55" s="25"/>
      <c r="Z55" s="25"/>
      <c r="AA55" s="25"/>
      <c r="AB55" s="26"/>
      <c r="AC55" s="26"/>
      <c r="AD55" s="25"/>
      <c r="AE55" s="25"/>
      <c r="AF55" s="24">
        <f t="shared" si="8"/>
        <v>-48.002857142857138</v>
      </c>
      <c r="AG55" s="27">
        <f t="shared" si="9"/>
        <v>-2.8571428571382285E-3</v>
      </c>
    </row>
    <row r="56" spans="1:33" s="63" customFormat="1" ht="23.25" customHeight="1" x14ac:dyDescent="0.2">
      <c r="A56" s="32">
        <v>43899</v>
      </c>
      <c r="B56" s="33"/>
      <c r="C56" s="34" t="s">
        <v>37</v>
      </c>
      <c r="D56" s="34"/>
      <c r="E56" s="34"/>
      <c r="F56" s="35"/>
      <c r="G56" s="35" t="s">
        <v>99</v>
      </c>
      <c r="H56" s="36">
        <v>165</v>
      </c>
      <c r="I56" s="36"/>
      <c r="J56" s="36"/>
      <c r="K56" s="36"/>
      <c r="L56" s="37"/>
      <c r="M56" s="38">
        <f t="shared" si="5"/>
        <v>165</v>
      </c>
      <c r="N56" s="38">
        <f t="shared" si="6"/>
        <v>0</v>
      </c>
      <c r="O56" s="38">
        <f t="shared" si="7"/>
        <v>0</v>
      </c>
      <c r="P56" s="38"/>
      <c r="Q56" s="39"/>
      <c r="R56" s="39"/>
      <c r="S56" s="40"/>
      <c r="T56" s="40"/>
      <c r="U56" s="40"/>
      <c r="V56" s="40"/>
      <c r="W56" s="40"/>
      <c r="X56" s="39"/>
      <c r="Y56" s="39"/>
      <c r="Z56" s="39"/>
      <c r="AA56" s="39">
        <v>165</v>
      </c>
      <c r="AB56" s="40"/>
      <c r="AC56" s="40"/>
      <c r="AD56" s="39"/>
      <c r="AE56" s="39"/>
      <c r="AF56" s="38">
        <f t="shared" si="8"/>
        <v>-165</v>
      </c>
      <c r="AG56" s="41">
        <f t="shared" si="9"/>
        <v>0</v>
      </c>
    </row>
    <row r="57" spans="1:33" s="29" customFormat="1" ht="23.25" customHeight="1" x14ac:dyDescent="0.2">
      <c r="A57" s="18">
        <v>43900</v>
      </c>
      <c r="B57" s="19"/>
      <c r="C57" s="20" t="s">
        <v>39</v>
      </c>
      <c r="D57" s="20" t="s">
        <v>40</v>
      </c>
      <c r="E57" s="20" t="s">
        <v>41</v>
      </c>
      <c r="F57" s="21">
        <v>106879</v>
      </c>
      <c r="G57" s="21" t="s">
        <v>376</v>
      </c>
      <c r="H57" s="22"/>
      <c r="I57" s="22"/>
      <c r="J57" s="22"/>
      <c r="K57" s="22">
        <f>435+225</f>
        <v>660</v>
      </c>
      <c r="L57" s="23"/>
      <c r="M57" s="24">
        <f t="shared" si="5"/>
        <v>589.28571428571422</v>
      </c>
      <c r="N57" s="24">
        <f t="shared" si="6"/>
        <v>70.714285714285708</v>
      </c>
      <c r="O57" s="24">
        <f t="shared" si="7"/>
        <v>0</v>
      </c>
      <c r="P57" s="24">
        <v>589.29</v>
      </c>
      <c r="Q57" s="25"/>
      <c r="R57" s="25"/>
      <c r="S57" s="26"/>
      <c r="T57" s="26"/>
      <c r="U57" s="26"/>
      <c r="V57" s="26"/>
      <c r="W57" s="26"/>
      <c r="X57" s="25"/>
      <c r="Y57" s="25"/>
      <c r="Z57" s="25"/>
      <c r="AA57" s="25"/>
      <c r="AB57" s="26"/>
      <c r="AC57" s="26"/>
      <c r="AD57" s="25"/>
      <c r="AE57" s="25"/>
      <c r="AF57" s="24">
        <f t="shared" si="8"/>
        <v>-660.00428571428563</v>
      </c>
      <c r="AG57" s="27">
        <f t="shared" si="9"/>
        <v>-4.285714285629183E-3</v>
      </c>
    </row>
    <row r="58" spans="1:33" s="29" customFormat="1" ht="23.25" customHeight="1" x14ac:dyDescent="0.2">
      <c r="A58" s="18">
        <v>43900</v>
      </c>
      <c r="B58" s="19"/>
      <c r="C58" s="20" t="s">
        <v>39</v>
      </c>
      <c r="D58" s="20" t="s">
        <v>40</v>
      </c>
      <c r="E58" s="20" t="s">
        <v>41</v>
      </c>
      <c r="F58" s="21">
        <v>106879</v>
      </c>
      <c r="G58" s="21" t="s">
        <v>377</v>
      </c>
      <c r="H58" s="22"/>
      <c r="I58" s="22"/>
      <c r="J58" s="22"/>
      <c r="K58" s="22">
        <v>149</v>
      </c>
      <c r="L58" s="23"/>
      <c r="M58" s="24">
        <f t="shared" si="5"/>
        <v>133.03571428571428</v>
      </c>
      <c r="N58" s="24">
        <f t="shared" si="6"/>
        <v>15.964285714285714</v>
      </c>
      <c r="O58" s="24">
        <f t="shared" si="7"/>
        <v>0</v>
      </c>
      <c r="P58" s="24"/>
      <c r="Q58" s="25"/>
      <c r="R58" s="25">
        <v>133.04</v>
      </c>
      <c r="S58" s="26"/>
      <c r="T58" s="26"/>
      <c r="U58" s="26"/>
      <c r="V58" s="26"/>
      <c r="W58" s="26"/>
      <c r="X58" s="25"/>
      <c r="Y58" s="25"/>
      <c r="Z58" s="25"/>
      <c r="AA58" s="25"/>
      <c r="AB58" s="26"/>
      <c r="AC58" s="26"/>
      <c r="AD58" s="25"/>
      <c r="AE58" s="25"/>
      <c r="AF58" s="24">
        <f t="shared" si="8"/>
        <v>-149.00428571428571</v>
      </c>
      <c r="AG58" s="27">
        <f t="shared" si="9"/>
        <v>-4.2857142857144481E-3</v>
      </c>
    </row>
    <row r="59" spans="1:33" s="29" customFormat="1" ht="23.25" customHeight="1" x14ac:dyDescent="0.2">
      <c r="A59" s="18">
        <v>43900</v>
      </c>
      <c r="B59" s="19"/>
      <c r="C59" s="20" t="s">
        <v>184</v>
      </c>
      <c r="D59" s="20" t="s">
        <v>185</v>
      </c>
      <c r="E59" s="20" t="s">
        <v>41</v>
      </c>
      <c r="F59" s="21">
        <v>36713</v>
      </c>
      <c r="G59" s="21" t="s">
        <v>378</v>
      </c>
      <c r="H59" s="22"/>
      <c r="I59" s="22"/>
      <c r="J59" s="22"/>
      <c r="K59" s="22">
        <v>346.5</v>
      </c>
      <c r="L59" s="23"/>
      <c r="M59" s="24">
        <f t="shared" si="5"/>
        <v>309.37499999999994</v>
      </c>
      <c r="N59" s="24">
        <f t="shared" si="6"/>
        <v>37.124999999999993</v>
      </c>
      <c r="O59" s="24">
        <f t="shared" si="7"/>
        <v>0</v>
      </c>
      <c r="P59" s="24"/>
      <c r="Q59" s="25"/>
      <c r="R59" s="25">
        <v>309.38</v>
      </c>
      <c r="S59" s="26"/>
      <c r="T59" s="26"/>
      <c r="U59" s="26"/>
      <c r="V59" s="26"/>
      <c r="W59" s="26"/>
      <c r="X59" s="25"/>
      <c r="Y59" s="25"/>
      <c r="Z59" s="25"/>
      <c r="AA59" s="25"/>
      <c r="AB59" s="26"/>
      <c r="AC59" s="26"/>
      <c r="AD59" s="25"/>
      <c r="AE59" s="25"/>
      <c r="AF59" s="24">
        <f t="shared" si="8"/>
        <v>-346.505</v>
      </c>
      <c r="AG59" s="27">
        <f t="shared" si="9"/>
        <v>-4.9999999999954525E-3</v>
      </c>
    </row>
    <row r="60" spans="1:33" s="29" customFormat="1" ht="23.25" customHeight="1" x14ac:dyDescent="0.2">
      <c r="A60" s="18">
        <v>43900</v>
      </c>
      <c r="B60" s="19"/>
      <c r="C60" s="20" t="s">
        <v>47</v>
      </c>
      <c r="D60" s="20" t="s">
        <v>48</v>
      </c>
      <c r="E60" s="20" t="s">
        <v>49</v>
      </c>
      <c r="F60" s="21">
        <v>81303</v>
      </c>
      <c r="G60" s="21" t="s">
        <v>379</v>
      </c>
      <c r="H60" s="22"/>
      <c r="I60" s="22"/>
      <c r="J60" s="22"/>
      <c r="K60" s="22">
        <v>1698</v>
      </c>
      <c r="L60" s="23"/>
      <c r="M60" s="24">
        <f t="shared" si="5"/>
        <v>1516.0714285714284</v>
      </c>
      <c r="N60" s="24">
        <f t="shared" si="6"/>
        <v>181.92857142857142</v>
      </c>
      <c r="O60" s="24">
        <f t="shared" si="7"/>
        <v>0</v>
      </c>
      <c r="P60" s="24"/>
      <c r="Q60" s="25"/>
      <c r="R60" s="25"/>
      <c r="S60" s="26"/>
      <c r="T60" s="26"/>
      <c r="U60" s="26"/>
      <c r="V60" s="26"/>
      <c r="W60" s="26"/>
      <c r="X60" s="25">
        <v>1516.07</v>
      </c>
      <c r="Y60" s="25"/>
      <c r="Z60" s="25"/>
      <c r="AA60" s="25"/>
      <c r="AB60" s="26"/>
      <c r="AC60" s="26"/>
      <c r="AD60" s="25"/>
      <c r="AE60" s="25"/>
      <c r="AF60" s="24">
        <f t="shared" si="8"/>
        <v>-1697.9985714285713</v>
      </c>
      <c r="AG60" s="27">
        <f t="shared" si="9"/>
        <v>1.4285714287325391E-3</v>
      </c>
    </row>
    <row r="61" spans="1:33" s="29" customFormat="1" ht="23.25" customHeight="1" x14ac:dyDescent="0.2">
      <c r="A61" s="18">
        <v>43894</v>
      </c>
      <c r="B61" s="19"/>
      <c r="C61" s="20" t="s">
        <v>224</v>
      </c>
      <c r="D61" s="20" t="s">
        <v>225</v>
      </c>
      <c r="E61" s="20" t="s">
        <v>49</v>
      </c>
      <c r="F61" s="21">
        <v>167797</v>
      </c>
      <c r="G61" s="21" t="s">
        <v>299</v>
      </c>
      <c r="H61" s="22"/>
      <c r="I61" s="22"/>
      <c r="J61" s="22"/>
      <c r="K61" s="22">
        <v>300</v>
      </c>
      <c r="L61" s="23"/>
      <c r="M61" s="24">
        <f t="shared" si="5"/>
        <v>267.85714285714283</v>
      </c>
      <c r="N61" s="24">
        <f t="shared" si="6"/>
        <v>32.142857142857139</v>
      </c>
      <c r="O61" s="24">
        <f t="shared" si="7"/>
        <v>0</v>
      </c>
      <c r="P61" s="24"/>
      <c r="Q61" s="25"/>
      <c r="R61" s="25"/>
      <c r="S61" s="26"/>
      <c r="T61" s="26"/>
      <c r="U61" s="26"/>
      <c r="V61" s="26"/>
      <c r="W61" s="26"/>
      <c r="X61" s="25"/>
      <c r="Y61" s="25">
        <v>267.86</v>
      </c>
      <c r="Z61" s="25"/>
      <c r="AA61" s="25"/>
      <c r="AB61" s="26"/>
      <c r="AC61" s="26"/>
      <c r="AD61" s="25"/>
      <c r="AE61" s="25"/>
      <c r="AF61" s="24">
        <f t="shared" si="8"/>
        <v>-300.00285714285712</v>
      </c>
      <c r="AG61" s="27">
        <f t="shared" si="9"/>
        <v>-2.8571428571240176E-3</v>
      </c>
    </row>
    <row r="62" spans="1:33" s="29" customFormat="1" ht="23.25" customHeight="1" x14ac:dyDescent="0.2">
      <c r="A62" s="18">
        <v>43901</v>
      </c>
      <c r="B62" s="19"/>
      <c r="C62" s="20" t="s">
        <v>55</v>
      </c>
      <c r="D62" s="20" t="s">
        <v>56</v>
      </c>
      <c r="E62" s="20" t="s">
        <v>57</v>
      </c>
      <c r="F62" s="21">
        <v>203800</v>
      </c>
      <c r="G62" s="21" t="s">
        <v>58</v>
      </c>
      <c r="H62" s="22"/>
      <c r="I62" s="22"/>
      <c r="J62" s="22"/>
      <c r="K62" s="22">
        <v>180</v>
      </c>
      <c r="L62" s="23"/>
      <c r="M62" s="24">
        <f t="shared" si="5"/>
        <v>160.71428571428569</v>
      </c>
      <c r="N62" s="24">
        <f t="shared" si="6"/>
        <v>19.285714285714281</v>
      </c>
      <c r="O62" s="24">
        <f t="shared" si="7"/>
        <v>0</v>
      </c>
      <c r="P62" s="24"/>
      <c r="Q62" s="25">
        <v>160.71</v>
      </c>
      <c r="R62" s="25"/>
      <c r="S62" s="26"/>
      <c r="T62" s="26"/>
      <c r="U62" s="26"/>
      <c r="V62" s="26"/>
      <c r="W62" s="26"/>
      <c r="X62" s="25"/>
      <c r="Y62" s="25"/>
      <c r="Z62" s="25"/>
      <c r="AA62" s="25"/>
      <c r="AB62" s="26"/>
      <c r="AC62" s="26"/>
      <c r="AD62" s="25"/>
      <c r="AE62" s="25"/>
      <c r="AF62" s="24">
        <f t="shared" si="8"/>
        <v>-179.99571428571429</v>
      </c>
      <c r="AG62" s="27">
        <f t="shared" si="9"/>
        <v>4.2857142857144481E-3</v>
      </c>
    </row>
    <row r="63" spans="1:33" s="29" customFormat="1" ht="23.25" customHeight="1" x14ac:dyDescent="0.2">
      <c r="A63" s="18">
        <v>43901</v>
      </c>
      <c r="B63" s="19"/>
      <c r="C63" s="20" t="s">
        <v>184</v>
      </c>
      <c r="D63" s="20" t="s">
        <v>185</v>
      </c>
      <c r="E63" s="20" t="s">
        <v>41</v>
      </c>
      <c r="F63" s="21">
        <v>999</v>
      </c>
      <c r="G63" s="21" t="s">
        <v>380</v>
      </c>
      <c r="H63" s="22"/>
      <c r="I63" s="22"/>
      <c r="J63" s="22"/>
      <c r="K63" s="22">
        <v>550</v>
      </c>
      <c r="L63" s="23"/>
      <c r="M63" s="24">
        <f t="shared" si="5"/>
        <v>491.0714285714285</v>
      </c>
      <c r="N63" s="24">
        <f t="shared" si="6"/>
        <v>58.928571428571416</v>
      </c>
      <c r="O63" s="24">
        <f t="shared" si="7"/>
        <v>0</v>
      </c>
      <c r="P63" s="24"/>
      <c r="Q63" s="25"/>
      <c r="R63" s="25"/>
      <c r="S63" s="26"/>
      <c r="T63" s="26"/>
      <c r="U63" s="26"/>
      <c r="V63" s="26"/>
      <c r="W63" s="26">
        <v>491.07</v>
      </c>
      <c r="X63" s="25"/>
      <c r="Y63" s="25"/>
      <c r="Z63" s="25"/>
      <c r="AA63" s="25"/>
      <c r="AB63" s="26"/>
      <c r="AC63" s="26"/>
      <c r="AD63" s="25"/>
      <c r="AE63" s="25"/>
      <c r="AF63" s="24">
        <f t="shared" si="8"/>
        <v>-549.99857142857138</v>
      </c>
      <c r="AG63" s="27">
        <f t="shared" si="9"/>
        <v>1.4285714286188522E-3</v>
      </c>
    </row>
    <row r="64" spans="1:33" s="29" customFormat="1" ht="23.25" customHeight="1" x14ac:dyDescent="0.2">
      <c r="A64" s="18">
        <v>43901</v>
      </c>
      <c r="B64" s="19"/>
      <c r="C64" s="20" t="s">
        <v>47</v>
      </c>
      <c r="D64" s="20" t="s">
        <v>48</v>
      </c>
      <c r="E64" s="20" t="s">
        <v>49</v>
      </c>
      <c r="F64" s="21">
        <v>317944</v>
      </c>
      <c r="G64" s="21" t="s">
        <v>381</v>
      </c>
      <c r="H64" s="22"/>
      <c r="I64" s="22"/>
      <c r="J64" s="22"/>
      <c r="K64" s="22">
        <v>148.5</v>
      </c>
      <c r="L64" s="23"/>
      <c r="M64" s="24">
        <f t="shared" si="5"/>
        <v>132.58928571428569</v>
      </c>
      <c r="N64" s="24">
        <f t="shared" si="6"/>
        <v>15.910714285714283</v>
      </c>
      <c r="O64" s="24">
        <f t="shared" si="7"/>
        <v>0</v>
      </c>
      <c r="P64" s="24"/>
      <c r="Q64" s="25">
        <v>132.59</v>
      </c>
      <c r="R64" s="25"/>
      <c r="S64" s="26"/>
      <c r="T64" s="26"/>
      <c r="U64" s="26"/>
      <c r="V64" s="26"/>
      <c r="W64" s="26"/>
      <c r="X64" s="25"/>
      <c r="Y64" s="25"/>
      <c r="Z64" s="25"/>
      <c r="AA64" s="25"/>
      <c r="AB64" s="26"/>
      <c r="AC64" s="26"/>
      <c r="AD64" s="25"/>
      <c r="AE64" s="25"/>
      <c r="AF64" s="24">
        <f t="shared" si="8"/>
        <v>-148.50071428571428</v>
      </c>
      <c r="AG64" s="27">
        <f t="shared" si="9"/>
        <v>-7.142857142810044E-4</v>
      </c>
    </row>
    <row r="65" spans="1:33" s="29" customFormat="1" ht="23.25" customHeight="1" x14ac:dyDescent="0.2">
      <c r="A65" s="18">
        <v>43901</v>
      </c>
      <c r="B65" s="19"/>
      <c r="C65" s="20" t="s">
        <v>47</v>
      </c>
      <c r="D65" s="20" t="s">
        <v>48</v>
      </c>
      <c r="E65" s="20" t="s">
        <v>49</v>
      </c>
      <c r="F65" s="21">
        <v>138021</v>
      </c>
      <c r="G65" s="21" t="s">
        <v>382</v>
      </c>
      <c r="H65" s="22"/>
      <c r="I65" s="22"/>
      <c r="J65" s="22">
        <v>1560.45</v>
      </c>
      <c r="K65" s="22"/>
      <c r="L65" s="23"/>
      <c r="M65" s="24">
        <f t="shared" si="5"/>
        <v>1560.45</v>
      </c>
      <c r="N65" s="24">
        <f t="shared" si="6"/>
        <v>0</v>
      </c>
      <c r="O65" s="24">
        <f t="shared" si="7"/>
        <v>0</v>
      </c>
      <c r="P65" s="24"/>
      <c r="Q65" s="25">
        <v>1560.45</v>
      </c>
      <c r="R65" s="25"/>
      <c r="S65" s="26"/>
      <c r="T65" s="26"/>
      <c r="U65" s="26"/>
      <c r="V65" s="26"/>
      <c r="W65" s="26"/>
      <c r="X65" s="25"/>
      <c r="Y65" s="25"/>
      <c r="Z65" s="25"/>
      <c r="AA65" s="25"/>
      <c r="AB65" s="26"/>
      <c r="AC65" s="26"/>
      <c r="AD65" s="25"/>
      <c r="AE65" s="25"/>
      <c r="AF65" s="24">
        <f t="shared" si="8"/>
        <v>-1560.45</v>
      </c>
      <c r="AG65" s="27">
        <f t="shared" si="9"/>
        <v>0</v>
      </c>
    </row>
    <row r="66" spans="1:33" s="29" customFormat="1" ht="35.25" customHeight="1" x14ac:dyDescent="0.2">
      <c r="A66" s="18">
        <v>43901</v>
      </c>
      <c r="B66" s="19"/>
      <c r="C66" s="20" t="s">
        <v>47</v>
      </c>
      <c r="D66" s="20" t="s">
        <v>48</v>
      </c>
      <c r="E66" s="20" t="s">
        <v>49</v>
      </c>
      <c r="F66" s="21">
        <v>138021</v>
      </c>
      <c r="G66" s="21" t="s">
        <v>383</v>
      </c>
      <c r="H66" s="22"/>
      <c r="I66" s="22"/>
      <c r="J66" s="22"/>
      <c r="K66" s="22">
        <f>4319.24+518.31</f>
        <v>4837.5499999999993</v>
      </c>
      <c r="L66" s="23"/>
      <c r="M66" s="24">
        <f t="shared" si="5"/>
        <v>4319.2410714285706</v>
      </c>
      <c r="N66" s="24">
        <f t="shared" si="6"/>
        <v>518.30892857142851</v>
      </c>
      <c r="O66" s="24">
        <f t="shared" si="7"/>
        <v>0</v>
      </c>
      <c r="P66" s="24"/>
      <c r="Q66" s="25">
        <v>4319.24</v>
      </c>
      <c r="R66" s="25"/>
      <c r="S66" s="26"/>
      <c r="T66" s="26"/>
      <c r="U66" s="26"/>
      <c r="V66" s="26"/>
      <c r="W66" s="26"/>
      <c r="X66" s="25"/>
      <c r="Y66" s="25"/>
      <c r="Z66" s="25"/>
      <c r="AA66" s="25"/>
      <c r="AB66" s="26"/>
      <c r="AC66" s="26"/>
      <c r="AD66" s="25"/>
      <c r="AE66" s="25"/>
      <c r="AF66" s="24">
        <f t="shared" si="8"/>
        <v>-4837.5489285714284</v>
      </c>
      <c r="AG66" s="27">
        <f t="shared" si="9"/>
        <v>1.0714285708672833E-3</v>
      </c>
    </row>
    <row r="67" spans="1:33" s="29" customFormat="1" ht="23.25" customHeight="1" x14ac:dyDescent="0.2">
      <c r="A67" s="18"/>
      <c r="B67" s="19"/>
      <c r="C67" s="20"/>
      <c r="D67" s="20"/>
      <c r="E67" s="20"/>
      <c r="F67" s="21"/>
      <c r="G67" s="21"/>
      <c r="H67" s="22"/>
      <c r="I67" s="22"/>
      <c r="J67" s="22"/>
      <c r="K67" s="22"/>
      <c r="L67" s="23"/>
      <c r="M67" s="24"/>
      <c r="N67" s="24"/>
      <c r="O67" s="24"/>
      <c r="P67" s="24"/>
      <c r="Q67" s="25"/>
      <c r="R67" s="25"/>
      <c r="S67" s="26"/>
      <c r="T67" s="26"/>
      <c r="U67" s="26"/>
      <c r="V67" s="26"/>
      <c r="W67" s="26"/>
      <c r="X67" s="25"/>
      <c r="Y67" s="25"/>
      <c r="Z67" s="25"/>
      <c r="AA67" s="25"/>
      <c r="AB67" s="26"/>
      <c r="AC67" s="26"/>
      <c r="AD67" s="25"/>
      <c r="AE67" s="25"/>
      <c r="AF67" s="24"/>
      <c r="AG67" s="27"/>
    </row>
    <row r="68" spans="1:33" s="29" customFormat="1" ht="19.5" customHeight="1" x14ac:dyDescent="0.2">
      <c r="A68" s="18"/>
      <c r="B68" s="19"/>
      <c r="C68" s="43"/>
      <c r="D68" s="43"/>
      <c r="E68" s="43"/>
      <c r="F68" s="21"/>
      <c r="G68" s="30"/>
      <c r="H68" s="22"/>
      <c r="I68" s="22"/>
      <c r="J68" s="22"/>
      <c r="K68" s="22"/>
      <c r="L68" s="23"/>
      <c r="M68" s="25">
        <f>SUM(H68:J68,K68/1.12)</f>
        <v>0</v>
      </c>
      <c r="N68" s="25">
        <f>K68/1.12*0.12</f>
        <v>0</v>
      </c>
      <c r="O68" s="25">
        <f>-SUM(I68:J68,K68/1.12)*L68</f>
        <v>0</v>
      </c>
      <c r="P68" s="25"/>
      <c r="Q68" s="25"/>
      <c r="R68" s="25"/>
      <c r="S68" s="25"/>
      <c r="T68" s="26"/>
      <c r="U68" s="26"/>
      <c r="V68" s="26"/>
      <c r="W68" s="26"/>
      <c r="X68" s="26"/>
      <c r="Y68" s="44"/>
      <c r="Z68" s="25"/>
      <c r="AA68" s="25"/>
      <c r="AB68" s="25"/>
      <c r="AC68" s="26"/>
      <c r="AD68" s="26"/>
      <c r="AE68" s="45"/>
      <c r="AF68" s="24">
        <f>-SUM(N68:AE68)</f>
        <v>0</v>
      </c>
      <c r="AG68" s="27">
        <f>SUM(H68:K68)+AF68+O68</f>
        <v>0</v>
      </c>
    </row>
    <row r="69" spans="1:33" s="52" customFormat="1" ht="12" customHeight="1" x14ac:dyDescent="0.2">
      <c r="A69" s="46"/>
      <c r="B69" s="47"/>
      <c r="C69" s="48"/>
      <c r="D69" s="49"/>
      <c r="E69" s="49"/>
      <c r="F69" s="50"/>
      <c r="G69" s="48"/>
      <c r="H69" s="51">
        <f t="shared" ref="H69:AG69" si="10">SUM(H5:H68)</f>
        <v>1470</v>
      </c>
      <c r="I69" s="51">
        <f t="shared" si="10"/>
        <v>0</v>
      </c>
      <c r="J69" s="51">
        <f t="shared" si="10"/>
        <v>7184.8</v>
      </c>
      <c r="K69" s="51">
        <f t="shared" si="10"/>
        <v>33675.909999999996</v>
      </c>
      <c r="L69" s="51">
        <f t="shared" si="10"/>
        <v>0</v>
      </c>
      <c r="M69" s="51">
        <f t="shared" si="10"/>
        <v>38722.576785714278</v>
      </c>
      <c r="N69" s="51">
        <f t="shared" si="10"/>
        <v>3608.1332142857145</v>
      </c>
      <c r="O69" s="51">
        <f t="shared" si="10"/>
        <v>0</v>
      </c>
      <c r="P69" s="51">
        <f t="shared" si="10"/>
        <v>19639.190000000002</v>
      </c>
      <c r="Q69" s="51">
        <f t="shared" si="10"/>
        <v>7050.65</v>
      </c>
      <c r="R69" s="51">
        <f t="shared" si="10"/>
        <v>1269.8800000000001</v>
      </c>
      <c r="S69" s="51">
        <f t="shared" si="10"/>
        <v>660.71</v>
      </c>
      <c r="T69" s="51">
        <f t="shared" si="10"/>
        <v>424.11</v>
      </c>
      <c r="U69" s="51">
        <f t="shared" si="10"/>
        <v>0</v>
      </c>
      <c r="V69" s="51">
        <f t="shared" si="10"/>
        <v>0</v>
      </c>
      <c r="W69" s="51">
        <f t="shared" si="10"/>
        <v>491.07</v>
      </c>
      <c r="X69" s="51">
        <f t="shared" si="10"/>
        <v>1516.07</v>
      </c>
      <c r="Y69" s="51">
        <f t="shared" si="10"/>
        <v>6160.7199999999993</v>
      </c>
      <c r="Z69" s="51">
        <f t="shared" si="10"/>
        <v>40.18</v>
      </c>
      <c r="AA69" s="51">
        <f t="shared" si="10"/>
        <v>883</v>
      </c>
      <c r="AB69" s="51">
        <f t="shared" si="10"/>
        <v>537</v>
      </c>
      <c r="AC69" s="51">
        <f t="shared" si="10"/>
        <v>0</v>
      </c>
      <c r="AD69" s="51">
        <f t="shared" si="10"/>
        <v>50</v>
      </c>
      <c r="AE69" s="51">
        <f t="shared" si="10"/>
        <v>0</v>
      </c>
      <c r="AF69" s="51">
        <f t="shared" si="10"/>
        <v>-42330.713214285715</v>
      </c>
      <c r="AG69" s="51">
        <f t="shared" si="10"/>
        <v>-3.2142857136792102E-3</v>
      </c>
    </row>
    <row r="74" spans="1:33" x14ac:dyDescent="0.3">
      <c r="Q74" s="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MK30"/>
  <sheetViews>
    <sheetView topLeftCell="L1" zoomScaleNormal="100" workbookViewId="0">
      <selection activeCell="V5" sqref="V5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3.88671875" style="3" customWidth="1"/>
    <col min="4" max="4" width="14" style="4" hidden="1" customWidth="1"/>
    <col min="5" max="5" width="29.33203125" style="4" hidden="1" customWidth="1"/>
    <col min="6" max="6" width="7.88671875" style="2" hidden="1" customWidth="1"/>
    <col min="7" max="7" width="26.5546875" style="3" customWidth="1"/>
    <col min="8" max="8" width="8.88671875" style="5" customWidth="1"/>
    <col min="9" max="9" width="9.5546875" style="5" hidden="1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11.1093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10.6640625" style="5" customWidth="1"/>
    <col min="19" max="19" width="9.5546875" style="5" customWidth="1"/>
    <col min="20" max="21" width="9.109375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30" width="8" style="5" customWidth="1"/>
    <col min="31" max="31" width="10.109375" style="5" customWidth="1"/>
    <col min="32" max="32" width="10.6640625" style="5" customWidth="1"/>
    <col min="33" max="33" width="8.88671875" style="3" customWidth="1"/>
    <col min="34" max="1025" width="9.109375" style="3" customWidth="1"/>
  </cols>
  <sheetData>
    <row r="1" spans="1:34" ht="12" customHeight="1" x14ac:dyDescent="0.3">
      <c r="A1" s="7" t="s">
        <v>0</v>
      </c>
      <c r="C1" s="8"/>
    </row>
    <row r="2" spans="1:34" ht="12" customHeight="1" x14ac:dyDescent="0.3">
      <c r="A2" s="7" t="s">
        <v>1</v>
      </c>
    </row>
    <row r="3" spans="1:34" ht="12" customHeight="1" x14ac:dyDescent="0.3">
      <c r="A3" s="96" t="s">
        <v>881</v>
      </c>
      <c r="B3" s="97"/>
      <c r="C3" s="98"/>
      <c r="D3" s="74"/>
      <c r="E3" s="74"/>
      <c r="F3" s="75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4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771</v>
      </c>
      <c r="T4" s="13" t="s">
        <v>24</v>
      </c>
      <c r="U4" s="13" t="s">
        <v>25</v>
      </c>
      <c r="V4" s="13" t="s">
        <v>22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613</v>
      </c>
      <c r="AD4" s="13" t="s">
        <v>34</v>
      </c>
      <c r="AE4" s="15" t="s">
        <v>35</v>
      </c>
      <c r="AF4" s="16" t="s">
        <v>36</v>
      </c>
    </row>
    <row r="5" spans="1:34" s="17" customFormat="1" ht="35.25" customHeight="1" x14ac:dyDescent="0.2">
      <c r="A5" s="81">
        <v>44161</v>
      </c>
      <c r="B5" s="12"/>
      <c r="C5" s="20" t="s">
        <v>47</v>
      </c>
      <c r="D5" s="12"/>
      <c r="E5" s="12"/>
      <c r="F5" s="82">
        <v>265326</v>
      </c>
      <c r="G5" s="82" t="s">
        <v>882</v>
      </c>
      <c r="H5" s="84"/>
      <c r="I5" s="82"/>
      <c r="J5" s="84"/>
      <c r="K5" s="84">
        <v>4793.25</v>
      </c>
      <c r="L5" s="83"/>
      <c r="M5" s="24">
        <f t="shared" ref="M5:M21" si="0">SUM(H5:J5,K5/1.12)</f>
        <v>4279.6875</v>
      </c>
      <c r="N5" s="24">
        <f t="shared" ref="N5:N21" si="1">K5/1.12*0.12</f>
        <v>513.5625</v>
      </c>
      <c r="O5" s="24">
        <f t="shared" ref="O5:O21" si="2">-SUM(I5:J5,K5/1.12)*L5</f>
        <v>0</v>
      </c>
      <c r="P5" s="24">
        <v>4279.6899999999996</v>
      </c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>
        <f t="shared" ref="AF5:AF21" si="3">-SUM(N5:AE5)</f>
        <v>-4793.2524999999996</v>
      </c>
      <c r="AG5" s="27">
        <f t="shared" ref="AG5:AG21" si="4">SUM(H5:K5)+AF5+O5</f>
        <v>-2.4999999995998223E-3</v>
      </c>
      <c r="AH5" s="91">
        <f t="shared" ref="AH5:AH18" si="5">-AF5</f>
        <v>4793.2524999999996</v>
      </c>
    </row>
    <row r="6" spans="1:34" s="17" customFormat="1" ht="19.5" hidden="1" customHeight="1" x14ac:dyDescent="0.2">
      <c r="A6" s="81">
        <v>44161</v>
      </c>
      <c r="B6" s="12"/>
      <c r="C6" s="20" t="s">
        <v>605</v>
      </c>
      <c r="D6" s="12"/>
      <c r="E6" s="12"/>
      <c r="F6" s="82"/>
      <c r="G6" s="82" t="s">
        <v>883</v>
      </c>
      <c r="H6" s="84">
        <v>90</v>
      </c>
      <c r="I6" s="82"/>
      <c r="J6" s="84"/>
      <c r="K6" s="84"/>
      <c r="L6" s="83"/>
      <c r="M6" s="24">
        <f t="shared" si="0"/>
        <v>90</v>
      </c>
      <c r="N6" s="24">
        <f t="shared" si="1"/>
        <v>0</v>
      </c>
      <c r="O6" s="24">
        <f t="shared" si="2"/>
        <v>0</v>
      </c>
      <c r="P6" s="24"/>
      <c r="Q6" s="25"/>
      <c r="R6" s="25"/>
      <c r="S6" s="26"/>
      <c r="T6" s="26"/>
      <c r="U6" s="26"/>
      <c r="V6" s="26"/>
      <c r="W6" s="26"/>
      <c r="X6" s="25"/>
      <c r="Y6" s="25"/>
      <c r="Z6" s="25"/>
      <c r="AA6" s="25">
        <v>90</v>
      </c>
      <c r="AB6" s="26"/>
      <c r="AC6" s="26"/>
      <c r="AD6" s="25"/>
      <c r="AE6" s="25"/>
      <c r="AF6" s="24">
        <f t="shared" si="3"/>
        <v>-90</v>
      </c>
      <c r="AG6" s="27">
        <f t="shared" si="4"/>
        <v>0</v>
      </c>
      <c r="AH6" s="91">
        <f t="shared" si="5"/>
        <v>90</v>
      </c>
    </row>
    <row r="7" spans="1:34" s="17" customFormat="1" ht="19.5" hidden="1" customHeight="1" x14ac:dyDescent="0.2">
      <c r="A7" s="81">
        <v>44161</v>
      </c>
      <c r="B7" s="12"/>
      <c r="C7" s="20" t="s">
        <v>729</v>
      </c>
      <c r="D7" s="12"/>
      <c r="E7" s="12"/>
      <c r="F7" s="82">
        <v>3888</v>
      </c>
      <c r="G7" s="82" t="s">
        <v>884</v>
      </c>
      <c r="H7" s="84"/>
      <c r="I7" s="82"/>
      <c r="J7" s="84"/>
      <c r="K7" s="84">
        <v>394</v>
      </c>
      <c r="L7" s="83"/>
      <c r="M7" s="24">
        <f t="shared" si="0"/>
        <v>351.78571428571428</v>
      </c>
      <c r="N7" s="24">
        <f t="shared" si="1"/>
        <v>42.214285714285708</v>
      </c>
      <c r="O7" s="24">
        <f t="shared" si="2"/>
        <v>0</v>
      </c>
      <c r="P7" s="24">
        <v>351.79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>
        <f t="shared" si="3"/>
        <v>-394.00428571428574</v>
      </c>
      <c r="AG7" s="27">
        <f t="shared" si="4"/>
        <v>-4.2857142857428698E-3</v>
      </c>
      <c r="AH7" s="91">
        <f t="shared" si="5"/>
        <v>394.00428571428574</v>
      </c>
    </row>
    <row r="8" spans="1:34" s="17" customFormat="1" ht="19.5" hidden="1" customHeight="1" x14ac:dyDescent="0.2">
      <c r="A8" s="81">
        <v>44161</v>
      </c>
      <c r="B8" s="12"/>
      <c r="C8" s="20" t="s">
        <v>374</v>
      </c>
      <c r="D8" s="12"/>
      <c r="E8" s="12"/>
      <c r="F8" s="82"/>
      <c r="G8" s="82" t="s">
        <v>299</v>
      </c>
      <c r="H8" s="82"/>
      <c r="I8" s="82"/>
      <c r="J8" s="84"/>
      <c r="K8" s="84">
        <v>100</v>
      </c>
      <c r="L8" s="83"/>
      <c r="M8" s="24">
        <f t="shared" si="0"/>
        <v>89.285714285714278</v>
      </c>
      <c r="N8" s="24">
        <f t="shared" si="1"/>
        <v>10.714285714285714</v>
      </c>
      <c r="O8" s="24">
        <f t="shared" si="2"/>
        <v>0</v>
      </c>
      <c r="P8" s="24"/>
      <c r="Q8" s="25"/>
      <c r="R8" s="25"/>
      <c r="S8" s="26"/>
      <c r="T8" s="26"/>
      <c r="U8" s="26"/>
      <c r="V8" s="26"/>
      <c r="W8" s="26"/>
      <c r="X8" s="25"/>
      <c r="Y8" s="25">
        <v>89.29</v>
      </c>
      <c r="Z8" s="25"/>
      <c r="AA8" s="25"/>
      <c r="AB8" s="26"/>
      <c r="AC8" s="26"/>
      <c r="AD8" s="25"/>
      <c r="AE8" s="25"/>
      <c r="AF8" s="24">
        <f t="shared" si="3"/>
        <v>-100.00428571428571</v>
      </c>
      <c r="AG8" s="27">
        <f t="shared" si="4"/>
        <v>-4.2857142857144481E-3</v>
      </c>
      <c r="AH8" s="91">
        <f t="shared" si="5"/>
        <v>100.00428571428571</v>
      </c>
    </row>
    <row r="9" spans="1:34" s="17" customFormat="1" ht="19.5" hidden="1" customHeight="1" x14ac:dyDescent="0.2">
      <c r="A9" s="81">
        <v>44161</v>
      </c>
      <c r="B9" s="12"/>
      <c r="C9" s="20" t="s">
        <v>729</v>
      </c>
      <c r="D9" s="12"/>
      <c r="E9" s="12"/>
      <c r="F9" s="82">
        <v>3714</v>
      </c>
      <c r="G9" s="82" t="s">
        <v>885</v>
      </c>
      <c r="H9" s="84"/>
      <c r="I9" s="82"/>
      <c r="J9" s="84"/>
      <c r="K9" s="84">
        <v>605.5</v>
      </c>
      <c r="L9" s="83"/>
      <c r="M9" s="24">
        <f t="shared" si="0"/>
        <v>540.625</v>
      </c>
      <c r="N9" s="24">
        <f t="shared" si="1"/>
        <v>64.875</v>
      </c>
      <c r="O9" s="24">
        <f t="shared" si="2"/>
        <v>0</v>
      </c>
      <c r="P9" s="24">
        <v>540.63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>
        <f t="shared" si="3"/>
        <v>-605.505</v>
      </c>
      <c r="AG9" s="27">
        <f t="shared" si="4"/>
        <v>-4.9999999999954525E-3</v>
      </c>
      <c r="AH9" s="91">
        <f t="shared" si="5"/>
        <v>605.505</v>
      </c>
    </row>
    <row r="10" spans="1:34" s="17" customFormat="1" ht="21.75" hidden="1" customHeight="1" x14ac:dyDescent="0.2">
      <c r="A10" s="81">
        <v>44161</v>
      </c>
      <c r="B10" s="12"/>
      <c r="C10" s="20" t="s">
        <v>886</v>
      </c>
      <c r="D10" s="12"/>
      <c r="E10" s="12"/>
      <c r="F10" s="82"/>
      <c r="G10" s="82" t="s">
        <v>814</v>
      </c>
      <c r="H10" s="84"/>
      <c r="I10" s="82"/>
      <c r="J10" s="84">
        <v>1250</v>
      </c>
      <c r="K10" s="84"/>
      <c r="L10" s="83"/>
      <c r="M10" s="24">
        <f t="shared" si="0"/>
        <v>1250</v>
      </c>
      <c r="N10" s="24">
        <f t="shared" si="1"/>
        <v>0</v>
      </c>
      <c r="O10" s="24">
        <f t="shared" si="2"/>
        <v>0</v>
      </c>
      <c r="P10" s="24">
        <v>1250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>
        <f t="shared" si="3"/>
        <v>-1250</v>
      </c>
      <c r="AG10" s="27">
        <f t="shared" si="4"/>
        <v>0</v>
      </c>
      <c r="AH10" s="91">
        <f t="shared" si="5"/>
        <v>1250</v>
      </c>
    </row>
    <row r="11" spans="1:34" s="17" customFormat="1" ht="18" hidden="1" customHeight="1" x14ac:dyDescent="0.2">
      <c r="A11" s="81">
        <v>44161</v>
      </c>
      <c r="B11" s="12"/>
      <c r="C11" s="20" t="s">
        <v>605</v>
      </c>
      <c r="D11" s="12"/>
      <c r="E11" s="12"/>
      <c r="F11" s="82"/>
      <c r="G11" s="82" t="s">
        <v>439</v>
      </c>
      <c r="H11" s="84">
        <v>50</v>
      </c>
      <c r="I11" s="12"/>
      <c r="J11" s="84"/>
      <c r="K11" s="84"/>
      <c r="L11" s="13"/>
      <c r="M11" s="24">
        <f t="shared" si="0"/>
        <v>50</v>
      </c>
      <c r="N11" s="24">
        <f t="shared" si="1"/>
        <v>0</v>
      </c>
      <c r="O11" s="24">
        <f t="shared" si="2"/>
        <v>0</v>
      </c>
      <c r="P11" s="24"/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>
        <v>50</v>
      </c>
      <c r="AB11" s="26"/>
      <c r="AC11" s="26"/>
      <c r="AD11" s="25"/>
      <c r="AE11" s="25"/>
      <c r="AF11" s="24">
        <f t="shared" si="3"/>
        <v>-50</v>
      </c>
      <c r="AG11" s="27">
        <f t="shared" si="4"/>
        <v>0</v>
      </c>
      <c r="AH11" s="91">
        <f t="shared" si="5"/>
        <v>50</v>
      </c>
    </row>
    <row r="12" spans="1:34" s="17" customFormat="1" ht="21.75" hidden="1" customHeight="1" x14ac:dyDescent="0.2">
      <c r="A12" s="81">
        <v>44161</v>
      </c>
      <c r="B12" s="12"/>
      <c r="C12" s="20" t="s">
        <v>605</v>
      </c>
      <c r="D12" s="12"/>
      <c r="E12" s="12"/>
      <c r="F12" s="82"/>
      <c r="G12" s="82" t="s">
        <v>474</v>
      </c>
      <c r="H12" s="84">
        <v>70</v>
      </c>
      <c r="I12" s="82"/>
      <c r="J12" s="82"/>
      <c r="K12" s="84"/>
      <c r="L12" s="13"/>
      <c r="M12" s="24">
        <f t="shared" si="0"/>
        <v>70</v>
      </c>
      <c r="N12" s="24">
        <f t="shared" si="1"/>
        <v>0</v>
      </c>
      <c r="O12" s="24">
        <f t="shared" si="2"/>
        <v>0</v>
      </c>
      <c r="P12" s="24"/>
      <c r="Q12" s="25"/>
      <c r="R12" s="25"/>
      <c r="S12" s="90"/>
      <c r="T12" s="26"/>
      <c r="U12" s="26"/>
      <c r="V12" s="26"/>
      <c r="W12" s="26"/>
      <c r="X12" s="25"/>
      <c r="Y12" s="25"/>
      <c r="Z12" s="25"/>
      <c r="AA12" s="25">
        <v>70</v>
      </c>
      <c r="AB12" s="26"/>
      <c r="AC12" s="26"/>
      <c r="AD12" s="25"/>
      <c r="AE12" s="25"/>
      <c r="AF12" s="24">
        <f t="shared" si="3"/>
        <v>-70</v>
      </c>
      <c r="AG12" s="27">
        <f t="shared" si="4"/>
        <v>0</v>
      </c>
      <c r="AH12" s="91">
        <f t="shared" si="5"/>
        <v>70</v>
      </c>
    </row>
    <row r="13" spans="1:34" s="17" customFormat="1" ht="21.75" hidden="1" customHeight="1" x14ac:dyDescent="0.2">
      <c r="A13" s="81">
        <v>44161</v>
      </c>
      <c r="B13" s="12"/>
      <c r="C13" s="20" t="s">
        <v>887</v>
      </c>
      <c r="D13" s="12"/>
      <c r="E13" s="12"/>
      <c r="F13" s="82">
        <v>205958</v>
      </c>
      <c r="G13" s="82" t="s">
        <v>888</v>
      </c>
      <c r="H13" s="84"/>
      <c r="I13" s="82"/>
      <c r="J13" s="82"/>
      <c r="K13" s="84">
        <v>1116</v>
      </c>
      <c r="L13" s="13"/>
      <c r="M13" s="24">
        <f t="shared" si="0"/>
        <v>996.42857142857133</v>
      </c>
      <c r="N13" s="24">
        <f t="shared" si="1"/>
        <v>119.57142857142856</v>
      </c>
      <c r="O13" s="24">
        <f t="shared" si="2"/>
        <v>0</v>
      </c>
      <c r="P13" s="24"/>
      <c r="Q13" s="25"/>
      <c r="R13" s="25">
        <v>996.43</v>
      </c>
      <c r="S13" s="90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>
        <f t="shared" si="3"/>
        <v>-1116.0014285714285</v>
      </c>
      <c r="AG13" s="27">
        <f t="shared" si="4"/>
        <v>-1.4285714285051654E-3</v>
      </c>
      <c r="AH13" s="91">
        <f t="shared" si="5"/>
        <v>1116.0014285714285</v>
      </c>
    </row>
    <row r="14" spans="1:34" s="17" customFormat="1" ht="21.75" hidden="1" customHeight="1" x14ac:dyDescent="0.2">
      <c r="A14" s="81">
        <v>44161</v>
      </c>
      <c r="B14" s="12"/>
      <c r="C14" s="20" t="s">
        <v>794</v>
      </c>
      <c r="D14" s="12"/>
      <c r="E14" s="12"/>
      <c r="F14" s="82">
        <v>828626</v>
      </c>
      <c r="G14" s="82" t="s">
        <v>831</v>
      </c>
      <c r="H14" s="84"/>
      <c r="I14" s="82"/>
      <c r="J14" s="84"/>
      <c r="K14" s="84">
        <v>176</v>
      </c>
      <c r="L14" s="13"/>
      <c r="M14" s="24">
        <f t="shared" si="0"/>
        <v>157.14285714285714</v>
      </c>
      <c r="N14" s="24">
        <f t="shared" si="1"/>
        <v>18.857142857142858</v>
      </c>
      <c r="O14" s="24">
        <f t="shared" si="2"/>
        <v>0</v>
      </c>
      <c r="P14" s="24"/>
      <c r="Q14" s="25"/>
      <c r="R14" s="25"/>
      <c r="S14" s="90"/>
      <c r="T14" s="26"/>
      <c r="U14" s="26">
        <v>157.13999999999999</v>
      </c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>
        <f t="shared" si="3"/>
        <v>-175.99714285714285</v>
      </c>
      <c r="AG14" s="27">
        <f t="shared" si="4"/>
        <v>2.8571428571524393E-3</v>
      </c>
      <c r="AH14" s="91">
        <f t="shared" si="5"/>
        <v>175.99714285714285</v>
      </c>
    </row>
    <row r="15" spans="1:34" s="17" customFormat="1" ht="21.75" hidden="1" customHeight="1" x14ac:dyDescent="0.2">
      <c r="A15" s="81">
        <v>44161</v>
      </c>
      <c r="B15" s="12"/>
      <c r="C15" s="20" t="s">
        <v>729</v>
      </c>
      <c r="D15" s="12"/>
      <c r="E15" s="12"/>
      <c r="F15" s="82">
        <v>7104</v>
      </c>
      <c r="G15" s="82" t="s">
        <v>512</v>
      </c>
      <c r="H15" s="84"/>
      <c r="I15" s="82"/>
      <c r="J15" s="82"/>
      <c r="K15" s="84">
        <v>135</v>
      </c>
      <c r="L15" s="13"/>
      <c r="M15" s="24">
        <f t="shared" si="0"/>
        <v>120.53571428571428</v>
      </c>
      <c r="N15" s="24">
        <f t="shared" si="1"/>
        <v>14.464285714285714</v>
      </c>
      <c r="O15" s="24">
        <f t="shared" si="2"/>
        <v>0</v>
      </c>
      <c r="P15" s="24">
        <v>120.54</v>
      </c>
      <c r="Q15" s="25"/>
      <c r="R15" s="25"/>
      <c r="S15" s="90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>
        <f t="shared" si="3"/>
        <v>-135.00428571428571</v>
      </c>
      <c r="AG15" s="27">
        <f t="shared" si="4"/>
        <v>-4.2857142857144481E-3</v>
      </c>
      <c r="AH15" s="91">
        <f t="shared" si="5"/>
        <v>135.00428571428571</v>
      </c>
    </row>
    <row r="16" spans="1:34" s="17" customFormat="1" ht="21.75" hidden="1" customHeight="1" x14ac:dyDescent="0.2">
      <c r="A16" s="81">
        <v>44162</v>
      </c>
      <c r="B16" s="12"/>
      <c r="C16" s="20" t="s">
        <v>605</v>
      </c>
      <c r="D16" s="12"/>
      <c r="E16" s="12"/>
      <c r="F16" s="82"/>
      <c r="G16" s="82" t="s">
        <v>46</v>
      </c>
      <c r="H16" s="84">
        <v>60</v>
      </c>
      <c r="I16" s="82"/>
      <c r="J16" s="82"/>
      <c r="K16" s="84"/>
      <c r="L16" s="13"/>
      <c r="M16" s="24">
        <f t="shared" si="0"/>
        <v>60</v>
      </c>
      <c r="N16" s="24">
        <f t="shared" si="1"/>
        <v>0</v>
      </c>
      <c r="O16" s="24">
        <f t="shared" si="2"/>
        <v>0</v>
      </c>
      <c r="P16" s="24"/>
      <c r="Q16" s="25"/>
      <c r="R16" s="25"/>
      <c r="S16" s="90"/>
      <c r="T16" s="26"/>
      <c r="U16" s="26"/>
      <c r="V16" s="26"/>
      <c r="W16" s="26"/>
      <c r="X16" s="25"/>
      <c r="Y16" s="25"/>
      <c r="Z16" s="25"/>
      <c r="AA16" s="25">
        <v>60</v>
      </c>
      <c r="AB16" s="26"/>
      <c r="AC16" s="26"/>
      <c r="AD16" s="25"/>
      <c r="AE16" s="25"/>
      <c r="AF16" s="24">
        <f t="shared" si="3"/>
        <v>-60</v>
      </c>
      <c r="AG16" s="27">
        <f t="shared" si="4"/>
        <v>0</v>
      </c>
      <c r="AH16" s="91">
        <f t="shared" si="5"/>
        <v>60</v>
      </c>
    </row>
    <row r="17" spans="1:34" s="17" customFormat="1" ht="21.75" hidden="1" customHeight="1" x14ac:dyDescent="0.2">
      <c r="A17" s="81">
        <v>44162</v>
      </c>
      <c r="B17" s="12"/>
      <c r="C17" s="20" t="s">
        <v>278</v>
      </c>
      <c r="D17" s="12"/>
      <c r="E17" s="12"/>
      <c r="F17" s="82">
        <v>5549</v>
      </c>
      <c r="G17" s="82" t="s">
        <v>281</v>
      </c>
      <c r="H17" s="84"/>
      <c r="I17" s="82"/>
      <c r="J17" s="82"/>
      <c r="K17" s="84">
        <v>1329.54</v>
      </c>
      <c r="L17" s="13"/>
      <c r="M17" s="24">
        <f t="shared" si="0"/>
        <v>1187.0892857142856</v>
      </c>
      <c r="N17" s="24">
        <f t="shared" si="1"/>
        <v>142.45071428571427</v>
      </c>
      <c r="O17" s="24">
        <f t="shared" si="2"/>
        <v>0</v>
      </c>
      <c r="P17" s="24">
        <v>1187.0899999999999</v>
      </c>
      <c r="Q17" s="25"/>
      <c r="R17" s="25"/>
      <c r="S17" s="90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>
        <f t="shared" si="3"/>
        <v>-1329.5407142857141</v>
      </c>
      <c r="AG17" s="27">
        <f t="shared" si="4"/>
        <v>-7.1428571413889586E-4</v>
      </c>
      <c r="AH17" s="91">
        <f t="shared" si="5"/>
        <v>1329.5407142857141</v>
      </c>
    </row>
    <row r="18" spans="1:34" s="17" customFormat="1" ht="21.75" customHeight="1" x14ac:dyDescent="0.2">
      <c r="A18" s="81">
        <v>44162</v>
      </c>
      <c r="B18" s="12"/>
      <c r="C18" s="20" t="s">
        <v>374</v>
      </c>
      <c r="D18" s="12"/>
      <c r="E18" s="12"/>
      <c r="F18" s="82"/>
      <c r="G18" s="82" t="s">
        <v>58</v>
      </c>
      <c r="H18" s="84"/>
      <c r="I18" s="82"/>
      <c r="J18" s="82"/>
      <c r="K18" s="84">
        <v>50</v>
      </c>
      <c r="L18" s="13"/>
      <c r="M18" s="24">
        <f t="shared" si="0"/>
        <v>44.642857142857139</v>
      </c>
      <c r="N18" s="24">
        <f t="shared" si="1"/>
        <v>5.3571428571428568</v>
      </c>
      <c r="O18" s="24">
        <f t="shared" si="2"/>
        <v>0</v>
      </c>
      <c r="P18" s="24">
        <v>44.64</v>
      </c>
      <c r="Q18" s="25"/>
      <c r="R18" s="25"/>
      <c r="S18" s="90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>
        <f t="shared" si="3"/>
        <v>-49.997142857142855</v>
      </c>
      <c r="AG18" s="27">
        <f t="shared" si="4"/>
        <v>2.8571428571453339E-3</v>
      </c>
      <c r="AH18" s="91">
        <f t="shared" si="5"/>
        <v>49.997142857142855</v>
      </c>
    </row>
    <row r="19" spans="1:34" s="17" customFormat="1" ht="21.75" customHeight="1" x14ac:dyDescent="0.2">
      <c r="A19" s="81"/>
      <c r="B19" s="12"/>
      <c r="C19" s="20"/>
      <c r="D19" s="12"/>
      <c r="E19" s="12"/>
      <c r="F19" s="82"/>
      <c r="G19" s="82"/>
      <c r="H19" s="84"/>
      <c r="I19" s="82"/>
      <c r="J19" s="82"/>
      <c r="K19" s="84"/>
      <c r="L19" s="13"/>
      <c r="M19" s="24">
        <f t="shared" si="0"/>
        <v>0</v>
      </c>
      <c r="N19" s="24">
        <f t="shared" si="1"/>
        <v>0</v>
      </c>
      <c r="O19" s="24">
        <f t="shared" si="2"/>
        <v>0</v>
      </c>
      <c r="P19" s="24"/>
      <c r="Q19" s="25"/>
      <c r="R19" s="25"/>
      <c r="S19" s="90"/>
      <c r="T19" s="26"/>
      <c r="U19" s="26"/>
      <c r="V19" s="26"/>
      <c r="W19" s="26"/>
      <c r="X19" s="25"/>
      <c r="Y19" s="25"/>
      <c r="Z19" s="25"/>
      <c r="AA19" s="25"/>
      <c r="AB19" s="26"/>
      <c r="AC19" s="26"/>
      <c r="AD19" s="25"/>
      <c r="AE19" s="25"/>
      <c r="AF19" s="24">
        <f t="shared" si="3"/>
        <v>0</v>
      </c>
      <c r="AG19" s="27">
        <f t="shared" si="4"/>
        <v>0</v>
      </c>
    </row>
    <row r="20" spans="1:34" s="17" customFormat="1" ht="21.75" customHeight="1" x14ac:dyDescent="0.2">
      <c r="A20" s="81"/>
      <c r="B20" s="12"/>
      <c r="C20" s="82"/>
      <c r="D20" s="12"/>
      <c r="E20" s="12"/>
      <c r="F20" s="82"/>
      <c r="G20" s="57"/>
      <c r="H20" s="84"/>
      <c r="I20" s="82"/>
      <c r="J20" s="84"/>
      <c r="K20" s="84"/>
      <c r="L20" s="13"/>
      <c r="M20" s="24">
        <f t="shared" si="0"/>
        <v>0</v>
      </c>
      <c r="N20" s="24">
        <f t="shared" si="1"/>
        <v>0</v>
      </c>
      <c r="O20" s="24">
        <f t="shared" si="2"/>
        <v>0</v>
      </c>
      <c r="P20" s="24"/>
      <c r="Q20" s="25"/>
      <c r="R20" s="25"/>
      <c r="S20" s="90"/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>
        <f t="shared" si="3"/>
        <v>0</v>
      </c>
      <c r="AG20" s="27">
        <f t="shared" si="4"/>
        <v>0</v>
      </c>
    </row>
    <row r="21" spans="1:34" s="29" customFormat="1" ht="10.199999999999999" x14ac:dyDescent="0.2">
      <c r="A21" s="18"/>
      <c r="B21" s="19"/>
      <c r="C21" s="43"/>
      <c r="D21" s="43"/>
      <c r="E21" s="43"/>
      <c r="F21" s="21"/>
      <c r="G21" s="30"/>
      <c r="H21" s="22"/>
      <c r="I21" s="22"/>
      <c r="J21" s="22"/>
      <c r="K21" s="22"/>
      <c r="L21" s="23"/>
      <c r="M21" s="25">
        <f t="shared" si="0"/>
        <v>0</v>
      </c>
      <c r="N21" s="25">
        <f t="shared" si="1"/>
        <v>0</v>
      </c>
      <c r="O21" s="25">
        <f t="shared" si="2"/>
        <v>0</v>
      </c>
      <c r="P21" s="25"/>
      <c r="Q21" s="25"/>
      <c r="R21" s="25"/>
      <c r="S21" s="25"/>
      <c r="T21" s="26"/>
      <c r="U21" s="51"/>
      <c r="V21" s="26"/>
      <c r="W21" s="26"/>
      <c r="X21" s="26"/>
      <c r="Y21" s="44"/>
      <c r="Z21" s="25"/>
      <c r="AA21" s="51"/>
      <c r="AB21" s="25"/>
      <c r="AC21" s="26"/>
      <c r="AD21" s="26"/>
      <c r="AE21" s="45"/>
      <c r="AF21" s="24">
        <f t="shared" si="3"/>
        <v>0</v>
      </c>
      <c r="AG21" s="27">
        <f t="shared" si="4"/>
        <v>0</v>
      </c>
    </row>
    <row r="22" spans="1:34" s="52" customFormat="1" ht="10.199999999999999" x14ac:dyDescent="0.2">
      <c r="A22" s="46"/>
      <c r="B22" s="47"/>
      <c r="C22" s="48"/>
      <c r="D22" s="49"/>
      <c r="E22" s="49"/>
      <c r="F22" s="50"/>
      <c r="G22" s="48"/>
      <c r="H22" s="51">
        <f>SUM(H5:H20)</f>
        <v>270</v>
      </c>
      <c r="I22" s="51">
        <f>SUM(I21:I21)</f>
        <v>0</v>
      </c>
      <c r="J22" s="51">
        <f>SUM(J5:J20)</f>
        <v>1250</v>
      </c>
      <c r="K22" s="51">
        <f>SUM(K5:K20)</f>
        <v>8699.2900000000009</v>
      </c>
      <c r="L22" s="51">
        <f>SUM(L21:L21)</f>
        <v>0</v>
      </c>
      <c r="M22" s="51">
        <f>SUM(M5:M20)</f>
        <v>9287.2232142857156</v>
      </c>
      <c r="N22" s="51">
        <f>SUM(N5:N20)</f>
        <v>932.06678571428563</v>
      </c>
      <c r="O22" s="51">
        <f>SUM(O21:O21)</f>
        <v>0</v>
      </c>
      <c r="P22" s="51">
        <f>SUM(P5:P20)</f>
        <v>7774.38</v>
      </c>
      <c r="Q22" s="51">
        <f>SUM(Q5:Q20)</f>
        <v>0</v>
      </c>
      <c r="R22" s="51">
        <f>SUM(R5:R20)</f>
        <v>996.43</v>
      </c>
      <c r="S22" s="51">
        <f>SUM(S10:S21)</f>
        <v>0</v>
      </c>
      <c r="T22" s="51">
        <f>SUM(T10:T21)</f>
        <v>0</v>
      </c>
      <c r="U22" s="51">
        <f>SUM(U10:U21)</f>
        <v>157.13999999999999</v>
      </c>
      <c r="V22" s="51">
        <f>SUM(V10:V21)</f>
        <v>0</v>
      </c>
      <c r="W22" s="51">
        <f>SUM(W21:W21)</f>
        <v>0</v>
      </c>
      <c r="X22" s="51">
        <f>SUM(X21:X21)</f>
        <v>0</v>
      </c>
      <c r="Y22" s="51">
        <f>SUM(Y21:Y21)</f>
        <v>0</v>
      </c>
      <c r="Z22" s="51">
        <f>SUM(Z21:Z21)</f>
        <v>0</v>
      </c>
      <c r="AA22" s="51">
        <f>SUM(AA5:AA20)</f>
        <v>270</v>
      </c>
      <c r="AB22" s="51">
        <f>SUM(AB21:AB21)</f>
        <v>0</v>
      </c>
      <c r="AC22" s="51">
        <f>SUM(AC5:AC20)</f>
        <v>0</v>
      </c>
      <c r="AD22" s="51">
        <f>SUM(AD5:AD20)</f>
        <v>0</v>
      </c>
      <c r="AE22" s="51">
        <f>SUM(AE21:AE21)</f>
        <v>0</v>
      </c>
      <c r="AF22" s="51">
        <f>SUM(AF5:AF20)</f>
        <v>-10219.306785714285</v>
      </c>
      <c r="AG22" s="51">
        <f>SUM(AG21:AG21)</f>
        <v>0</v>
      </c>
    </row>
    <row r="23" spans="1:34" s="77" customFormat="1" ht="10.199999999999999" x14ac:dyDescent="0.2"/>
    <row r="24" spans="1:34" x14ac:dyDescent="0.3">
      <c r="H24" s="85"/>
      <c r="I24" s="85"/>
      <c r="J24" s="85"/>
      <c r="K24" s="85"/>
    </row>
    <row r="25" spans="1:34" x14ac:dyDescent="0.3">
      <c r="H25" s="85"/>
      <c r="I25" s="85"/>
      <c r="J25" s="85"/>
      <c r="K25" s="85"/>
    </row>
    <row r="26" spans="1:34" x14ac:dyDescent="0.3">
      <c r="H26" s="87"/>
      <c r="I26" s="87"/>
      <c r="J26" s="87"/>
      <c r="K26" s="87"/>
    </row>
    <row r="27" spans="1:34" x14ac:dyDescent="0.3">
      <c r="H27" s="87"/>
      <c r="I27" s="87"/>
      <c r="J27" s="87"/>
      <c r="K27" s="87"/>
    </row>
    <row r="28" spans="1:34" s="3" customFormat="1" ht="10.199999999999999" x14ac:dyDescent="0.2">
      <c r="H28" s="87"/>
      <c r="I28" s="87"/>
      <c r="J28" s="87"/>
      <c r="K28" s="87"/>
    </row>
    <row r="29" spans="1:34" s="3" customFormat="1" ht="10.199999999999999" x14ac:dyDescent="0.2">
      <c r="H29" s="87"/>
      <c r="I29" s="87"/>
      <c r="J29" s="87"/>
      <c r="K29" s="87"/>
    </row>
    <row r="30" spans="1:34" s="3" customFormat="1" ht="10.199999999999999" x14ac:dyDescent="0.2">
      <c r="H30" s="87"/>
      <c r="I30" s="87"/>
      <c r="J30" s="87"/>
      <c r="K30" s="8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MK36"/>
  <sheetViews>
    <sheetView topLeftCell="I1" zoomScaleNormal="100" workbookViewId="0">
      <selection activeCell="W4" sqref="W4"/>
    </sheetView>
  </sheetViews>
  <sheetFormatPr defaultRowHeight="14.4" x14ac:dyDescent="0.3"/>
  <cols>
    <col min="1" max="1" width="8.109375" style="1" customWidth="1"/>
    <col min="2" max="2" width="7.21875" style="2" customWidth="1"/>
    <col min="3" max="3" width="26.109375" style="3" customWidth="1"/>
    <col min="4" max="4" width="14" style="4" customWidth="1"/>
    <col min="5" max="5" width="29.33203125" style="4" customWidth="1"/>
    <col min="6" max="6" width="7.88671875" style="2" customWidth="1"/>
    <col min="7" max="7" width="26.5546875" style="3" customWidth="1"/>
    <col min="8" max="8" width="11.109375" style="5" customWidth="1"/>
    <col min="9" max="9" width="9.5546875" style="5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11.1093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10.6640625" style="5" customWidth="1"/>
    <col min="19" max="19" width="9.5546875" style="5" customWidth="1"/>
    <col min="20" max="21" width="9.109375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30" width="8" style="5" customWidth="1"/>
    <col min="31" max="31" width="10.109375" style="5" customWidth="1"/>
    <col min="32" max="32" width="10.6640625" style="5" customWidth="1"/>
    <col min="33" max="33" width="8.88671875" style="3" customWidth="1"/>
    <col min="34" max="1025" width="9.109375" style="3" customWidth="1"/>
  </cols>
  <sheetData>
    <row r="1" spans="1:34" ht="12" customHeight="1" x14ac:dyDescent="0.3">
      <c r="A1" s="7" t="s">
        <v>0</v>
      </c>
      <c r="C1" s="8"/>
    </row>
    <row r="2" spans="1:34" ht="12" customHeight="1" x14ac:dyDescent="0.3">
      <c r="A2" s="7" t="s">
        <v>1</v>
      </c>
    </row>
    <row r="3" spans="1:34" ht="12" customHeight="1" x14ac:dyDescent="0.3">
      <c r="A3" s="96" t="s">
        <v>889</v>
      </c>
      <c r="B3" s="97"/>
      <c r="C3" s="98"/>
      <c r="D3" s="74"/>
      <c r="E3" s="74"/>
      <c r="F3" s="75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4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771</v>
      </c>
      <c r="T4" s="13" t="s">
        <v>24</v>
      </c>
      <c r="U4" s="13" t="s">
        <v>34</v>
      </c>
      <c r="V4" s="13" t="s">
        <v>22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613</v>
      </c>
      <c r="AD4" s="13" t="s">
        <v>34</v>
      </c>
      <c r="AE4" s="15" t="s">
        <v>35</v>
      </c>
      <c r="AF4" s="16" t="s">
        <v>36</v>
      </c>
    </row>
    <row r="5" spans="1:34" s="17" customFormat="1" ht="35.25" customHeight="1" x14ac:dyDescent="0.2">
      <c r="A5" s="81">
        <v>44162</v>
      </c>
      <c r="B5" s="12"/>
      <c r="C5" s="20" t="s">
        <v>47</v>
      </c>
      <c r="D5" s="12"/>
      <c r="E5" s="12"/>
      <c r="F5" s="82"/>
      <c r="G5" s="82" t="s">
        <v>890</v>
      </c>
      <c r="H5" s="84"/>
      <c r="I5" s="82"/>
      <c r="J5" s="84"/>
      <c r="K5" s="84">
        <v>2108</v>
      </c>
      <c r="L5" s="83"/>
      <c r="M5" s="24">
        <f t="shared" ref="M5:M22" si="0">SUM(H5:J5,K5/1.12)</f>
        <v>1882.1428571428569</v>
      </c>
      <c r="N5" s="24">
        <f t="shared" ref="N5:N22" si="1">K5/1.12*0.12</f>
        <v>225.8571428571428</v>
      </c>
      <c r="O5" s="24">
        <f t="shared" ref="O5:O22" si="2">-SUM(I5:J5,K5/1.12)*L5</f>
        <v>0</v>
      </c>
      <c r="P5" s="24"/>
      <c r="Q5" s="25">
        <v>1882.14</v>
      </c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>
        <f t="shared" ref="AF5:AF22" si="3">-SUM(N5:AE5)</f>
        <v>-2107.997142857143</v>
      </c>
      <c r="AG5" s="27">
        <f t="shared" ref="AG5:AG22" si="4">SUM(H5:K5)+AF5+O5</f>
        <v>2.8571428570103308E-3</v>
      </c>
      <c r="AH5" s="91">
        <f t="shared" ref="AH5:AH16" si="5">-AF5</f>
        <v>2107.997142857143</v>
      </c>
    </row>
    <row r="6" spans="1:34" s="17" customFormat="1" ht="35.25" hidden="1" customHeight="1" x14ac:dyDescent="0.2">
      <c r="A6" s="81">
        <v>44162</v>
      </c>
      <c r="B6" s="12"/>
      <c r="C6" s="20" t="s">
        <v>47</v>
      </c>
      <c r="D6" s="12"/>
      <c r="E6" s="12"/>
      <c r="F6" s="82"/>
      <c r="G6" s="82" t="s">
        <v>891</v>
      </c>
      <c r="H6" s="84"/>
      <c r="I6" s="82"/>
      <c r="J6" s="84"/>
      <c r="K6" s="84">
        <f>2743.55-110.95</f>
        <v>2632.6000000000004</v>
      </c>
      <c r="L6" s="83"/>
      <c r="M6" s="24">
        <f t="shared" si="0"/>
        <v>2350.5357142857142</v>
      </c>
      <c r="N6" s="24">
        <f t="shared" si="1"/>
        <v>282.06428571428569</v>
      </c>
      <c r="O6" s="24">
        <f t="shared" si="2"/>
        <v>0</v>
      </c>
      <c r="P6" s="24">
        <v>2350.54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>
        <f t="shared" si="3"/>
        <v>-2632.6042857142857</v>
      </c>
      <c r="AG6" s="27">
        <f t="shared" si="4"/>
        <v>-4.2857142852881225E-3</v>
      </c>
      <c r="AH6" s="91">
        <f t="shared" si="5"/>
        <v>2632.6042857142857</v>
      </c>
    </row>
    <row r="7" spans="1:34" s="17" customFormat="1" ht="19.5" hidden="1" customHeight="1" x14ac:dyDescent="0.2">
      <c r="A7" s="81">
        <v>44162</v>
      </c>
      <c r="B7" s="12"/>
      <c r="C7" s="20" t="s">
        <v>47</v>
      </c>
      <c r="D7" s="12"/>
      <c r="E7" s="12"/>
      <c r="F7" s="82"/>
      <c r="G7" s="82" t="s">
        <v>892</v>
      </c>
      <c r="H7" s="84"/>
      <c r="I7" s="82"/>
      <c r="J7" s="84">
        <f>40.6+70.35</f>
        <v>110.94999999999999</v>
      </c>
      <c r="K7" s="84"/>
      <c r="L7" s="83"/>
      <c r="M7" s="24">
        <f t="shared" si="0"/>
        <v>110.94999999999999</v>
      </c>
      <c r="N7" s="24">
        <f t="shared" si="1"/>
        <v>0</v>
      </c>
      <c r="O7" s="24">
        <f t="shared" si="2"/>
        <v>0</v>
      </c>
      <c r="P7" s="24">
        <v>110.95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>
        <f t="shared" si="3"/>
        <v>-110.95</v>
      </c>
      <c r="AG7" s="27">
        <f t="shared" si="4"/>
        <v>-1.4210854715202004E-14</v>
      </c>
      <c r="AH7" s="91">
        <f t="shared" si="5"/>
        <v>110.95</v>
      </c>
    </row>
    <row r="8" spans="1:34" s="17" customFormat="1" ht="19.5" hidden="1" customHeight="1" x14ac:dyDescent="0.2">
      <c r="A8" s="81">
        <v>44162</v>
      </c>
      <c r="B8" s="12"/>
      <c r="C8" s="20" t="s">
        <v>47</v>
      </c>
      <c r="D8" s="12"/>
      <c r="E8" s="12"/>
      <c r="F8" s="82"/>
      <c r="G8" s="82" t="s">
        <v>893</v>
      </c>
      <c r="H8" s="84"/>
      <c r="I8" s="82"/>
      <c r="J8" s="84"/>
      <c r="K8" s="84">
        <v>24.9</v>
      </c>
      <c r="L8" s="83"/>
      <c r="M8" s="24">
        <f t="shared" si="0"/>
        <v>22.232142857142854</v>
      </c>
      <c r="N8" s="24">
        <f t="shared" si="1"/>
        <v>2.6678571428571423</v>
      </c>
      <c r="O8" s="24">
        <f t="shared" si="2"/>
        <v>0</v>
      </c>
      <c r="P8" s="24"/>
      <c r="Q8" s="25"/>
      <c r="R8" s="25"/>
      <c r="S8" s="26"/>
      <c r="T8" s="26"/>
      <c r="U8" s="26">
        <v>22.23</v>
      </c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>
        <f t="shared" si="3"/>
        <v>-24.897857142857141</v>
      </c>
      <c r="AG8" s="27">
        <f t="shared" si="4"/>
        <v>2.1428571428572241E-3</v>
      </c>
      <c r="AH8" s="91">
        <f t="shared" si="5"/>
        <v>24.897857142857141</v>
      </c>
    </row>
    <row r="9" spans="1:34" s="17" customFormat="1" ht="19.5" hidden="1" customHeight="1" x14ac:dyDescent="0.2">
      <c r="A9" s="81">
        <v>44162</v>
      </c>
      <c r="B9" s="12"/>
      <c r="C9" s="20" t="s">
        <v>605</v>
      </c>
      <c r="D9" s="12"/>
      <c r="E9" s="12"/>
      <c r="F9" s="82"/>
      <c r="G9" s="82" t="s">
        <v>883</v>
      </c>
      <c r="H9" s="84">
        <v>120</v>
      </c>
      <c r="I9" s="82"/>
      <c r="J9" s="84"/>
      <c r="K9" s="84"/>
      <c r="L9" s="83"/>
      <c r="M9" s="24">
        <f t="shared" si="0"/>
        <v>120</v>
      </c>
      <c r="N9" s="24">
        <f t="shared" si="1"/>
        <v>0</v>
      </c>
      <c r="O9" s="24">
        <f t="shared" si="2"/>
        <v>0</v>
      </c>
      <c r="P9" s="24"/>
      <c r="Q9" s="25"/>
      <c r="R9" s="25"/>
      <c r="S9" s="26"/>
      <c r="T9" s="26"/>
      <c r="U9" s="26"/>
      <c r="V9" s="26"/>
      <c r="W9" s="26"/>
      <c r="X9" s="25"/>
      <c r="Y9" s="25"/>
      <c r="Z9" s="25"/>
      <c r="AA9" s="25">
        <v>120</v>
      </c>
      <c r="AB9" s="26"/>
      <c r="AC9" s="26"/>
      <c r="AD9" s="25"/>
      <c r="AE9" s="25"/>
      <c r="AF9" s="24">
        <f t="shared" si="3"/>
        <v>-120</v>
      </c>
      <c r="AG9" s="27">
        <f t="shared" si="4"/>
        <v>0</v>
      </c>
      <c r="AH9" s="91">
        <f t="shared" si="5"/>
        <v>120</v>
      </c>
    </row>
    <row r="10" spans="1:34" s="17" customFormat="1" ht="19.5" hidden="1" customHeight="1" x14ac:dyDescent="0.2">
      <c r="A10" s="81">
        <v>44163</v>
      </c>
      <c r="B10" s="12"/>
      <c r="C10" s="20" t="s">
        <v>894</v>
      </c>
      <c r="D10" s="12"/>
      <c r="E10" s="12"/>
      <c r="F10" s="82"/>
      <c r="G10" s="82" t="s">
        <v>895</v>
      </c>
      <c r="H10" s="84"/>
      <c r="I10" s="82"/>
      <c r="J10" s="84">
        <v>500</v>
      </c>
      <c r="K10" s="84"/>
      <c r="L10" s="83"/>
      <c r="M10" s="24">
        <f t="shared" si="0"/>
        <v>500</v>
      </c>
      <c r="N10" s="24">
        <f t="shared" si="1"/>
        <v>0</v>
      </c>
      <c r="O10" s="24">
        <f t="shared" si="2"/>
        <v>0</v>
      </c>
      <c r="P10" s="24">
        <v>500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>
        <f t="shared" si="3"/>
        <v>-500</v>
      </c>
      <c r="AG10" s="27">
        <f t="shared" si="4"/>
        <v>0</v>
      </c>
      <c r="AH10" s="91">
        <f t="shared" si="5"/>
        <v>500</v>
      </c>
    </row>
    <row r="11" spans="1:34" s="17" customFormat="1" ht="21.75" hidden="1" customHeight="1" x14ac:dyDescent="0.2">
      <c r="A11" s="81">
        <v>44163</v>
      </c>
      <c r="B11" s="12"/>
      <c r="C11" s="20" t="s">
        <v>592</v>
      </c>
      <c r="D11" s="12"/>
      <c r="E11" s="12"/>
      <c r="F11" s="82"/>
      <c r="G11" s="82" t="s">
        <v>896</v>
      </c>
      <c r="H11" s="84"/>
      <c r="I11" s="82"/>
      <c r="J11" s="84">
        <v>560</v>
      </c>
      <c r="K11" s="84"/>
      <c r="L11" s="83"/>
      <c r="M11" s="24">
        <f t="shared" si="0"/>
        <v>560</v>
      </c>
      <c r="N11" s="24">
        <f t="shared" si="1"/>
        <v>0</v>
      </c>
      <c r="O11" s="24">
        <f t="shared" si="2"/>
        <v>0</v>
      </c>
      <c r="P11" s="24">
        <v>560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>
        <f t="shared" si="3"/>
        <v>-560</v>
      </c>
      <c r="AG11" s="27">
        <f t="shared" si="4"/>
        <v>0</v>
      </c>
      <c r="AH11" s="91">
        <f t="shared" si="5"/>
        <v>560</v>
      </c>
    </row>
    <row r="12" spans="1:34" s="17" customFormat="1" ht="18" hidden="1" customHeight="1" x14ac:dyDescent="0.2">
      <c r="A12" s="81">
        <v>44163</v>
      </c>
      <c r="B12" s="12"/>
      <c r="C12" s="20" t="s">
        <v>853</v>
      </c>
      <c r="D12" s="12"/>
      <c r="E12" s="12"/>
      <c r="F12" s="82"/>
      <c r="G12" s="82" t="s">
        <v>897</v>
      </c>
      <c r="H12" s="84"/>
      <c r="I12" s="12"/>
      <c r="J12" s="84"/>
      <c r="K12" s="84">
        <v>802</v>
      </c>
      <c r="L12" s="13"/>
      <c r="M12" s="24">
        <f t="shared" si="0"/>
        <v>716.07142857142856</v>
      </c>
      <c r="N12" s="24">
        <f t="shared" si="1"/>
        <v>85.928571428571416</v>
      </c>
      <c r="O12" s="24">
        <f t="shared" si="2"/>
        <v>0</v>
      </c>
      <c r="P12" s="24">
        <v>716.07</v>
      </c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>
        <f t="shared" si="3"/>
        <v>-801.99857142857149</v>
      </c>
      <c r="AG12" s="27">
        <f t="shared" si="4"/>
        <v>1.4285714285051654E-3</v>
      </c>
      <c r="AH12" s="91">
        <f t="shared" si="5"/>
        <v>801.99857142857149</v>
      </c>
    </row>
    <row r="13" spans="1:34" s="17" customFormat="1" ht="21.75" hidden="1" customHeight="1" x14ac:dyDescent="0.2">
      <c r="A13" s="81">
        <v>44163</v>
      </c>
      <c r="B13" s="12"/>
      <c r="C13" s="20" t="s">
        <v>123</v>
      </c>
      <c r="D13" s="12"/>
      <c r="E13" s="12"/>
      <c r="F13" s="82"/>
      <c r="G13" s="82" t="s">
        <v>898</v>
      </c>
      <c r="H13" s="84"/>
      <c r="I13" s="82"/>
      <c r="J13" s="84">
        <v>380</v>
      </c>
      <c r="K13" s="84"/>
      <c r="L13" s="13"/>
      <c r="M13" s="24">
        <f t="shared" si="0"/>
        <v>380</v>
      </c>
      <c r="N13" s="24">
        <f t="shared" si="1"/>
        <v>0</v>
      </c>
      <c r="O13" s="24">
        <f t="shared" si="2"/>
        <v>0</v>
      </c>
      <c r="P13" s="24">
        <v>380</v>
      </c>
      <c r="Q13" s="25"/>
      <c r="R13" s="25"/>
      <c r="S13" s="90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>
        <f t="shared" si="3"/>
        <v>-380</v>
      </c>
      <c r="AG13" s="27">
        <f t="shared" si="4"/>
        <v>0</v>
      </c>
      <c r="AH13" s="91">
        <f t="shared" si="5"/>
        <v>380</v>
      </c>
    </row>
    <row r="14" spans="1:34" s="17" customFormat="1" ht="21.75" hidden="1" customHeight="1" x14ac:dyDescent="0.2">
      <c r="A14" s="81">
        <v>44163</v>
      </c>
      <c r="B14" s="12"/>
      <c r="C14" s="20" t="s">
        <v>45</v>
      </c>
      <c r="D14" s="12"/>
      <c r="E14" s="12"/>
      <c r="F14" s="82"/>
      <c r="G14" s="82" t="s">
        <v>665</v>
      </c>
      <c r="H14" s="84">
        <v>100</v>
      </c>
      <c r="I14" s="82"/>
      <c r="J14" s="82"/>
      <c r="K14" s="84"/>
      <c r="L14" s="13"/>
      <c r="M14" s="24">
        <f t="shared" si="0"/>
        <v>100</v>
      </c>
      <c r="N14" s="24">
        <f t="shared" si="1"/>
        <v>0</v>
      </c>
      <c r="O14" s="24">
        <f t="shared" si="2"/>
        <v>0</v>
      </c>
      <c r="P14" s="24"/>
      <c r="Q14" s="25"/>
      <c r="R14" s="25"/>
      <c r="S14" s="90"/>
      <c r="T14" s="26"/>
      <c r="U14" s="26"/>
      <c r="V14" s="26"/>
      <c r="W14" s="26"/>
      <c r="X14" s="25"/>
      <c r="Y14" s="25"/>
      <c r="Z14" s="25"/>
      <c r="AA14" s="25">
        <v>100</v>
      </c>
      <c r="AB14" s="26"/>
      <c r="AC14" s="26"/>
      <c r="AD14" s="25"/>
      <c r="AE14" s="25"/>
      <c r="AF14" s="24">
        <f t="shared" si="3"/>
        <v>-100</v>
      </c>
      <c r="AG14" s="27">
        <f t="shared" si="4"/>
        <v>0</v>
      </c>
      <c r="AH14" s="91">
        <f t="shared" si="5"/>
        <v>100</v>
      </c>
    </row>
    <row r="15" spans="1:34" s="17" customFormat="1" ht="21.75" hidden="1" customHeight="1" x14ac:dyDescent="0.2">
      <c r="A15" s="81">
        <v>44163</v>
      </c>
      <c r="B15" s="12"/>
      <c r="C15" s="20" t="s">
        <v>605</v>
      </c>
      <c r="D15" s="12"/>
      <c r="E15" s="12"/>
      <c r="F15" s="82"/>
      <c r="G15" s="82" t="s">
        <v>899</v>
      </c>
      <c r="H15" s="84">
        <v>70</v>
      </c>
      <c r="I15" s="82"/>
      <c r="J15" s="84"/>
      <c r="K15" s="84"/>
      <c r="L15" s="13"/>
      <c r="M15" s="24">
        <f t="shared" si="0"/>
        <v>70</v>
      </c>
      <c r="N15" s="24">
        <f t="shared" si="1"/>
        <v>0</v>
      </c>
      <c r="O15" s="24">
        <f t="shared" si="2"/>
        <v>0</v>
      </c>
      <c r="P15" s="24"/>
      <c r="Q15" s="25"/>
      <c r="R15" s="25"/>
      <c r="S15" s="90"/>
      <c r="T15" s="26"/>
      <c r="U15" s="26"/>
      <c r="V15" s="26"/>
      <c r="W15" s="26"/>
      <c r="X15" s="25"/>
      <c r="Y15" s="25"/>
      <c r="Z15" s="25"/>
      <c r="AA15" s="25">
        <v>70</v>
      </c>
      <c r="AB15" s="26"/>
      <c r="AC15" s="26"/>
      <c r="AD15" s="25"/>
      <c r="AE15" s="25"/>
      <c r="AF15" s="24">
        <f t="shared" si="3"/>
        <v>-70</v>
      </c>
      <c r="AG15" s="27">
        <f t="shared" si="4"/>
        <v>0</v>
      </c>
      <c r="AH15" s="91">
        <f t="shared" si="5"/>
        <v>70</v>
      </c>
    </row>
    <row r="16" spans="1:34" s="17" customFormat="1" ht="34.5" customHeight="1" x14ac:dyDescent="0.2">
      <c r="A16" s="81">
        <v>44165</v>
      </c>
      <c r="B16" s="12"/>
      <c r="C16" s="20" t="s">
        <v>47</v>
      </c>
      <c r="D16" s="12"/>
      <c r="E16" s="12"/>
      <c r="F16" s="82"/>
      <c r="G16" s="82" t="s">
        <v>900</v>
      </c>
      <c r="H16" s="84"/>
      <c r="I16" s="82"/>
      <c r="J16" s="82"/>
      <c r="K16" s="84">
        <v>3440.05</v>
      </c>
      <c r="L16" s="13"/>
      <c r="M16" s="24">
        <f t="shared" si="0"/>
        <v>3071.4732142857142</v>
      </c>
      <c r="N16" s="24">
        <f t="shared" si="1"/>
        <v>368.57678571428568</v>
      </c>
      <c r="O16" s="24">
        <f t="shared" si="2"/>
        <v>0</v>
      </c>
      <c r="P16" s="24">
        <v>3071.47</v>
      </c>
      <c r="Q16" s="25"/>
      <c r="R16" s="25"/>
      <c r="S16" s="90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5"/>
      <c r="AF16" s="24">
        <f t="shared" si="3"/>
        <v>-3440.0467857142853</v>
      </c>
      <c r="AG16" s="27">
        <f t="shared" si="4"/>
        <v>3.2142857148755866E-3</v>
      </c>
      <c r="AH16" s="91">
        <f t="shared" si="5"/>
        <v>3440.0467857142853</v>
      </c>
    </row>
    <row r="17" spans="1:33" s="17" customFormat="1" ht="21.75" customHeight="1" x14ac:dyDescent="0.2">
      <c r="A17" s="81"/>
      <c r="B17" s="12"/>
      <c r="C17" s="20"/>
      <c r="D17" s="12"/>
      <c r="E17" s="12"/>
      <c r="F17" s="82"/>
      <c r="G17" s="82"/>
      <c r="H17" s="84"/>
      <c r="I17" s="82"/>
      <c r="J17" s="82"/>
      <c r="K17" s="84"/>
      <c r="L17" s="13"/>
      <c r="M17" s="24">
        <f t="shared" si="0"/>
        <v>0</v>
      </c>
      <c r="N17" s="24">
        <f t="shared" si="1"/>
        <v>0</v>
      </c>
      <c r="O17" s="24">
        <f t="shared" si="2"/>
        <v>0</v>
      </c>
      <c r="P17" s="24"/>
      <c r="Q17" s="25"/>
      <c r="R17" s="25"/>
      <c r="S17" s="90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>
        <f t="shared" si="3"/>
        <v>0</v>
      </c>
      <c r="AG17" s="27">
        <f t="shared" si="4"/>
        <v>0</v>
      </c>
    </row>
    <row r="18" spans="1:33" s="17" customFormat="1" ht="21.75" customHeight="1" x14ac:dyDescent="0.2">
      <c r="A18" s="81"/>
      <c r="B18" s="12"/>
      <c r="C18" s="20"/>
      <c r="D18" s="12"/>
      <c r="E18" s="12"/>
      <c r="F18" s="82"/>
      <c r="G18" s="82"/>
      <c r="H18" s="84"/>
      <c r="I18" s="82"/>
      <c r="J18" s="82"/>
      <c r="K18" s="84"/>
      <c r="L18" s="13"/>
      <c r="M18" s="24">
        <f t="shared" si="0"/>
        <v>0</v>
      </c>
      <c r="N18" s="24">
        <f t="shared" si="1"/>
        <v>0</v>
      </c>
      <c r="O18" s="24">
        <f t="shared" si="2"/>
        <v>0</v>
      </c>
      <c r="P18" s="24"/>
      <c r="Q18" s="25"/>
      <c r="R18" s="25"/>
      <c r="S18" s="90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>
        <f t="shared" si="3"/>
        <v>0</v>
      </c>
      <c r="AG18" s="27">
        <f t="shared" si="4"/>
        <v>0</v>
      </c>
    </row>
    <row r="19" spans="1:33" s="17" customFormat="1" ht="21.75" customHeight="1" x14ac:dyDescent="0.2">
      <c r="A19" s="81"/>
      <c r="B19" s="12"/>
      <c r="C19" s="20"/>
      <c r="D19" s="12"/>
      <c r="E19" s="12"/>
      <c r="F19" s="82"/>
      <c r="G19" s="82"/>
      <c r="H19" s="84"/>
      <c r="I19" s="82"/>
      <c r="J19" s="82"/>
      <c r="K19" s="84"/>
      <c r="L19" s="13"/>
      <c r="M19" s="24">
        <f t="shared" si="0"/>
        <v>0</v>
      </c>
      <c r="N19" s="24">
        <f t="shared" si="1"/>
        <v>0</v>
      </c>
      <c r="O19" s="24">
        <f t="shared" si="2"/>
        <v>0</v>
      </c>
      <c r="P19" s="24"/>
      <c r="Q19" s="25"/>
      <c r="R19" s="25"/>
      <c r="S19" s="90"/>
      <c r="T19" s="26"/>
      <c r="U19" s="26"/>
      <c r="V19" s="26"/>
      <c r="W19" s="26"/>
      <c r="X19" s="25"/>
      <c r="Y19" s="25"/>
      <c r="Z19" s="25"/>
      <c r="AA19" s="25"/>
      <c r="AB19" s="26"/>
      <c r="AC19" s="26"/>
      <c r="AD19" s="25"/>
      <c r="AE19" s="25"/>
      <c r="AF19" s="24">
        <f t="shared" si="3"/>
        <v>0</v>
      </c>
      <c r="AG19" s="27">
        <f t="shared" si="4"/>
        <v>0</v>
      </c>
    </row>
    <row r="20" spans="1:33" s="17" customFormat="1" ht="21.75" customHeight="1" x14ac:dyDescent="0.2">
      <c r="A20" s="81"/>
      <c r="B20" s="12"/>
      <c r="C20" s="20"/>
      <c r="D20" s="12"/>
      <c r="E20" s="12"/>
      <c r="F20" s="82"/>
      <c r="G20" s="82"/>
      <c r="H20" s="84"/>
      <c r="I20" s="82"/>
      <c r="J20" s="82"/>
      <c r="K20" s="84"/>
      <c r="L20" s="13"/>
      <c r="M20" s="24">
        <f t="shared" si="0"/>
        <v>0</v>
      </c>
      <c r="N20" s="24">
        <f t="shared" si="1"/>
        <v>0</v>
      </c>
      <c r="O20" s="24">
        <f t="shared" si="2"/>
        <v>0</v>
      </c>
      <c r="P20" s="24"/>
      <c r="Q20" s="25"/>
      <c r="R20" s="25"/>
      <c r="S20" s="90"/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>
        <f t="shared" si="3"/>
        <v>0</v>
      </c>
      <c r="AG20" s="27">
        <f t="shared" si="4"/>
        <v>0</v>
      </c>
    </row>
    <row r="21" spans="1:33" s="17" customFormat="1" ht="21.75" customHeight="1" x14ac:dyDescent="0.2">
      <c r="A21" s="81"/>
      <c r="B21" s="12"/>
      <c r="C21" s="82"/>
      <c r="D21" s="12"/>
      <c r="E21" s="12"/>
      <c r="F21" s="82"/>
      <c r="G21" s="57"/>
      <c r="H21" s="84"/>
      <c r="I21" s="82"/>
      <c r="J21" s="84"/>
      <c r="K21" s="84"/>
      <c r="L21" s="13"/>
      <c r="M21" s="24">
        <f t="shared" si="0"/>
        <v>0</v>
      </c>
      <c r="N21" s="24">
        <f t="shared" si="1"/>
        <v>0</v>
      </c>
      <c r="O21" s="24">
        <f t="shared" si="2"/>
        <v>0</v>
      </c>
      <c r="P21" s="24"/>
      <c r="Q21" s="25"/>
      <c r="R21" s="25"/>
      <c r="S21" s="90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>
        <f t="shared" si="3"/>
        <v>0</v>
      </c>
      <c r="AG21" s="27">
        <f t="shared" si="4"/>
        <v>0</v>
      </c>
    </row>
    <row r="22" spans="1:33" s="29" customFormat="1" ht="10.199999999999999" x14ac:dyDescent="0.2">
      <c r="A22" s="18"/>
      <c r="B22" s="19"/>
      <c r="C22" s="43"/>
      <c r="D22" s="43"/>
      <c r="E22" s="43"/>
      <c r="F22" s="21"/>
      <c r="G22" s="30"/>
      <c r="H22" s="22"/>
      <c r="I22" s="22"/>
      <c r="J22" s="22"/>
      <c r="K22" s="22"/>
      <c r="L22" s="23"/>
      <c r="M22" s="25">
        <f t="shared" si="0"/>
        <v>0</v>
      </c>
      <c r="N22" s="25">
        <f t="shared" si="1"/>
        <v>0</v>
      </c>
      <c r="O22" s="25">
        <f t="shared" si="2"/>
        <v>0</v>
      </c>
      <c r="P22" s="25"/>
      <c r="Q22" s="25"/>
      <c r="R22" s="25"/>
      <c r="S22" s="25"/>
      <c r="T22" s="26"/>
      <c r="U22" s="51"/>
      <c r="V22" s="26"/>
      <c r="W22" s="26"/>
      <c r="X22" s="26"/>
      <c r="Y22" s="44"/>
      <c r="Z22" s="25"/>
      <c r="AA22" s="51"/>
      <c r="AB22" s="25"/>
      <c r="AC22" s="26"/>
      <c r="AD22" s="26"/>
      <c r="AE22" s="45"/>
      <c r="AF22" s="24">
        <f t="shared" si="3"/>
        <v>0</v>
      </c>
      <c r="AG22" s="27">
        <f t="shared" si="4"/>
        <v>0</v>
      </c>
    </row>
    <row r="23" spans="1:33" s="52" customFormat="1" ht="10.199999999999999" x14ac:dyDescent="0.2">
      <c r="A23" s="46"/>
      <c r="B23" s="47"/>
      <c r="C23" s="48"/>
      <c r="D23" s="49"/>
      <c r="E23" s="49"/>
      <c r="F23" s="50"/>
      <c r="G23" s="48"/>
      <c r="H23" s="51">
        <f>SUM(H5:H21)</f>
        <v>290</v>
      </c>
      <c r="I23" s="51">
        <f>SUM(I22:I22)</f>
        <v>0</v>
      </c>
      <c r="J23" s="51">
        <f>SUM(J5:J21)</f>
        <v>1550.95</v>
      </c>
      <c r="K23" s="51">
        <f>SUM(K5:K21)</f>
        <v>9007.5499999999993</v>
      </c>
      <c r="L23" s="51">
        <f>SUM(L22:L22)</f>
        <v>0</v>
      </c>
      <c r="M23" s="51">
        <f>SUM(M5:M21)</f>
        <v>9883.4053571428558</v>
      </c>
      <c r="N23" s="51">
        <f>SUM(N5:N21)</f>
        <v>965.09464285714262</v>
      </c>
      <c r="O23" s="51">
        <f>SUM(O22:O22)</f>
        <v>0</v>
      </c>
      <c r="P23" s="51">
        <f>SUM(P5:P21)</f>
        <v>7689.0299999999988</v>
      </c>
      <c r="Q23" s="51">
        <f>SUM(Q5:Q21)</f>
        <v>1882.14</v>
      </c>
      <c r="R23" s="51">
        <f>SUM(R5:R21)</f>
        <v>0</v>
      </c>
      <c r="S23" s="51">
        <f>SUM(S11:S22)</f>
        <v>0</v>
      </c>
      <c r="T23" s="51">
        <f>SUM(T11:T22)</f>
        <v>0</v>
      </c>
      <c r="U23" s="51">
        <f>SUM(U11:U22)</f>
        <v>0</v>
      </c>
      <c r="V23" s="51">
        <f>SUM(V11:V22)</f>
        <v>0</v>
      </c>
      <c r="W23" s="51">
        <f>SUM(W22:W22)</f>
        <v>0</v>
      </c>
      <c r="X23" s="51">
        <f>SUM(X22:X22)</f>
        <v>0</v>
      </c>
      <c r="Y23" s="51">
        <f>SUM(Y22:Y22)</f>
        <v>0</v>
      </c>
      <c r="Z23" s="51">
        <f>SUM(Z22:Z22)</f>
        <v>0</v>
      </c>
      <c r="AA23" s="51">
        <f>SUM(AA5:AA21)</f>
        <v>290</v>
      </c>
      <c r="AB23" s="51">
        <f>SUM(AB22:AB22)</f>
        <v>0</v>
      </c>
      <c r="AC23" s="51">
        <f>SUM(AC5:AC21)</f>
        <v>0</v>
      </c>
      <c r="AD23" s="51">
        <f>SUM(AD5:AD21)</f>
        <v>0</v>
      </c>
      <c r="AE23" s="51">
        <f>SUM(AE22:AE22)</f>
        <v>0</v>
      </c>
      <c r="AF23" s="51">
        <f>SUM(AF5:AF21)</f>
        <v>-10848.494642857142</v>
      </c>
      <c r="AG23" s="51">
        <f>SUM(AG22:AG22)</f>
        <v>0</v>
      </c>
    </row>
    <row r="24" spans="1:33" s="77" customFormat="1" ht="10.199999999999999" x14ac:dyDescent="0.2"/>
    <row r="25" spans="1:33" x14ac:dyDescent="0.3">
      <c r="H25" s="85"/>
      <c r="I25" s="85"/>
      <c r="J25" s="85"/>
      <c r="K25" s="85"/>
    </row>
    <row r="26" spans="1:33" x14ac:dyDescent="0.3">
      <c r="H26" s="85"/>
      <c r="I26" s="85"/>
      <c r="J26" s="85"/>
      <c r="K26" s="85"/>
      <c r="Q26" s="5">
        <v>0</v>
      </c>
    </row>
    <row r="27" spans="1:33" s="3" customFormat="1" ht="11.4" x14ac:dyDescent="0.2">
      <c r="H27" s="86"/>
      <c r="I27" s="86"/>
      <c r="J27" s="86"/>
      <c r="K27" s="86"/>
      <c r="T27" s="5"/>
      <c r="U27" s="5"/>
      <c r="V27" s="5"/>
      <c r="W27" s="5"/>
      <c r="X27" s="5"/>
      <c r="Y27" s="5"/>
    </row>
    <row r="28" spans="1:33" x14ac:dyDescent="0.3">
      <c r="H28" s="85"/>
      <c r="I28" s="85"/>
      <c r="J28" s="85"/>
      <c r="K28" s="85"/>
    </row>
    <row r="29" spans="1:33" x14ac:dyDescent="0.3">
      <c r="H29" s="85"/>
      <c r="I29" s="85"/>
      <c r="J29" s="85"/>
      <c r="K29" s="85"/>
    </row>
    <row r="30" spans="1:33" x14ac:dyDescent="0.3">
      <c r="H30" s="85"/>
      <c r="I30" s="85"/>
      <c r="J30" s="85"/>
      <c r="K30" s="85"/>
    </row>
    <row r="31" spans="1:33" x14ac:dyDescent="0.3">
      <c r="H31" s="85"/>
      <c r="I31" s="85"/>
      <c r="J31" s="85"/>
      <c r="K31" s="85"/>
    </row>
    <row r="32" spans="1:33" x14ac:dyDescent="0.3">
      <c r="H32" s="87"/>
      <c r="I32" s="87"/>
      <c r="J32" s="87"/>
      <c r="K32" s="87"/>
    </row>
    <row r="33" spans="8:11" x14ac:dyDescent="0.3">
      <c r="H33" s="87"/>
      <c r="I33" s="87"/>
      <c r="J33" s="87"/>
      <c r="K33" s="87"/>
    </row>
    <row r="34" spans="8:11" s="3" customFormat="1" ht="10.199999999999999" x14ac:dyDescent="0.2">
      <c r="H34" s="87"/>
      <c r="I34" s="87"/>
      <c r="J34" s="87"/>
      <c r="K34" s="87"/>
    </row>
    <row r="35" spans="8:11" s="3" customFormat="1" ht="10.199999999999999" x14ac:dyDescent="0.2">
      <c r="H35" s="87"/>
      <c r="I35" s="87"/>
      <c r="J35" s="87"/>
      <c r="K35" s="87"/>
    </row>
    <row r="36" spans="8:11" s="3" customFormat="1" ht="10.199999999999999" x14ac:dyDescent="0.2">
      <c r="H36" s="87"/>
      <c r="I36" s="87"/>
      <c r="J36" s="87"/>
      <c r="K36" s="8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MJ29"/>
  <sheetViews>
    <sheetView topLeftCell="Q1" zoomScaleNormal="100" workbookViewId="0">
      <selection activeCell="V4" sqref="V4"/>
    </sheetView>
  </sheetViews>
  <sheetFormatPr defaultRowHeight="14.4" x14ac:dyDescent="0.3"/>
  <cols>
    <col min="1" max="1" width="8.109375" style="1" customWidth="1"/>
    <col min="2" max="2" width="7.21875" style="2" customWidth="1"/>
    <col min="3" max="3" width="26.109375" style="3" customWidth="1"/>
    <col min="4" max="4" width="14" style="4" customWidth="1"/>
    <col min="5" max="5" width="29.33203125" style="4" customWidth="1"/>
    <col min="6" max="6" width="7.88671875" style="2" customWidth="1"/>
    <col min="7" max="7" width="26.5546875" style="3" customWidth="1"/>
    <col min="8" max="8" width="11.109375" style="5" customWidth="1"/>
    <col min="9" max="9" width="9.5546875" style="5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11.1093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10.6640625" style="5" customWidth="1"/>
    <col min="19" max="19" width="9.5546875" style="5" customWidth="1"/>
    <col min="20" max="20" width="9.109375" style="5" customWidth="1"/>
    <col min="21" max="21" width="10.5546875" style="5" customWidth="1"/>
    <col min="22" max="22" width="8.109375" style="5" customWidth="1"/>
    <col min="23" max="23" width="9.88671875" style="5" customWidth="1"/>
    <col min="24" max="24" width="9.21875" style="5" customWidth="1"/>
    <col min="25" max="25" width="8.21875" style="5" customWidth="1"/>
    <col min="26" max="26" width="8.6640625" style="5" customWidth="1"/>
    <col min="27" max="27" width="9.5546875" style="5" customWidth="1"/>
    <col min="28" max="29" width="8" style="5" customWidth="1"/>
    <col min="30" max="30" width="10.109375" style="5" customWidth="1"/>
    <col min="31" max="31" width="10.6640625" style="5" customWidth="1"/>
    <col min="32" max="32" width="8.88671875" style="3" customWidth="1"/>
    <col min="33" max="1023" width="9.109375" style="3" customWidth="1"/>
    <col min="1024" max="1025" width="9.109375" customWidth="1"/>
  </cols>
  <sheetData>
    <row r="1" spans="1:1024" ht="12" customHeight="1" x14ac:dyDescent="0.3">
      <c r="A1" s="7" t="s">
        <v>0</v>
      </c>
      <c r="C1" s="8"/>
    </row>
    <row r="2" spans="1:1024" ht="12" customHeight="1" x14ac:dyDescent="0.3">
      <c r="A2" s="7" t="s">
        <v>1</v>
      </c>
    </row>
    <row r="3" spans="1:1024" ht="12" customHeight="1" x14ac:dyDescent="0.3">
      <c r="A3" s="96" t="s">
        <v>901</v>
      </c>
      <c r="B3" s="97"/>
      <c r="C3" s="98"/>
      <c r="D3" s="74"/>
      <c r="E3" s="74"/>
      <c r="F3" s="75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 t="s">
        <v>3</v>
      </c>
      <c r="Y3" s="10"/>
      <c r="Z3" s="10">
        <v>6230</v>
      </c>
      <c r="AA3" s="10" t="s">
        <v>4</v>
      </c>
      <c r="AB3" s="10">
        <v>6202</v>
      </c>
      <c r="AC3" s="10"/>
      <c r="AD3" s="10">
        <v>6109</v>
      </c>
      <c r="AE3" s="10">
        <v>1002</v>
      </c>
    </row>
    <row r="4" spans="1:1024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771</v>
      </c>
      <c r="T4" s="13" t="s">
        <v>24</v>
      </c>
      <c r="U4" s="13" t="s">
        <v>22</v>
      </c>
      <c r="V4" s="13" t="s">
        <v>27</v>
      </c>
      <c r="W4" s="13" t="s">
        <v>28</v>
      </c>
      <c r="X4" s="13" t="s">
        <v>29</v>
      </c>
      <c r="Y4" s="13" t="s">
        <v>30</v>
      </c>
      <c r="Z4" s="13" t="s">
        <v>31</v>
      </c>
      <c r="AA4" s="13" t="s">
        <v>32</v>
      </c>
      <c r="AB4" s="14" t="s">
        <v>613</v>
      </c>
      <c r="AC4" s="13" t="s">
        <v>34</v>
      </c>
      <c r="AD4" s="15" t="s">
        <v>35</v>
      </c>
      <c r="AE4" s="16" t="s">
        <v>36</v>
      </c>
      <c r="AMJ4"/>
    </row>
    <row r="5" spans="1:1024" s="17" customFormat="1" ht="16.5" customHeight="1" x14ac:dyDescent="0.3">
      <c r="A5" s="81">
        <v>44161</v>
      </c>
      <c r="B5" s="12"/>
      <c r="C5" s="20" t="s">
        <v>406</v>
      </c>
      <c r="D5" s="12"/>
      <c r="E5" s="12"/>
      <c r="F5" s="82">
        <v>32315</v>
      </c>
      <c r="G5" s="82" t="s">
        <v>902</v>
      </c>
      <c r="H5" s="84"/>
      <c r="I5" s="82"/>
      <c r="J5" s="84"/>
      <c r="K5" s="84">
        <v>50</v>
      </c>
      <c r="L5" s="83"/>
      <c r="M5" s="24">
        <f t="shared" ref="M5:M12" si="0">SUM(H5:J5,K5/1.12)</f>
        <v>44.642857142857139</v>
      </c>
      <c r="N5" s="24">
        <f t="shared" ref="N5:N12" si="1">K5/1.12*0.12</f>
        <v>5.3571428571428568</v>
      </c>
      <c r="O5" s="24">
        <f t="shared" ref="O5:O12" si="2">-SUM(I5:J5,K5/1.12)*L5</f>
        <v>0</v>
      </c>
      <c r="P5" s="24"/>
      <c r="Q5" s="25"/>
      <c r="R5" s="25"/>
      <c r="S5" s="26"/>
      <c r="T5" s="26"/>
      <c r="U5" s="26"/>
      <c r="V5" s="26"/>
      <c r="W5" s="25"/>
      <c r="X5" s="25"/>
      <c r="Y5" s="25"/>
      <c r="Z5" s="25"/>
      <c r="AA5" s="26"/>
      <c r="AB5" s="26"/>
      <c r="AC5" s="26">
        <v>44.64</v>
      </c>
      <c r="AD5" s="25"/>
      <c r="AE5" s="24">
        <f t="shared" ref="AE5:AE12" si="3">-SUM(N5:AD5)</f>
        <v>-49.997142857142855</v>
      </c>
      <c r="AF5" s="27">
        <f t="shared" ref="AF5:AF12" si="4">SUM(H5:K5)+AE5+O5</f>
        <v>2.8571428571453339E-3</v>
      </c>
      <c r="AG5" s="91">
        <f>-AE5</f>
        <v>49.997142857142855</v>
      </c>
      <c r="AMJ5"/>
    </row>
    <row r="6" spans="1:1024" s="17" customFormat="1" ht="21" customHeight="1" x14ac:dyDescent="0.3">
      <c r="A6" s="81">
        <v>44161</v>
      </c>
      <c r="B6" s="12"/>
      <c r="C6" s="20" t="s">
        <v>903</v>
      </c>
      <c r="D6" s="12"/>
      <c r="E6" s="12"/>
      <c r="F6" s="82">
        <v>120559</v>
      </c>
      <c r="G6" s="82" t="s">
        <v>904</v>
      </c>
      <c r="H6" s="84"/>
      <c r="I6" s="82"/>
      <c r="J6" s="84"/>
      <c r="K6" s="84">
        <v>2080</v>
      </c>
      <c r="L6" s="83"/>
      <c r="M6" s="24">
        <f t="shared" si="0"/>
        <v>1857.1428571428569</v>
      </c>
      <c r="N6" s="24">
        <f t="shared" si="1"/>
        <v>222.8571428571428</v>
      </c>
      <c r="O6" s="24">
        <f t="shared" si="2"/>
        <v>0</v>
      </c>
      <c r="P6" s="24"/>
      <c r="Q6" s="25">
        <v>1857.14</v>
      </c>
      <c r="R6" s="25"/>
      <c r="S6" s="26"/>
      <c r="T6" s="26"/>
      <c r="U6" s="26"/>
      <c r="V6" s="26"/>
      <c r="W6" s="25"/>
      <c r="X6" s="25"/>
      <c r="Y6" s="25"/>
      <c r="Z6" s="25"/>
      <c r="AA6" s="26"/>
      <c r="AB6" s="26"/>
      <c r="AC6" s="25"/>
      <c r="AD6" s="25"/>
      <c r="AE6" s="24">
        <f t="shared" si="3"/>
        <v>-2079.997142857143</v>
      </c>
      <c r="AF6" s="27">
        <f t="shared" si="4"/>
        <v>2.8571428570103308E-3</v>
      </c>
      <c r="AG6" s="91">
        <f>-AE6</f>
        <v>2079.997142857143</v>
      </c>
      <c r="AMJ6"/>
    </row>
    <row r="7" spans="1:1024" s="17" customFormat="1" ht="19.5" customHeight="1" x14ac:dyDescent="0.3">
      <c r="A7" s="81">
        <v>44161</v>
      </c>
      <c r="B7" s="12"/>
      <c r="C7" s="20" t="s">
        <v>605</v>
      </c>
      <c r="D7" s="12"/>
      <c r="E7" s="12"/>
      <c r="F7" s="82"/>
      <c r="G7" s="82" t="s">
        <v>90</v>
      </c>
      <c r="H7" s="84">
        <v>60</v>
      </c>
      <c r="I7" s="82"/>
      <c r="J7" s="84"/>
      <c r="K7" s="84"/>
      <c r="L7" s="83"/>
      <c r="M7" s="24">
        <f t="shared" si="0"/>
        <v>60</v>
      </c>
      <c r="N7" s="24">
        <f t="shared" si="1"/>
        <v>0</v>
      </c>
      <c r="O7" s="24">
        <f t="shared" si="2"/>
        <v>0</v>
      </c>
      <c r="P7" s="24"/>
      <c r="Q7" s="25"/>
      <c r="R7" s="25"/>
      <c r="S7" s="26"/>
      <c r="T7" s="26"/>
      <c r="U7" s="26"/>
      <c r="V7" s="26"/>
      <c r="W7" s="25"/>
      <c r="X7" s="25"/>
      <c r="Y7" s="25"/>
      <c r="Z7" s="25">
        <v>60</v>
      </c>
      <c r="AA7" s="26"/>
      <c r="AB7" s="26"/>
      <c r="AC7" s="25"/>
      <c r="AD7" s="25"/>
      <c r="AE7" s="24">
        <f t="shared" si="3"/>
        <v>-60</v>
      </c>
      <c r="AF7" s="27">
        <f t="shared" si="4"/>
        <v>0</v>
      </c>
      <c r="AG7" s="91">
        <f>-AE7</f>
        <v>60</v>
      </c>
      <c r="AMJ7"/>
    </row>
    <row r="8" spans="1:1024" s="17" customFormat="1" ht="19.5" customHeight="1" x14ac:dyDescent="0.3">
      <c r="A8" s="81">
        <v>44161</v>
      </c>
      <c r="B8" s="12"/>
      <c r="C8" s="20" t="s">
        <v>47</v>
      </c>
      <c r="D8" s="12"/>
      <c r="E8" s="12"/>
      <c r="F8" s="82">
        <v>239459</v>
      </c>
      <c r="G8" s="82" t="s">
        <v>905</v>
      </c>
      <c r="H8" s="84"/>
      <c r="I8" s="82"/>
      <c r="J8" s="84"/>
      <c r="K8" s="84">
        <v>492</v>
      </c>
      <c r="L8" s="83"/>
      <c r="M8" s="24">
        <f t="shared" si="0"/>
        <v>439.28571428571422</v>
      </c>
      <c r="N8" s="24">
        <f t="shared" si="1"/>
        <v>52.714285714285701</v>
      </c>
      <c r="O8" s="24">
        <f t="shared" si="2"/>
        <v>0</v>
      </c>
      <c r="P8" s="24"/>
      <c r="Q8" s="25">
        <v>439.29</v>
      </c>
      <c r="R8" s="25"/>
      <c r="S8" s="26"/>
      <c r="T8" s="26"/>
      <c r="U8" s="26"/>
      <c r="V8" s="26"/>
      <c r="W8" s="25"/>
      <c r="X8" s="25"/>
      <c r="Y8" s="25"/>
      <c r="Z8" s="25"/>
      <c r="AA8" s="26"/>
      <c r="AB8" s="26"/>
      <c r="AC8" s="25"/>
      <c r="AD8" s="25"/>
      <c r="AE8" s="24">
        <f t="shared" si="3"/>
        <v>-492.00428571428574</v>
      </c>
      <c r="AF8" s="27">
        <f t="shared" si="4"/>
        <v>-4.2857142857428698E-3</v>
      </c>
      <c r="AG8" s="91">
        <f>-AE8</f>
        <v>492.00428571428574</v>
      </c>
      <c r="AMJ8"/>
    </row>
    <row r="9" spans="1:1024" s="17" customFormat="1" ht="19.5" customHeight="1" x14ac:dyDescent="0.3">
      <c r="A9" s="81">
        <v>44161</v>
      </c>
      <c r="B9" s="12"/>
      <c r="C9" s="20" t="s">
        <v>47</v>
      </c>
      <c r="D9" s="12"/>
      <c r="E9" s="12"/>
      <c r="F9" s="82">
        <v>239459</v>
      </c>
      <c r="G9" s="82" t="s">
        <v>906</v>
      </c>
      <c r="H9" s="84"/>
      <c r="I9" s="82"/>
      <c r="J9" s="84"/>
      <c r="K9" s="84">
        <v>592.9</v>
      </c>
      <c r="L9" s="83"/>
      <c r="M9" s="24">
        <f t="shared" si="0"/>
        <v>529.37499999999989</v>
      </c>
      <c r="N9" s="24">
        <f t="shared" si="1"/>
        <v>63.524999999999984</v>
      </c>
      <c r="O9" s="24">
        <f t="shared" si="2"/>
        <v>0</v>
      </c>
      <c r="P9" s="24">
        <v>529.38</v>
      </c>
      <c r="Q9" s="25"/>
      <c r="R9" s="25"/>
      <c r="S9" s="26"/>
      <c r="T9" s="26"/>
      <c r="U9" s="26"/>
      <c r="V9" s="26"/>
      <c r="W9" s="25"/>
      <c r="X9" s="25"/>
      <c r="Y9" s="25"/>
      <c r="Z9" s="25"/>
      <c r="AA9" s="26"/>
      <c r="AB9" s="26"/>
      <c r="AC9" s="25"/>
      <c r="AD9" s="25"/>
      <c r="AE9" s="24">
        <f t="shared" si="3"/>
        <v>-592.90499999999997</v>
      </c>
      <c r="AF9" s="27">
        <f t="shared" si="4"/>
        <v>-4.9999999999954525E-3</v>
      </c>
      <c r="AG9" s="91">
        <f>-AE9</f>
        <v>592.90499999999997</v>
      </c>
      <c r="AMJ9"/>
    </row>
    <row r="10" spans="1:1024" s="17" customFormat="1" ht="20.25" customHeight="1" x14ac:dyDescent="0.3">
      <c r="A10" s="81"/>
      <c r="B10" s="12"/>
      <c r="C10" s="20"/>
      <c r="D10" s="12"/>
      <c r="E10" s="12"/>
      <c r="F10" s="82"/>
      <c r="G10" s="82"/>
      <c r="H10" s="84"/>
      <c r="I10" s="82"/>
      <c r="J10" s="84"/>
      <c r="K10" s="84"/>
      <c r="L10" s="83"/>
      <c r="M10" s="24">
        <f t="shared" si="0"/>
        <v>0</v>
      </c>
      <c r="N10" s="24">
        <f t="shared" si="1"/>
        <v>0</v>
      </c>
      <c r="O10" s="24">
        <f t="shared" si="2"/>
        <v>0</v>
      </c>
      <c r="P10" s="24"/>
      <c r="Q10" s="25"/>
      <c r="R10" s="25"/>
      <c r="S10" s="26"/>
      <c r="T10" s="26"/>
      <c r="U10" s="26"/>
      <c r="V10" s="26"/>
      <c r="W10" s="25"/>
      <c r="X10" s="25"/>
      <c r="Y10" s="25"/>
      <c r="Z10" s="25"/>
      <c r="AA10" s="26"/>
      <c r="AB10" s="26"/>
      <c r="AC10" s="25"/>
      <c r="AD10" s="25"/>
      <c r="AE10" s="24">
        <f t="shared" si="3"/>
        <v>0</v>
      </c>
      <c r="AF10" s="27">
        <f t="shared" si="4"/>
        <v>0</v>
      </c>
      <c r="AMJ10"/>
    </row>
    <row r="11" spans="1:1024" s="17" customFormat="1" ht="21.75" customHeight="1" x14ac:dyDescent="0.3">
      <c r="A11" s="81"/>
      <c r="B11" s="12"/>
      <c r="C11" s="82"/>
      <c r="D11" s="12"/>
      <c r="E11" s="12"/>
      <c r="F11" s="82"/>
      <c r="G11" s="57"/>
      <c r="H11" s="84"/>
      <c r="I11" s="82"/>
      <c r="J11" s="84"/>
      <c r="K11" s="84"/>
      <c r="L11" s="13"/>
      <c r="M11" s="24">
        <f t="shared" si="0"/>
        <v>0</v>
      </c>
      <c r="N11" s="24">
        <f t="shared" si="1"/>
        <v>0</v>
      </c>
      <c r="O11" s="24">
        <f t="shared" si="2"/>
        <v>0</v>
      </c>
      <c r="P11" s="24"/>
      <c r="Q11" s="25"/>
      <c r="R11" s="25"/>
      <c r="S11" s="90"/>
      <c r="T11" s="26"/>
      <c r="U11" s="26"/>
      <c r="V11" s="26"/>
      <c r="W11" s="25"/>
      <c r="X11" s="25"/>
      <c r="Y11" s="25"/>
      <c r="Z11" s="25"/>
      <c r="AA11" s="26"/>
      <c r="AB11" s="26"/>
      <c r="AC11" s="25"/>
      <c r="AD11" s="25"/>
      <c r="AE11" s="24">
        <f t="shared" si="3"/>
        <v>0</v>
      </c>
      <c r="AF11" s="27">
        <f t="shared" si="4"/>
        <v>0</v>
      </c>
      <c r="AMJ11"/>
    </row>
    <row r="12" spans="1:1024" s="29" customFormat="1" x14ac:dyDescent="0.3">
      <c r="A12" s="18"/>
      <c r="B12" s="19"/>
      <c r="C12" s="43"/>
      <c r="D12" s="43"/>
      <c r="E12" s="43"/>
      <c r="F12" s="21"/>
      <c r="G12" s="30"/>
      <c r="H12" s="22"/>
      <c r="I12" s="22"/>
      <c r="J12" s="22"/>
      <c r="K12" s="22"/>
      <c r="L12" s="23"/>
      <c r="M12" s="25">
        <f t="shared" si="0"/>
        <v>0</v>
      </c>
      <c r="N12" s="25">
        <f t="shared" si="1"/>
        <v>0</v>
      </c>
      <c r="O12" s="25">
        <f t="shared" si="2"/>
        <v>0</v>
      </c>
      <c r="P12" s="25"/>
      <c r="Q12" s="25"/>
      <c r="R12" s="25"/>
      <c r="S12" s="25"/>
      <c r="T12" s="26"/>
      <c r="U12" s="26"/>
      <c r="V12" s="26"/>
      <c r="W12" s="26"/>
      <c r="X12" s="44"/>
      <c r="Y12" s="25"/>
      <c r="Z12" s="51"/>
      <c r="AA12" s="25"/>
      <c r="AB12" s="26"/>
      <c r="AC12" s="26"/>
      <c r="AD12" s="45"/>
      <c r="AE12" s="24">
        <f t="shared" si="3"/>
        <v>0</v>
      </c>
      <c r="AF12" s="27">
        <f t="shared" si="4"/>
        <v>0</v>
      </c>
      <c r="AMJ12"/>
    </row>
    <row r="13" spans="1:1024" s="52" customFormat="1" x14ac:dyDescent="0.3">
      <c r="A13" s="46"/>
      <c r="B13" s="47"/>
      <c r="C13" s="48"/>
      <c r="D13" s="49"/>
      <c r="E13" s="49"/>
      <c r="F13" s="50"/>
      <c r="G13" s="48"/>
      <c r="H13" s="51">
        <f>SUM(H5:H11)</f>
        <v>60</v>
      </c>
      <c r="I13" s="51">
        <f>SUM(I12:I12)</f>
        <v>0</v>
      </c>
      <c r="J13" s="51">
        <f>SUM(J5:J11)</f>
        <v>0</v>
      </c>
      <c r="K13" s="51">
        <f>SUM(K5:K11)</f>
        <v>3214.9</v>
      </c>
      <c r="L13" s="51">
        <f>SUM(L12:L12)</f>
        <v>0</v>
      </c>
      <c r="M13" s="51">
        <f>SUM(M5:M11)</f>
        <v>2930.4464285714284</v>
      </c>
      <c r="N13" s="51">
        <f>SUM(N5:N11)</f>
        <v>344.45357142857137</v>
      </c>
      <c r="O13" s="51">
        <f>SUM(O12:O12)</f>
        <v>0</v>
      </c>
      <c r="P13" s="51">
        <f>SUM(P5:P11)</f>
        <v>529.38</v>
      </c>
      <c r="Q13" s="51">
        <f>SUM(Q5:Q11)</f>
        <v>2296.4300000000003</v>
      </c>
      <c r="R13" s="51">
        <f>SUM(R5:R11)</f>
        <v>0</v>
      </c>
      <c r="S13" s="51">
        <f>SUM(S11:S12)</f>
        <v>0</v>
      </c>
      <c r="T13" s="51">
        <f>SUM(T11:T12)</f>
        <v>0</v>
      </c>
      <c r="U13" s="51">
        <f>SUM(U11:U12)</f>
        <v>0</v>
      </c>
      <c r="V13" s="51">
        <f>SUM(V12:V12)</f>
        <v>0</v>
      </c>
      <c r="W13" s="51">
        <f>SUM(W12:W12)</f>
        <v>0</v>
      </c>
      <c r="X13" s="51">
        <f>SUM(X12:X12)</f>
        <v>0</v>
      </c>
      <c r="Y13" s="51">
        <f>SUM(Y12:Y12)</f>
        <v>0</v>
      </c>
      <c r="Z13" s="51">
        <f>SUM(Z5:Z11)</f>
        <v>60</v>
      </c>
      <c r="AA13" s="51">
        <f>SUM(AA12:AA12)</f>
        <v>0</v>
      </c>
      <c r="AB13" s="51">
        <f>SUM(AB5:AB11)</f>
        <v>0</v>
      </c>
      <c r="AC13" s="51">
        <f>SUM(AC5:AC11)</f>
        <v>44.64</v>
      </c>
      <c r="AD13" s="51">
        <f>SUM(AD12:AD12)</f>
        <v>0</v>
      </c>
      <c r="AE13" s="51">
        <f>SUM(AE5:AE11)</f>
        <v>-3274.9035714285719</v>
      </c>
      <c r="AF13" s="51">
        <f>SUM(AF12:AF12)</f>
        <v>0</v>
      </c>
      <c r="AMJ13"/>
    </row>
    <row r="14" spans="1:1024" x14ac:dyDescent="0.3">
      <c r="H14" s="85"/>
      <c r="I14" s="85"/>
      <c r="J14" s="85"/>
      <c r="K14" s="85"/>
      <c r="L14" s="88"/>
      <c r="M14" s="87"/>
    </row>
    <row r="15" spans="1:1024" x14ac:dyDescent="0.3">
      <c r="H15" s="85"/>
      <c r="I15" s="85"/>
      <c r="J15" s="85"/>
      <c r="K15" s="85"/>
    </row>
    <row r="16" spans="1:1024" x14ac:dyDescent="0.3">
      <c r="H16" s="85"/>
      <c r="I16" s="85"/>
      <c r="J16" s="85"/>
      <c r="K16" s="85"/>
    </row>
    <row r="17" spans="8:1024" x14ac:dyDescent="0.3">
      <c r="H17" s="85"/>
      <c r="I17" s="85"/>
      <c r="J17" s="85"/>
      <c r="K17" s="85"/>
    </row>
    <row r="18" spans="8:1024" x14ac:dyDescent="0.3">
      <c r="H18" s="85"/>
      <c r="I18" s="85"/>
      <c r="J18" s="85"/>
      <c r="K18" s="85"/>
    </row>
    <row r="19" spans="8:1024" x14ac:dyDescent="0.3">
      <c r="H19" s="85"/>
      <c r="I19" s="85"/>
      <c r="J19" s="85"/>
      <c r="K19" s="85"/>
      <c r="Q19" s="5">
        <v>0</v>
      </c>
    </row>
    <row r="20" spans="8:1024" s="3" customFormat="1" x14ac:dyDescent="0.3">
      <c r="H20" s="86"/>
      <c r="I20" s="86"/>
      <c r="J20" s="86"/>
      <c r="K20" s="86"/>
      <c r="T20" s="5"/>
      <c r="U20" s="5"/>
      <c r="V20" s="5"/>
      <c r="W20" s="5"/>
      <c r="X20" s="5"/>
      <c r="AMJ20"/>
    </row>
    <row r="21" spans="8:1024" x14ac:dyDescent="0.3">
      <c r="H21" s="85"/>
      <c r="I21" s="85"/>
      <c r="J21" s="85"/>
      <c r="K21" s="85"/>
    </row>
    <row r="22" spans="8:1024" x14ac:dyDescent="0.3">
      <c r="H22" s="85"/>
      <c r="I22" s="85"/>
      <c r="J22" s="85"/>
      <c r="K22" s="85"/>
    </row>
    <row r="23" spans="8:1024" x14ac:dyDescent="0.3">
      <c r="H23" s="85"/>
      <c r="I23" s="85"/>
      <c r="J23" s="85"/>
      <c r="K23" s="85"/>
    </row>
    <row r="24" spans="8:1024" x14ac:dyDescent="0.3">
      <c r="H24" s="85"/>
      <c r="I24" s="85"/>
      <c r="J24" s="85"/>
      <c r="K24" s="85"/>
    </row>
    <row r="25" spans="8:1024" x14ac:dyDescent="0.3">
      <c r="H25" s="87"/>
      <c r="I25" s="87"/>
      <c r="J25" s="87"/>
      <c r="K25" s="87"/>
    </row>
    <row r="26" spans="8:1024" x14ac:dyDescent="0.3">
      <c r="H26" s="87"/>
      <c r="I26" s="87"/>
      <c r="J26" s="87"/>
      <c r="K26" s="87"/>
    </row>
    <row r="27" spans="8:1024" s="3" customFormat="1" x14ac:dyDescent="0.3">
      <c r="H27" s="87"/>
      <c r="I27" s="87"/>
      <c r="J27" s="87"/>
      <c r="K27" s="87"/>
      <c r="AMJ27"/>
    </row>
    <row r="28" spans="8:1024" s="3" customFormat="1" x14ac:dyDescent="0.3">
      <c r="H28" s="87"/>
      <c r="I28" s="87"/>
      <c r="J28" s="87"/>
      <c r="K28" s="87"/>
      <c r="AMJ28"/>
    </row>
    <row r="29" spans="8:1024" s="3" customFormat="1" x14ac:dyDescent="0.3">
      <c r="H29" s="87"/>
      <c r="I29" s="87"/>
      <c r="J29" s="87"/>
      <c r="K29" s="87"/>
      <c r="AMJ29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MK42"/>
  <sheetViews>
    <sheetView topLeftCell="T1" zoomScaleNormal="100" workbookViewId="0">
      <selection activeCell="W4" sqref="W4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6.109375" style="3" customWidth="1"/>
    <col min="4" max="4" width="14" style="4" hidden="1" customWidth="1"/>
    <col min="5" max="5" width="29.33203125" style="4" hidden="1" customWidth="1"/>
    <col min="6" max="6" width="7.88671875" style="2" customWidth="1"/>
    <col min="7" max="7" width="26.5546875" style="3" customWidth="1"/>
    <col min="8" max="8" width="11.109375" style="5" customWidth="1"/>
    <col min="9" max="9" width="9.5546875" style="5" hidden="1" customWidth="1"/>
    <col min="10" max="10" width="9.6640625" style="5" customWidth="1"/>
    <col min="11" max="11" width="10.44140625" style="5" customWidth="1"/>
    <col min="12" max="12" width="7.88671875" style="6" hidden="1" customWidth="1"/>
    <col min="13" max="13" width="9.6640625" style="5" customWidth="1"/>
    <col min="14" max="14" width="11.109375" style="5" customWidth="1"/>
    <col min="15" max="15" width="9" style="5" hidden="1" customWidth="1"/>
    <col min="16" max="16" width="9.88671875" style="5" customWidth="1"/>
    <col min="17" max="17" width="10.88671875" style="5" customWidth="1"/>
    <col min="18" max="18" width="10.6640625" style="5" customWidth="1"/>
    <col min="19" max="19" width="9.5546875" style="5" customWidth="1"/>
    <col min="20" max="21" width="9.109375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30" width="8" style="5" customWidth="1"/>
    <col min="31" max="31" width="10.109375" style="5" customWidth="1"/>
    <col min="32" max="32" width="10.6640625" style="5" customWidth="1"/>
    <col min="33" max="33" width="8.88671875" style="3" customWidth="1"/>
    <col min="34" max="1025" width="9.109375" style="3" customWidth="1"/>
  </cols>
  <sheetData>
    <row r="1" spans="1:34" ht="12" customHeight="1" x14ac:dyDescent="0.3">
      <c r="A1" s="7" t="s">
        <v>0</v>
      </c>
      <c r="C1" s="8"/>
    </row>
    <row r="2" spans="1:34" ht="12" customHeight="1" x14ac:dyDescent="0.3">
      <c r="A2" s="7" t="s">
        <v>1</v>
      </c>
    </row>
    <row r="3" spans="1:34" ht="12" customHeight="1" x14ac:dyDescent="0.3">
      <c r="A3" s="96" t="s">
        <v>907</v>
      </c>
      <c r="B3" s="97"/>
      <c r="C3" s="98"/>
      <c r="D3" s="74"/>
      <c r="E3" s="74"/>
      <c r="F3" s="75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4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771</v>
      </c>
      <c r="T4" s="13" t="s">
        <v>24</v>
      </c>
      <c r="U4" s="13" t="s">
        <v>34</v>
      </c>
      <c r="V4" s="13" t="s">
        <v>22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613</v>
      </c>
      <c r="AD4" s="13" t="s">
        <v>34</v>
      </c>
      <c r="AE4" s="15" t="s">
        <v>35</v>
      </c>
      <c r="AF4" s="16" t="s">
        <v>36</v>
      </c>
    </row>
    <row r="5" spans="1:34" s="17" customFormat="1" ht="35.25" customHeight="1" x14ac:dyDescent="0.2">
      <c r="A5" s="81">
        <v>44163</v>
      </c>
      <c r="B5" s="12"/>
      <c r="C5" s="20" t="s">
        <v>908</v>
      </c>
      <c r="D5" s="12"/>
      <c r="E5" s="12"/>
      <c r="F5" s="82"/>
      <c r="G5" s="82" t="s">
        <v>496</v>
      </c>
      <c r="H5" s="84"/>
      <c r="I5" s="82"/>
      <c r="J5" s="84">
        <v>100</v>
      </c>
      <c r="K5" s="84"/>
      <c r="L5" s="83"/>
      <c r="M5" s="24">
        <f t="shared" ref="M5:M22" si="0">SUM(H5:J5,K5/1.12)</f>
        <v>100</v>
      </c>
      <c r="N5" s="24">
        <f t="shared" ref="N5:N22" si="1">K5/1.12*0.12</f>
        <v>0</v>
      </c>
      <c r="O5" s="24">
        <f t="shared" ref="O5:O22" si="2">-SUM(I5:J5,K5/1.12)*L5</f>
        <v>0</v>
      </c>
      <c r="P5" s="24">
        <v>100</v>
      </c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>
        <f t="shared" ref="AF5:AF22" si="3">-SUM(N5:AE5)</f>
        <v>-100</v>
      </c>
      <c r="AG5" s="27">
        <f t="shared" ref="AG5:AG22" si="4">SUM(H5:K5)+AF5+O5</f>
        <v>0</v>
      </c>
      <c r="AH5" s="91">
        <f t="shared" ref="AH5:AH16" si="5">-AF5</f>
        <v>100</v>
      </c>
    </row>
    <row r="6" spans="1:34" s="17" customFormat="1" ht="35.25" hidden="1" customHeight="1" x14ac:dyDescent="0.2">
      <c r="A6" s="81">
        <v>44163</v>
      </c>
      <c r="B6" s="12"/>
      <c r="C6" s="20" t="s">
        <v>887</v>
      </c>
      <c r="D6" s="12"/>
      <c r="E6" s="12"/>
      <c r="F6" s="82">
        <v>205958</v>
      </c>
      <c r="G6" s="82" t="s">
        <v>888</v>
      </c>
      <c r="H6" s="84"/>
      <c r="I6" s="82"/>
      <c r="J6" s="84"/>
      <c r="K6" s="84">
        <v>1155</v>
      </c>
      <c r="L6" s="83"/>
      <c r="M6" s="24">
        <f t="shared" si="0"/>
        <v>1031.25</v>
      </c>
      <c r="N6" s="24">
        <f t="shared" si="1"/>
        <v>123.75</v>
      </c>
      <c r="O6" s="24">
        <f t="shared" si="2"/>
        <v>0</v>
      </c>
      <c r="P6" s="24"/>
      <c r="Q6" s="25"/>
      <c r="R6" s="25">
        <v>1031.25</v>
      </c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>
        <f t="shared" si="3"/>
        <v>-1155</v>
      </c>
      <c r="AG6" s="27">
        <f t="shared" si="4"/>
        <v>0</v>
      </c>
      <c r="AH6" s="91">
        <f t="shared" si="5"/>
        <v>1155</v>
      </c>
    </row>
    <row r="7" spans="1:34" s="17" customFormat="1" ht="19.5" hidden="1" customHeight="1" x14ac:dyDescent="0.2">
      <c r="A7" s="81">
        <v>44165</v>
      </c>
      <c r="B7" s="12"/>
      <c r="C7" s="20" t="s">
        <v>909</v>
      </c>
      <c r="D7" s="12"/>
      <c r="E7" s="12"/>
      <c r="F7" s="82"/>
      <c r="G7" s="82" t="s">
        <v>910</v>
      </c>
      <c r="H7" s="84"/>
      <c r="I7" s="82"/>
      <c r="J7" s="84"/>
      <c r="K7" s="84">
        <v>125</v>
      </c>
      <c r="L7" s="83"/>
      <c r="M7" s="24">
        <f t="shared" si="0"/>
        <v>111.60714285714285</v>
      </c>
      <c r="N7" s="24">
        <f t="shared" si="1"/>
        <v>13.392857142857141</v>
      </c>
      <c r="O7" s="24">
        <f t="shared" si="2"/>
        <v>0</v>
      </c>
      <c r="P7" s="24"/>
      <c r="Q7" s="25">
        <v>111.61</v>
      </c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>
        <f t="shared" si="3"/>
        <v>-125.00285714285714</v>
      </c>
      <c r="AG7" s="27">
        <f t="shared" si="4"/>
        <v>-2.8571428571382285E-3</v>
      </c>
      <c r="AH7" s="91">
        <f t="shared" si="5"/>
        <v>125.00285714285714</v>
      </c>
    </row>
    <row r="8" spans="1:34" s="17" customFormat="1" ht="19.5" hidden="1" customHeight="1" x14ac:dyDescent="0.2">
      <c r="A8" s="81">
        <v>44166</v>
      </c>
      <c r="B8" s="12"/>
      <c r="C8" s="20" t="s">
        <v>765</v>
      </c>
      <c r="D8" s="12"/>
      <c r="E8" s="12"/>
      <c r="F8" s="82"/>
      <c r="G8" s="82" t="s">
        <v>911</v>
      </c>
      <c r="H8" s="84"/>
      <c r="I8" s="82"/>
      <c r="J8" s="84"/>
      <c r="K8" s="84">
        <v>197.5</v>
      </c>
      <c r="L8" s="83"/>
      <c r="M8" s="24">
        <f t="shared" si="0"/>
        <v>176.33928571428569</v>
      </c>
      <c r="N8" s="24">
        <f t="shared" si="1"/>
        <v>21.160714285714281</v>
      </c>
      <c r="O8" s="24">
        <f t="shared" si="2"/>
        <v>0</v>
      </c>
      <c r="P8" s="24">
        <v>176.34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>
        <f t="shared" si="3"/>
        <v>-197.50071428571428</v>
      </c>
      <c r="AG8" s="27">
        <f t="shared" si="4"/>
        <v>-7.142857142810044E-4</v>
      </c>
      <c r="AH8" s="91">
        <f t="shared" si="5"/>
        <v>197.50071428571428</v>
      </c>
    </row>
    <row r="9" spans="1:34" s="17" customFormat="1" ht="19.5" hidden="1" customHeight="1" x14ac:dyDescent="0.2">
      <c r="A9" s="81">
        <v>44167</v>
      </c>
      <c r="B9" s="12"/>
      <c r="C9" s="20" t="s">
        <v>607</v>
      </c>
      <c r="D9" s="12"/>
      <c r="E9" s="12"/>
      <c r="F9" s="82"/>
      <c r="G9" s="82" t="s">
        <v>568</v>
      </c>
      <c r="H9" s="84"/>
      <c r="I9" s="82"/>
      <c r="J9" s="84">
        <v>1200</v>
      </c>
      <c r="K9" s="84"/>
      <c r="L9" s="83"/>
      <c r="M9" s="24">
        <f t="shared" si="0"/>
        <v>1200</v>
      </c>
      <c r="N9" s="24">
        <f t="shared" si="1"/>
        <v>0</v>
      </c>
      <c r="O9" s="24">
        <f t="shared" si="2"/>
        <v>0</v>
      </c>
      <c r="P9" s="24">
        <v>1200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>
        <f t="shared" si="3"/>
        <v>-1200</v>
      </c>
      <c r="AG9" s="27">
        <f t="shared" si="4"/>
        <v>0</v>
      </c>
      <c r="AH9" s="91">
        <f t="shared" si="5"/>
        <v>1200</v>
      </c>
    </row>
    <row r="10" spans="1:34" s="17" customFormat="1" ht="19.5" hidden="1" customHeight="1" x14ac:dyDescent="0.2">
      <c r="A10" s="81">
        <v>44167</v>
      </c>
      <c r="B10" s="12"/>
      <c r="C10" s="20" t="s">
        <v>605</v>
      </c>
      <c r="D10" s="12"/>
      <c r="E10" s="12"/>
      <c r="F10" s="82"/>
      <c r="G10" s="82" t="s">
        <v>912</v>
      </c>
      <c r="H10" s="84">
        <v>60</v>
      </c>
      <c r="I10" s="82"/>
      <c r="J10" s="84"/>
      <c r="K10" s="84"/>
      <c r="L10" s="83"/>
      <c r="M10" s="24">
        <f t="shared" si="0"/>
        <v>60</v>
      </c>
      <c r="N10" s="24">
        <f t="shared" si="1"/>
        <v>0</v>
      </c>
      <c r="O10" s="24">
        <f t="shared" si="2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>
        <v>60</v>
      </c>
      <c r="AB10" s="26"/>
      <c r="AC10" s="26"/>
      <c r="AD10" s="25"/>
      <c r="AE10" s="25"/>
      <c r="AF10" s="24">
        <f t="shared" si="3"/>
        <v>-60</v>
      </c>
      <c r="AG10" s="27">
        <f t="shared" si="4"/>
        <v>0</v>
      </c>
      <c r="AH10" s="91">
        <f t="shared" si="5"/>
        <v>60</v>
      </c>
    </row>
    <row r="11" spans="1:34" s="17" customFormat="1" ht="21.75" hidden="1" customHeight="1" x14ac:dyDescent="0.2">
      <c r="A11" s="81">
        <v>44167</v>
      </c>
      <c r="B11" s="12"/>
      <c r="C11" s="20" t="s">
        <v>913</v>
      </c>
      <c r="D11" s="12"/>
      <c r="E11" s="12"/>
      <c r="F11" s="82"/>
      <c r="G11" s="82" t="s">
        <v>914</v>
      </c>
      <c r="H11" s="84"/>
      <c r="I11" s="82"/>
      <c r="J11" s="84">
        <v>2160.9699999999998</v>
      </c>
      <c r="K11" s="84"/>
      <c r="L11" s="83"/>
      <c r="M11" s="24">
        <f t="shared" si="0"/>
        <v>2160.9699999999998</v>
      </c>
      <c r="N11" s="24">
        <f t="shared" si="1"/>
        <v>0</v>
      </c>
      <c r="O11" s="24">
        <f t="shared" si="2"/>
        <v>0</v>
      </c>
      <c r="P11" s="24">
        <v>2160.9699999999998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>
        <f t="shared" si="3"/>
        <v>-2160.9699999999998</v>
      </c>
      <c r="AG11" s="27">
        <f t="shared" si="4"/>
        <v>0</v>
      </c>
      <c r="AH11" s="91">
        <f t="shared" si="5"/>
        <v>2160.9699999999998</v>
      </c>
    </row>
    <row r="12" spans="1:34" s="17" customFormat="1" ht="18" hidden="1" customHeight="1" x14ac:dyDescent="0.2">
      <c r="A12" s="81">
        <v>44167</v>
      </c>
      <c r="B12" s="12"/>
      <c r="C12" s="20" t="s">
        <v>45</v>
      </c>
      <c r="D12" s="12"/>
      <c r="E12" s="12"/>
      <c r="F12" s="82"/>
      <c r="G12" s="82" t="s">
        <v>915</v>
      </c>
      <c r="H12" s="84">
        <v>50</v>
      </c>
      <c r="I12" s="12"/>
      <c r="J12" s="84"/>
      <c r="K12" s="84"/>
      <c r="L12" s="13"/>
      <c r="M12" s="24">
        <f t="shared" si="0"/>
        <v>50</v>
      </c>
      <c r="N12" s="24">
        <f t="shared" si="1"/>
        <v>0</v>
      </c>
      <c r="O12" s="24">
        <f t="shared" si="2"/>
        <v>0</v>
      </c>
      <c r="P12" s="24"/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>
        <v>50</v>
      </c>
      <c r="AB12" s="26"/>
      <c r="AC12" s="26"/>
      <c r="AD12" s="25"/>
      <c r="AE12" s="25"/>
      <c r="AF12" s="24">
        <f t="shared" si="3"/>
        <v>-50</v>
      </c>
      <c r="AG12" s="27">
        <f t="shared" si="4"/>
        <v>0</v>
      </c>
      <c r="AH12" s="91">
        <f t="shared" si="5"/>
        <v>50</v>
      </c>
    </row>
    <row r="13" spans="1:34" s="17" customFormat="1" ht="21.75" hidden="1" customHeight="1" x14ac:dyDescent="0.2">
      <c r="A13" s="81">
        <v>44168</v>
      </c>
      <c r="B13" s="12"/>
      <c r="C13" s="20" t="s">
        <v>765</v>
      </c>
      <c r="D13" s="12"/>
      <c r="E13" s="12"/>
      <c r="F13" s="82"/>
      <c r="G13" s="82" t="s">
        <v>916</v>
      </c>
      <c r="H13" s="84"/>
      <c r="I13" s="82"/>
      <c r="J13" s="84"/>
      <c r="K13" s="84">
        <v>313</v>
      </c>
      <c r="L13" s="13"/>
      <c r="M13" s="24">
        <f t="shared" si="0"/>
        <v>279.46428571428567</v>
      </c>
      <c r="N13" s="24">
        <f t="shared" si="1"/>
        <v>33.535714285714278</v>
      </c>
      <c r="O13" s="24">
        <f t="shared" si="2"/>
        <v>0</v>
      </c>
      <c r="P13" s="24">
        <v>279.45999999999998</v>
      </c>
      <c r="Q13" s="25"/>
      <c r="R13" s="25"/>
      <c r="S13" s="90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>
        <f t="shared" si="3"/>
        <v>-312.99571428571426</v>
      </c>
      <c r="AG13" s="27">
        <f t="shared" si="4"/>
        <v>4.2857142857428698E-3</v>
      </c>
      <c r="AH13" s="91">
        <f t="shared" si="5"/>
        <v>312.99571428571426</v>
      </c>
    </row>
    <row r="14" spans="1:34" s="17" customFormat="1" ht="21.75" hidden="1" customHeight="1" x14ac:dyDescent="0.2">
      <c r="A14" s="81">
        <v>44168</v>
      </c>
      <c r="B14" s="12"/>
      <c r="C14" s="20" t="s">
        <v>917</v>
      </c>
      <c r="D14" s="12"/>
      <c r="E14" s="12"/>
      <c r="F14" s="82"/>
      <c r="G14" s="82" t="s">
        <v>918</v>
      </c>
      <c r="H14" s="84"/>
      <c r="I14" s="82"/>
      <c r="J14" s="82"/>
      <c r="K14" s="84">
        <v>1270</v>
      </c>
      <c r="L14" s="13"/>
      <c r="M14" s="24">
        <f t="shared" si="0"/>
        <v>1133.9285714285713</v>
      </c>
      <c r="N14" s="24">
        <f t="shared" si="1"/>
        <v>136.07142857142856</v>
      </c>
      <c r="O14" s="24">
        <f t="shared" si="2"/>
        <v>0</v>
      </c>
      <c r="P14" s="24">
        <v>1133.93</v>
      </c>
      <c r="Q14" s="25"/>
      <c r="R14" s="25"/>
      <c r="S14" s="90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>
        <f t="shared" si="3"/>
        <v>-1270.0014285714287</v>
      </c>
      <c r="AG14" s="27">
        <f t="shared" si="4"/>
        <v>-1.4285714287325391E-3</v>
      </c>
      <c r="AH14" s="91">
        <f t="shared" si="5"/>
        <v>1270.0014285714287</v>
      </c>
    </row>
    <row r="15" spans="1:34" s="17" customFormat="1" ht="21.75" hidden="1" customHeight="1" x14ac:dyDescent="0.2">
      <c r="A15" s="81">
        <v>44168</v>
      </c>
      <c r="B15" s="12"/>
      <c r="C15" s="20" t="s">
        <v>47</v>
      </c>
      <c r="D15" s="12"/>
      <c r="E15" s="12"/>
      <c r="F15" s="82"/>
      <c r="G15" s="82" t="s">
        <v>919</v>
      </c>
      <c r="H15" s="84"/>
      <c r="I15" s="82"/>
      <c r="J15" s="84">
        <v>886</v>
      </c>
      <c r="K15" s="84"/>
      <c r="L15" s="13"/>
      <c r="M15" s="24">
        <f t="shared" si="0"/>
        <v>886</v>
      </c>
      <c r="N15" s="24">
        <f t="shared" si="1"/>
        <v>0</v>
      </c>
      <c r="O15" s="24">
        <f t="shared" si="2"/>
        <v>0</v>
      </c>
      <c r="P15" s="24">
        <v>886</v>
      </c>
      <c r="Q15" s="25"/>
      <c r="R15" s="25"/>
      <c r="S15" s="90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>
        <f t="shared" si="3"/>
        <v>-886</v>
      </c>
      <c r="AG15" s="27">
        <f t="shared" si="4"/>
        <v>0</v>
      </c>
      <c r="AH15" s="91">
        <f t="shared" si="5"/>
        <v>886</v>
      </c>
    </row>
    <row r="16" spans="1:34" s="17" customFormat="1" ht="34.5" customHeight="1" x14ac:dyDescent="0.2">
      <c r="A16" s="81">
        <v>44168</v>
      </c>
      <c r="B16" s="12"/>
      <c r="C16" s="20" t="s">
        <v>47</v>
      </c>
      <c r="D16" s="12"/>
      <c r="E16" s="12"/>
      <c r="F16" s="82"/>
      <c r="G16" s="82" t="s">
        <v>920</v>
      </c>
      <c r="H16" s="84"/>
      <c r="I16" s="82"/>
      <c r="J16" s="82"/>
      <c r="K16" s="84">
        <v>640.4</v>
      </c>
      <c r="L16" s="13"/>
      <c r="M16" s="24">
        <f t="shared" si="0"/>
        <v>571.78571428571422</v>
      </c>
      <c r="N16" s="24">
        <f t="shared" si="1"/>
        <v>68.6142857142857</v>
      </c>
      <c r="O16" s="24">
        <f t="shared" si="2"/>
        <v>0</v>
      </c>
      <c r="P16" s="24">
        <v>571.79</v>
      </c>
      <c r="Q16" s="25"/>
      <c r="R16" s="25"/>
      <c r="S16" s="90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5"/>
      <c r="AF16" s="24">
        <f t="shared" si="3"/>
        <v>-640.40428571428561</v>
      </c>
      <c r="AG16" s="27">
        <f t="shared" si="4"/>
        <v>-4.285714285629183E-3</v>
      </c>
      <c r="AH16" s="91">
        <f t="shared" si="5"/>
        <v>640.40428571428561</v>
      </c>
    </row>
    <row r="17" spans="1:33" s="17" customFormat="1" ht="21.75" customHeight="1" x14ac:dyDescent="0.2">
      <c r="A17" s="81"/>
      <c r="B17" s="12"/>
      <c r="C17" s="20"/>
      <c r="D17" s="12"/>
      <c r="E17" s="12"/>
      <c r="F17" s="82"/>
      <c r="G17" s="82"/>
      <c r="H17" s="84"/>
      <c r="I17" s="82"/>
      <c r="J17" s="82"/>
      <c r="K17" s="84"/>
      <c r="L17" s="13"/>
      <c r="M17" s="24">
        <f t="shared" si="0"/>
        <v>0</v>
      </c>
      <c r="N17" s="24">
        <f t="shared" si="1"/>
        <v>0</v>
      </c>
      <c r="O17" s="24">
        <f t="shared" si="2"/>
        <v>0</v>
      </c>
      <c r="P17" s="24"/>
      <c r="Q17" s="25"/>
      <c r="R17" s="25"/>
      <c r="S17" s="90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>
        <f t="shared" si="3"/>
        <v>0</v>
      </c>
      <c r="AG17" s="27">
        <f t="shared" si="4"/>
        <v>0</v>
      </c>
    </row>
    <row r="18" spans="1:33" s="17" customFormat="1" ht="21.75" customHeight="1" x14ac:dyDescent="0.2">
      <c r="A18" s="81"/>
      <c r="B18" s="12"/>
      <c r="C18" s="20"/>
      <c r="D18" s="12"/>
      <c r="E18" s="12"/>
      <c r="F18" s="82"/>
      <c r="G18" s="82"/>
      <c r="H18" s="84"/>
      <c r="I18" s="82"/>
      <c r="J18" s="82"/>
      <c r="K18" s="84"/>
      <c r="L18" s="13"/>
      <c r="M18" s="24">
        <f t="shared" si="0"/>
        <v>0</v>
      </c>
      <c r="N18" s="24">
        <f t="shared" si="1"/>
        <v>0</v>
      </c>
      <c r="O18" s="24">
        <f t="shared" si="2"/>
        <v>0</v>
      </c>
      <c r="P18" s="24"/>
      <c r="Q18" s="25"/>
      <c r="R18" s="25"/>
      <c r="S18" s="90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>
        <f t="shared" si="3"/>
        <v>0</v>
      </c>
      <c r="AG18" s="27">
        <f t="shared" si="4"/>
        <v>0</v>
      </c>
    </row>
    <row r="19" spans="1:33" s="17" customFormat="1" ht="21.75" customHeight="1" x14ac:dyDescent="0.2">
      <c r="A19" s="81"/>
      <c r="B19" s="12"/>
      <c r="C19" s="20"/>
      <c r="D19" s="12"/>
      <c r="E19" s="12"/>
      <c r="F19" s="82"/>
      <c r="G19" s="82"/>
      <c r="H19" s="84"/>
      <c r="I19" s="82"/>
      <c r="J19" s="82"/>
      <c r="K19" s="84"/>
      <c r="L19" s="13"/>
      <c r="M19" s="24">
        <f t="shared" si="0"/>
        <v>0</v>
      </c>
      <c r="N19" s="24">
        <f t="shared" si="1"/>
        <v>0</v>
      </c>
      <c r="O19" s="24">
        <f t="shared" si="2"/>
        <v>0</v>
      </c>
      <c r="P19" s="24"/>
      <c r="Q19" s="25"/>
      <c r="R19" s="25"/>
      <c r="S19" s="90"/>
      <c r="T19" s="26"/>
      <c r="U19" s="26"/>
      <c r="V19" s="26"/>
      <c r="W19" s="26"/>
      <c r="X19" s="25"/>
      <c r="Y19" s="25"/>
      <c r="Z19" s="25"/>
      <c r="AA19" s="25"/>
      <c r="AB19" s="26"/>
      <c r="AC19" s="26"/>
      <c r="AD19" s="25"/>
      <c r="AE19" s="25"/>
      <c r="AF19" s="24">
        <f t="shared" si="3"/>
        <v>0</v>
      </c>
      <c r="AG19" s="27">
        <f t="shared" si="4"/>
        <v>0</v>
      </c>
    </row>
    <row r="20" spans="1:33" s="17" customFormat="1" ht="21.75" customHeight="1" x14ac:dyDescent="0.2">
      <c r="A20" s="81"/>
      <c r="B20" s="12"/>
      <c r="C20" s="20"/>
      <c r="D20" s="12"/>
      <c r="E20" s="12"/>
      <c r="F20" s="82"/>
      <c r="G20" s="82"/>
      <c r="H20" s="84"/>
      <c r="I20" s="82"/>
      <c r="J20" s="82"/>
      <c r="K20" s="84"/>
      <c r="L20" s="13"/>
      <c r="M20" s="24">
        <f t="shared" si="0"/>
        <v>0</v>
      </c>
      <c r="N20" s="24">
        <f t="shared" si="1"/>
        <v>0</v>
      </c>
      <c r="O20" s="24">
        <f t="shared" si="2"/>
        <v>0</v>
      </c>
      <c r="P20" s="24"/>
      <c r="Q20" s="25"/>
      <c r="R20" s="25"/>
      <c r="S20" s="90"/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>
        <f t="shared" si="3"/>
        <v>0</v>
      </c>
      <c r="AG20" s="27">
        <f t="shared" si="4"/>
        <v>0</v>
      </c>
    </row>
    <row r="21" spans="1:33" s="17" customFormat="1" ht="21.75" customHeight="1" x14ac:dyDescent="0.2">
      <c r="A21" s="81"/>
      <c r="B21" s="12"/>
      <c r="C21" s="82"/>
      <c r="D21" s="12"/>
      <c r="E21" s="12"/>
      <c r="F21" s="82"/>
      <c r="G21" s="57"/>
      <c r="H21" s="84"/>
      <c r="I21" s="82"/>
      <c r="J21" s="84"/>
      <c r="K21" s="84"/>
      <c r="L21" s="13"/>
      <c r="M21" s="24">
        <f t="shared" si="0"/>
        <v>0</v>
      </c>
      <c r="N21" s="24">
        <f t="shared" si="1"/>
        <v>0</v>
      </c>
      <c r="O21" s="24">
        <f t="shared" si="2"/>
        <v>0</v>
      </c>
      <c r="P21" s="24"/>
      <c r="Q21" s="25"/>
      <c r="R21" s="25"/>
      <c r="S21" s="90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>
        <f t="shared" si="3"/>
        <v>0</v>
      </c>
      <c r="AG21" s="27">
        <f t="shared" si="4"/>
        <v>0</v>
      </c>
    </row>
    <row r="22" spans="1:33" s="29" customFormat="1" ht="10.199999999999999" x14ac:dyDescent="0.2">
      <c r="A22" s="18"/>
      <c r="B22" s="19"/>
      <c r="C22" s="43"/>
      <c r="D22" s="43"/>
      <c r="E22" s="43"/>
      <c r="F22" s="21"/>
      <c r="G22" s="30"/>
      <c r="H22" s="22"/>
      <c r="I22" s="22"/>
      <c r="J22" s="22"/>
      <c r="K22" s="22"/>
      <c r="L22" s="23"/>
      <c r="M22" s="25">
        <f t="shared" si="0"/>
        <v>0</v>
      </c>
      <c r="N22" s="25">
        <f t="shared" si="1"/>
        <v>0</v>
      </c>
      <c r="O22" s="25">
        <f t="shared" si="2"/>
        <v>0</v>
      </c>
      <c r="P22" s="25"/>
      <c r="Q22" s="25"/>
      <c r="R22" s="25"/>
      <c r="S22" s="25"/>
      <c r="T22" s="26"/>
      <c r="U22" s="51"/>
      <c r="V22" s="26"/>
      <c r="W22" s="26"/>
      <c r="X22" s="26"/>
      <c r="Y22" s="44"/>
      <c r="Z22" s="25"/>
      <c r="AA22" s="51"/>
      <c r="AB22" s="25"/>
      <c r="AC22" s="26"/>
      <c r="AD22" s="26"/>
      <c r="AE22" s="45"/>
      <c r="AF22" s="24">
        <f t="shared" si="3"/>
        <v>0</v>
      </c>
      <c r="AG22" s="27">
        <f t="shared" si="4"/>
        <v>0</v>
      </c>
    </row>
    <row r="23" spans="1:33" s="52" customFormat="1" ht="10.199999999999999" x14ac:dyDescent="0.2">
      <c r="A23" s="46"/>
      <c r="B23" s="47"/>
      <c r="C23" s="48"/>
      <c r="D23" s="49"/>
      <c r="E23" s="49"/>
      <c r="F23" s="50"/>
      <c r="G23" s="48"/>
      <c r="H23" s="51">
        <f>SUM(H5:H21)</f>
        <v>110</v>
      </c>
      <c r="I23" s="51">
        <f>SUM(I22:I22)</f>
        <v>0</v>
      </c>
      <c r="J23" s="51">
        <f>SUM(J5:J21)</f>
        <v>4346.9699999999993</v>
      </c>
      <c r="K23" s="51">
        <f>SUM(K5:K21)</f>
        <v>3700.9</v>
      </c>
      <c r="L23" s="51">
        <f>SUM(L22:L22)</f>
        <v>0</v>
      </c>
      <c r="M23" s="51">
        <f>SUM(M5:M21)</f>
        <v>7761.3449999999993</v>
      </c>
      <c r="N23" s="51">
        <f>SUM(N5:N21)</f>
        <v>396.52499999999992</v>
      </c>
      <c r="O23" s="51">
        <f>SUM(O22:O22)</f>
        <v>0</v>
      </c>
      <c r="P23" s="51">
        <f>SUM(P5:P21)</f>
        <v>6508.49</v>
      </c>
      <c r="Q23" s="51">
        <f>SUM(Q5:Q21)</f>
        <v>111.61</v>
      </c>
      <c r="R23" s="51">
        <f>SUM(R5:R21)</f>
        <v>1031.25</v>
      </c>
      <c r="S23" s="51">
        <f>SUM(S11:S22)</f>
        <v>0</v>
      </c>
      <c r="T23" s="51">
        <f>SUM(T11:T22)</f>
        <v>0</v>
      </c>
      <c r="U23" s="51">
        <f>SUM(U11:U22)</f>
        <v>0</v>
      </c>
      <c r="V23" s="51">
        <f>SUM(V11:V22)</f>
        <v>0</v>
      </c>
      <c r="W23" s="51">
        <f>SUM(W22:W22)</f>
        <v>0</v>
      </c>
      <c r="X23" s="51">
        <f>SUM(X22:X22)</f>
        <v>0</v>
      </c>
      <c r="Y23" s="51">
        <f>SUM(Y22:Y22)</f>
        <v>0</v>
      </c>
      <c r="Z23" s="51">
        <f>SUM(Z22:Z22)</f>
        <v>0</v>
      </c>
      <c r="AA23" s="51">
        <f>SUM(AA5:AA21)</f>
        <v>110</v>
      </c>
      <c r="AB23" s="51">
        <f>SUM(AB22:AB22)</f>
        <v>0</v>
      </c>
      <c r="AC23" s="51">
        <f>SUM(AC5:AC21)</f>
        <v>0</v>
      </c>
      <c r="AD23" s="51">
        <f>SUM(AD5:AD21)</f>
        <v>0</v>
      </c>
      <c r="AE23" s="51">
        <f>SUM(AE22:AE22)</f>
        <v>0</v>
      </c>
      <c r="AF23" s="51">
        <f>SUM(AF5:AF21)</f>
        <v>-8157.875</v>
      </c>
      <c r="AG23" s="51">
        <f>SUM(AG22:AG22)</f>
        <v>0</v>
      </c>
    </row>
    <row r="24" spans="1:33" x14ac:dyDescent="0.3">
      <c r="J24" s="78" t="s">
        <v>718</v>
      </c>
      <c r="K24" s="78">
        <f>H23</f>
        <v>110</v>
      </c>
    </row>
    <row r="25" spans="1:33" s="3" customFormat="1" ht="13.2" x14ac:dyDescent="0.25">
      <c r="J25" s="79" t="s">
        <v>719</v>
      </c>
      <c r="K25" s="80">
        <f>SUM(K24:K24)</f>
        <v>110</v>
      </c>
      <c r="L25" s="6"/>
      <c r="M25" s="5"/>
      <c r="Y25" s="5"/>
    </row>
    <row r="26" spans="1:33" x14ac:dyDescent="0.3">
      <c r="J26" s="53" t="s">
        <v>564</v>
      </c>
      <c r="K26" s="53"/>
    </row>
    <row r="27" spans="1:33" x14ac:dyDescent="0.3">
      <c r="H27" s="85"/>
      <c r="I27" s="85"/>
      <c r="J27" s="85"/>
      <c r="K27" s="85"/>
      <c r="L27" s="88"/>
      <c r="M27" s="87"/>
    </row>
    <row r="28" spans="1:33" x14ac:dyDescent="0.3">
      <c r="H28" s="85"/>
      <c r="I28" s="85"/>
      <c r="J28" s="85"/>
      <c r="K28" s="85"/>
    </row>
    <row r="29" spans="1:33" x14ac:dyDescent="0.3">
      <c r="H29" s="85"/>
      <c r="I29" s="85"/>
      <c r="J29" s="85"/>
      <c r="K29" s="85"/>
    </row>
    <row r="30" spans="1:33" x14ac:dyDescent="0.3">
      <c r="H30" s="85"/>
      <c r="I30" s="85"/>
      <c r="J30" s="85"/>
      <c r="K30" s="85"/>
    </row>
    <row r="31" spans="1:33" x14ac:dyDescent="0.3">
      <c r="H31" s="85"/>
      <c r="I31" s="85"/>
      <c r="J31" s="85"/>
      <c r="K31" s="85"/>
    </row>
    <row r="32" spans="1:33" x14ac:dyDescent="0.3">
      <c r="H32" s="85"/>
      <c r="I32" s="85"/>
      <c r="J32" s="85"/>
      <c r="K32" s="85"/>
      <c r="Q32" s="5">
        <v>0</v>
      </c>
    </row>
    <row r="33" spans="8:25" s="3" customFormat="1" ht="11.4" x14ac:dyDescent="0.2">
      <c r="H33" s="86"/>
      <c r="I33" s="86"/>
      <c r="J33" s="86"/>
      <c r="K33" s="86"/>
      <c r="T33" s="5"/>
      <c r="U33" s="5"/>
      <c r="V33" s="5"/>
      <c r="W33" s="5"/>
      <c r="X33" s="5"/>
      <c r="Y33" s="5"/>
    </row>
    <row r="34" spans="8:25" x14ac:dyDescent="0.3">
      <c r="H34" s="85"/>
      <c r="I34" s="85"/>
      <c r="J34" s="85"/>
      <c r="K34" s="85"/>
    </row>
    <row r="35" spans="8:25" x14ac:dyDescent="0.3">
      <c r="H35" s="85"/>
      <c r="I35" s="85"/>
      <c r="J35" s="85"/>
      <c r="K35" s="85"/>
    </row>
    <row r="36" spans="8:25" x14ac:dyDescent="0.3">
      <c r="H36" s="85"/>
      <c r="I36" s="85"/>
      <c r="J36" s="85"/>
      <c r="K36" s="85"/>
    </row>
    <row r="37" spans="8:25" x14ac:dyDescent="0.3">
      <c r="H37" s="85"/>
      <c r="I37" s="85"/>
      <c r="J37" s="85"/>
      <c r="K37" s="85"/>
    </row>
    <row r="38" spans="8:25" x14ac:dyDescent="0.3">
      <c r="H38" s="87"/>
      <c r="I38" s="87"/>
      <c r="J38" s="87"/>
      <c r="K38" s="87"/>
    </row>
    <row r="39" spans="8:25" x14ac:dyDescent="0.3">
      <c r="H39" s="87"/>
      <c r="I39" s="87"/>
      <c r="J39" s="87"/>
      <c r="K39" s="87"/>
    </row>
    <row r="40" spans="8:25" s="3" customFormat="1" ht="10.199999999999999" x14ac:dyDescent="0.2">
      <c r="H40" s="87"/>
      <c r="I40" s="87"/>
      <c r="J40" s="87"/>
      <c r="K40" s="87"/>
    </row>
    <row r="41" spans="8:25" s="3" customFormat="1" ht="10.199999999999999" x14ac:dyDescent="0.2">
      <c r="H41" s="87"/>
      <c r="I41" s="87"/>
      <c r="J41" s="87"/>
      <c r="K41" s="87"/>
    </row>
    <row r="42" spans="8:25" s="3" customFormat="1" ht="10.199999999999999" x14ac:dyDescent="0.2">
      <c r="H42" s="87"/>
      <c r="I42" s="87"/>
      <c r="J42" s="87"/>
      <c r="K42" s="8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MK33"/>
  <sheetViews>
    <sheetView zoomScale="90" zoomScaleNormal="90" workbookViewId="0">
      <selection activeCell="A10" sqref="A10"/>
    </sheetView>
  </sheetViews>
  <sheetFormatPr defaultRowHeight="14.4" x14ac:dyDescent="0.3"/>
  <cols>
    <col min="1" max="1" width="8.109375" style="1" customWidth="1"/>
    <col min="2" max="2" width="7.21875" style="2" customWidth="1"/>
    <col min="3" max="3" width="26.109375" style="3" customWidth="1"/>
    <col min="4" max="4" width="14" style="4" customWidth="1"/>
    <col min="5" max="5" width="29.33203125" style="4" customWidth="1"/>
    <col min="6" max="6" width="7.88671875" style="2" customWidth="1"/>
    <col min="7" max="7" width="26.5546875" style="3" customWidth="1"/>
    <col min="8" max="8" width="11.109375" style="5" customWidth="1"/>
    <col min="9" max="9" width="9.5546875" style="5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10.6640625" style="5" customWidth="1"/>
    <col min="19" max="19" width="9.5546875" style="5" customWidth="1"/>
    <col min="20" max="21" width="9.109375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30" width="8" style="5" customWidth="1"/>
    <col min="31" max="31" width="10.109375" style="5" customWidth="1"/>
    <col min="32" max="32" width="10.6640625" style="5" customWidth="1"/>
    <col min="33" max="33" width="8.88671875" style="3" customWidth="1"/>
    <col min="34" max="1025" width="9.109375" style="3" customWidth="1"/>
  </cols>
  <sheetData>
    <row r="1" spans="1:34" ht="12" customHeight="1" x14ac:dyDescent="0.3">
      <c r="A1" s="7" t="s">
        <v>0</v>
      </c>
      <c r="C1" s="8"/>
    </row>
    <row r="2" spans="1:34" ht="12" customHeight="1" x14ac:dyDescent="0.3">
      <c r="A2" s="7" t="s">
        <v>1</v>
      </c>
    </row>
    <row r="3" spans="1:34" ht="12" customHeight="1" x14ac:dyDescent="0.3">
      <c r="A3" s="7" t="s">
        <v>921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4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771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613</v>
      </c>
      <c r="AD4" s="13" t="s">
        <v>34</v>
      </c>
      <c r="AE4" s="15" t="s">
        <v>35</v>
      </c>
      <c r="AF4" s="16" t="s">
        <v>36</v>
      </c>
    </row>
    <row r="5" spans="1:34" s="17" customFormat="1" ht="19.5" customHeight="1" x14ac:dyDescent="0.2">
      <c r="A5" s="81">
        <v>44169</v>
      </c>
      <c r="B5" s="12"/>
      <c r="C5" s="20" t="s">
        <v>47</v>
      </c>
      <c r="D5" s="12"/>
      <c r="E5" s="12"/>
      <c r="F5" s="82">
        <v>259954</v>
      </c>
      <c r="G5" s="82" t="s">
        <v>922</v>
      </c>
      <c r="H5" s="84"/>
      <c r="I5" s="82"/>
      <c r="J5" s="84"/>
      <c r="K5" s="84">
        <v>1956</v>
      </c>
      <c r="L5" s="83"/>
      <c r="M5" s="24">
        <f t="shared" ref="M5:M19" si="0">SUM(H5:J5,K5/1.12)</f>
        <v>1746.4285714285713</v>
      </c>
      <c r="N5" s="24">
        <f t="shared" ref="N5:N19" si="1">K5/1.12*0.12</f>
        <v>209.57142857142856</v>
      </c>
      <c r="O5" s="24">
        <f t="shared" ref="O5:O19" si="2">-SUM(I5:J5,K5/1.12)*L5</f>
        <v>0</v>
      </c>
      <c r="P5" s="24"/>
      <c r="Q5" s="25">
        <v>1746.43</v>
      </c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>
        <f t="shared" ref="AF5:AF19" si="3">-SUM(N5:AE5)</f>
        <v>-1956.0014285714287</v>
      </c>
      <c r="AG5" s="27">
        <f t="shared" ref="AG5:AG19" si="4">SUM(H5:K5)+AF5+O5</f>
        <v>-1.4285714287325391E-3</v>
      </c>
      <c r="AH5" s="91">
        <f t="shared" ref="AH5:AH16" si="5">-AF5</f>
        <v>1956.0014285714287</v>
      </c>
    </row>
    <row r="6" spans="1:34" s="17" customFormat="1" ht="19.5" customHeight="1" x14ac:dyDescent="0.2">
      <c r="A6" s="81">
        <v>44169</v>
      </c>
      <c r="B6" s="12"/>
      <c r="C6" s="20" t="s">
        <v>47</v>
      </c>
      <c r="D6" s="12"/>
      <c r="E6" s="12"/>
      <c r="F6" s="82">
        <v>323135</v>
      </c>
      <c r="G6" s="82" t="s">
        <v>905</v>
      </c>
      <c r="H6" s="82"/>
      <c r="I6" s="82"/>
      <c r="J6" s="84"/>
      <c r="K6" s="84">
        <v>996</v>
      </c>
      <c r="L6" s="83"/>
      <c r="M6" s="24">
        <f t="shared" si="0"/>
        <v>889.28571428571422</v>
      </c>
      <c r="N6" s="24">
        <f t="shared" si="1"/>
        <v>106.71428571428571</v>
      </c>
      <c r="O6" s="24">
        <f t="shared" si="2"/>
        <v>0</v>
      </c>
      <c r="P6" s="24"/>
      <c r="Q6" s="25">
        <v>889.29</v>
      </c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>
        <f t="shared" si="3"/>
        <v>-996.00428571428563</v>
      </c>
      <c r="AG6" s="27">
        <f t="shared" si="4"/>
        <v>-4.285714285629183E-3</v>
      </c>
      <c r="AH6" s="91">
        <f t="shared" si="5"/>
        <v>996.00428571428563</v>
      </c>
    </row>
    <row r="7" spans="1:34" s="17" customFormat="1" ht="19.5" customHeight="1" x14ac:dyDescent="0.2">
      <c r="A7" s="81"/>
      <c r="B7" s="12"/>
      <c r="C7" s="82"/>
      <c r="D7" s="12"/>
      <c r="E7" s="12"/>
      <c r="F7" s="82"/>
      <c r="G7" s="82"/>
      <c r="H7" s="82"/>
      <c r="I7" s="82"/>
      <c r="J7" s="84"/>
      <c r="K7" s="84"/>
      <c r="L7" s="83"/>
      <c r="M7" s="24">
        <f t="shared" si="0"/>
        <v>0</v>
      </c>
      <c r="N7" s="24">
        <f t="shared" si="1"/>
        <v>0</v>
      </c>
      <c r="O7" s="24">
        <f t="shared" si="2"/>
        <v>0</v>
      </c>
      <c r="P7" s="24"/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>
        <f t="shared" si="3"/>
        <v>0</v>
      </c>
      <c r="AG7" s="27">
        <f t="shared" si="4"/>
        <v>0</v>
      </c>
      <c r="AH7" s="91">
        <f t="shared" si="5"/>
        <v>0</v>
      </c>
    </row>
    <row r="8" spans="1:34" s="17" customFormat="1" ht="19.5" customHeight="1" x14ac:dyDescent="0.2">
      <c r="A8" s="81">
        <v>44169</v>
      </c>
      <c r="B8" s="12"/>
      <c r="C8" s="82" t="s">
        <v>605</v>
      </c>
      <c r="D8" s="12"/>
      <c r="E8" s="12"/>
      <c r="F8" s="82"/>
      <c r="G8" s="82" t="s">
        <v>923</v>
      </c>
      <c r="H8" s="84">
        <v>127</v>
      </c>
      <c r="I8" s="82"/>
      <c r="J8" s="84"/>
      <c r="K8" s="84"/>
      <c r="L8" s="83"/>
      <c r="M8" s="24">
        <f t="shared" si="0"/>
        <v>127</v>
      </c>
      <c r="N8" s="24">
        <f t="shared" si="1"/>
        <v>0</v>
      </c>
      <c r="O8" s="24">
        <f t="shared" si="2"/>
        <v>0</v>
      </c>
      <c r="P8" s="24"/>
      <c r="Q8" s="25"/>
      <c r="R8" s="25"/>
      <c r="S8" s="26"/>
      <c r="T8" s="26"/>
      <c r="U8" s="26"/>
      <c r="V8" s="26"/>
      <c r="W8" s="26"/>
      <c r="X8" s="25"/>
      <c r="Y8" s="25"/>
      <c r="Z8" s="25"/>
      <c r="AA8" s="25">
        <v>127</v>
      </c>
      <c r="AB8" s="26"/>
      <c r="AC8" s="26"/>
      <c r="AD8" s="25"/>
      <c r="AE8" s="25"/>
      <c r="AF8" s="24">
        <f t="shared" si="3"/>
        <v>-127</v>
      </c>
      <c r="AG8" s="27">
        <f t="shared" si="4"/>
        <v>0</v>
      </c>
      <c r="AH8" s="91">
        <f t="shared" si="5"/>
        <v>127</v>
      </c>
    </row>
    <row r="9" spans="1:34" s="17" customFormat="1" ht="19.5" customHeight="1" x14ac:dyDescent="0.2">
      <c r="A9" s="81">
        <v>44169</v>
      </c>
      <c r="B9" s="12"/>
      <c r="C9" s="20" t="s">
        <v>47</v>
      </c>
      <c r="D9" s="12"/>
      <c r="E9" s="12"/>
      <c r="F9" s="82">
        <v>259953</v>
      </c>
      <c r="G9" s="82" t="s">
        <v>924</v>
      </c>
      <c r="H9" s="82"/>
      <c r="I9" s="82"/>
      <c r="J9" s="84">
        <v>96.2</v>
      </c>
      <c r="K9" s="84"/>
      <c r="L9" s="83"/>
      <c r="M9" s="24">
        <f t="shared" si="0"/>
        <v>96.2</v>
      </c>
      <c r="N9" s="24">
        <f t="shared" si="1"/>
        <v>0</v>
      </c>
      <c r="O9" s="24">
        <f t="shared" si="2"/>
        <v>0</v>
      </c>
      <c r="P9" s="24">
        <v>96.2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>
        <f t="shared" si="3"/>
        <v>-96.2</v>
      </c>
      <c r="AG9" s="27">
        <f t="shared" si="4"/>
        <v>0</v>
      </c>
      <c r="AH9" s="91">
        <f t="shared" si="5"/>
        <v>96.2</v>
      </c>
    </row>
    <row r="10" spans="1:34" s="17" customFormat="1" ht="19.5" customHeight="1" x14ac:dyDescent="0.2">
      <c r="A10" s="81">
        <v>44169</v>
      </c>
      <c r="B10" s="12"/>
      <c r="C10" s="20" t="s">
        <v>47</v>
      </c>
      <c r="D10" s="12"/>
      <c r="E10" s="12"/>
      <c r="F10" s="82">
        <v>259953</v>
      </c>
      <c r="G10" s="82" t="s">
        <v>925</v>
      </c>
      <c r="H10" s="82"/>
      <c r="I10" s="82"/>
      <c r="J10" s="84"/>
      <c r="K10" s="84">
        <f>2298.26+275.79</f>
        <v>2574.0500000000002</v>
      </c>
      <c r="L10" s="83"/>
      <c r="M10" s="24">
        <f t="shared" si="0"/>
        <v>2298.2589285714284</v>
      </c>
      <c r="N10" s="24">
        <f t="shared" si="1"/>
        <v>275.7910714285714</v>
      </c>
      <c r="O10" s="24">
        <f t="shared" si="2"/>
        <v>0</v>
      </c>
      <c r="P10" s="24">
        <v>2298.2600000000002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>
        <f t="shared" si="3"/>
        <v>-2574.0510714285715</v>
      </c>
      <c r="AG10" s="27">
        <f t="shared" si="4"/>
        <v>-1.0714285713220306E-3</v>
      </c>
      <c r="AH10" s="91">
        <f t="shared" si="5"/>
        <v>2574.0510714285715</v>
      </c>
    </row>
    <row r="11" spans="1:34" s="17" customFormat="1" ht="19.5" customHeight="1" x14ac:dyDescent="0.2">
      <c r="A11" s="81">
        <v>44169</v>
      </c>
      <c r="B11" s="12"/>
      <c r="C11" s="82" t="s">
        <v>549</v>
      </c>
      <c r="D11" s="12"/>
      <c r="E11" s="12"/>
      <c r="F11" s="82"/>
      <c r="G11" s="82" t="s">
        <v>926</v>
      </c>
      <c r="H11" s="82"/>
      <c r="I11" s="82"/>
      <c r="J11" s="84">
        <v>125</v>
      </c>
      <c r="K11" s="84"/>
      <c r="L11" s="83"/>
      <c r="M11" s="24">
        <f t="shared" si="0"/>
        <v>125</v>
      </c>
      <c r="N11" s="24">
        <f t="shared" si="1"/>
        <v>0</v>
      </c>
      <c r="O11" s="24">
        <f t="shared" si="2"/>
        <v>0</v>
      </c>
      <c r="P11" s="24">
        <v>125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>
        <f t="shared" si="3"/>
        <v>-125</v>
      </c>
      <c r="AG11" s="27">
        <f t="shared" si="4"/>
        <v>0</v>
      </c>
      <c r="AH11" s="91">
        <f t="shared" si="5"/>
        <v>125</v>
      </c>
    </row>
    <row r="12" spans="1:34" s="17" customFormat="1" ht="19.5" customHeight="1" x14ac:dyDescent="0.2">
      <c r="A12" s="81">
        <v>44169</v>
      </c>
      <c r="B12" s="12"/>
      <c r="C12" s="82" t="s">
        <v>569</v>
      </c>
      <c r="D12" s="12"/>
      <c r="E12" s="12"/>
      <c r="F12" s="82">
        <v>206392</v>
      </c>
      <c r="G12" s="82" t="s">
        <v>927</v>
      </c>
      <c r="H12" s="82"/>
      <c r="I12" s="82"/>
      <c r="J12" s="84"/>
      <c r="K12" s="84">
        <v>1906</v>
      </c>
      <c r="L12" s="83"/>
      <c r="M12" s="24">
        <f t="shared" si="0"/>
        <v>1701.7857142857142</v>
      </c>
      <c r="N12" s="24">
        <f t="shared" si="1"/>
        <v>204.21428571428569</v>
      </c>
      <c r="O12" s="24">
        <f t="shared" si="2"/>
        <v>0</v>
      </c>
      <c r="P12" s="24"/>
      <c r="Q12" s="25"/>
      <c r="R12" s="25">
        <v>1701.79</v>
      </c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>
        <f t="shared" si="3"/>
        <v>-1906.0042857142857</v>
      </c>
      <c r="AG12" s="27">
        <f t="shared" si="4"/>
        <v>-4.2857142857428698E-3</v>
      </c>
      <c r="AH12" s="91">
        <f t="shared" si="5"/>
        <v>1906.0042857142857</v>
      </c>
    </row>
    <row r="13" spans="1:34" s="17" customFormat="1" ht="19.5" customHeight="1" x14ac:dyDescent="0.2">
      <c r="A13" s="81">
        <v>44169</v>
      </c>
      <c r="B13" s="12"/>
      <c r="C13" s="82" t="s">
        <v>549</v>
      </c>
      <c r="D13" s="12"/>
      <c r="E13" s="12"/>
      <c r="F13" s="82"/>
      <c r="G13" s="82" t="s">
        <v>524</v>
      </c>
      <c r="H13" s="82"/>
      <c r="I13" s="82"/>
      <c r="J13" s="84">
        <v>120</v>
      </c>
      <c r="K13" s="84"/>
      <c r="L13" s="83"/>
      <c r="M13" s="24">
        <f t="shared" si="0"/>
        <v>120</v>
      </c>
      <c r="N13" s="24">
        <f t="shared" si="1"/>
        <v>0</v>
      </c>
      <c r="O13" s="24">
        <f t="shared" si="2"/>
        <v>0</v>
      </c>
      <c r="P13" s="24">
        <v>120</v>
      </c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>
        <f t="shared" si="3"/>
        <v>-120</v>
      </c>
      <c r="AG13" s="27">
        <f t="shared" si="4"/>
        <v>0</v>
      </c>
      <c r="AH13" s="91">
        <f t="shared" si="5"/>
        <v>120</v>
      </c>
    </row>
    <row r="14" spans="1:34" s="17" customFormat="1" ht="19.5" customHeight="1" x14ac:dyDescent="0.2">
      <c r="A14" s="81">
        <v>44169</v>
      </c>
      <c r="B14" s="12"/>
      <c r="C14" s="82" t="s">
        <v>605</v>
      </c>
      <c r="D14" s="12"/>
      <c r="E14" s="12"/>
      <c r="F14" s="82"/>
      <c r="G14" s="82" t="s">
        <v>928</v>
      </c>
      <c r="H14" s="84">
        <v>80</v>
      </c>
      <c r="I14" s="82"/>
      <c r="J14" s="84"/>
      <c r="K14" s="84"/>
      <c r="L14" s="83"/>
      <c r="M14" s="24">
        <f t="shared" si="0"/>
        <v>80</v>
      </c>
      <c r="N14" s="24">
        <f t="shared" si="1"/>
        <v>0</v>
      </c>
      <c r="O14" s="24">
        <f t="shared" si="2"/>
        <v>0</v>
      </c>
      <c r="P14" s="24"/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>
        <v>80</v>
      </c>
      <c r="AB14" s="26"/>
      <c r="AC14" s="26"/>
      <c r="AD14" s="25"/>
      <c r="AE14" s="25"/>
      <c r="AF14" s="24">
        <f t="shared" si="3"/>
        <v>-80</v>
      </c>
      <c r="AG14" s="27">
        <f t="shared" si="4"/>
        <v>0</v>
      </c>
      <c r="AH14" s="91">
        <f t="shared" si="5"/>
        <v>80</v>
      </c>
    </row>
    <row r="15" spans="1:34" s="17" customFormat="1" ht="19.5" customHeight="1" x14ac:dyDescent="0.2">
      <c r="A15" s="81">
        <v>44170</v>
      </c>
      <c r="B15" s="12"/>
      <c r="C15" s="20" t="s">
        <v>585</v>
      </c>
      <c r="D15" s="12"/>
      <c r="E15" s="12"/>
      <c r="F15" s="82">
        <v>28398</v>
      </c>
      <c r="G15" s="82" t="s">
        <v>929</v>
      </c>
      <c r="H15" s="82"/>
      <c r="I15" s="82"/>
      <c r="J15" s="84">
        <v>5985.1</v>
      </c>
      <c r="K15" s="84"/>
      <c r="L15" s="83"/>
      <c r="M15" s="24">
        <f t="shared" si="0"/>
        <v>5985.1</v>
      </c>
      <c r="N15" s="24">
        <f t="shared" si="1"/>
        <v>0</v>
      </c>
      <c r="O15" s="24">
        <f t="shared" si="2"/>
        <v>0</v>
      </c>
      <c r="P15" s="24">
        <v>5985.1</v>
      </c>
      <c r="Q15" s="25"/>
      <c r="R15" s="25"/>
      <c r="S15" s="26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>
        <f t="shared" si="3"/>
        <v>-5985.1</v>
      </c>
      <c r="AG15" s="27">
        <f t="shared" si="4"/>
        <v>0</v>
      </c>
      <c r="AH15" s="91">
        <f t="shared" si="5"/>
        <v>5985.1</v>
      </c>
    </row>
    <row r="16" spans="1:34" s="17" customFormat="1" ht="21" customHeight="1" x14ac:dyDescent="0.2">
      <c r="A16" s="81">
        <v>44170</v>
      </c>
      <c r="B16" s="12"/>
      <c r="C16" s="20" t="s">
        <v>325</v>
      </c>
      <c r="D16" s="12"/>
      <c r="E16" s="12"/>
      <c r="F16" s="82"/>
      <c r="G16" s="82" t="s">
        <v>694</v>
      </c>
      <c r="H16" s="84">
        <v>500</v>
      </c>
      <c r="I16" s="82"/>
      <c r="J16" s="84"/>
      <c r="K16" s="84"/>
      <c r="L16" s="83"/>
      <c r="M16" s="24">
        <f t="shared" si="0"/>
        <v>500</v>
      </c>
      <c r="N16" s="24">
        <f t="shared" si="1"/>
        <v>0</v>
      </c>
      <c r="O16" s="24">
        <f t="shared" si="2"/>
        <v>0</v>
      </c>
      <c r="P16" s="24"/>
      <c r="Q16" s="25"/>
      <c r="R16" s="25"/>
      <c r="S16" s="26"/>
      <c r="T16" s="26"/>
      <c r="U16" s="26"/>
      <c r="V16" s="26"/>
      <c r="W16" s="26"/>
      <c r="X16" s="25"/>
      <c r="Y16" s="25"/>
      <c r="Z16" s="25"/>
      <c r="AA16" s="25">
        <v>500</v>
      </c>
      <c r="AB16" s="26"/>
      <c r="AC16" s="26"/>
      <c r="AD16" s="25"/>
      <c r="AE16" s="25"/>
      <c r="AF16" s="24">
        <f t="shared" si="3"/>
        <v>-500</v>
      </c>
      <c r="AG16" s="27">
        <f t="shared" si="4"/>
        <v>0</v>
      </c>
      <c r="AH16" s="91">
        <f t="shared" si="5"/>
        <v>500</v>
      </c>
    </row>
    <row r="17" spans="1:33" s="17" customFormat="1" ht="18" customHeight="1" x14ac:dyDescent="0.2">
      <c r="A17" s="81"/>
      <c r="B17" s="12"/>
      <c r="C17" s="20"/>
      <c r="D17" s="12"/>
      <c r="E17" s="12"/>
      <c r="F17" s="82"/>
      <c r="G17" s="82"/>
      <c r="H17" s="84"/>
      <c r="I17" s="12"/>
      <c r="J17" s="12"/>
      <c r="K17" s="84"/>
      <c r="L17" s="13"/>
      <c r="M17" s="24">
        <f t="shared" si="0"/>
        <v>0</v>
      </c>
      <c r="N17" s="24">
        <f t="shared" si="1"/>
        <v>0</v>
      </c>
      <c r="O17" s="24">
        <f t="shared" si="2"/>
        <v>0</v>
      </c>
      <c r="P17" s="24"/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>
        <f t="shared" si="3"/>
        <v>0</v>
      </c>
      <c r="AG17" s="27">
        <f t="shared" si="4"/>
        <v>0</v>
      </c>
    </row>
    <row r="18" spans="1:33" s="29" customFormat="1" ht="23.25" customHeight="1" x14ac:dyDescent="0.2">
      <c r="A18" s="18"/>
      <c r="B18" s="19"/>
      <c r="C18" s="20"/>
      <c r="D18" s="20"/>
      <c r="E18" s="20"/>
      <c r="F18" s="21"/>
      <c r="G18" s="21"/>
      <c r="H18" s="22"/>
      <c r="I18" s="22"/>
      <c r="J18" s="22"/>
      <c r="K18" s="22"/>
      <c r="L18" s="23"/>
      <c r="M18" s="24">
        <f t="shared" si="0"/>
        <v>0</v>
      </c>
      <c r="N18" s="24">
        <f t="shared" si="1"/>
        <v>0</v>
      </c>
      <c r="O18" s="24">
        <f t="shared" si="2"/>
        <v>0</v>
      </c>
      <c r="P18" s="24"/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>
        <f t="shared" si="3"/>
        <v>0</v>
      </c>
      <c r="AG18" s="27">
        <f t="shared" si="4"/>
        <v>0</v>
      </c>
    </row>
    <row r="19" spans="1:33" s="29" customFormat="1" ht="10.199999999999999" x14ac:dyDescent="0.2">
      <c r="A19" s="18"/>
      <c r="B19" s="19"/>
      <c r="C19" s="43"/>
      <c r="D19" s="43"/>
      <c r="E19" s="43"/>
      <c r="F19" s="21"/>
      <c r="G19" s="30"/>
      <c r="H19" s="22"/>
      <c r="I19" s="22"/>
      <c r="J19" s="22"/>
      <c r="K19" s="22"/>
      <c r="L19" s="23"/>
      <c r="M19" s="25">
        <f t="shared" si="0"/>
        <v>0</v>
      </c>
      <c r="N19" s="25">
        <f t="shared" si="1"/>
        <v>0</v>
      </c>
      <c r="O19" s="25">
        <f t="shared" si="2"/>
        <v>0</v>
      </c>
      <c r="P19" s="25"/>
      <c r="Q19" s="25"/>
      <c r="R19" s="25"/>
      <c r="S19" s="25"/>
      <c r="T19" s="26"/>
      <c r="U19" s="51"/>
      <c r="V19" s="26"/>
      <c r="W19" s="26"/>
      <c r="X19" s="26"/>
      <c r="Y19" s="44"/>
      <c r="Z19" s="25"/>
      <c r="AA19" s="51"/>
      <c r="AB19" s="25"/>
      <c r="AC19" s="26"/>
      <c r="AD19" s="26"/>
      <c r="AE19" s="45"/>
      <c r="AF19" s="24">
        <f t="shared" si="3"/>
        <v>0</v>
      </c>
      <c r="AG19" s="27">
        <f t="shared" si="4"/>
        <v>0</v>
      </c>
    </row>
    <row r="20" spans="1:33" s="52" customFormat="1" ht="10.199999999999999" x14ac:dyDescent="0.2">
      <c r="A20" s="46"/>
      <c r="B20" s="47"/>
      <c r="C20" s="48"/>
      <c r="D20" s="49"/>
      <c r="E20" s="49"/>
      <c r="F20" s="50"/>
      <c r="G20" s="48"/>
      <c r="H20" s="51">
        <f>SUM(H5:H18)</f>
        <v>707</v>
      </c>
      <c r="I20" s="51">
        <f>SUM(I18:I19)</f>
        <v>0</v>
      </c>
      <c r="J20" s="51">
        <f>SUM(J5:J18)</f>
        <v>6326.3</v>
      </c>
      <c r="K20" s="51">
        <f>SUM(K5:K18)</f>
        <v>7432.05</v>
      </c>
      <c r="L20" s="51">
        <f>SUM(L18:L19)</f>
        <v>0</v>
      </c>
      <c r="M20" s="51">
        <f>SUM(M5:M18)</f>
        <v>13669.058928571429</v>
      </c>
      <c r="N20" s="51">
        <f>SUM(N5:N18)</f>
        <v>796.2910714285714</v>
      </c>
      <c r="O20" s="51">
        <f>SUM(O18:O19)</f>
        <v>0</v>
      </c>
      <c r="P20" s="51">
        <f>SUM(P5:P18)</f>
        <v>8624.5600000000013</v>
      </c>
      <c r="Q20" s="51">
        <f>SUM(Q5:Q18)</f>
        <v>2635.7200000000003</v>
      </c>
      <c r="R20" s="51">
        <f>SUM(R5:R18)</f>
        <v>1701.79</v>
      </c>
      <c r="S20" s="51">
        <f>SUM(S16:S19)</f>
        <v>0</v>
      </c>
      <c r="T20" s="51">
        <f>SUM(T16:T19)</f>
        <v>0</v>
      </c>
      <c r="U20" s="51">
        <f>SUM(U16:U19)</f>
        <v>0</v>
      </c>
      <c r="V20" s="51">
        <f>SUM(V18:V19)</f>
        <v>0</v>
      </c>
      <c r="W20" s="51">
        <f>SUM(W18:W19)</f>
        <v>0</v>
      </c>
      <c r="X20" s="51">
        <f>SUM(X18:X19)</f>
        <v>0</v>
      </c>
      <c r="Y20" s="51">
        <f>SUM(Y18:Y19)</f>
        <v>0</v>
      </c>
      <c r="Z20" s="51">
        <f>SUM(Z18:Z19)</f>
        <v>0</v>
      </c>
      <c r="AA20" s="51">
        <f>SUM(AA5:AA18)</f>
        <v>707</v>
      </c>
      <c r="AB20" s="51">
        <f>SUM(AB18:AB19)</f>
        <v>0</v>
      </c>
      <c r="AC20" s="51">
        <f>SUM(AC5:AC18)</f>
        <v>0</v>
      </c>
      <c r="AD20" s="51">
        <f>SUM(AD5:AD18)</f>
        <v>0</v>
      </c>
      <c r="AE20" s="51">
        <f>SUM(AE18:AE19)</f>
        <v>0</v>
      </c>
      <c r="AF20" s="51">
        <f>SUM(AF5:AF18)</f>
        <v>-14465.361071428571</v>
      </c>
      <c r="AG20" s="51">
        <f>SUM(AG18:AG19)</f>
        <v>0</v>
      </c>
    </row>
    <row r="21" spans="1:33" s="77" customFormat="1" ht="10.199999999999999" x14ac:dyDescent="0.2"/>
    <row r="22" spans="1:33" x14ac:dyDescent="0.3">
      <c r="H22" s="85"/>
      <c r="I22" s="85"/>
      <c r="J22" s="85"/>
      <c r="K22" s="85"/>
    </row>
    <row r="23" spans="1:33" x14ac:dyDescent="0.3">
      <c r="H23" s="85"/>
      <c r="I23" s="85"/>
      <c r="J23" s="85"/>
      <c r="K23" s="85"/>
      <c r="Q23" s="5">
        <v>0</v>
      </c>
    </row>
    <row r="24" spans="1:33" s="3" customFormat="1" ht="11.4" x14ac:dyDescent="0.2">
      <c r="H24" s="86"/>
      <c r="I24" s="86"/>
      <c r="J24" s="86"/>
      <c r="K24" s="86"/>
      <c r="T24" s="5"/>
      <c r="U24" s="5"/>
      <c r="V24" s="5"/>
      <c r="W24" s="5"/>
      <c r="X24" s="5"/>
      <c r="Y24" s="5"/>
    </row>
    <row r="25" spans="1:33" x14ac:dyDescent="0.3">
      <c r="H25" s="85"/>
      <c r="I25" s="85"/>
      <c r="J25" s="85"/>
      <c r="K25" s="85"/>
    </row>
    <row r="26" spans="1:33" x14ac:dyDescent="0.3">
      <c r="H26" s="85"/>
      <c r="I26" s="85"/>
      <c r="J26" s="85"/>
      <c r="K26" s="85"/>
    </row>
    <row r="27" spans="1:33" x14ac:dyDescent="0.3">
      <c r="H27" s="85"/>
      <c r="I27" s="85"/>
      <c r="J27" s="85"/>
      <c r="K27" s="85"/>
    </row>
    <row r="28" spans="1:33" x14ac:dyDescent="0.3">
      <c r="H28" s="85"/>
      <c r="I28" s="85"/>
      <c r="J28" s="85"/>
      <c r="K28" s="85"/>
    </row>
    <row r="29" spans="1:33" x14ac:dyDescent="0.3">
      <c r="H29" s="87"/>
      <c r="I29" s="87"/>
      <c r="J29" s="87"/>
      <c r="K29" s="87"/>
    </row>
    <row r="30" spans="1:33" x14ac:dyDescent="0.3">
      <c r="H30" s="87"/>
      <c r="I30" s="87"/>
      <c r="J30" s="87"/>
      <c r="K30" s="87"/>
    </row>
    <row r="31" spans="1:33" s="3" customFormat="1" ht="10.199999999999999" x14ac:dyDescent="0.2">
      <c r="H31" s="87"/>
      <c r="I31" s="87"/>
      <c r="J31" s="87"/>
      <c r="K31" s="87"/>
    </row>
    <row r="32" spans="1:33" s="3" customFormat="1" ht="10.199999999999999" x14ac:dyDescent="0.2">
      <c r="H32" s="87"/>
      <c r="I32" s="87"/>
      <c r="J32" s="87"/>
      <c r="K32" s="87"/>
    </row>
    <row r="33" spans="8:11" s="3" customFormat="1" ht="10.199999999999999" x14ac:dyDescent="0.2">
      <c r="H33" s="87"/>
      <c r="I33" s="87"/>
      <c r="J33" s="87"/>
      <c r="K33" s="8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MK16"/>
  <sheetViews>
    <sheetView zoomScaleNormal="100" workbookViewId="0">
      <selection activeCell="A5" sqref="A5"/>
    </sheetView>
  </sheetViews>
  <sheetFormatPr defaultRowHeight="14.4" x14ac:dyDescent="0.3"/>
  <cols>
    <col min="1" max="1" width="8.109375" style="1" customWidth="1"/>
    <col min="2" max="2" width="7.21875" style="2" customWidth="1"/>
    <col min="3" max="3" width="26.109375" style="3" customWidth="1"/>
    <col min="4" max="4" width="14" style="4" customWidth="1"/>
    <col min="5" max="5" width="29.33203125" style="4" customWidth="1"/>
    <col min="6" max="6" width="7.88671875" style="2" customWidth="1"/>
    <col min="7" max="7" width="26.5546875" style="3" customWidth="1"/>
    <col min="8" max="8" width="11.109375" style="5" customWidth="1"/>
    <col min="9" max="9" width="9.5546875" style="5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10.6640625" style="5" customWidth="1"/>
    <col min="19" max="19" width="9.5546875" style="5" customWidth="1"/>
    <col min="20" max="21" width="9.109375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30" width="8" style="5" customWidth="1"/>
    <col min="31" max="31" width="10.109375" style="5" customWidth="1"/>
    <col min="32" max="32" width="10.6640625" style="5" customWidth="1"/>
    <col min="33" max="33" width="8.88671875" style="3" customWidth="1"/>
    <col min="34" max="1025" width="9.109375" style="3" customWidth="1"/>
  </cols>
  <sheetData>
    <row r="1" spans="1:34" ht="12" customHeight="1" x14ac:dyDescent="0.3">
      <c r="A1" s="7" t="s">
        <v>0</v>
      </c>
      <c r="C1" s="8"/>
    </row>
    <row r="2" spans="1:34" ht="12" customHeight="1" x14ac:dyDescent="0.3">
      <c r="A2" s="7" t="s">
        <v>1</v>
      </c>
    </row>
    <row r="3" spans="1:34" ht="12" customHeight="1" x14ac:dyDescent="0.3">
      <c r="A3" s="7" t="s">
        <v>930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4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771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613</v>
      </c>
      <c r="AD4" s="13" t="s">
        <v>34</v>
      </c>
      <c r="AE4" s="15" t="s">
        <v>35</v>
      </c>
      <c r="AF4" s="16" t="s">
        <v>36</v>
      </c>
    </row>
    <row r="5" spans="1:34" s="17" customFormat="1" ht="19.5" customHeight="1" x14ac:dyDescent="0.2">
      <c r="A5" s="81">
        <v>44172</v>
      </c>
      <c r="B5" s="12"/>
      <c r="C5" s="20" t="s">
        <v>931</v>
      </c>
      <c r="D5" s="12"/>
      <c r="E5" s="12"/>
      <c r="F5" s="82">
        <v>7056</v>
      </c>
      <c r="G5" s="82" t="s">
        <v>193</v>
      </c>
      <c r="H5" s="84"/>
      <c r="I5" s="82"/>
      <c r="J5" s="84"/>
      <c r="K5" s="84">
        <v>79</v>
      </c>
      <c r="L5" s="83"/>
      <c r="M5" s="24">
        <f t="shared" ref="M5:M14" si="0">SUM(H5:J5,K5/1.12)</f>
        <v>70.535714285714278</v>
      </c>
      <c r="N5" s="24">
        <f t="shared" ref="N5:N14" si="1">K5/1.12*0.12</f>
        <v>8.4642857142857135</v>
      </c>
      <c r="O5" s="24">
        <f t="shared" ref="O5:O14" si="2">-SUM(I5:J5,K5/1.12)*L5</f>
        <v>0</v>
      </c>
      <c r="P5" s="24"/>
      <c r="Q5" s="25"/>
      <c r="R5" s="25"/>
      <c r="S5" s="26"/>
      <c r="T5" s="26"/>
      <c r="U5" s="26">
        <v>70.540000000000006</v>
      </c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>
        <f t="shared" ref="AF5:AF14" si="3">-SUM(N5:AE5)</f>
        <v>-79.004285714285714</v>
      </c>
      <c r="AG5" s="27">
        <f t="shared" ref="AG5:AG14" si="4">SUM(H5:K5)+AF5+O5</f>
        <v>-4.2857142857144481E-3</v>
      </c>
      <c r="AH5" s="91">
        <f t="shared" ref="AH5:AH11" si="5">-AF5</f>
        <v>79.004285714285714</v>
      </c>
    </row>
    <row r="6" spans="1:34" s="17" customFormat="1" ht="19.5" customHeight="1" x14ac:dyDescent="0.2">
      <c r="A6" s="81">
        <v>44172</v>
      </c>
      <c r="B6" s="12"/>
      <c r="C6" s="20" t="s">
        <v>931</v>
      </c>
      <c r="D6" s="12"/>
      <c r="E6" s="12"/>
      <c r="F6" s="82">
        <v>7056</v>
      </c>
      <c r="G6" s="82" t="s">
        <v>43</v>
      </c>
      <c r="H6" s="82"/>
      <c r="I6" s="82"/>
      <c r="J6" s="84"/>
      <c r="K6" s="84">
        <v>57</v>
      </c>
      <c r="L6" s="83"/>
      <c r="M6" s="24">
        <f t="shared" si="0"/>
        <v>50.892857142857139</v>
      </c>
      <c r="N6" s="24">
        <f t="shared" si="1"/>
        <v>6.1071428571428568</v>
      </c>
      <c r="O6" s="24">
        <f t="shared" si="2"/>
        <v>0</v>
      </c>
      <c r="P6" s="24">
        <v>50.89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>
        <f t="shared" si="3"/>
        <v>-56.997142857142855</v>
      </c>
      <c r="AG6" s="27">
        <f t="shared" si="4"/>
        <v>2.8571428571453339E-3</v>
      </c>
      <c r="AH6" s="91">
        <f t="shared" si="5"/>
        <v>56.997142857142855</v>
      </c>
    </row>
    <row r="7" spans="1:34" s="17" customFormat="1" ht="19.5" customHeight="1" x14ac:dyDescent="0.2">
      <c r="A7" s="81">
        <v>44172</v>
      </c>
      <c r="B7" s="12"/>
      <c r="C7" s="82" t="s">
        <v>409</v>
      </c>
      <c r="D7" s="12"/>
      <c r="E7" s="12"/>
      <c r="F7" s="82">
        <v>515</v>
      </c>
      <c r="G7" s="82" t="s">
        <v>256</v>
      </c>
      <c r="H7" s="82"/>
      <c r="I7" s="82"/>
      <c r="J7" s="84">
        <v>6953</v>
      </c>
      <c r="K7" s="84"/>
      <c r="L7" s="83"/>
      <c r="M7" s="24">
        <f t="shared" si="0"/>
        <v>6953</v>
      </c>
      <c r="N7" s="24">
        <f t="shared" si="1"/>
        <v>0</v>
      </c>
      <c r="O7" s="24">
        <f t="shared" si="2"/>
        <v>0</v>
      </c>
      <c r="P7" s="24">
        <v>6953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>
        <f t="shared" si="3"/>
        <v>-6953</v>
      </c>
      <c r="AG7" s="27">
        <f t="shared" si="4"/>
        <v>0</v>
      </c>
      <c r="AH7" s="91">
        <f t="shared" si="5"/>
        <v>6953</v>
      </c>
    </row>
    <row r="8" spans="1:34" s="17" customFormat="1" ht="19.5" customHeight="1" x14ac:dyDescent="0.2">
      <c r="A8" s="81">
        <v>44173</v>
      </c>
      <c r="B8" s="12"/>
      <c r="C8" s="82" t="s">
        <v>932</v>
      </c>
      <c r="D8" s="12"/>
      <c r="E8" s="12"/>
      <c r="F8" s="82">
        <v>327982</v>
      </c>
      <c r="G8" s="82" t="s">
        <v>58</v>
      </c>
      <c r="H8" s="84"/>
      <c r="I8" s="82"/>
      <c r="J8" s="84"/>
      <c r="K8" s="84">
        <v>125</v>
      </c>
      <c r="L8" s="83"/>
      <c r="M8" s="24">
        <f t="shared" si="0"/>
        <v>111.60714285714285</v>
      </c>
      <c r="N8" s="24">
        <f t="shared" si="1"/>
        <v>13.392857142857141</v>
      </c>
      <c r="O8" s="24">
        <f t="shared" si="2"/>
        <v>0</v>
      </c>
      <c r="P8" s="24"/>
      <c r="Q8" s="25">
        <v>111.61</v>
      </c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>
        <f t="shared" si="3"/>
        <v>-125.00285714285714</v>
      </c>
      <c r="AG8" s="27">
        <f t="shared" si="4"/>
        <v>-2.8571428571382285E-3</v>
      </c>
      <c r="AH8" s="91">
        <f t="shared" si="5"/>
        <v>125.00285714285714</v>
      </c>
    </row>
    <row r="9" spans="1:34" s="17" customFormat="1" ht="19.5" customHeight="1" x14ac:dyDescent="0.2">
      <c r="A9" s="81">
        <v>44173</v>
      </c>
      <c r="B9" s="12"/>
      <c r="C9" s="20" t="s">
        <v>47</v>
      </c>
      <c r="D9" s="12"/>
      <c r="E9" s="12"/>
      <c r="F9" s="82">
        <v>210038</v>
      </c>
      <c r="G9" s="82" t="s">
        <v>933</v>
      </c>
      <c r="H9" s="82"/>
      <c r="I9" s="82"/>
      <c r="J9" s="84"/>
      <c r="K9" s="84">
        <v>3219.4</v>
      </c>
      <c r="L9" s="83"/>
      <c r="M9" s="24">
        <f t="shared" si="0"/>
        <v>2874.4642857142853</v>
      </c>
      <c r="N9" s="24">
        <f t="shared" si="1"/>
        <v>344.9357142857142</v>
      </c>
      <c r="O9" s="24">
        <f t="shared" si="2"/>
        <v>0</v>
      </c>
      <c r="P9" s="24">
        <v>2874.46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>
        <f t="shared" si="3"/>
        <v>-3219.3957142857143</v>
      </c>
      <c r="AG9" s="27">
        <f t="shared" si="4"/>
        <v>4.2857142857428698E-3</v>
      </c>
      <c r="AH9" s="91">
        <f t="shared" si="5"/>
        <v>3219.3957142857143</v>
      </c>
    </row>
    <row r="10" spans="1:34" s="17" customFormat="1" ht="19.5" customHeight="1" x14ac:dyDescent="0.2">
      <c r="A10" s="81">
        <v>44173</v>
      </c>
      <c r="B10" s="12"/>
      <c r="C10" s="20" t="s">
        <v>106</v>
      </c>
      <c r="D10" s="12"/>
      <c r="E10" s="12"/>
      <c r="F10" s="82">
        <v>830568</v>
      </c>
      <c r="G10" s="82" t="s">
        <v>934</v>
      </c>
      <c r="H10" s="82"/>
      <c r="I10" s="82"/>
      <c r="J10" s="84"/>
      <c r="K10" s="84">
        <v>282.5</v>
      </c>
      <c r="L10" s="83"/>
      <c r="M10" s="24">
        <f t="shared" si="0"/>
        <v>252.23214285714283</v>
      </c>
      <c r="N10" s="24">
        <f t="shared" si="1"/>
        <v>30.267857142857139</v>
      </c>
      <c r="O10" s="24">
        <f t="shared" si="2"/>
        <v>0</v>
      </c>
      <c r="P10" s="24"/>
      <c r="Q10" s="25"/>
      <c r="R10" s="25"/>
      <c r="S10" s="26"/>
      <c r="T10" s="26">
        <v>252.23</v>
      </c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>
        <f t="shared" si="3"/>
        <v>-282.49785714285713</v>
      </c>
      <c r="AG10" s="27">
        <f t="shared" si="4"/>
        <v>2.1428571428714349E-3</v>
      </c>
      <c r="AH10" s="91">
        <f t="shared" si="5"/>
        <v>282.49785714285713</v>
      </c>
    </row>
    <row r="11" spans="1:34" s="17" customFormat="1" ht="19.5" customHeight="1" x14ac:dyDescent="0.2">
      <c r="A11" s="81">
        <v>44173</v>
      </c>
      <c r="B11" s="12"/>
      <c r="C11" s="20" t="s">
        <v>931</v>
      </c>
      <c r="D11" s="12"/>
      <c r="E11" s="12"/>
      <c r="F11" s="82">
        <v>204</v>
      </c>
      <c r="G11" s="82" t="s">
        <v>935</v>
      </c>
      <c r="H11" s="82"/>
      <c r="I11" s="82"/>
      <c r="J11" s="84"/>
      <c r="K11" s="84">
        <v>234</v>
      </c>
      <c r="L11" s="83"/>
      <c r="M11" s="24">
        <f t="shared" si="0"/>
        <v>208.92857142857142</v>
      </c>
      <c r="N11" s="24">
        <f t="shared" si="1"/>
        <v>25.071428571428569</v>
      </c>
      <c r="O11" s="24">
        <f t="shared" si="2"/>
        <v>0</v>
      </c>
      <c r="P11" s="24">
        <v>208.93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>
        <f t="shared" si="3"/>
        <v>-234.00142857142856</v>
      </c>
      <c r="AG11" s="27">
        <f t="shared" si="4"/>
        <v>-1.4285714285620088E-3</v>
      </c>
      <c r="AH11" s="91">
        <f t="shared" si="5"/>
        <v>234.00142857142856</v>
      </c>
    </row>
    <row r="12" spans="1:34" s="17" customFormat="1" ht="19.5" customHeight="1" x14ac:dyDescent="0.2">
      <c r="A12" s="81"/>
      <c r="B12" s="12"/>
      <c r="C12" s="82"/>
      <c r="D12" s="12"/>
      <c r="E12" s="12"/>
      <c r="F12" s="82"/>
      <c r="G12" s="82"/>
      <c r="H12" s="82"/>
      <c r="I12" s="82"/>
      <c r="J12" s="84"/>
      <c r="K12" s="84"/>
      <c r="L12" s="83"/>
      <c r="M12" s="24">
        <f t="shared" si="0"/>
        <v>0</v>
      </c>
      <c r="N12" s="24">
        <f t="shared" si="1"/>
        <v>0</v>
      </c>
      <c r="O12" s="24">
        <f t="shared" si="2"/>
        <v>0</v>
      </c>
      <c r="P12" s="24"/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>
        <f t="shared" si="3"/>
        <v>0</v>
      </c>
      <c r="AG12" s="27">
        <f t="shared" si="4"/>
        <v>0</v>
      </c>
    </row>
    <row r="13" spans="1:34" s="29" customFormat="1" ht="23.25" customHeight="1" x14ac:dyDescent="0.2">
      <c r="A13" s="18"/>
      <c r="B13" s="19"/>
      <c r="C13" s="20"/>
      <c r="D13" s="20"/>
      <c r="E13" s="20"/>
      <c r="F13" s="21"/>
      <c r="G13" s="21"/>
      <c r="H13" s="22"/>
      <c r="I13" s="22"/>
      <c r="J13" s="22"/>
      <c r="K13" s="22"/>
      <c r="L13" s="23"/>
      <c r="M13" s="24">
        <f t="shared" si="0"/>
        <v>0</v>
      </c>
      <c r="N13" s="24">
        <f t="shared" si="1"/>
        <v>0</v>
      </c>
      <c r="O13" s="24">
        <f t="shared" si="2"/>
        <v>0</v>
      </c>
      <c r="P13" s="24"/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>
        <f t="shared" si="3"/>
        <v>0</v>
      </c>
      <c r="AG13" s="27">
        <f t="shared" si="4"/>
        <v>0</v>
      </c>
    </row>
    <row r="14" spans="1:34" s="29" customFormat="1" ht="10.199999999999999" x14ac:dyDescent="0.2">
      <c r="A14" s="18"/>
      <c r="B14" s="19"/>
      <c r="C14" s="43"/>
      <c r="D14" s="43"/>
      <c r="E14" s="43"/>
      <c r="F14" s="21"/>
      <c r="G14" s="30"/>
      <c r="H14" s="22"/>
      <c r="I14" s="22"/>
      <c r="J14" s="22"/>
      <c r="K14" s="22"/>
      <c r="L14" s="23"/>
      <c r="M14" s="25">
        <f t="shared" si="0"/>
        <v>0</v>
      </c>
      <c r="N14" s="25">
        <f t="shared" si="1"/>
        <v>0</v>
      </c>
      <c r="O14" s="25">
        <f t="shared" si="2"/>
        <v>0</v>
      </c>
      <c r="P14" s="25"/>
      <c r="Q14" s="25"/>
      <c r="R14" s="25"/>
      <c r="S14" s="25"/>
      <c r="T14" s="26"/>
      <c r="U14" s="51"/>
      <c r="V14" s="26"/>
      <c r="W14" s="26"/>
      <c r="X14" s="26"/>
      <c r="Y14" s="44"/>
      <c r="Z14" s="25"/>
      <c r="AA14" s="51"/>
      <c r="AB14" s="25"/>
      <c r="AC14" s="26"/>
      <c r="AD14" s="26"/>
      <c r="AE14" s="45"/>
      <c r="AF14" s="24">
        <f t="shared" si="3"/>
        <v>0</v>
      </c>
      <c r="AG14" s="27">
        <f t="shared" si="4"/>
        <v>0</v>
      </c>
    </row>
    <row r="15" spans="1:34" s="52" customFormat="1" ht="10.199999999999999" x14ac:dyDescent="0.2">
      <c r="A15" s="46"/>
      <c r="B15" s="47"/>
      <c r="C15" s="48"/>
      <c r="D15" s="49"/>
      <c r="E15" s="49"/>
      <c r="F15" s="50"/>
      <c r="G15" s="48"/>
      <c r="H15" s="51">
        <f>SUM(H5:H13)</f>
        <v>0</v>
      </c>
      <c r="I15" s="51">
        <f>SUM(I13:I14)</f>
        <v>0</v>
      </c>
      <c r="J15" s="51">
        <f>SUM(J5:J13)</f>
        <v>6953</v>
      </c>
      <c r="K15" s="51">
        <f>SUM(K5:K13)</f>
        <v>3996.9</v>
      </c>
      <c r="L15" s="51">
        <f>SUM(L13:L14)</f>
        <v>0</v>
      </c>
      <c r="M15" s="51">
        <f>SUM(M5:M13)</f>
        <v>10521.660714285714</v>
      </c>
      <c r="N15" s="51">
        <f>SUM(N5:N13)</f>
        <v>428.23928571428564</v>
      </c>
      <c r="O15" s="51">
        <f>SUM(O13:O14)</f>
        <v>0</v>
      </c>
      <c r="P15" s="51">
        <f>SUM(P5:P13)</f>
        <v>10087.280000000001</v>
      </c>
      <c r="Q15" s="51">
        <f>SUM(Q5:Q13)</f>
        <v>111.61</v>
      </c>
      <c r="R15" s="51">
        <f>SUM(R5:R13)</f>
        <v>0</v>
      </c>
      <c r="S15" s="51">
        <f>SUM(S13:S14)</f>
        <v>0</v>
      </c>
      <c r="T15" s="51">
        <f>SUM(T5:T13)</f>
        <v>252.23</v>
      </c>
      <c r="U15" s="51">
        <f>SUM(U5:U13)</f>
        <v>70.540000000000006</v>
      </c>
      <c r="V15" s="51">
        <f>SUM(V13:V14)</f>
        <v>0</v>
      </c>
      <c r="W15" s="51">
        <f>SUM(W13:W14)</f>
        <v>0</v>
      </c>
      <c r="X15" s="51">
        <f>SUM(X13:X14)</f>
        <v>0</v>
      </c>
      <c r="Y15" s="51">
        <f>SUM(Y13:Y14)</f>
        <v>0</v>
      </c>
      <c r="Z15" s="51">
        <f>SUM(Z13:Z14)</f>
        <v>0</v>
      </c>
      <c r="AA15" s="51">
        <f>SUM(AA5:AA13)</f>
        <v>0</v>
      </c>
      <c r="AB15" s="51">
        <f>SUM(AB13:AB14)</f>
        <v>0</v>
      </c>
      <c r="AC15" s="51">
        <f>SUM(AC5:AC13)</f>
        <v>0</v>
      </c>
      <c r="AD15" s="51">
        <f>SUM(AD5:AD13)</f>
        <v>0</v>
      </c>
      <c r="AE15" s="51">
        <f>SUM(AE13:AE14)</f>
        <v>0</v>
      </c>
      <c r="AF15" s="51">
        <f>SUM(AF5:AF13)</f>
        <v>-10949.899285714286</v>
      </c>
      <c r="AG15" s="51">
        <f>SUM(AG13:AG14)</f>
        <v>0</v>
      </c>
    </row>
    <row r="16" spans="1:34" s="77" customFormat="1" ht="10.199999999999999" x14ac:dyDescent="0.2"/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MJ36"/>
  <sheetViews>
    <sheetView topLeftCell="A13" zoomScaleNormal="100" workbookViewId="0">
      <selection activeCell="A19" sqref="A19"/>
    </sheetView>
  </sheetViews>
  <sheetFormatPr defaultRowHeight="14.4" x14ac:dyDescent="0.3"/>
  <cols>
    <col min="1" max="1" width="8.109375" style="1" customWidth="1"/>
    <col min="2" max="2" width="7.21875" style="2" customWidth="1"/>
    <col min="3" max="3" width="26.109375" style="3" customWidth="1"/>
    <col min="4" max="4" width="14" style="4" customWidth="1"/>
    <col min="5" max="5" width="29.33203125" style="4" customWidth="1"/>
    <col min="6" max="6" width="7.88671875" style="2" customWidth="1"/>
    <col min="7" max="7" width="26.5546875" style="3" customWidth="1"/>
    <col min="8" max="8" width="11.109375" style="5" customWidth="1"/>
    <col min="9" max="9" width="9.5546875" style="5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9.5546875" style="5" customWidth="1"/>
    <col min="19" max="20" width="9.109375" style="5" customWidth="1"/>
    <col min="21" max="21" width="10.5546875" style="5" customWidth="1"/>
    <col min="22" max="22" width="8.109375" style="5" customWidth="1"/>
    <col min="23" max="23" width="9.88671875" style="5" customWidth="1"/>
    <col min="24" max="24" width="9.21875" style="5" customWidth="1"/>
    <col min="25" max="25" width="8.21875" style="5" customWidth="1"/>
    <col min="26" max="26" width="8.6640625" style="5" customWidth="1"/>
    <col min="27" max="27" width="9.5546875" style="5" customWidth="1"/>
    <col min="28" max="29" width="8" style="5" customWidth="1"/>
    <col min="30" max="30" width="10.109375" style="5" customWidth="1"/>
    <col min="31" max="31" width="10.6640625" style="5" customWidth="1"/>
    <col min="32" max="32" width="8.88671875" style="3" customWidth="1"/>
    <col min="33" max="1023" width="9.109375" style="3" customWidth="1"/>
    <col min="1024" max="1025" width="9.109375" customWidth="1"/>
  </cols>
  <sheetData>
    <row r="1" spans="1:1024" ht="12" customHeight="1" x14ac:dyDescent="0.3">
      <c r="A1" s="7" t="s">
        <v>0</v>
      </c>
      <c r="C1" s="8"/>
    </row>
    <row r="2" spans="1:1024" ht="12" customHeight="1" x14ac:dyDescent="0.3">
      <c r="A2" s="7" t="s">
        <v>1</v>
      </c>
    </row>
    <row r="3" spans="1:1024" ht="12" customHeight="1" x14ac:dyDescent="0.3">
      <c r="A3" s="7" t="s">
        <v>936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6219</v>
      </c>
      <c r="S3" s="10">
        <v>6212</v>
      </c>
      <c r="T3" s="10"/>
      <c r="U3" s="10"/>
      <c r="V3" s="10"/>
      <c r="W3" s="10"/>
      <c r="X3" s="10" t="s">
        <v>3</v>
      </c>
      <c r="Y3" s="10"/>
      <c r="Z3" s="10">
        <v>6230</v>
      </c>
      <c r="AA3" s="10" t="s">
        <v>4</v>
      </c>
      <c r="AB3" s="10">
        <v>6202</v>
      </c>
      <c r="AC3" s="10"/>
      <c r="AD3" s="10">
        <v>6109</v>
      </c>
      <c r="AE3" s="10">
        <v>1002</v>
      </c>
    </row>
    <row r="4" spans="1:1024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771</v>
      </c>
      <c r="S4" s="13" t="s">
        <v>24</v>
      </c>
      <c r="T4" s="13" t="s">
        <v>25</v>
      </c>
      <c r="U4" s="13" t="s">
        <v>26</v>
      </c>
      <c r="V4" s="13" t="s">
        <v>27</v>
      </c>
      <c r="W4" s="13" t="s">
        <v>28</v>
      </c>
      <c r="X4" s="13" t="s">
        <v>29</v>
      </c>
      <c r="Y4" s="13" t="s">
        <v>23</v>
      </c>
      <c r="Z4" s="13" t="s">
        <v>31</v>
      </c>
      <c r="AA4" s="13" t="s">
        <v>32</v>
      </c>
      <c r="AB4" s="14" t="s">
        <v>613</v>
      </c>
      <c r="AC4" s="13" t="s">
        <v>34</v>
      </c>
      <c r="AD4" s="15" t="s">
        <v>35</v>
      </c>
      <c r="AE4" s="16" t="s">
        <v>36</v>
      </c>
      <c r="AMJ4"/>
    </row>
    <row r="5" spans="1:1024" s="17" customFormat="1" ht="19.5" customHeight="1" x14ac:dyDescent="0.3">
      <c r="A5" s="81">
        <v>44172</v>
      </c>
      <c r="B5" s="12"/>
      <c r="C5" s="20" t="s">
        <v>937</v>
      </c>
      <c r="D5" s="12"/>
      <c r="E5" s="12"/>
      <c r="F5" s="82"/>
      <c r="G5" s="82" t="s">
        <v>938</v>
      </c>
      <c r="H5" s="84">
        <v>50</v>
      </c>
      <c r="I5" s="82"/>
      <c r="J5" s="84"/>
      <c r="K5" s="84"/>
      <c r="L5" s="83"/>
      <c r="M5" s="24">
        <f t="shared" ref="M5:M21" si="0">SUM(H5:J5,K5/1.12)</f>
        <v>50</v>
      </c>
      <c r="N5" s="24">
        <f t="shared" ref="N5:N21" si="1">K5/1.12*0.12</f>
        <v>0</v>
      </c>
      <c r="O5" s="24">
        <f t="shared" ref="O5:O17" si="2">-SUM(I5:J5,K5/1.12)*L5</f>
        <v>0</v>
      </c>
      <c r="P5" s="24"/>
      <c r="Q5" s="25"/>
      <c r="R5" s="26"/>
      <c r="S5" s="26"/>
      <c r="T5" s="26"/>
      <c r="U5" s="26"/>
      <c r="V5" s="26"/>
      <c r="W5" s="25"/>
      <c r="X5" s="25"/>
      <c r="Y5" s="25"/>
      <c r="Z5" s="25">
        <v>50</v>
      </c>
      <c r="AA5" s="26"/>
      <c r="AB5" s="26"/>
      <c r="AC5" s="25"/>
      <c r="AD5" s="25"/>
      <c r="AE5" s="24">
        <f t="shared" ref="AE5:AE21" si="3">-SUM(N5:AD5)</f>
        <v>-50</v>
      </c>
      <c r="AF5" s="27">
        <f t="shared" ref="AF5:AF21" si="4">SUM(H5:K5)+AE5+O5</f>
        <v>0</v>
      </c>
      <c r="AMJ5"/>
    </row>
    <row r="6" spans="1:1024" s="17" customFormat="1" ht="19.5" customHeight="1" x14ac:dyDescent="0.3">
      <c r="A6" s="81">
        <v>44173</v>
      </c>
      <c r="B6" s="12"/>
      <c r="C6" s="20" t="s">
        <v>605</v>
      </c>
      <c r="D6" s="12"/>
      <c r="E6" s="12"/>
      <c r="F6" s="82"/>
      <c r="G6" s="82" t="s">
        <v>939</v>
      </c>
      <c r="H6" s="84">
        <v>120</v>
      </c>
      <c r="I6" s="82"/>
      <c r="J6" s="84"/>
      <c r="K6" s="84"/>
      <c r="L6" s="83"/>
      <c r="M6" s="24">
        <f t="shared" si="0"/>
        <v>120</v>
      </c>
      <c r="N6" s="24">
        <f t="shared" si="1"/>
        <v>0</v>
      </c>
      <c r="O6" s="24">
        <f t="shared" si="2"/>
        <v>0</v>
      </c>
      <c r="P6" s="24"/>
      <c r="Q6" s="25"/>
      <c r="R6" s="26"/>
      <c r="S6" s="26"/>
      <c r="T6" s="26"/>
      <c r="U6" s="26"/>
      <c r="V6" s="26"/>
      <c r="W6" s="25"/>
      <c r="X6" s="25"/>
      <c r="Y6" s="25"/>
      <c r="Z6" s="25">
        <v>120</v>
      </c>
      <c r="AA6" s="26"/>
      <c r="AB6" s="26"/>
      <c r="AC6" s="25"/>
      <c r="AD6" s="25"/>
      <c r="AE6" s="24">
        <f t="shared" si="3"/>
        <v>-120</v>
      </c>
      <c r="AF6" s="27">
        <f t="shared" si="4"/>
        <v>0</v>
      </c>
      <c r="AMJ6"/>
    </row>
    <row r="7" spans="1:1024" s="17" customFormat="1" ht="19.5" customHeight="1" x14ac:dyDescent="0.3">
      <c r="A7" s="81">
        <v>44174</v>
      </c>
      <c r="B7" s="12"/>
      <c r="C7" s="20" t="s">
        <v>931</v>
      </c>
      <c r="D7" s="12"/>
      <c r="E7" s="12"/>
      <c r="F7" s="82">
        <v>9119</v>
      </c>
      <c r="G7" s="82" t="s">
        <v>940</v>
      </c>
      <c r="H7" s="84"/>
      <c r="I7" s="82"/>
      <c r="J7" s="84"/>
      <c r="K7" s="84">
        <v>338</v>
      </c>
      <c r="L7" s="83"/>
      <c r="M7" s="24">
        <f t="shared" si="0"/>
        <v>301.78571428571428</v>
      </c>
      <c r="N7" s="24">
        <f t="shared" si="1"/>
        <v>36.214285714285715</v>
      </c>
      <c r="O7" s="24">
        <f t="shared" si="2"/>
        <v>0</v>
      </c>
      <c r="P7" s="24">
        <v>301.79000000000002</v>
      </c>
      <c r="Q7" s="25"/>
      <c r="R7" s="26"/>
      <c r="S7" s="26"/>
      <c r="T7" s="26"/>
      <c r="U7" s="26"/>
      <c r="V7" s="26"/>
      <c r="W7" s="25"/>
      <c r="X7" s="25"/>
      <c r="Y7" s="25"/>
      <c r="Z7" s="25"/>
      <c r="AA7" s="26"/>
      <c r="AB7" s="26"/>
      <c r="AC7" s="25"/>
      <c r="AD7" s="25"/>
      <c r="AE7" s="24">
        <f t="shared" si="3"/>
        <v>-338.00428571428574</v>
      </c>
      <c r="AF7" s="27">
        <f t="shared" si="4"/>
        <v>-4.2857142857428698E-3</v>
      </c>
      <c r="AMJ7"/>
    </row>
    <row r="8" spans="1:1024" s="17" customFormat="1" ht="19.5" customHeight="1" x14ac:dyDescent="0.3">
      <c r="A8" s="81">
        <v>44175</v>
      </c>
      <c r="B8" s="12"/>
      <c r="C8" s="20" t="s">
        <v>931</v>
      </c>
      <c r="D8" s="12"/>
      <c r="E8" s="12"/>
      <c r="F8" s="82">
        <v>9198</v>
      </c>
      <c r="G8" s="82" t="s">
        <v>941</v>
      </c>
      <c r="H8" s="84"/>
      <c r="I8" s="82"/>
      <c r="J8" s="84"/>
      <c r="K8" s="84">
        <v>352</v>
      </c>
      <c r="L8" s="83"/>
      <c r="M8" s="24">
        <f t="shared" si="0"/>
        <v>314.28571428571428</v>
      </c>
      <c r="N8" s="24">
        <f t="shared" si="1"/>
        <v>37.714285714285715</v>
      </c>
      <c r="O8" s="24">
        <f t="shared" si="2"/>
        <v>0</v>
      </c>
      <c r="P8" s="24">
        <v>314.29000000000002</v>
      </c>
      <c r="Q8" s="25"/>
      <c r="R8" s="26"/>
      <c r="S8" s="26"/>
      <c r="T8" s="26"/>
      <c r="U8" s="26"/>
      <c r="V8" s="26"/>
      <c r="W8" s="25"/>
      <c r="X8" s="25"/>
      <c r="Y8" s="25"/>
      <c r="Z8" s="25"/>
      <c r="AA8" s="26"/>
      <c r="AB8" s="26"/>
      <c r="AC8" s="25"/>
      <c r="AD8" s="25"/>
      <c r="AE8" s="24">
        <f t="shared" si="3"/>
        <v>-352.00428571428574</v>
      </c>
      <c r="AF8" s="27">
        <f t="shared" si="4"/>
        <v>-4.2857142857428698E-3</v>
      </c>
      <c r="AMJ8"/>
    </row>
    <row r="9" spans="1:1024" s="17" customFormat="1" ht="19.5" customHeight="1" x14ac:dyDescent="0.3">
      <c r="A9" s="81">
        <v>44175</v>
      </c>
      <c r="B9" s="12"/>
      <c r="C9" s="82" t="s">
        <v>605</v>
      </c>
      <c r="D9" s="12"/>
      <c r="E9" s="12"/>
      <c r="F9" s="82"/>
      <c r="G9" s="82" t="s">
        <v>942</v>
      </c>
      <c r="H9" s="84">
        <v>80</v>
      </c>
      <c r="I9" s="82"/>
      <c r="J9" s="84"/>
      <c r="K9" s="84"/>
      <c r="L9" s="83"/>
      <c r="M9" s="24">
        <f t="shared" si="0"/>
        <v>80</v>
      </c>
      <c r="N9" s="24">
        <f t="shared" si="1"/>
        <v>0</v>
      </c>
      <c r="O9" s="24">
        <f t="shared" si="2"/>
        <v>0</v>
      </c>
      <c r="P9" s="24"/>
      <c r="Q9" s="25"/>
      <c r="R9" s="26"/>
      <c r="S9" s="26"/>
      <c r="T9" s="26"/>
      <c r="U9" s="26"/>
      <c r="V9" s="26"/>
      <c r="W9" s="25"/>
      <c r="X9" s="25"/>
      <c r="Y9" s="25"/>
      <c r="Z9" s="25">
        <v>80</v>
      </c>
      <c r="AA9" s="26"/>
      <c r="AB9" s="26"/>
      <c r="AC9" s="25"/>
      <c r="AD9" s="25"/>
      <c r="AE9" s="24">
        <f t="shared" si="3"/>
        <v>-80</v>
      </c>
      <c r="AF9" s="27">
        <f t="shared" si="4"/>
        <v>0</v>
      </c>
      <c r="AMJ9"/>
    </row>
    <row r="10" spans="1:1024" s="17" customFormat="1" ht="19.5" customHeight="1" x14ac:dyDescent="0.3">
      <c r="A10" s="81">
        <v>44175</v>
      </c>
      <c r="B10" s="12"/>
      <c r="C10" s="82" t="s">
        <v>943</v>
      </c>
      <c r="D10" s="12"/>
      <c r="E10" s="12"/>
      <c r="F10" s="82">
        <v>206695</v>
      </c>
      <c r="G10" s="82" t="s">
        <v>717</v>
      </c>
      <c r="H10" s="84"/>
      <c r="I10" s="82"/>
      <c r="J10" s="84"/>
      <c r="K10" s="84">
        <v>1971</v>
      </c>
      <c r="L10" s="83"/>
      <c r="M10" s="24">
        <f t="shared" si="0"/>
        <v>1759.8214285714284</v>
      </c>
      <c r="N10" s="24">
        <f t="shared" si="1"/>
        <v>211.17857142857142</v>
      </c>
      <c r="O10" s="24">
        <f t="shared" si="2"/>
        <v>0</v>
      </c>
      <c r="P10" s="24"/>
      <c r="Q10" s="25"/>
      <c r="R10" s="26"/>
      <c r="S10" s="26"/>
      <c r="T10" s="26"/>
      <c r="U10" s="26"/>
      <c r="V10" s="26"/>
      <c r="W10" s="25"/>
      <c r="X10" s="25"/>
      <c r="Y10" s="25">
        <v>1759.82</v>
      </c>
      <c r="Z10" s="25"/>
      <c r="AA10" s="26"/>
      <c r="AB10" s="26"/>
      <c r="AC10" s="25"/>
      <c r="AD10" s="25"/>
      <c r="AE10" s="24">
        <f t="shared" si="3"/>
        <v>-1970.9985714285713</v>
      </c>
      <c r="AF10" s="27">
        <f t="shared" si="4"/>
        <v>1.4285714287325391E-3</v>
      </c>
      <c r="AMJ10"/>
    </row>
    <row r="11" spans="1:1024" s="17" customFormat="1" ht="19.5" customHeight="1" x14ac:dyDescent="0.3">
      <c r="A11" s="81">
        <v>44175</v>
      </c>
      <c r="B11" s="12"/>
      <c r="C11" s="82" t="s">
        <v>65</v>
      </c>
      <c r="D11" s="12"/>
      <c r="E11" s="12"/>
      <c r="F11" s="82">
        <v>3505</v>
      </c>
      <c r="G11" s="82" t="s">
        <v>68</v>
      </c>
      <c r="H11" s="84"/>
      <c r="I11" s="82"/>
      <c r="J11" s="84">
        <v>560</v>
      </c>
      <c r="K11" s="84"/>
      <c r="L11" s="83"/>
      <c r="M11" s="24">
        <f t="shared" si="0"/>
        <v>560</v>
      </c>
      <c r="N11" s="24">
        <f t="shared" si="1"/>
        <v>0</v>
      </c>
      <c r="O11" s="24">
        <f t="shared" si="2"/>
        <v>0</v>
      </c>
      <c r="P11" s="24">
        <v>560</v>
      </c>
      <c r="Q11" s="25"/>
      <c r="R11" s="26"/>
      <c r="S11" s="26"/>
      <c r="T11" s="26"/>
      <c r="U11" s="26"/>
      <c r="V11" s="26"/>
      <c r="W11" s="25"/>
      <c r="X11" s="25"/>
      <c r="Y11" s="25"/>
      <c r="Z11" s="25"/>
      <c r="AA11" s="26"/>
      <c r="AB11" s="26"/>
      <c r="AC11" s="25"/>
      <c r="AD11" s="25"/>
      <c r="AE11" s="24">
        <f t="shared" si="3"/>
        <v>-560</v>
      </c>
      <c r="AF11" s="27">
        <f t="shared" si="4"/>
        <v>0</v>
      </c>
      <c r="AMJ11"/>
    </row>
    <row r="12" spans="1:1024" s="17" customFormat="1" ht="19.5" customHeight="1" x14ac:dyDescent="0.3">
      <c r="A12" s="81">
        <v>44175</v>
      </c>
      <c r="B12" s="12"/>
      <c r="C12" s="82" t="s">
        <v>45</v>
      </c>
      <c r="D12" s="12"/>
      <c r="E12" s="12"/>
      <c r="F12" s="82"/>
      <c r="G12" s="82" t="s">
        <v>208</v>
      </c>
      <c r="H12" s="84">
        <v>100</v>
      </c>
      <c r="I12" s="82"/>
      <c r="J12" s="84"/>
      <c r="K12" s="84"/>
      <c r="L12" s="83"/>
      <c r="M12" s="24">
        <f t="shared" si="0"/>
        <v>100</v>
      </c>
      <c r="N12" s="24">
        <f t="shared" si="1"/>
        <v>0</v>
      </c>
      <c r="O12" s="24">
        <f t="shared" si="2"/>
        <v>0</v>
      </c>
      <c r="P12" s="24"/>
      <c r="Q12" s="25"/>
      <c r="R12" s="26"/>
      <c r="S12" s="26"/>
      <c r="T12" s="26"/>
      <c r="U12" s="26"/>
      <c r="V12" s="26"/>
      <c r="W12" s="25"/>
      <c r="X12" s="25"/>
      <c r="Y12" s="25"/>
      <c r="Z12" s="25">
        <v>100</v>
      </c>
      <c r="AA12" s="26"/>
      <c r="AB12" s="26"/>
      <c r="AC12" s="25"/>
      <c r="AD12" s="25"/>
      <c r="AE12" s="24">
        <f t="shared" si="3"/>
        <v>-100</v>
      </c>
      <c r="AF12" s="27">
        <f t="shared" si="4"/>
        <v>0</v>
      </c>
      <c r="AMJ12"/>
    </row>
    <row r="13" spans="1:1024" s="17" customFormat="1" ht="19.5" customHeight="1" x14ac:dyDescent="0.3">
      <c r="A13" s="81">
        <v>44176</v>
      </c>
      <c r="B13" s="12"/>
      <c r="C13" s="82" t="s">
        <v>549</v>
      </c>
      <c r="D13" s="12"/>
      <c r="E13" s="12"/>
      <c r="F13" s="82"/>
      <c r="G13" s="82" t="s">
        <v>42</v>
      </c>
      <c r="H13" s="84"/>
      <c r="I13" s="82"/>
      <c r="J13" s="84">
        <v>1250</v>
      </c>
      <c r="K13" s="84"/>
      <c r="L13" s="83"/>
      <c r="M13" s="24">
        <f t="shared" si="0"/>
        <v>1250</v>
      </c>
      <c r="N13" s="24">
        <f t="shared" si="1"/>
        <v>0</v>
      </c>
      <c r="O13" s="24">
        <f t="shared" si="2"/>
        <v>0</v>
      </c>
      <c r="P13" s="24">
        <v>1250</v>
      </c>
      <c r="Q13" s="25"/>
      <c r="R13" s="26"/>
      <c r="S13" s="26"/>
      <c r="T13" s="26"/>
      <c r="U13" s="26"/>
      <c r="V13" s="26"/>
      <c r="W13" s="25"/>
      <c r="X13" s="25"/>
      <c r="Y13" s="25"/>
      <c r="Z13" s="25"/>
      <c r="AA13" s="26"/>
      <c r="AB13" s="26"/>
      <c r="AC13" s="25"/>
      <c r="AD13" s="25"/>
      <c r="AE13" s="24">
        <f t="shared" si="3"/>
        <v>-1250</v>
      </c>
      <c r="AF13" s="27">
        <f t="shared" si="4"/>
        <v>0</v>
      </c>
      <c r="AMJ13"/>
    </row>
    <row r="14" spans="1:1024" s="17" customFormat="1" ht="19.5" customHeight="1" x14ac:dyDescent="0.3">
      <c r="A14" s="81">
        <v>44176</v>
      </c>
      <c r="B14" s="12"/>
      <c r="C14" s="82" t="s">
        <v>605</v>
      </c>
      <c r="D14" s="12"/>
      <c r="E14" s="12"/>
      <c r="F14" s="82"/>
      <c r="G14" s="82" t="s">
        <v>439</v>
      </c>
      <c r="H14" s="84">
        <v>60</v>
      </c>
      <c r="I14" s="82"/>
      <c r="J14" s="84"/>
      <c r="K14" s="84"/>
      <c r="L14" s="83"/>
      <c r="M14" s="24">
        <f t="shared" si="0"/>
        <v>60</v>
      </c>
      <c r="N14" s="24">
        <f t="shared" si="1"/>
        <v>0</v>
      </c>
      <c r="O14" s="24">
        <f t="shared" si="2"/>
        <v>0</v>
      </c>
      <c r="P14" s="24"/>
      <c r="Q14" s="25"/>
      <c r="R14" s="26"/>
      <c r="S14" s="26"/>
      <c r="T14" s="26"/>
      <c r="U14" s="26"/>
      <c r="V14" s="26"/>
      <c r="W14" s="25"/>
      <c r="X14" s="25"/>
      <c r="Y14" s="25"/>
      <c r="Z14" s="25">
        <v>60</v>
      </c>
      <c r="AA14" s="26"/>
      <c r="AB14" s="26"/>
      <c r="AC14" s="25"/>
      <c r="AD14" s="25"/>
      <c r="AE14" s="24">
        <f t="shared" si="3"/>
        <v>-60</v>
      </c>
      <c r="AF14" s="27">
        <f t="shared" si="4"/>
        <v>0</v>
      </c>
      <c r="AMJ14"/>
    </row>
    <row r="15" spans="1:1024" s="17" customFormat="1" ht="19.5" customHeight="1" x14ac:dyDescent="0.3">
      <c r="A15" s="81">
        <v>44176</v>
      </c>
      <c r="B15" s="12"/>
      <c r="C15" s="82" t="s">
        <v>944</v>
      </c>
      <c r="D15" s="12"/>
      <c r="E15" s="12"/>
      <c r="F15" s="82"/>
      <c r="G15" s="82" t="s">
        <v>945</v>
      </c>
      <c r="H15" s="84">
        <v>130</v>
      </c>
      <c r="I15" s="82"/>
      <c r="J15" s="84"/>
      <c r="K15" s="84"/>
      <c r="L15" s="83"/>
      <c r="M15" s="24">
        <f t="shared" si="0"/>
        <v>130</v>
      </c>
      <c r="N15" s="24">
        <f t="shared" si="1"/>
        <v>0</v>
      </c>
      <c r="O15" s="24">
        <f t="shared" si="2"/>
        <v>0</v>
      </c>
      <c r="P15" s="24"/>
      <c r="Q15" s="25"/>
      <c r="R15" s="26"/>
      <c r="S15" s="26"/>
      <c r="T15" s="26"/>
      <c r="U15" s="26"/>
      <c r="V15" s="26"/>
      <c r="W15" s="25"/>
      <c r="X15" s="25"/>
      <c r="Y15" s="25"/>
      <c r="Z15" s="25">
        <v>130</v>
      </c>
      <c r="AA15" s="26"/>
      <c r="AB15" s="26"/>
      <c r="AC15" s="25"/>
      <c r="AD15" s="25"/>
      <c r="AE15" s="24">
        <f t="shared" si="3"/>
        <v>-130</v>
      </c>
      <c r="AF15" s="27">
        <f t="shared" si="4"/>
        <v>0</v>
      </c>
      <c r="AMJ15"/>
    </row>
    <row r="16" spans="1:1024" s="17" customFormat="1" ht="19.5" customHeight="1" x14ac:dyDescent="0.3">
      <c r="A16" s="81">
        <v>44176</v>
      </c>
      <c r="B16" s="12"/>
      <c r="C16" s="82" t="s">
        <v>699</v>
      </c>
      <c r="D16" s="12"/>
      <c r="E16" s="12"/>
      <c r="F16" s="82">
        <v>2482</v>
      </c>
      <c r="G16" s="82" t="s">
        <v>509</v>
      </c>
      <c r="H16" s="84"/>
      <c r="I16" s="82"/>
      <c r="J16" s="84"/>
      <c r="K16" s="84">
        <v>1600</v>
      </c>
      <c r="L16" s="83"/>
      <c r="M16" s="24">
        <f t="shared" si="0"/>
        <v>1428.5714285714284</v>
      </c>
      <c r="N16" s="24">
        <f t="shared" si="1"/>
        <v>171.42857142857142</v>
      </c>
      <c r="O16" s="24">
        <f t="shared" si="2"/>
        <v>0</v>
      </c>
      <c r="P16" s="24"/>
      <c r="Q16" s="25">
        <v>1428.57</v>
      </c>
      <c r="R16" s="26"/>
      <c r="S16" s="26"/>
      <c r="T16" s="26"/>
      <c r="U16" s="26"/>
      <c r="V16" s="26"/>
      <c r="W16" s="25"/>
      <c r="X16" s="25"/>
      <c r="Y16" s="25"/>
      <c r="Z16" s="25"/>
      <c r="AA16" s="26"/>
      <c r="AB16" s="26"/>
      <c r="AC16" s="25"/>
      <c r="AD16" s="25"/>
      <c r="AE16" s="24">
        <f t="shared" si="3"/>
        <v>-1599.9985714285713</v>
      </c>
      <c r="AF16" s="27">
        <f t="shared" si="4"/>
        <v>1.4285714287325391E-3</v>
      </c>
      <c r="AMJ16"/>
    </row>
    <row r="17" spans="1:1024" s="17" customFormat="1" ht="19.5" customHeight="1" x14ac:dyDescent="0.3">
      <c r="A17" s="81">
        <v>44176</v>
      </c>
      <c r="B17" s="12"/>
      <c r="C17" s="82" t="s">
        <v>45</v>
      </c>
      <c r="D17" s="12"/>
      <c r="E17" s="12"/>
      <c r="F17" s="82"/>
      <c r="G17" s="82" t="s">
        <v>946</v>
      </c>
      <c r="H17" s="84">
        <v>120</v>
      </c>
      <c r="I17" s="82"/>
      <c r="J17" s="84"/>
      <c r="K17" s="84"/>
      <c r="L17" s="83"/>
      <c r="M17" s="24">
        <f t="shared" si="0"/>
        <v>120</v>
      </c>
      <c r="N17" s="24">
        <f t="shared" si="1"/>
        <v>0</v>
      </c>
      <c r="O17" s="24">
        <f t="shared" si="2"/>
        <v>0</v>
      </c>
      <c r="P17" s="24"/>
      <c r="Q17" s="25"/>
      <c r="R17" s="26"/>
      <c r="S17" s="26"/>
      <c r="T17" s="26"/>
      <c r="U17" s="26"/>
      <c r="V17" s="26"/>
      <c r="W17" s="25"/>
      <c r="X17" s="25"/>
      <c r="Y17" s="25"/>
      <c r="Z17" s="25">
        <v>120</v>
      </c>
      <c r="AA17" s="26"/>
      <c r="AB17" s="26"/>
      <c r="AC17" s="25"/>
      <c r="AD17" s="25"/>
      <c r="AE17" s="24">
        <f t="shared" si="3"/>
        <v>-120</v>
      </c>
      <c r="AF17" s="27">
        <f t="shared" si="4"/>
        <v>0</v>
      </c>
      <c r="AMJ17"/>
    </row>
    <row r="18" spans="1:1024" s="17" customFormat="1" ht="19.5" customHeight="1" x14ac:dyDescent="0.3">
      <c r="A18" s="81">
        <v>44177</v>
      </c>
      <c r="B18" s="12"/>
      <c r="C18" s="20" t="s">
        <v>931</v>
      </c>
      <c r="D18" s="12"/>
      <c r="E18" s="12"/>
      <c r="F18" s="82">
        <v>7913</v>
      </c>
      <c r="G18" s="82" t="s">
        <v>947</v>
      </c>
      <c r="H18" s="84"/>
      <c r="I18" s="82"/>
      <c r="J18" s="84"/>
      <c r="K18" s="84">
        <v>331</v>
      </c>
      <c r="L18" s="83"/>
      <c r="M18" s="24">
        <f t="shared" si="0"/>
        <v>295.53571428571428</v>
      </c>
      <c r="N18" s="24">
        <f t="shared" si="1"/>
        <v>35.464285714285715</v>
      </c>
      <c r="O18" s="24"/>
      <c r="P18" s="24">
        <v>295.54000000000002</v>
      </c>
      <c r="Q18" s="25"/>
      <c r="R18" s="26"/>
      <c r="S18" s="26"/>
      <c r="T18" s="26"/>
      <c r="U18" s="26"/>
      <c r="V18" s="26"/>
      <c r="W18" s="25"/>
      <c r="X18" s="25"/>
      <c r="Y18" s="25"/>
      <c r="Z18" s="25"/>
      <c r="AA18" s="26"/>
      <c r="AB18" s="26"/>
      <c r="AC18" s="25"/>
      <c r="AD18" s="25"/>
      <c r="AE18" s="24">
        <f t="shared" si="3"/>
        <v>-331.00428571428574</v>
      </c>
      <c r="AF18" s="27">
        <f t="shared" si="4"/>
        <v>-4.2857142857428698E-3</v>
      </c>
      <c r="AMJ18"/>
    </row>
    <row r="19" spans="1:1024" s="17" customFormat="1" ht="19.5" customHeight="1" x14ac:dyDescent="0.3">
      <c r="A19" s="81">
        <v>44177</v>
      </c>
      <c r="B19" s="12"/>
      <c r="C19" s="82" t="s">
        <v>106</v>
      </c>
      <c r="D19" s="12"/>
      <c r="E19" s="12"/>
      <c r="F19" s="82">
        <v>831419</v>
      </c>
      <c r="G19" s="82" t="s">
        <v>948</v>
      </c>
      <c r="H19" s="84"/>
      <c r="I19" s="82"/>
      <c r="J19" s="84"/>
      <c r="K19" s="84">
        <v>150.5</v>
      </c>
      <c r="L19" s="83"/>
      <c r="M19" s="24">
        <f t="shared" si="0"/>
        <v>134.375</v>
      </c>
      <c r="N19" s="24">
        <f t="shared" si="1"/>
        <v>16.125</v>
      </c>
      <c r="O19" s="24"/>
      <c r="P19" s="24"/>
      <c r="Q19" s="25"/>
      <c r="R19" s="26"/>
      <c r="S19" s="26">
        <v>134.38</v>
      </c>
      <c r="T19" s="26"/>
      <c r="U19" s="26"/>
      <c r="V19" s="26"/>
      <c r="W19" s="25"/>
      <c r="X19" s="25"/>
      <c r="Y19" s="25"/>
      <c r="Z19" s="25"/>
      <c r="AA19" s="26"/>
      <c r="AB19" s="26"/>
      <c r="AC19" s="25"/>
      <c r="AD19" s="25"/>
      <c r="AE19" s="24">
        <f t="shared" si="3"/>
        <v>-150.505</v>
      </c>
      <c r="AF19" s="27">
        <f t="shared" si="4"/>
        <v>-4.9999999999954525E-3</v>
      </c>
      <c r="AMJ19"/>
    </row>
    <row r="20" spans="1:1024" s="17" customFormat="1" ht="19.5" customHeight="1" x14ac:dyDescent="0.3">
      <c r="A20" s="81">
        <v>44177</v>
      </c>
      <c r="B20" s="12"/>
      <c r="C20" s="82" t="s">
        <v>949</v>
      </c>
      <c r="D20" s="12"/>
      <c r="E20" s="12"/>
      <c r="F20" s="82"/>
      <c r="G20" s="82" t="s">
        <v>950</v>
      </c>
      <c r="H20" s="84"/>
      <c r="I20" s="82"/>
      <c r="J20" s="84"/>
      <c r="K20" s="84">
        <v>2955</v>
      </c>
      <c r="L20" s="83"/>
      <c r="M20" s="24">
        <f t="shared" si="0"/>
        <v>2638.3928571428569</v>
      </c>
      <c r="N20" s="24">
        <f t="shared" si="1"/>
        <v>316.60714285714283</v>
      </c>
      <c r="O20" s="24"/>
      <c r="P20" s="24"/>
      <c r="Q20" s="25"/>
      <c r="R20" s="26">
        <v>2638.39</v>
      </c>
      <c r="S20" s="26"/>
      <c r="T20" s="26"/>
      <c r="U20" s="26"/>
      <c r="V20" s="26"/>
      <c r="W20" s="25"/>
      <c r="X20" s="25"/>
      <c r="Y20" s="25"/>
      <c r="Z20" s="25"/>
      <c r="AA20" s="26"/>
      <c r="AB20" s="26"/>
      <c r="AC20" s="25"/>
      <c r="AD20" s="25"/>
      <c r="AE20" s="24">
        <f t="shared" si="3"/>
        <v>-2954.9971428571425</v>
      </c>
      <c r="AF20" s="27">
        <f t="shared" si="4"/>
        <v>2.8571428574650781E-3</v>
      </c>
      <c r="AMJ20"/>
    </row>
    <row r="21" spans="1:1024" s="17" customFormat="1" ht="19.5" customHeight="1" x14ac:dyDescent="0.3">
      <c r="A21" s="81"/>
      <c r="B21" s="12"/>
      <c r="C21" s="20"/>
      <c r="D21" s="12"/>
      <c r="E21" s="12"/>
      <c r="F21" s="82"/>
      <c r="G21" s="82"/>
      <c r="H21" s="82"/>
      <c r="I21" s="82"/>
      <c r="J21" s="84"/>
      <c r="K21" s="84"/>
      <c r="L21" s="83"/>
      <c r="M21" s="24">
        <f t="shared" si="0"/>
        <v>0</v>
      </c>
      <c r="N21" s="24">
        <f t="shared" si="1"/>
        <v>0</v>
      </c>
      <c r="O21" s="24">
        <f>-SUM(I21:J21,K21/1.12)*L21</f>
        <v>0</v>
      </c>
      <c r="P21" s="24"/>
      <c r="Q21" s="25"/>
      <c r="R21" s="26"/>
      <c r="S21" s="26"/>
      <c r="T21" s="26"/>
      <c r="U21" s="26"/>
      <c r="V21" s="26"/>
      <c r="W21" s="25"/>
      <c r="X21" s="25"/>
      <c r="Y21" s="25"/>
      <c r="Z21" s="25"/>
      <c r="AA21" s="26"/>
      <c r="AB21" s="26"/>
      <c r="AC21" s="25"/>
      <c r="AD21" s="25"/>
      <c r="AE21" s="24">
        <f t="shared" si="3"/>
        <v>0</v>
      </c>
      <c r="AF21" s="27">
        <f t="shared" si="4"/>
        <v>0</v>
      </c>
      <c r="AMJ21"/>
    </row>
    <row r="22" spans="1:1024" s="52" customFormat="1" x14ac:dyDescent="0.3">
      <c r="A22" s="46"/>
      <c r="B22" s="47"/>
      <c r="C22" s="48"/>
      <c r="D22" s="49"/>
      <c r="E22" s="49"/>
      <c r="F22" s="50"/>
      <c r="G22" s="48"/>
      <c r="H22" s="51">
        <f>SUM(H4:H21)</f>
        <v>660</v>
      </c>
      <c r="I22" s="51" t="e">
        <f>SUM(#REF!)</f>
        <v>#REF!</v>
      </c>
      <c r="J22" s="51">
        <f>SUM(J5:J21)</f>
        <v>1810</v>
      </c>
      <c r="K22" s="51">
        <f>SUM(K5:K21)</f>
        <v>7697.5</v>
      </c>
      <c r="L22" s="51" t="e">
        <f>SUM(#REF!)</f>
        <v>#REF!</v>
      </c>
      <c r="M22" s="51">
        <f>SUM(M5:M21)</f>
        <v>9342.7678571428569</v>
      </c>
      <c r="N22" s="51">
        <f>SUM(N5:N21)</f>
        <v>824.73214285714278</v>
      </c>
      <c r="O22" s="51" t="e">
        <f>SUM(#REF!)</f>
        <v>#REF!</v>
      </c>
      <c r="P22" s="51">
        <f>SUM(P5:P21)</f>
        <v>2721.62</v>
      </c>
      <c r="Q22" s="51">
        <f>SUM(Q5:Q21)</f>
        <v>1428.57</v>
      </c>
      <c r="R22" s="51">
        <f>SUM(R5:R21)</f>
        <v>2638.39</v>
      </c>
      <c r="S22" s="51">
        <f>SUM(S5:S21)</f>
        <v>134.38</v>
      </c>
      <c r="T22" s="51">
        <f>SUM(T5:T21)</f>
        <v>0</v>
      </c>
      <c r="U22" s="51" t="e">
        <f>SUM(#REF!)</f>
        <v>#REF!</v>
      </c>
      <c r="V22" s="51" t="e">
        <f>SUM(#REF!)</f>
        <v>#REF!</v>
      </c>
      <c r="W22" s="51" t="e">
        <f>SUM(#REF!)</f>
        <v>#REF!</v>
      </c>
      <c r="X22" s="51" t="e">
        <f>SUM(#REF!)</f>
        <v>#REF!</v>
      </c>
      <c r="Y22" s="51">
        <f>SUM(Y5:Y21)</f>
        <v>1759.82</v>
      </c>
      <c r="Z22" s="51">
        <f>SUM(Z5:Z21)</f>
        <v>660</v>
      </c>
      <c r="AA22" s="51" t="e">
        <f>SUM(#REF!)</f>
        <v>#REF!</v>
      </c>
      <c r="AB22" s="51">
        <f>SUM(AB5:AB21)</f>
        <v>0</v>
      </c>
      <c r="AC22" s="51">
        <f>SUM(AC5:AC21)</f>
        <v>0</v>
      </c>
      <c r="AD22" s="51" t="e">
        <f>SUM(#REF!)</f>
        <v>#REF!</v>
      </c>
      <c r="AE22" s="51">
        <f>SUM(AE5:AE21)</f>
        <v>-10167.512142857144</v>
      </c>
      <c r="AF22" s="51" t="e">
        <f>SUM(#REF!)</f>
        <v>#REF!</v>
      </c>
      <c r="AMJ22"/>
    </row>
    <row r="23" spans="1:1024" x14ac:dyDescent="0.3">
      <c r="H23" s="85"/>
      <c r="I23" s="85"/>
      <c r="J23" s="85"/>
      <c r="K23" s="85"/>
    </row>
    <row r="24" spans="1:1024" x14ac:dyDescent="0.3">
      <c r="H24" s="85"/>
      <c r="I24" s="85"/>
      <c r="J24" s="85"/>
      <c r="K24" s="85"/>
    </row>
    <row r="25" spans="1:1024" x14ac:dyDescent="0.3">
      <c r="H25" s="85"/>
      <c r="I25" s="85"/>
      <c r="J25" s="85"/>
      <c r="K25" s="85"/>
    </row>
    <row r="26" spans="1:1024" x14ac:dyDescent="0.3">
      <c r="H26" s="85"/>
      <c r="I26" s="85"/>
      <c r="J26" s="85"/>
      <c r="K26" s="85"/>
      <c r="Q26" s="5">
        <v>0</v>
      </c>
    </row>
    <row r="27" spans="1:1024" s="3" customFormat="1" x14ac:dyDescent="0.3">
      <c r="H27" s="86"/>
      <c r="I27" s="86"/>
      <c r="J27" s="86"/>
      <c r="K27" s="86"/>
      <c r="S27" s="5"/>
      <c r="T27" s="5"/>
      <c r="U27" s="5"/>
      <c r="V27" s="5"/>
      <c r="W27" s="5"/>
      <c r="X27" s="5"/>
      <c r="AMJ27"/>
    </row>
    <row r="28" spans="1:1024" x14ac:dyDescent="0.3">
      <c r="H28" s="85"/>
      <c r="I28" s="85"/>
      <c r="J28" s="85"/>
      <c r="K28" s="85"/>
    </row>
    <row r="29" spans="1:1024" x14ac:dyDescent="0.3">
      <c r="H29" s="85"/>
      <c r="I29" s="85"/>
      <c r="J29" s="85"/>
      <c r="K29" s="85"/>
    </row>
    <row r="30" spans="1:1024" x14ac:dyDescent="0.3">
      <c r="H30" s="85"/>
      <c r="I30" s="85"/>
      <c r="J30" s="85"/>
      <c r="K30" s="85"/>
    </row>
    <row r="31" spans="1:1024" x14ac:dyDescent="0.3">
      <c r="H31" s="85"/>
      <c r="I31" s="85"/>
      <c r="J31" s="85"/>
      <c r="K31" s="85"/>
    </row>
    <row r="32" spans="1:1024" x14ac:dyDescent="0.3">
      <c r="H32" s="87"/>
      <c r="I32" s="87"/>
      <c r="J32" s="87"/>
      <c r="K32" s="87"/>
    </row>
    <row r="33" spans="8:1024" x14ac:dyDescent="0.3">
      <c r="H33" s="87"/>
      <c r="I33" s="87"/>
      <c r="J33" s="87"/>
      <c r="K33" s="87"/>
    </row>
    <row r="34" spans="8:1024" s="3" customFormat="1" x14ac:dyDescent="0.3">
      <c r="H34" s="87"/>
      <c r="I34" s="87"/>
      <c r="J34" s="87"/>
      <c r="K34" s="87"/>
      <c r="AMJ34"/>
    </row>
    <row r="35" spans="8:1024" s="3" customFormat="1" x14ac:dyDescent="0.3">
      <c r="H35" s="87"/>
      <c r="I35" s="87"/>
      <c r="J35" s="87"/>
      <c r="K35" s="87"/>
      <c r="AMJ35"/>
    </row>
    <row r="36" spans="8:1024" s="3" customFormat="1" x14ac:dyDescent="0.3">
      <c r="H36" s="87"/>
      <c r="I36" s="87"/>
      <c r="J36" s="87"/>
      <c r="K36" s="87"/>
      <c r="AMJ36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MK17"/>
  <sheetViews>
    <sheetView topLeftCell="A2" zoomScaleNormal="100" workbookViewId="0">
      <selection activeCell="A9" sqref="A9"/>
    </sheetView>
  </sheetViews>
  <sheetFormatPr defaultRowHeight="14.4" x14ac:dyDescent="0.3"/>
  <cols>
    <col min="1" max="1" width="8.109375" style="1" customWidth="1"/>
    <col min="2" max="2" width="7.21875" style="2" customWidth="1"/>
    <col min="3" max="3" width="26.109375" style="3" customWidth="1"/>
    <col min="4" max="4" width="14" style="4" customWidth="1"/>
    <col min="5" max="5" width="29.33203125" style="4" customWidth="1"/>
    <col min="6" max="6" width="7.88671875" style="2" customWidth="1"/>
    <col min="7" max="7" width="26.5546875" style="3" customWidth="1"/>
    <col min="8" max="8" width="11.109375" style="5" customWidth="1"/>
    <col min="9" max="9" width="9.5546875" style="5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9.5546875" style="5" customWidth="1"/>
    <col min="19" max="20" width="9.109375" style="5" customWidth="1"/>
    <col min="21" max="21" width="10.5546875" style="5" customWidth="1"/>
    <col min="22" max="22" width="8.109375" style="5" customWidth="1"/>
    <col min="23" max="23" width="9.88671875" style="5" customWidth="1"/>
    <col min="24" max="24" width="9.21875" style="5" customWidth="1"/>
    <col min="25" max="25" width="8.21875" style="5" customWidth="1"/>
    <col min="26" max="26" width="8.6640625" style="5" customWidth="1"/>
    <col min="27" max="27" width="9.5546875" style="5" customWidth="1"/>
    <col min="28" max="29" width="8" style="5" customWidth="1"/>
    <col min="30" max="30" width="10.109375" style="5" customWidth="1"/>
    <col min="31" max="31" width="10.6640625" style="5" customWidth="1"/>
    <col min="32" max="32" width="8.88671875" style="3" customWidth="1"/>
    <col min="33" max="1025" width="9.109375" style="3" customWidth="1"/>
  </cols>
  <sheetData>
    <row r="1" spans="1:33" ht="12" customHeight="1" x14ac:dyDescent="0.3">
      <c r="A1" s="7" t="s">
        <v>0</v>
      </c>
      <c r="C1" s="8"/>
    </row>
    <row r="2" spans="1:33" ht="12" customHeight="1" x14ac:dyDescent="0.3">
      <c r="A2" s="7" t="s">
        <v>1</v>
      </c>
    </row>
    <row r="3" spans="1:33" ht="12" customHeight="1" x14ac:dyDescent="0.3">
      <c r="A3" s="7" t="s">
        <v>951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6219</v>
      </c>
      <c r="S3" s="10">
        <v>6212</v>
      </c>
      <c r="T3" s="10"/>
      <c r="U3" s="10"/>
      <c r="V3" s="10"/>
      <c r="W3" s="10"/>
      <c r="X3" s="10" t="s">
        <v>3</v>
      </c>
      <c r="Y3" s="10"/>
      <c r="Z3" s="10">
        <v>6230</v>
      </c>
      <c r="AA3" s="10" t="s">
        <v>4</v>
      </c>
      <c r="AB3" s="10">
        <v>6202</v>
      </c>
      <c r="AC3" s="10"/>
      <c r="AD3" s="10">
        <v>6109</v>
      </c>
      <c r="AE3" s="10">
        <v>1002</v>
      </c>
    </row>
    <row r="4" spans="1:33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771</v>
      </c>
      <c r="S4" s="13" t="s">
        <v>24</v>
      </c>
      <c r="T4" s="13" t="s">
        <v>25</v>
      </c>
      <c r="U4" s="13" t="s">
        <v>26</v>
      </c>
      <c r="V4" s="13" t="s">
        <v>27</v>
      </c>
      <c r="W4" s="13" t="s">
        <v>28</v>
      </c>
      <c r="X4" s="13" t="s">
        <v>29</v>
      </c>
      <c r="Y4" s="13" t="s">
        <v>23</v>
      </c>
      <c r="Z4" s="13" t="s">
        <v>31</v>
      </c>
      <c r="AA4" s="13" t="s">
        <v>32</v>
      </c>
      <c r="AB4" s="14" t="s">
        <v>613</v>
      </c>
      <c r="AC4" s="13" t="s">
        <v>34</v>
      </c>
      <c r="AD4" s="15" t="s">
        <v>35</v>
      </c>
      <c r="AE4" s="16" t="s">
        <v>36</v>
      </c>
    </row>
    <row r="5" spans="1:33" s="17" customFormat="1" ht="19.5" customHeight="1" x14ac:dyDescent="0.2">
      <c r="A5" s="81"/>
      <c r="B5" s="12"/>
      <c r="C5" s="82"/>
      <c r="D5" s="12"/>
      <c r="E5" s="12"/>
      <c r="F5" s="82"/>
      <c r="G5" s="82"/>
      <c r="H5" s="84"/>
      <c r="I5" s="82"/>
      <c r="J5" s="84"/>
      <c r="K5" s="84"/>
      <c r="L5" s="83"/>
      <c r="M5" s="24">
        <f t="shared" ref="M5:M12" si="0">SUM(H5:J5,K5/1.12)</f>
        <v>0</v>
      </c>
      <c r="N5" s="24">
        <f t="shared" ref="N5:N12" si="1">K5/1.12*0.12</f>
        <v>0</v>
      </c>
      <c r="O5" s="24"/>
      <c r="P5" s="24"/>
      <c r="Q5" s="25"/>
      <c r="R5" s="26"/>
      <c r="S5" s="26"/>
      <c r="T5" s="26"/>
      <c r="U5" s="26"/>
      <c r="V5" s="26"/>
      <c r="W5" s="25"/>
      <c r="X5" s="25"/>
      <c r="Y5" s="25"/>
      <c r="Z5" s="25"/>
      <c r="AA5" s="26"/>
      <c r="AB5" s="26"/>
      <c r="AC5" s="25"/>
      <c r="AD5" s="25"/>
      <c r="AE5" s="24">
        <f t="shared" ref="AE5:AE12" si="2">-SUM(N5:AD5)</f>
        <v>0</v>
      </c>
      <c r="AF5" s="27">
        <f t="shared" ref="AF5:AF12" si="3">SUM(H5:K5)+AE5+O5</f>
        <v>0</v>
      </c>
    </row>
    <row r="6" spans="1:33" s="17" customFormat="1" ht="19.5" customHeight="1" x14ac:dyDescent="0.2">
      <c r="A6" s="81">
        <v>44176</v>
      </c>
      <c r="B6" s="12"/>
      <c r="C6" s="20" t="s">
        <v>931</v>
      </c>
      <c r="D6" s="12"/>
      <c r="E6" s="12"/>
      <c r="F6" s="82">
        <v>216</v>
      </c>
      <c r="G6" s="82" t="s">
        <v>905</v>
      </c>
      <c r="H6" s="84"/>
      <c r="I6" s="82"/>
      <c r="J6" s="84"/>
      <c r="K6" s="84">
        <v>498</v>
      </c>
      <c r="L6" s="83"/>
      <c r="M6" s="24">
        <f t="shared" si="0"/>
        <v>444.64285714285711</v>
      </c>
      <c r="N6" s="24">
        <f t="shared" si="1"/>
        <v>53.357142857142854</v>
      </c>
      <c r="O6" s="24">
        <f t="shared" ref="O6:O12" si="4">-SUM(I6:J6,K6/1.12)*L6</f>
        <v>0</v>
      </c>
      <c r="P6" s="24"/>
      <c r="Q6" s="25">
        <v>444.64</v>
      </c>
      <c r="R6" s="26"/>
      <c r="S6" s="26"/>
      <c r="T6" s="26"/>
      <c r="U6" s="26"/>
      <c r="V6" s="26"/>
      <c r="W6" s="25"/>
      <c r="X6" s="25"/>
      <c r="Y6" s="25"/>
      <c r="Z6" s="25"/>
      <c r="AA6" s="26"/>
      <c r="AB6" s="26"/>
      <c r="AC6" s="25"/>
      <c r="AD6" s="25"/>
      <c r="AE6" s="24">
        <f t="shared" si="2"/>
        <v>-497.99714285714282</v>
      </c>
      <c r="AF6" s="27">
        <f t="shared" si="3"/>
        <v>2.857142857180861E-3</v>
      </c>
      <c r="AG6" s="91">
        <f>-AE6</f>
        <v>497.99714285714282</v>
      </c>
    </row>
    <row r="7" spans="1:33" s="17" customFormat="1" ht="19.5" customHeight="1" x14ac:dyDescent="0.2">
      <c r="A7" s="81">
        <v>44176</v>
      </c>
      <c r="B7" s="12"/>
      <c r="C7" s="20" t="s">
        <v>47</v>
      </c>
      <c r="D7" s="12"/>
      <c r="E7" s="12"/>
      <c r="F7" s="82">
        <v>19535</v>
      </c>
      <c r="G7" s="82" t="s">
        <v>952</v>
      </c>
      <c r="H7" s="84"/>
      <c r="I7" s="82"/>
      <c r="J7" s="84"/>
      <c r="K7" s="84">
        <v>1783</v>
      </c>
      <c r="L7" s="83"/>
      <c r="M7" s="24">
        <f t="shared" si="0"/>
        <v>1591.9642857142856</v>
      </c>
      <c r="N7" s="24">
        <f t="shared" si="1"/>
        <v>191.03571428571425</v>
      </c>
      <c r="O7" s="24">
        <f t="shared" si="4"/>
        <v>0</v>
      </c>
      <c r="P7" s="24"/>
      <c r="Q7" s="25">
        <v>1591.96</v>
      </c>
      <c r="R7" s="26"/>
      <c r="S7" s="26"/>
      <c r="T7" s="26"/>
      <c r="U7" s="26"/>
      <c r="V7" s="26"/>
      <c r="W7" s="25"/>
      <c r="X7" s="25"/>
      <c r="Y7" s="25"/>
      <c r="Z7" s="25"/>
      <c r="AA7" s="26"/>
      <c r="AB7" s="26"/>
      <c r="AC7" s="25"/>
      <c r="AD7" s="25"/>
      <c r="AE7" s="24">
        <f t="shared" si="2"/>
        <v>-1782.9957142857143</v>
      </c>
      <c r="AF7" s="27">
        <f t="shared" si="3"/>
        <v>4.2857142857428698E-3</v>
      </c>
      <c r="AG7" s="91">
        <f>-AE7</f>
        <v>1782.9957142857143</v>
      </c>
    </row>
    <row r="8" spans="1:33" s="17" customFormat="1" ht="19.5" customHeight="1" x14ac:dyDescent="0.2">
      <c r="A8" s="81">
        <v>44176</v>
      </c>
      <c r="B8" s="12"/>
      <c r="C8" s="20" t="s">
        <v>931</v>
      </c>
      <c r="D8" s="12"/>
      <c r="E8" s="12"/>
      <c r="F8" s="82">
        <v>6104</v>
      </c>
      <c r="G8" s="82" t="s">
        <v>953</v>
      </c>
      <c r="H8" s="84"/>
      <c r="I8" s="82"/>
      <c r="J8" s="84"/>
      <c r="K8" s="84">
        <v>539.5</v>
      </c>
      <c r="L8" s="83"/>
      <c r="M8" s="24">
        <f t="shared" si="0"/>
        <v>481.6964285714285</v>
      </c>
      <c r="N8" s="24">
        <f t="shared" si="1"/>
        <v>57.803571428571416</v>
      </c>
      <c r="O8" s="24">
        <f t="shared" si="4"/>
        <v>0</v>
      </c>
      <c r="P8" s="24"/>
      <c r="Q8" s="25">
        <v>481.7</v>
      </c>
      <c r="R8" s="26"/>
      <c r="S8" s="26"/>
      <c r="T8" s="26"/>
      <c r="U8" s="26"/>
      <c r="V8" s="26"/>
      <c r="W8" s="25"/>
      <c r="X8" s="25"/>
      <c r="Y8" s="25"/>
      <c r="Z8" s="25"/>
      <c r="AA8" s="26"/>
      <c r="AB8" s="26"/>
      <c r="AC8" s="25"/>
      <c r="AD8" s="25"/>
      <c r="AE8" s="24">
        <f t="shared" si="2"/>
        <v>-539.50357142857138</v>
      </c>
      <c r="AF8" s="27">
        <f t="shared" si="3"/>
        <v>-3.5714285713766003E-3</v>
      </c>
      <c r="AG8" s="91">
        <f>-AE8</f>
        <v>539.50357142857138</v>
      </c>
    </row>
    <row r="9" spans="1:33" s="17" customFormat="1" ht="19.5" customHeight="1" x14ac:dyDescent="0.2">
      <c r="A9" s="81">
        <v>44176</v>
      </c>
      <c r="B9" s="12"/>
      <c r="C9" s="82" t="s">
        <v>954</v>
      </c>
      <c r="D9" s="12"/>
      <c r="E9" s="12"/>
      <c r="F9" s="82"/>
      <c r="G9" s="82" t="s">
        <v>955</v>
      </c>
      <c r="H9" s="84">
        <v>80</v>
      </c>
      <c r="I9" s="82"/>
      <c r="J9" s="84"/>
      <c r="K9" s="84"/>
      <c r="L9" s="83"/>
      <c r="M9" s="24">
        <f t="shared" si="0"/>
        <v>80</v>
      </c>
      <c r="N9" s="24">
        <f t="shared" si="1"/>
        <v>0</v>
      </c>
      <c r="O9" s="24">
        <f t="shared" si="4"/>
        <v>0</v>
      </c>
      <c r="P9" s="24"/>
      <c r="Q9" s="25"/>
      <c r="R9" s="26"/>
      <c r="S9" s="26"/>
      <c r="T9" s="26"/>
      <c r="U9" s="26"/>
      <c r="V9" s="26"/>
      <c r="W9" s="25"/>
      <c r="X9" s="25"/>
      <c r="Y9" s="25"/>
      <c r="Z9" s="25">
        <v>80</v>
      </c>
      <c r="AA9" s="26"/>
      <c r="AB9" s="26"/>
      <c r="AC9" s="25"/>
      <c r="AD9" s="25"/>
      <c r="AE9" s="24">
        <f t="shared" si="2"/>
        <v>-80</v>
      </c>
      <c r="AF9" s="27">
        <f t="shared" si="3"/>
        <v>0</v>
      </c>
      <c r="AG9" s="91">
        <f>-AE9</f>
        <v>80</v>
      </c>
    </row>
    <row r="10" spans="1:33" s="17" customFormat="1" ht="19.5" customHeight="1" x14ac:dyDescent="0.2">
      <c r="A10" s="81"/>
      <c r="B10" s="12"/>
      <c r="C10" s="20"/>
      <c r="D10" s="12"/>
      <c r="E10" s="12"/>
      <c r="F10" s="82"/>
      <c r="G10" s="82"/>
      <c r="H10" s="82"/>
      <c r="I10" s="82"/>
      <c r="J10" s="84"/>
      <c r="K10" s="84"/>
      <c r="L10" s="83"/>
      <c r="M10" s="24">
        <f t="shared" si="0"/>
        <v>0</v>
      </c>
      <c r="N10" s="24">
        <f t="shared" si="1"/>
        <v>0</v>
      </c>
      <c r="O10" s="24">
        <f t="shared" si="4"/>
        <v>0</v>
      </c>
      <c r="P10" s="24"/>
      <c r="Q10" s="25"/>
      <c r="R10" s="26"/>
      <c r="S10" s="26"/>
      <c r="T10" s="26"/>
      <c r="U10" s="26"/>
      <c r="V10" s="26"/>
      <c r="W10" s="25"/>
      <c r="X10" s="25"/>
      <c r="Y10" s="25"/>
      <c r="Z10" s="25"/>
      <c r="AA10" s="26"/>
      <c r="AB10" s="26"/>
      <c r="AC10" s="25"/>
      <c r="AD10" s="25"/>
      <c r="AE10" s="24">
        <f t="shared" si="2"/>
        <v>0</v>
      </c>
      <c r="AF10" s="27">
        <f t="shared" si="3"/>
        <v>0</v>
      </c>
    </row>
    <row r="11" spans="1:33" s="29" customFormat="1" ht="23.25" customHeight="1" x14ac:dyDescent="0.2">
      <c r="A11" s="18"/>
      <c r="B11" s="19"/>
      <c r="C11" s="20"/>
      <c r="D11" s="20"/>
      <c r="E11" s="20"/>
      <c r="F11" s="21"/>
      <c r="G11" s="21"/>
      <c r="H11" s="22"/>
      <c r="I11" s="22"/>
      <c r="J11" s="22"/>
      <c r="K11" s="22"/>
      <c r="L11" s="23"/>
      <c r="M11" s="24">
        <f t="shared" si="0"/>
        <v>0</v>
      </c>
      <c r="N11" s="24">
        <f t="shared" si="1"/>
        <v>0</v>
      </c>
      <c r="O11" s="24">
        <f t="shared" si="4"/>
        <v>0</v>
      </c>
      <c r="P11" s="24"/>
      <c r="Q11" s="25"/>
      <c r="R11" s="26"/>
      <c r="S11" s="26"/>
      <c r="T11" s="26"/>
      <c r="U11" s="26"/>
      <c r="V11" s="26"/>
      <c r="W11" s="25"/>
      <c r="X11" s="25"/>
      <c r="Y11" s="25"/>
      <c r="Z11" s="25"/>
      <c r="AA11" s="26"/>
      <c r="AB11" s="26"/>
      <c r="AC11" s="25"/>
      <c r="AD11" s="25"/>
      <c r="AE11" s="24">
        <f t="shared" si="2"/>
        <v>0</v>
      </c>
      <c r="AF11" s="27">
        <f t="shared" si="3"/>
        <v>0</v>
      </c>
    </row>
    <row r="12" spans="1:33" s="29" customFormat="1" ht="10.199999999999999" x14ac:dyDescent="0.2">
      <c r="A12" s="18"/>
      <c r="B12" s="19"/>
      <c r="C12" s="43"/>
      <c r="D12" s="43"/>
      <c r="E12" s="43"/>
      <c r="F12" s="21"/>
      <c r="G12" s="30"/>
      <c r="H12" s="22"/>
      <c r="I12" s="22"/>
      <c r="J12" s="22"/>
      <c r="K12" s="22"/>
      <c r="L12" s="23"/>
      <c r="M12" s="25">
        <f t="shared" si="0"/>
        <v>0</v>
      </c>
      <c r="N12" s="25">
        <f t="shared" si="1"/>
        <v>0</v>
      </c>
      <c r="O12" s="25">
        <f t="shared" si="4"/>
        <v>0</v>
      </c>
      <c r="P12" s="25"/>
      <c r="Q12" s="25"/>
      <c r="R12" s="25"/>
      <c r="S12" s="26"/>
      <c r="T12" s="51"/>
      <c r="U12" s="26"/>
      <c r="V12" s="26"/>
      <c r="W12" s="26"/>
      <c r="X12" s="44"/>
      <c r="Y12" s="25"/>
      <c r="Z12" s="51"/>
      <c r="AA12" s="25"/>
      <c r="AB12" s="26"/>
      <c r="AC12" s="26"/>
      <c r="AD12" s="45"/>
      <c r="AE12" s="24">
        <f t="shared" si="2"/>
        <v>0</v>
      </c>
      <c r="AF12" s="27">
        <f t="shared" si="3"/>
        <v>0</v>
      </c>
    </row>
    <row r="13" spans="1:33" s="52" customFormat="1" ht="10.199999999999999" x14ac:dyDescent="0.2">
      <c r="A13" s="46"/>
      <c r="B13" s="47"/>
      <c r="C13" s="48"/>
      <c r="D13" s="49"/>
      <c r="E13" s="49"/>
      <c r="F13" s="50"/>
      <c r="G13" s="48"/>
      <c r="H13" s="51">
        <f>SUM(H5:H11)</f>
        <v>80</v>
      </c>
      <c r="I13" s="51">
        <f>SUM(I11:I12)</f>
        <v>0</v>
      </c>
      <c r="J13" s="51">
        <f>SUM(J5:J11)</f>
        <v>0</v>
      </c>
      <c r="K13" s="51">
        <f>SUM(K5:K11)</f>
        <v>2820.5</v>
      </c>
      <c r="L13" s="51">
        <f>SUM(L11:L12)</f>
        <v>0</v>
      </c>
      <c r="M13" s="51">
        <f>SUM(M5:M11)</f>
        <v>2598.3035714285711</v>
      </c>
      <c r="N13" s="51">
        <f>SUM(N5:N11)</f>
        <v>302.19642857142856</v>
      </c>
      <c r="O13" s="51">
        <f>SUM(O11:O12)</f>
        <v>0</v>
      </c>
      <c r="P13" s="51">
        <f>SUM(P5:P11)</f>
        <v>0</v>
      </c>
      <c r="Q13" s="51">
        <f>SUM(Q5:Q11)</f>
        <v>2518.2999999999997</v>
      </c>
      <c r="R13" s="51">
        <f>SUM(R11:R12)</f>
        <v>0</v>
      </c>
      <c r="S13" s="51">
        <f>SUM(S5:S11)</f>
        <v>0</v>
      </c>
      <c r="T13" s="51">
        <f>SUM(T5:T11)</f>
        <v>0</v>
      </c>
      <c r="U13" s="51">
        <f>SUM(U11:U12)</f>
        <v>0</v>
      </c>
      <c r="V13" s="51">
        <f>SUM(V11:V12)</f>
        <v>0</v>
      </c>
      <c r="W13" s="51">
        <f>SUM(W11:W12)</f>
        <v>0</v>
      </c>
      <c r="X13" s="51">
        <f>SUM(X11:X12)</f>
        <v>0</v>
      </c>
      <c r="Y13" s="51">
        <f>SUM(Y5:Y11)</f>
        <v>0</v>
      </c>
      <c r="Z13" s="51">
        <f>SUM(Z5:Z11)</f>
        <v>80</v>
      </c>
      <c r="AA13" s="51">
        <f>SUM(AA11:AA12)</f>
        <v>0</v>
      </c>
      <c r="AB13" s="51">
        <f>SUM(AB5:AB11)</f>
        <v>0</v>
      </c>
      <c r="AC13" s="51">
        <f>SUM(AC5:AC11)</f>
        <v>0</v>
      </c>
      <c r="AD13" s="51">
        <f>SUM(AD11:AD12)</f>
        <v>0</v>
      </c>
      <c r="AE13" s="51">
        <f>SUM(AE5:AE11)</f>
        <v>-2900.4964285714286</v>
      </c>
      <c r="AF13" s="51">
        <f>SUM(AF11:AF12)</f>
        <v>0</v>
      </c>
    </row>
    <row r="14" spans="1:33" s="77" customFormat="1" ht="10.199999999999999" x14ac:dyDescent="0.2"/>
    <row r="15" spans="1:33" s="3" customFormat="1" ht="10.199999999999999" x14ac:dyDescent="0.2">
      <c r="H15" s="87"/>
      <c r="I15" s="87"/>
      <c r="J15" s="87"/>
      <c r="K15" s="87"/>
    </row>
    <row r="16" spans="1:33" s="3" customFormat="1" ht="10.199999999999999" x14ac:dyDescent="0.2">
      <c r="H16" s="87"/>
      <c r="I16" s="87"/>
      <c r="J16" s="87"/>
      <c r="K16" s="87"/>
    </row>
    <row r="17" spans="8:11" s="3" customFormat="1" ht="10.199999999999999" x14ac:dyDescent="0.2">
      <c r="H17" s="87"/>
      <c r="I17" s="87"/>
      <c r="J17" s="87"/>
      <c r="K17" s="8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MJ16"/>
  <sheetViews>
    <sheetView topLeftCell="A10" zoomScaleNormal="100" workbookViewId="0">
      <selection activeCell="A10" sqref="A10"/>
    </sheetView>
  </sheetViews>
  <sheetFormatPr defaultRowHeight="14.4" x14ac:dyDescent="0.3"/>
  <cols>
    <col min="1" max="1" width="8.109375" style="1" customWidth="1"/>
    <col min="2" max="2" width="7.21875" style="2" customWidth="1"/>
    <col min="3" max="3" width="26.109375" style="3" customWidth="1"/>
    <col min="4" max="4" width="14" style="4" customWidth="1"/>
    <col min="5" max="5" width="29.33203125" style="4" customWidth="1"/>
    <col min="6" max="6" width="7.88671875" style="2" customWidth="1"/>
    <col min="7" max="7" width="26.5546875" style="3" customWidth="1"/>
    <col min="8" max="8" width="11.109375" style="5" customWidth="1"/>
    <col min="9" max="9" width="9.5546875" style="5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10.6640625" style="5" customWidth="1"/>
    <col min="19" max="19" width="9.5546875" style="5" customWidth="1"/>
    <col min="20" max="21" width="9.109375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29" width="8" style="5" customWidth="1"/>
    <col min="30" max="30" width="10.109375" style="5" customWidth="1"/>
    <col min="31" max="31" width="10.6640625" style="5" customWidth="1"/>
    <col min="32" max="32" width="8.88671875" style="3" customWidth="1"/>
    <col min="33" max="1022" width="9.109375" style="3" customWidth="1"/>
    <col min="1023" max="1025" width="9.109375" customWidth="1"/>
  </cols>
  <sheetData>
    <row r="1" spans="1:1024" ht="12" customHeight="1" x14ac:dyDescent="0.3">
      <c r="A1" s="7" t="s">
        <v>0</v>
      </c>
      <c r="C1" s="8"/>
    </row>
    <row r="2" spans="1:1024" ht="12" customHeight="1" x14ac:dyDescent="0.3">
      <c r="A2" s="7" t="s">
        <v>1</v>
      </c>
    </row>
    <row r="3" spans="1:1024" ht="12" customHeight="1" x14ac:dyDescent="0.3">
      <c r="A3" s="7" t="s">
        <v>956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/>
      <c r="AD3" s="10">
        <v>6109</v>
      </c>
      <c r="AE3" s="10">
        <v>1002</v>
      </c>
    </row>
    <row r="4" spans="1:1024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23</v>
      </c>
      <c r="S4" s="13" t="s">
        <v>771</v>
      </c>
      <c r="T4" s="13" t="s">
        <v>31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34</v>
      </c>
      <c r="AD4" s="15" t="s">
        <v>35</v>
      </c>
      <c r="AE4" s="16" t="s">
        <v>36</v>
      </c>
      <c r="AMI4"/>
      <c r="AMJ4"/>
    </row>
    <row r="5" spans="1:1024" s="17" customFormat="1" ht="19.5" customHeight="1" x14ac:dyDescent="0.3">
      <c r="A5" s="81">
        <v>44176</v>
      </c>
      <c r="B5" s="12"/>
      <c r="C5" s="20" t="s">
        <v>47</v>
      </c>
      <c r="D5" s="12"/>
      <c r="E5" s="12"/>
      <c r="F5" s="82"/>
      <c r="G5" s="82" t="s">
        <v>957</v>
      </c>
      <c r="H5" s="84"/>
      <c r="I5" s="82"/>
      <c r="J5" s="84"/>
      <c r="K5" s="84">
        <f>315+209.25</f>
        <v>524.25</v>
      </c>
      <c r="L5" s="83"/>
      <c r="M5" s="24">
        <f t="shared" ref="M5:M14" si="0">SUM(H5:J5,K5/1.12)</f>
        <v>468.08035714285711</v>
      </c>
      <c r="N5" s="24">
        <f t="shared" ref="N5:N14" si="1">K5/1.12*0.12</f>
        <v>56.169642857142854</v>
      </c>
      <c r="O5" s="24">
        <f t="shared" ref="O5:O14" si="2">-SUM(I5:J5,K5/1.12)*L5</f>
        <v>0</v>
      </c>
      <c r="P5" s="24">
        <v>468.08</v>
      </c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5"/>
      <c r="AD5" s="25"/>
      <c r="AE5" s="24">
        <f t="shared" ref="AE5:AE14" si="3">-SUM(N5:AD5)</f>
        <v>-524.24964285714282</v>
      </c>
      <c r="AF5" s="27">
        <f t="shared" ref="AF5:AF14" si="4">SUM(H5:K5)+AE5+O5</f>
        <v>3.5714285718313477E-4</v>
      </c>
      <c r="AMI5"/>
      <c r="AMJ5"/>
    </row>
    <row r="6" spans="1:1024" s="17" customFormat="1" ht="19.5" customHeight="1" x14ac:dyDescent="0.3">
      <c r="A6" s="81">
        <v>44176</v>
      </c>
      <c r="B6" s="12"/>
      <c r="C6" s="20" t="s">
        <v>47</v>
      </c>
      <c r="D6" s="12"/>
      <c r="E6" s="12"/>
      <c r="F6" s="82"/>
      <c r="G6" s="82" t="s">
        <v>958</v>
      </c>
      <c r="H6" s="82"/>
      <c r="I6" s="82"/>
      <c r="J6" s="84">
        <f>94.5+326.3</f>
        <v>420.8</v>
      </c>
      <c r="K6" s="84"/>
      <c r="L6" s="83"/>
      <c r="M6" s="24">
        <f t="shared" si="0"/>
        <v>420.8</v>
      </c>
      <c r="N6" s="24">
        <f t="shared" si="1"/>
        <v>0</v>
      </c>
      <c r="O6" s="24">
        <f t="shared" si="2"/>
        <v>0</v>
      </c>
      <c r="P6" s="24">
        <v>420.8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5"/>
      <c r="AD6" s="25"/>
      <c r="AE6" s="24">
        <f t="shared" si="3"/>
        <v>-420.8</v>
      </c>
      <c r="AF6" s="27">
        <f t="shared" si="4"/>
        <v>0</v>
      </c>
      <c r="AMI6"/>
      <c r="AMJ6"/>
    </row>
    <row r="7" spans="1:1024" s="17" customFormat="1" ht="23.25" customHeight="1" x14ac:dyDescent="0.3">
      <c r="A7" s="81">
        <v>44176</v>
      </c>
      <c r="B7" s="12"/>
      <c r="C7" s="20" t="s">
        <v>47</v>
      </c>
      <c r="D7" s="12"/>
      <c r="E7" s="12"/>
      <c r="F7" s="82"/>
      <c r="G7" s="82" t="s">
        <v>959</v>
      </c>
      <c r="H7" s="82"/>
      <c r="I7" s="82"/>
      <c r="J7" s="84"/>
      <c r="K7" s="84">
        <v>1359</v>
      </c>
      <c r="L7" s="83"/>
      <c r="M7" s="24">
        <f t="shared" si="0"/>
        <v>1213.3928571428571</v>
      </c>
      <c r="N7" s="24">
        <f t="shared" si="1"/>
        <v>145.60714285714286</v>
      </c>
      <c r="O7" s="24">
        <f t="shared" si="2"/>
        <v>0</v>
      </c>
      <c r="P7" s="24">
        <v>1213.3900000000001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5"/>
      <c r="AD7" s="25"/>
      <c r="AE7" s="24">
        <f t="shared" si="3"/>
        <v>-1358.997142857143</v>
      </c>
      <c r="AF7" s="27">
        <f t="shared" si="4"/>
        <v>2.8571428570103308E-3</v>
      </c>
      <c r="AMI7"/>
      <c r="AMJ7"/>
    </row>
    <row r="8" spans="1:1024" s="17" customFormat="1" ht="19.5" customHeight="1" x14ac:dyDescent="0.3">
      <c r="A8" s="81">
        <v>44176</v>
      </c>
      <c r="B8" s="12"/>
      <c r="C8" s="20" t="s">
        <v>47</v>
      </c>
      <c r="D8" s="12"/>
      <c r="E8" s="12"/>
      <c r="F8" s="82"/>
      <c r="G8" s="82" t="s">
        <v>626</v>
      </c>
      <c r="H8" s="84"/>
      <c r="I8" s="82"/>
      <c r="J8" s="84"/>
      <c r="K8" s="84">
        <v>6615.2</v>
      </c>
      <c r="L8" s="83"/>
      <c r="M8" s="24">
        <f t="shared" si="0"/>
        <v>5906.4285714285706</v>
      </c>
      <c r="N8" s="24">
        <f t="shared" si="1"/>
        <v>708.77142857142849</v>
      </c>
      <c r="O8" s="24">
        <f t="shared" si="2"/>
        <v>0</v>
      </c>
      <c r="P8" s="24">
        <v>5906.43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5"/>
      <c r="AD8" s="25"/>
      <c r="AE8" s="24">
        <f t="shared" si="3"/>
        <v>-6615.2014285714286</v>
      </c>
      <c r="AF8" s="27">
        <f t="shared" si="4"/>
        <v>-1.4285714287325391E-3</v>
      </c>
      <c r="AMI8"/>
      <c r="AMJ8"/>
    </row>
    <row r="9" spans="1:1024" s="17" customFormat="1" ht="19.5" customHeight="1" x14ac:dyDescent="0.3">
      <c r="A9" s="81">
        <v>44176</v>
      </c>
      <c r="B9" s="12"/>
      <c r="C9" s="20" t="s">
        <v>47</v>
      </c>
      <c r="D9" s="12"/>
      <c r="E9" s="12"/>
      <c r="F9" s="82"/>
      <c r="G9" s="82" t="s">
        <v>960</v>
      </c>
      <c r="H9" s="82"/>
      <c r="I9" s="82"/>
      <c r="J9" s="84">
        <v>30</v>
      </c>
      <c r="K9" s="84"/>
      <c r="L9" s="83"/>
      <c r="M9" s="24">
        <f t="shared" si="0"/>
        <v>30</v>
      </c>
      <c r="N9" s="24">
        <f t="shared" si="1"/>
        <v>0</v>
      </c>
      <c r="O9" s="24">
        <f t="shared" si="2"/>
        <v>0</v>
      </c>
      <c r="P9" s="24"/>
      <c r="Q9" s="25"/>
      <c r="R9" s="25"/>
      <c r="S9" s="26"/>
      <c r="T9" s="26">
        <v>30</v>
      </c>
      <c r="U9" s="26"/>
      <c r="V9" s="26"/>
      <c r="W9" s="26"/>
      <c r="X9" s="25"/>
      <c r="Y9" s="25"/>
      <c r="Z9" s="25"/>
      <c r="AA9" s="25"/>
      <c r="AB9" s="26"/>
      <c r="AC9" s="25"/>
      <c r="AD9" s="25"/>
      <c r="AE9" s="24">
        <f t="shared" si="3"/>
        <v>-30</v>
      </c>
      <c r="AF9" s="27">
        <f t="shared" si="4"/>
        <v>0</v>
      </c>
      <c r="AMI9"/>
      <c r="AMJ9"/>
    </row>
    <row r="10" spans="1:1024" s="17" customFormat="1" ht="19.5" customHeight="1" x14ac:dyDescent="0.3">
      <c r="A10" s="81">
        <v>44179</v>
      </c>
      <c r="B10" s="12"/>
      <c r="C10" s="20" t="s">
        <v>409</v>
      </c>
      <c r="D10" s="12"/>
      <c r="E10" s="12"/>
      <c r="F10" s="82"/>
      <c r="G10" s="82" t="s">
        <v>961</v>
      </c>
      <c r="H10" s="82"/>
      <c r="I10" s="82"/>
      <c r="J10" s="84">
        <v>9744</v>
      </c>
      <c r="K10" s="84"/>
      <c r="L10" s="83"/>
      <c r="M10" s="24">
        <f t="shared" si="0"/>
        <v>9744</v>
      </c>
      <c r="N10" s="24">
        <f t="shared" si="1"/>
        <v>0</v>
      </c>
      <c r="O10" s="24">
        <f t="shared" si="2"/>
        <v>0</v>
      </c>
      <c r="P10" s="24">
        <v>9744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5"/>
      <c r="AD10" s="25"/>
      <c r="AE10" s="24">
        <f t="shared" si="3"/>
        <v>-9744</v>
      </c>
      <c r="AF10" s="27">
        <f t="shared" si="4"/>
        <v>0</v>
      </c>
      <c r="AMI10"/>
      <c r="AMJ10"/>
    </row>
    <row r="11" spans="1:1024" s="17" customFormat="1" ht="19.5" customHeight="1" x14ac:dyDescent="0.3">
      <c r="A11" s="81"/>
      <c r="B11" s="12"/>
      <c r="C11" s="20"/>
      <c r="D11" s="12"/>
      <c r="E11" s="12"/>
      <c r="F11" s="82"/>
      <c r="G11" s="82"/>
      <c r="H11" s="82"/>
      <c r="I11" s="82"/>
      <c r="J11" s="84"/>
      <c r="K11" s="84"/>
      <c r="L11" s="83"/>
      <c r="M11" s="24">
        <f t="shared" si="0"/>
        <v>0</v>
      </c>
      <c r="N11" s="24">
        <f t="shared" si="1"/>
        <v>0</v>
      </c>
      <c r="O11" s="24">
        <f t="shared" si="2"/>
        <v>0</v>
      </c>
      <c r="P11" s="24"/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5"/>
      <c r="AD11" s="25"/>
      <c r="AE11" s="24">
        <f t="shared" si="3"/>
        <v>0</v>
      </c>
      <c r="AF11" s="27">
        <f t="shared" si="4"/>
        <v>0</v>
      </c>
      <c r="AMI11"/>
      <c r="AMJ11"/>
    </row>
    <row r="12" spans="1:1024" s="17" customFormat="1" ht="19.5" customHeight="1" x14ac:dyDescent="0.3">
      <c r="A12" s="81"/>
      <c r="B12" s="12"/>
      <c r="C12" s="82"/>
      <c r="D12" s="12"/>
      <c r="E12" s="12"/>
      <c r="F12" s="82"/>
      <c r="G12" s="82"/>
      <c r="H12" s="82"/>
      <c r="I12" s="82"/>
      <c r="J12" s="84"/>
      <c r="K12" s="84"/>
      <c r="L12" s="83"/>
      <c r="M12" s="24">
        <f t="shared" si="0"/>
        <v>0</v>
      </c>
      <c r="N12" s="24">
        <f t="shared" si="1"/>
        <v>0</v>
      </c>
      <c r="O12" s="24">
        <f t="shared" si="2"/>
        <v>0</v>
      </c>
      <c r="P12" s="24"/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5"/>
      <c r="AD12" s="25"/>
      <c r="AE12" s="24">
        <f t="shared" si="3"/>
        <v>0</v>
      </c>
      <c r="AF12" s="27">
        <f t="shared" si="4"/>
        <v>0</v>
      </c>
      <c r="AMI12"/>
      <c r="AMJ12"/>
    </row>
    <row r="13" spans="1:1024" s="29" customFormat="1" ht="23.25" customHeight="1" x14ac:dyDescent="0.3">
      <c r="A13" s="18"/>
      <c r="B13" s="19"/>
      <c r="C13" s="20"/>
      <c r="D13" s="20"/>
      <c r="E13" s="20"/>
      <c r="F13" s="21"/>
      <c r="G13" s="21"/>
      <c r="H13" s="22"/>
      <c r="I13" s="22"/>
      <c r="J13" s="22"/>
      <c r="K13" s="22"/>
      <c r="L13" s="23"/>
      <c r="M13" s="24">
        <f t="shared" si="0"/>
        <v>0</v>
      </c>
      <c r="N13" s="24">
        <f t="shared" si="1"/>
        <v>0</v>
      </c>
      <c r="O13" s="24">
        <f t="shared" si="2"/>
        <v>0</v>
      </c>
      <c r="P13" s="24"/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5"/>
      <c r="AD13" s="25"/>
      <c r="AE13" s="24">
        <f t="shared" si="3"/>
        <v>0</v>
      </c>
      <c r="AF13" s="27">
        <f t="shared" si="4"/>
        <v>0</v>
      </c>
      <c r="AMI13"/>
      <c r="AMJ13"/>
    </row>
    <row r="14" spans="1:1024" s="29" customFormat="1" x14ac:dyDescent="0.3">
      <c r="A14" s="18"/>
      <c r="B14" s="19"/>
      <c r="C14" s="43"/>
      <c r="D14" s="43"/>
      <c r="E14" s="43"/>
      <c r="F14" s="21"/>
      <c r="G14" s="30"/>
      <c r="H14" s="22"/>
      <c r="I14" s="22"/>
      <c r="J14" s="22"/>
      <c r="K14" s="22"/>
      <c r="L14" s="23"/>
      <c r="M14" s="25">
        <f t="shared" si="0"/>
        <v>0</v>
      </c>
      <c r="N14" s="25">
        <f t="shared" si="1"/>
        <v>0</v>
      </c>
      <c r="O14" s="25">
        <f t="shared" si="2"/>
        <v>0</v>
      </c>
      <c r="P14" s="25"/>
      <c r="Q14" s="25"/>
      <c r="R14" s="25"/>
      <c r="S14" s="25"/>
      <c r="T14" s="26"/>
      <c r="U14" s="51"/>
      <c r="V14" s="26"/>
      <c r="W14" s="26"/>
      <c r="X14" s="26"/>
      <c r="Y14" s="44"/>
      <c r="Z14" s="25"/>
      <c r="AA14" s="51"/>
      <c r="AB14" s="25"/>
      <c r="AC14" s="26"/>
      <c r="AD14" s="45"/>
      <c r="AE14" s="24">
        <f t="shared" si="3"/>
        <v>0</v>
      </c>
      <c r="AF14" s="27">
        <f t="shared" si="4"/>
        <v>0</v>
      </c>
      <c r="AMI14"/>
      <c r="AMJ14"/>
    </row>
    <row r="15" spans="1:1024" s="52" customFormat="1" x14ac:dyDescent="0.3">
      <c r="A15" s="46"/>
      <c r="B15" s="47"/>
      <c r="C15" s="48"/>
      <c r="D15" s="49"/>
      <c r="E15" s="49"/>
      <c r="F15" s="50"/>
      <c r="G15" s="48"/>
      <c r="H15" s="51">
        <f>SUM(H5:H13)</f>
        <v>0</v>
      </c>
      <c r="I15" s="51">
        <f>SUM(I13:I14)</f>
        <v>0</v>
      </c>
      <c r="J15" s="51">
        <f>SUM(J5:J13)</f>
        <v>10194.799999999999</v>
      </c>
      <c r="K15" s="51">
        <f>SUM(K5:K13)</f>
        <v>8498.4500000000007</v>
      </c>
      <c r="L15" s="51">
        <f>SUM(L13:L14)</f>
        <v>0</v>
      </c>
      <c r="M15" s="51">
        <f>SUM(M5:M13)</f>
        <v>17782.701785714286</v>
      </c>
      <c r="N15" s="51">
        <f>SUM(N5:N13)</f>
        <v>910.54821428571427</v>
      </c>
      <c r="O15" s="51">
        <f>SUM(O13:O14)</f>
        <v>0</v>
      </c>
      <c r="P15" s="51">
        <f>SUM(P5:P13)</f>
        <v>17752.7</v>
      </c>
      <c r="Q15" s="51">
        <f>SUM(Q5:Q13)</f>
        <v>0</v>
      </c>
      <c r="R15" s="51">
        <f>SUM(R5:R13)</f>
        <v>0</v>
      </c>
      <c r="S15" s="51">
        <f>SUM(S13:S14)</f>
        <v>0</v>
      </c>
      <c r="T15" s="51">
        <f>SUM(T5:T13)</f>
        <v>30</v>
      </c>
      <c r="U15" s="51">
        <f>SUM(U5:U13)</f>
        <v>0</v>
      </c>
      <c r="V15" s="51">
        <f>SUM(V13:V14)</f>
        <v>0</v>
      </c>
      <c r="W15" s="51">
        <f>SUM(W13:W14)</f>
        <v>0</v>
      </c>
      <c r="X15" s="51">
        <f>SUM(X13:X14)</f>
        <v>0</v>
      </c>
      <c r="Y15" s="51">
        <f>SUM(Y13:Y14)</f>
        <v>0</v>
      </c>
      <c r="Z15" s="51">
        <f>SUM(Z13:Z14)</f>
        <v>0</v>
      </c>
      <c r="AA15" s="51">
        <f>SUM(AA5:AA13)</f>
        <v>0</v>
      </c>
      <c r="AB15" s="51">
        <f>SUM(AB13:AB14)</f>
        <v>0</v>
      </c>
      <c r="AC15" s="51">
        <f>SUM(AC5:AC13)</f>
        <v>0</v>
      </c>
      <c r="AD15" s="51">
        <f>SUM(AD13:AD14)</f>
        <v>0</v>
      </c>
      <c r="AE15" s="51">
        <f>SUM(AE5:AE13)</f>
        <v>-18693.248214285715</v>
      </c>
      <c r="AF15" s="51">
        <f>SUM(AF13:AF14)</f>
        <v>0</v>
      </c>
      <c r="AMI15"/>
      <c r="AMJ15"/>
    </row>
    <row r="16" spans="1:1024" s="77" customFormat="1" x14ac:dyDescent="0.3">
      <c r="AMI16"/>
      <c r="AMJ16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MJ38"/>
  <sheetViews>
    <sheetView topLeftCell="A16" zoomScaleNormal="100" workbookViewId="0">
      <selection activeCell="A17" sqref="A17"/>
    </sheetView>
  </sheetViews>
  <sheetFormatPr defaultRowHeight="14.4" x14ac:dyDescent="0.3"/>
  <cols>
    <col min="1" max="1" width="8.109375" style="1" customWidth="1"/>
    <col min="2" max="2" width="7.21875" style="2" customWidth="1"/>
    <col min="3" max="3" width="26.109375" style="3" customWidth="1"/>
    <col min="4" max="4" width="14" style="4" customWidth="1"/>
    <col min="5" max="5" width="29.33203125" style="4" customWidth="1"/>
    <col min="6" max="6" width="7.88671875" style="2" customWidth="1"/>
    <col min="7" max="7" width="26.5546875" style="3" customWidth="1"/>
    <col min="8" max="8" width="11.109375" style="5" customWidth="1"/>
    <col min="9" max="9" width="9.5546875" style="5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10.6640625" style="5" customWidth="1"/>
    <col min="19" max="19" width="9.5546875" style="5" customWidth="1"/>
    <col min="20" max="20" width="9.109375" style="5" customWidth="1"/>
    <col min="21" max="21" width="10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29" width="8" style="5" customWidth="1"/>
    <col min="30" max="30" width="10.109375" style="5" customWidth="1"/>
    <col min="31" max="31" width="10.6640625" style="5" customWidth="1"/>
    <col min="32" max="32" width="8.88671875" style="3" customWidth="1"/>
    <col min="33" max="1023" width="9.109375" style="3" customWidth="1"/>
    <col min="1024" max="1025" width="9.109375" customWidth="1"/>
  </cols>
  <sheetData>
    <row r="1" spans="1:1024" ht="12" customHeight="1" x14ac:dyDescent="0.3">
      <c r="A1" s="7" t="s">
        <v>0</v>
      </c>
      <c r="C1" s="8"/>
    </row>
    <row r="2" spans="1:1024" ht="12" customHeight="1" x14ac:dyDescent="0.3">
      <c r="A2" s="7" t="s">
        <v>1</v>
      </c>
    </row>
    <row r="3" spans="1:1024" ht="12" customHeight="1" x14ac:dyDescent="0.3">
      <c r="A3" s="7" t="s">
        <v>962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/>
      <c r="AD3" s="10">
        <v>6109</v>
      </c>
      <c r="AE3" s="10">
        <v>1002</v>
      </c>
    </row>
    <row r="4" spans="1:1024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613</v>
      </c>
      <c r="S4" s="13" t="s">
        <v>771</v>
      </c>
      <c r="T4" s="13" t="s">
        <v>31</v>
      </c>
      <c r="U4" s="13" t="s">
        <v>23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34</v>
      </c>
      <c r="AD4" s="15" t="s">
        <v>35</v>
      </c>
      <c r="AE4" s="16" t="s">
        <v>36</v>
      </c>
      <c r="AMJ4"/>
    </row>
    <row r="5" spans="1:1024" s="17" customFormat="1" ht="19.5" customHeight="1" x14ac:dyDescent="0.3">
      <c r="A5" s="81">
        <v>44179</v>
      </c>
      <c r="B5" s="12"/>
      <c r="C5" s="20" t="s">
        <v>409</v>
      </c>
      <c r="D5" s="12"/>
      <c r="E5" s="12"/>
      <c r="F5" s="82"/>
      <c r="G5" s="82" t="s">
        <v>963</v>
      </c>
      <c r="H5" s="84"/>
      <c r="I5" s="82"/>
      <c r="J5" s="84">
        <v>1744</v>
      </c>
      <c r="K5" s="84">
        <v>0</v>
      </c>
      <c r="L5" s="83"/>
      <c r="M5" s="24">
        <f t="shared" ref="M5:M19" si="0">SUM(H5:J5,K5/1.12)</f>
        <v>1744</v>
      </c>
      <c r="N5" s="24">
        <f t="shared" ref="N5:N19" si="1">K5/1.12*0.12</f>
        <v>0</v>
      </c>
      <c r="O5" s="24">
        <f t="shared" ref="O5:O16" si="2">-SUM(I5:J5,K5/1.12)*L5</f>
        <v>0</v>
      </c>
      <c r="P5" s="24">
        <v>1744</v>
      </c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5"/>
      <c r="AD5" s="25"/>
      <c r="AE5" s="24">
        <f t="shared" ref="AE5:AE19" si="3">-SUM(N5:AD5)</f>
        <v>-1744</v>
      </c>
      <c r="AF5" s="27">
        <f t="shared" ref="AF5:AF19" si="4">SUM(H5:K5)+AE5+O5</f>
        <v>0</v>
      </c>
      <c r="AG5" s="91">
        <f t="shared" ref="AG5:AG17" si="5">-AE5</f>
        <v>1744</v>
      </c>
      <c r="AMJ5"/>
    </row>
    <row r="6" spans="1:1024" s="17" customFormat="1" ht="19.5" customHeight="1" x14ac:dyDescent="0.3">
      <c r="A6" s="81">
        <v>44179</v>
      </c>
      <c r="B6" s="12"/>
      <c r="C6" s="20" t="s">
        <v>47</v>
      </c>
      <c r="D6" s="12"/>
      <c r="E6" s="12"/>
      <c r="F6" s="82"/>
      <c r="G6" s="82" t="s">
        <v>964</v>
      </c>
      <c r="H6" s="82"/>
      <c r="I6" s="82"/>
      <c r="J6" s="84"/>
      <c r="K6" s="84">
        <v>4175.6499999999996</v>
      </c>
      <c r="L6" s="83"/>
      <c r="M6" s="24">
        <f t="shared" si="0"/>
        <v>3728.258928571428</v>
      </c>
      <c r="N6" s="24">
        <f t="shared" si="1"/>
        <v>447.39107142857137</v>
      </c>
      <c r="O6" s="24">
        <f t="shared" si="2"/>
        <v>0</v>
      </c>
      <c r="P6" s="24">
        <v>3728.26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5"/>
      <c r="AD6" s="25"/>
      <c r="AE6" s="24">
        <f t="shared" si="3"/>
        <v>-4175.6510714285714</v>
      </c>
      <c r="AF6" s="27">
        <f t="shared" si="4"/>
        <v>-1.071428571776778E-3</v>
      </c>
      <c r="AG6" s="91">
        <f t="shared" si="5"/>
        <v>4175.6510714285714</v>
      </c>
      <c r="AMJ6"/>
    </row>
    <row r="7" spans="1:1024" s="17" customFormat="1" ht="23.25" customHeight="1" x14ac:dyDescent="0.3">
      <c r="A7" s="81">
        <v>44179</v>
      </c>
      <c r="B7" s="12"/>
      <c r="C7" s="20" t="s">
        <v>45</v>
      </c>
      <c r="D7" s="12"/>
      <c r="E7" s="12"/>
      <c r="F7" s="82"/>
      <c r="G7" s="82" t="s">
        <v>965</v>
      </c>
      <c r="H7" s="82"/>
      <c r="I7" s="82"/>
      <c r="J7" s="84">
        <v>120</v>
      </c>
      <c r="K7" s="84"/>
      <c r="L7" s="83"/>
      <c r="M7" s="24">
        <f t="shared" si="0"/>
        <v>120</v>
      </c>
      <c r="N7" s="24">
        <f t="shared" si="1"/>
        <v>0</v>
      </c>
      <c r="O7" s="24">
        <f t="shared" si="2"/>
        <v>0</v>
      </c>
      <c r="P7" s="24"/>
      <c r="Q7" s="25"/>
      <c r="R7" s="25"/>
      <c r="S7" s="26"/>
      <c r="T7" s="26">
        <v>120</v>
      </c>
      <c r="U7" s="26"/>
      <c r="V7" s="26"/>
      <c r="W7" s="26"/>
      <c r="X7" s="25"/>
      <c r="Y7" s="25"/>
      <c r="Z7" s="25"/>
      <c r="AA7" s="25"/>
      <c r="AB7" s="26"/>
      <c r="AC7" s="25"/>
      <c r="AD7" s="25"/>
      <c r="AE7" s="24">
        <f t="shared" si="3"/>
        <v>-120</v>
      </c>
      <c r="AF7" s="27">
        <f t="shared" si="4"/>
        <v>0</v>
      </c>
      <c r="AG7" s="91">
        <f t="shared" si="5"/>
        <v>120</v>
      </c>
      <c r="AMJ7"/>
    </row>
    <row r="8" spans="1:1024" s="17" customFormat="1" ht="19.5" customHeight="1" x14ac:dyDescent="0.3">
      <c r="A8" s="81">
        <v>44179</v>
      </c>
      <c r="B8" s="12"/>
      <c r="C8" s="20" t="s">
        <v>966</v>
      </c>
      <c r="D8" s="12"/>
      <c r="E8" s="12"/>
      <c r="F8" s="82"/>
      <c r="G8" s="82" t="s">
        <v>58</v>
      </c>
      <c r="H8" s="84"/>
      <c r="I8" s="82"/>
      <c r="J8" s="84"/>
      <c r="K8" s="84">
        <v>50</v>
      </c>
      <c r="L8" s="83"/>
      <c r="M8" s="24">
        <f t="shared" si="0"/>
        <v>44.642857142857139</v>
      </c>
      <c r="N8" s="24">
        <f t="shared" si="1"/>
        <v>5.3571428571428568</v>
      </c>
      <c r="O8" s="24">
        <f t="shared" si="2"/>
        <v>0</v>
      </c>
      <c r="P8" s="24">
        <v>44.64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5"/>
      <c r="AD8" s="25"/>
      <c r="AE8" s="24">
        <f t="shared" si="3"/>
        <v>-49.997142857142855</v>
      </c>
      <c r="AF8" s="27">
        <f t="shared" si="4"/>
        <v>2.8571428571453339E-3</v>
      </c>
      <c r="AG8" s="91">
        <f t="shared" si="5"/>
        <v>49.997142857142855</v>
      </c>
      <c r="AMJ8"/>
    </row>
    <row r="9" spans="1:1024" s="17" customFormat="1" ht="19.5" customHeight="1" x14ac:dyDescent="0.3">
      <c r="A9" s="81">
        <v>44180</v>
      </c>
      <c r="B9" s="12"/>
      <c r="C9" s="20" t="s">
        <v>45</v>
      </c>
      <c r="D9" s="12"/>
      <c r="E9" s="12"/>
      <c r="F9" s="82"/>
      <c r="G9" s="82" t="s">
        <v>967</v>
      </c>
      <c r="H9" s="82"/>
      <c r="I9" s="82"/>
      <c r="J9" s="84">
        <v>60</v>
      </c>
      <c r="K9" s="84"/>
      <c r="L9" s="83"/>
      <c r="M9" s="24">
        <f t="shared" si="0"/>
        <v>60</v>
      </c>
      <c r="N9" s="24">
        <f t="shared" si="1"/>
        <v>0</v>
      </c>
      <c r="O9" s="24">
        <f t="shared" si="2"/>
        <v>0</v>
      </c>
      <c r="P9" s="24"/>
      <c r="Q9" s="25"/>
      <c r="R9" s="25"/>
      <c r="S9" s="26"/>
      <c r="T9" s="26">
        <v>60</v>
      </c>
      <c r="U9" s="26"/>
      <c r="V9" s="26"/>
      <c r="W9" s="26"/>
      <c r="X9" s="25"/>
      <c r="Y9" s="25"/>
      <c r="Z9" s="25"/>
      <c r="AA9" s="25"/>
      <c r="AB9" s="26"/>
      <c r="AC9" s="25"/>
      <c r="AD9" s="25"/>
      <c r="AE9" s="24">
        <f t="shared" si="3"/>
        <v>-60</v>
      </c>
      <c r="AF9" s="27">
        <f t="shared" si="4"/>
        <v>0</v>
      </c>
      <c r="AG9" s="91">
        <f t="shared" si="5"/>
        <v>60</v>
      </c>
      <c r="AMJ9"/>
    </row>
    <row r="10" spans="1:1024" s="17" customFormat="1" ht="19.5" customHeight="1" x14ac:dyDescent="0.3">
      <c r="A10" s="81">
        <v>44180</v>
      </c>
      <c r="B10" s="12"/>
      <c r="C10" s="82" t="s">
        <v>569</v>
      </c>
      <c r="D10" s="12"/>
      <c r="E10" s="12"/>
      <c r="F10" s="82"/>
      <c r="G10" s="82" t="s">
        <v>968</v>
      </c>
      <c r="H10" s="82"/>
      <c r="I10" s="82"/>
      <c r="J10" s="84"/>
      <c r="K10" s="84">
        <v>910</v>
      </c>
      <c r="L10" s="83"/>
      <c r="M10" s="24">
        <f t="shared" si="0"/>
        <v>812.49999999999989</v>
      </c>
      <c r="N10" s="24">
        <f t="shared" si="1"/>
        <v>97.499999999999986</v>
      </c>
      <c r="O10" s="24">
        <f t="shared" si="2"/>
        <v>0</v>
      </c>
      <c r="P10" s="24"/>
      <c r="Q10" s="25"/>
      <c r="R10" s="25"/>
      <c r="S10" s="26"/>
      <c r="T10" s="26"/>
      <c r="U10" s="26">
        <v>812.5</v>
      </c>
      <c r="V10" s="26"/>
      <c r="W10" s="26"/>
      <c r="X10" s="25"/>
      <c r="Y10" s="25"/>
      <c r="Z10" s="25"/>
      <c r="AA10" s="25"/>
      <c r="AB10" s="26"/>
      <c r="AC10" s="25"/>
      <c r="AD10" s="25"/>
      <c r="AE10" s="24">
        <f t="shared" si="3"/>
        <v>-910</v>
      </c>
      <c r="AF10" s="27">
        <f t="shared" si="4"/>
        <v>0</v>
      </c>
      <c r="AG10" s="91">
        <f t="shared" si="5"/>
        <v>910</v>
      </c>
      <c r="AMJ10"/>
    </row>
    <row r="11" spans="1:1024" s="17" customFormat="1" ht="19.5" customHeight="1" x14ac:dyDescent="0.3">
      <c r="A11" s="81">
        <v>44180</v>
      </c>
      <c r="B11" s="12"/>
      <c r="C11" s="20" t="s">
        <v>966</v>
      </c>
      <c r="D11" s="12"/>
      <c r="E11" s="12"/>
      <c r="F11" s="82"/>
      <c r="G11" s="82" t="s">
        <v>58</v>
      </c>
      <c r="H11" s="82"/>
      <c r="I11" s="82"/>
      <c r="J11" s="84"/>
      <c r="K11" s="84">
        <v>75</v>
      </c>
      <c r="L11" s="83"/>
      <c r="M11" s="24">
        <f t="shared" si="0"/>
        <v>66.964285714285708</v>
      </c>
      <c r="N11" s="24">
        <f t="shared" si="1"/>
        <v>8.0357142857142847</v>
      </c>
      <c r="O11" s="24">
        <f t="shared" si="2"/>
        <v>0</v>
      </c>
      <c r="P11" s="24">
        <v>66.959999999999994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5"/>
      <c r="AD11" s="25"/>
      <c r="AE11" s="24">
        <f t="shared" si="3"/>
        <v>-74.995714285714286</v>
      </c>
      <c r="AF11" s="27">
        <f t="shared" si="4"/>
        <v>4.2857142857144481E-3</v>
      </c>
      <c r="AG11" s="91">
        <f t="shared" si="5"/>
        <v>74.995714285714286</v>
      </c>
      <c r="AMJ11"/>
    </row>
    <row r="12" spans="1:1024" s="17" customFormat="1" ht="19.5" customHeight="1" x14ac:dyDescent="0.3">
      <c r="A12" s="81">
        <v>44180</v>
      </c>
      <c r="B12" s="12"/>
      <c r="C12" s="20" t="s">
        <v>931</v>
      </c>
      <c r="D12" s="12"/>
      <c r="E12" s="12"/>
      <c r="F12" s="82"/>
      <c r="G12" s="82" t="s">
        <v>969</v>
      </c>
      <c r="H12" s="82"/>
      <c r="I12" s="82"/>
      <c r="J12" s="84"/>
      <c r="K12" s="84">
        <v>550</v>
      </c>
      <c r="L12" s="83"/>
      <c r="M12" s="24">
        <f t="shared" si="0"/>
        <v>491.0714285714285</v>
      </c>
      <c r="N12" s="24">
        <f t="shared" si="1"/>
        <v>58.928571428571416</v>
      </c>
      <c r="O12" s="24">
        <f t="shared" si="2"/>
        <v>0</v>
      </c>
      <c r="P12" s="24">
        <v>491.07</v>
      </c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5"/>
      <c r="AD12" s="25"/>
      <c r="AE12" s="24">
        <f t="shared" si="3"/>
        <v>-549.99857142857138</v>
      </c>
      <c r="AF12" s="27">
        <f t="shared" si="4"/>
        <v>1.4285714286188522E-3</v>
      </c>
      <c r="AG12" s="91">
        <f t="shared" si="5"/>
        <v>549.99857142857138</v>
      </c>
      <c r="AMJ12"/>
    </row>
    <row r="13" spans="1:1024" s="17" customFormat="1" ht="19.5" customHeight="1" x14ac:dyDescent="0.3">
      <c r="A13" s="81">
        <v>44180</v>
      </c>
      <c r="B13" s="12"/>
      <c r="C13" s="20" t="s">
        <v>970</v>
      </c>
      <c r="D13" s="12"/>
      <c r="E13" s="12"/>
      <c r="F13" s="82"/>
      <c r="G13" s="82" t="s">
        <v>971</v>
      </c>
      <c r="H13" s="82"/>
      <c r="I13" s="82"/>
      <c r="J13" s="84"/>
      <c r="K13" s="84">
        <v>218.75</v>
      </c>
      <c r="L13" s="83"/>
      <c r="M13" s="24">
        <f t="shared" si="0"/>
        <v>195.31249999999997</v>
      </c>
      <c r="N13" s="24">
        <f t="shared" si="1"/>
        <v>23.437499999999996</v>
      </c>
      <c r="O13" s="24">
        <f t="shared" si="2"/>
        <v>0</v>
      </c>
      <c r="P13" s="24">
        <v>195.31</v>
      </c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5"/>
      <c r="AD13" s="25"/>
      <c r="AE13" s="24">
        <f t="shared" si="3"/>
        <v>-218.7475</v>
      </c>
      <c r="AF13" s="27">
        <f t="shared" si="4"/>
        <v>2.4999999999977263E-3</v>
      </c>
      <c r="AG13" s="91">
        <f t="shared" si="5"/>
        <v>218.7475</v>
      </c>
      <c r="AMJ13"/>
    </row>
    <row r="14" spans="1:1024" s="17" customFormat="1" ht="19.5" customHeight="1" x14ac:dyDescent="0.3">
      <c r="A14" s="81">
        <v>44180</v>
      </c>
      <c r="B14" s="12"/>
      <c r="C14" s="82" t="s">
        <v>932</v>
      </c>
      <c r="D14" s="12"/>
      <c r="E14" s="12"/>
      <c r="F14" s="82"/>
      <c r="G14" s="82" t="s">
        <v>972</v>
      </c>
      <c r="H14" s="82"/>
      <c r="I14" s="82"/>
      <c r="J14" s="84"/>
      <c r="K14" s="84">
        <v>125</v>
      </c>
      <c r="L14" s="83"/>
      <c r="M14" s="24">
        <f t="shared" si="0"/>
        <v>111.60714285714285</v>
      </c>
      <c r="N14" s="24">
        <f t="shared" si="1"/>
        <v>13.392857142857141</v>
      </c>
      <c r="O14" s="24">
        <f t="shared" si="2"/>
        <v>0</v>
      </c>
      <c r="P14" s="24">
        <v>111.61</v>
      </c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5"/>
      <c r="AD14" s="25"/>
      <c r="AE14" s="24">
        <f t="shared" si="3"/>
        <v>-125.00285714285714</v>
      </c>
      <c r="AF14" s="27">
        <f t="shared" si="4"/>
        <v>-2.8571428571382285E-3</v>
      </c>
      <c r="AG14" s="91">
        <f t="shared" si="5"/>
        <v>125.00285714285714</v>
      </c>
      <c r="AMJ14"/>
    </row>
    <row r="15" spans="1:1024" s="17" customFormat="1" ht="19.5" customHeight="1" x14ac:dyDescent="0.3">
      <c r="A15" s="81">
        <v>44180</v>
      </c>
      <c r="B15" s="12"/>
      <c r="C15" s="20" t="s">
        <v>931</v>
      </c>
      <c r="D15" s="12"/>
      <c r="E15" s="12"/>
      <c r="F15" s="82"/>
      <c r="G15" s="82" t="s">
        <v>973</v>
      </c>
      <c r="H15" s="82"/>
      <c r="I15" s="82"/>
      <c r="J15" s="84"/>
      <c r="K15" s="84">
        <v>996</v>
      </c>
      <c r="L15" s="83"/>
      <c r="M15" s="24">
        <f t="shared" si="0"/>
        <v>889.28571428571422</v>
      </c>
      <c r="N15" s="24">
        <f t="shared" si="1"/>
        <v>106.71428571428571</v>
      </c>
      <c r="O15" s="24">
        <f t="shared" si="2"/>
        <v>0</v>
      </c>
      <c r="P15" s="24"/>
      <c r="Q15" s="25">
        <v>889.29</v>
      </c>
      <c r="R15" s="25"/>
      <c r="S15" s="26"/>
      <c r="T15" s="26"/>
      <c r="U15" s="26"/>
      <c r="V15" s="26"/>
      <c r="W15" s="26"/>
      <c r="X15" s="25"/>
      <c r="Y15" s="25"/>
      <c r="Z15" s="25"/>
      <c r="AA15" s="25"/>
      <c r="AB15" s="26"/>
      <c r="AC15" s="25"/>
      <c r="AD15" s="25"/>
      <c r="AE15" s="24">
        <f t="shared" si="3"/>
        <v>-996.00428571428563</v>
      </c>
      <c r="AF15" s="27">
        <f t="shared" si="4"/>
        <v>-4.285714285629183E-3</v>
      </c>
      <c r="AG15" s="91">
        <f t="shared" si="5"/>
        <v>996.00428571428563</v>
      </c>
      <c r="AMJ15"/>
    </row>
    <row r="16" spans="1:1024" s="17" customFormat="1" ht="19.5" customHeight="1" x14ac:dyDescent="0.3">
      <c r="A16" s="81">
        <v>44181</v>
      </c>
      <c r="B16" s="12"/>
      <c r="C16" s="20" t="s">
        <v>931</v>
      </c>
      <c r="D16" s="12"/>
      <c r="E16" s="12"/>
      <c r="F16" s="82"/>
      <c r="G16" s="82" t="s">
        <v>193</v>
      </c>
      <c r="H16" s="82"/>
      <c r="I16" s="82"/>
      <c r="J16" s="84"/>
      <c r="K16" s="84">
        <v>158</v>
      </c>
      <c r="L16" s="83"/>
      <c r="M16" s="24">
        <f t="shared" si="0"/>
        <v>141.07142857142856</v>
      </c>
      <c r="N16" s="24">
        <f t="shared" si="1"/>
        <v>16.928571428571427</v>
      </c>
      <c r="O16" s="24">
        <f t="shared" si="2"/>
        <v>0</v>
      </c>
      <c r="P16" s="24"/>
      <c r="Q16" s="25"/>
      <c r="R16" s="25">
        <v>141.07</v>
      </c>
      <c r="S16" s="26"/>
      <c r="T16" s="26"/>
      <c r="U16" s="26"/>
      <c r="V16" s="26"/>
      <c r="W16" s="26"/>
      <c r="X16" s="25"/>
      <c r="Y16" s="25"/>
      <c r="Z16" s="25"/>
      <c r="AA16" s="25"/>
      <c r="AB16" s="26"/>
      <c r="AC16" s="25"/>
      <c r="AD16" s="25"/>
      <c r="AE16" s="24">
        <f t="shared" si="3"/>
        <v>-157.99857142857141</v>
      </c>
      <c r="AF16" s="27">
        <f t="shared" si="4"/>
        <v>1.4285714285904305E-3</v>
      </c>
      <c r="AG16" s="91">
        <f t="shared" si="5"/>
        <v>157.99857142857141</v>
      </c>
      <c r="AMJ16"/>
    </row>
    <row r="17" spans="1:1024" s="17" customFormat="1" ht="19.5" customHeight="1" x14ac:dyDescent="0.3">
      <c r="A17" s="81">
        <v>44181</v>
      </c>
      <c r="B17" s="12"/>
      <c r="C17" s="20" t="s">
        <v>974</v>
      </c>
      <c r="D17" s="12"/>
      <c r="E17" s="12"/>
      <c r="F17" s="82"/>
      <c r="G17" s="82" t="s">
        <v>975</v>
      </c>
      <c r="H17" s="82"/>
      <c r="I17" s="82"/>
      <c r="J17" s="84">
        <v>7796.2</v>
      </c>
      <c r="K17" s="84"/>
      <c r="L17" s="83"/>
      <c r="M17" s="24">
        <f t="shared" si="0"/>
        <v>7796.2</v>
      </c>
      <c r="N17" s="24">
        <f t="shared" si="1"/>
        <v>0</v>
      </c>
      <c r="O17" s="24"/>
      <c r="P17" s="24">
        <v>7796.2</v>
      </c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/>
      <c r="AB17" s="26"/>
      <c r="AC17" s="25"/>
      <c r="AD17" s="25"/>
      <c r="AE17" s="24">
        <f t="shared" si="3"/>
        <v>-7796.2</v>
      </c>
      <c r="AF17" s="27">
        <f t="shared" si="4"/>
        <v>0</v>
      </c>
      <c r="AG17" s="91">
        <f t="shared" si="5"/>
        <v>7796.2</v>
      </c>
      <c r="AMJ17"/>
    </row>
    <row r="18" spans="1:1024" s="29" customFormat="1" ht="23.25" customHeight="1" x14ac:dyDescent="0.3">
      <c r="A18" s="18"/>
      <c r="B18" s="19"/>
      <c r="C18" s="20"/>
      <c r="D18" s="20"/>
      <c r="E18" s="20"/>
      <c r="F18" s="21"/>
      <c r="G18" s="21"/>
      <c r="H18" s="22"/>
      <c r="I18" s="22"/>
      <c r="J18" s="22"/>
      <c r="K18" s="22"/>
      <c r="L18" s="23"/>
      <c r="M18" s="24">
        <f t="shared" si="0"/>
        <v>0</v>
      </c>
      <c r="N18" s="24">
        <f t="shared" si="1"/>
        <v>0</v>
      </c>
      <c r="O18" s="24">
        <f>-SUM(I18:J18,K18/1.12)*L18</f>
        <v>0</v>
      </c>
      <c r="P18" s="24"/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5"/>
      <c r="AD18" s="25"/>
      <c r="AE18" s="24">
        <f t="shared" si="3"/>
        <v>0</v>
      </c>
      <c r="AF18" s="27">
        <f t="shared" si="4"/>
        <v>0</v>
      </c>
      <c r="AMJ18"/>
    </row>
    <row r="19" spans="1:1024" s="29" customFormat="1" x14ac:dyDescent="0.3">
      <c r="A19" s="18"/>
      <c r="B19" s="19"/>
      <c r="C19" s="43"/>
      <c r="D19" s="43"/>
      <c r="E19" s="43"/>
      <c r="F19" s="21"/>
      <c r="G19" s="30"/>
      <c r="H19" s="22"/>
      <c r="I19" s="22"/>
      <c r="J19" s="22"/>
      <c r="K19" s="22"/>
      <c r="L19" s="23"/>
      <c r="M19" s="25">
        <f t="shared" si="0"/>
        <v>0</v>
      </c>
      <c r="N19" s="25">
        <f t="shared" si="1"/>
        <v>0</v>
      </c>
      <c r="O19" s="25">
        <f>-SUM(I19:J19,K19/1.12)*L19</f>
        <v>0</v>
      </c>
      <c r="P19" s="25"/>
      <c r="Q19" s="25"/>
      <c r="R19" s="25"/>
      <c r="S19" s="25"/>
      <c r="T19" s="26"/>
      <c r="U19" s="51"/>
      <c r="V19" s="26"/>
      <c r="W19" s="26"/>
      <c r="X19" s="26"/>
      <c r="Y19" s="44"/>
      <c r="Z19" s="25"/>
      <c r="AA19" s="51"/>
      <c r="AB19" s="25"/>
      <c r="AC19" s="26"/>
      <c r="AD19" s="45"/>
      <c r="AE19" s="24">
        <f t="shared" si="3"/>
        <v>0</v>
      </c>
      <c r="AF19" s="27">
        <f t="shared" si="4"/>
        <v>0</v>
      </c>
      <c r="AMJ19"/>
    </row>
    <row r="20" spans="1:1024" s="52" customFormat="1" x14ac:dyDescent="0.3">
      <c r="A20" s="46"/>
      <c r="B20" s="47"/>
      <c r="C20" s="48"/>
      <c r="D20" s="49"/>
      <c r="E20" s="49"/>
      <c r="F20" s="50"/>
      <c r="G20" s="48"/>
      <c r="H20" s="51">
        <f>SUM(H5:H18)</f>
        <v>0</v>
      </c>
      <c r="I20" s="51">
        <f>SUM(I18:I19)</f>
        <v>0</v>
      </c>
      <c r="J20" s="51">
        <f>SUM(J5:J19)</f>
        <v>9720.2000000000007</v>
      </c>
      <c r="K20" s="51">
        <f>SUM(K5:K19)</f>
        <v>7258.4</v>
      </c>
      <c r="L20" s="51">
        <f>SUM(L18:L19)</f>
        <v>0</v>
      </c>
      <c r="M20" s="51">
        <f>SUM(M5:M19)</f>
        <v>16200.914285714283</v>
      </c>
      <c r="N20" s="51">
        <f>SUM(N5:N19)</f>
        <v>777.6857142857142</v>
      </c>
      <c r="O20" s="51">
        <f>SUM(O18:O19)</f>
        <v>0</v>
      </c>
      <c r="P20" s="51">
        <f>SUM(P5:P19)</f>
        <v>14178.05</v>
      </c>
      <c r="Q20" s="51">
        <f>SUM(Q5:Q19)</f>
        <v>889.29</v>
      </c>
      <c r="R20" s="51">
        <f>SUM(R5:R18)</f>
        <v>141.07</v>
      </c>
      <c r="S20" s="51">
        <f>SUM(S18:S19)</f>
        <v>0</v>
      </c>
      <c r="T20" s="51">
        <f>SUM(T5:T19)</f>
        <v>180</v>
      </c>
      <c r="U20" s="51">
        <f>SUM(U5:U19)</f>
        <v>812.5</v>
      </c>
      <c r="V20" s="51">
        <f>SUM(V18:V19)</f>
        <v>0</v>
      </c>
      <c r="W20" s="51">
        <f>SUM(W18:W19)</f>
        <v>0</v>
      </c>
      <c r="X20" s="51">
        <f>SUM(X18:X19)</f>
        <v>0</v>
      </c>
      <c r="Y20" s="51">
        <f>SUM(Y18:Y19)</f>
        <v>0</v>
      </c>
      <c r="Z20" s="51">
        <f>SUM(Z18:Z19)</f>
        <v>0</v>
      </c>
      <c r="AA20" s="51">
        <f>SUM(AA5:AA18)</f>
        <v>0</v>
      </c>
      <c r="AB20" s="51">
        <f>SUM(AB18:AB19)</f>
        <v>0</v>
      </c>
      <c r="AC20" s="51">
        <f>SUM(AC5:AC18)</f>
        <v>0</v>
      </c>
      <c r="AD20" s="51">
        <f>SUM(AD18:AD19)</f>
        <v>0</v>
      </c>
      <c r="AE20" s="51">
        <f>SUM(AE5:AE19)</f>
        <v>-16978.595714285715</v>
      </c>
      <c r="AF20" s="51">
        <f>SUM(AF18:AF19)</f>
        <v>0</v>
      </c>
      <c r="AMJ20"/>
    </row>
    <row r="21" spans="1:1024" s="77" customFormat="1" x14ac:dyDescent="0.3">
      <c r="AMJ21"/>
    </row>
    <row r="22" spans="1:1024" x14ac:dyDescent="0.3">
      <c r="J22" s="53"/>
      <c r="K22" s="53"/>
      <c r="M22" s="78"/>
      <c r="N22" s="78"/>
    </row>
    <row r="23" spans="1:1024" x14ac:dyDescent="0.3">
      <c r="H23" s="85"/>
      <c r="I23" s="85"/>
      <c r="J23" s="85"/>
      <c r="K23" s="85"/>
      <c r="L23" s="88"/>
      <c r="M23" s="87"/>
    </row>
    <row r="24" spans="1:1024" x14ac:dyDescent="0.3">
      <c r="H24" s="85"/>
      <c r="I24" s="85"/>
      <c r="J24" s="85"/>
      <c r="K24" s="85"/>
    </row>
    <row r="25" spans="1:1024" x14ac:dyDescent="0.3">
      <c r="H25" s="85"/>
      <c r="I25" s="85"/>
      <c r="J25" s="85"/>
      <c r="K25" s="85"/>
    </row>
    <row r="26" spans="1:1024" x14ac:dyDescent="0.3">
      <c r="H26" s="85"/>
      <c r="I26" s="85"/>
      <c r="J26" s="85"/>
      <c r="K26" s="85"/>
    </row>
    <row r="27" spans="1:1024" x14ac:dyDescent="0.3">
      <c r="H27" s="85"/>
      <c r="I27" s="85"/>
      <c r="J27" s="85"/>
      <c r="K27" s="85"/>
    </row>
    <row r="28" spans="1:1024" x14ac:dyDescent="0.3">
      <c r="H28" s="85"/>
      <c r="I28" s="85"/>
      <c r="J28" s="85"/>
      <c r="K28" s="85"/>
      <c r="Q28" s="5">
        <v>0</v>
      </c>
    </row>
    <row r="29" spans="1:1024" s="3" customFormat="1" x14ac:dyDescent="0.3">
      <c r="H29" s="86"/>
      <c r="I29" s="86"/>
      <c r="J29" s="86"/>
      <c r="K29" s="86"/>
      <c r="T29" s="5"/>
      <c r="U29" s="5"/>
      <c r="V29" s="5"/>
      <c r="W29" s="5"/>
      <c r="X29" s="5"/>
      <c r="Y29" s="5"/>
      <c r="AMJ29"/>
    </row>
    <row r="30" spans="1:1024" x14ac:dyDescent="0.3">
      <c r="H30" s="85"/>
      <c r="I30" s="85"/>
      <c r="J30" s="85"/>
      <c r="K30" s="85"/>
    </row>
    <row r="31" spans="1:1024" x14ac:dyDescent="0.3">
      <c r="H31" s="85"/>
      <c r="I31" s="85"/>
      <c r="J31" s="85"/>
      <c r="K31" s="85"/>
    </row>
    <row r="32" spans="1:1024" x14ac:dyDescent="0.3">
      <c r="H32" s="85"/>
      <c r="I32" s="85"/>
      <c r="J32" s="85"/>
      <c r="K32" s="85"/>
    </row>
    <row r="33" spans="8:1024" x14ac:dyDescent="0.3">
      <c r="H33" s="85"/>
      <c r="I33" s="85"/>
      <c r="J33" s="85"/>
      <c r="K33" s="85"/>
    </row>
    <row r="34" spans="8:1024" x14ac:dyDescent="0.3">
      <c r="H34" s="87"/>
      <c r="I34" s="87"/>
      <c r="J34" s="87"/>
      <c r="K34" s="87"/>
    </row>
    <row r="35" spans="8:1024" x14ac:dyDescent="0.3">
      <c r="H35" s="87"/>
      <c r="I35" s="87"/>
      <c r="J35" s="87"/>
      <c r="K35" s="87"/>
    </row>
    <row r="36" spans="8:1024" s="3" customFormat="1" x14ac:dyDescent="0.3">
      <c r="H36" s="87"/>
      <c r="I36" s="87"/>
      <c r="J36" s="87"/>
      <c r="K36" s="87"/>
      <c r="AMJ36"/>
    </row>
    <row r="37" spans="8:1024" s="3" customFormat="1" x14ac:dyDescent="0.3">
      <c r="H37" s="87"/>
      <c r="I37" s="87"/>
      <c r="J37" s="87"/>
      <c r="K37" s="87"/>
      <c r="AMJ37"/>
    </row>
    <row r="38" spans="8:1024" s="3" customFormat="1" x14ac:dyDescent="0.3">
      <c r="H38" s="87"/>
      <c r="I38" s="87"/>
      <c r="J38" s="87"/>
      <c r="K38" s="87"/>
      <c r="AMJ38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2"/>
  <sheetViews>
    <sheetView zoomScale="90" zoomScaleNormal="90" workbookViewId="0">
      <selection activeCell="G27" sqref="A27:XFD34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4" style="3" customWidth="1"/>
    <col min="4" max="4" width="14" style="4" customWidth="1"/>
    <col min="5" max="5" width="28" style="4" customWidth="1"/>
    <col min="6" max="6" width="7.88671875" style="2" customWidth="1"/>
    <col min="7" max="7" width="28.109375" style="3" customWidth="1"/>
    <col min="8" max="8" width="7.88671875" style="5" customWidth="1"/>
    <col min="9" max="9" width="8.44140625" style="5" customWidth="1"/>
    <col min="10" max="10" width="9.6640625" style="5" customWidth="1"/>
    <col min="11" max="11" width="10" style="5" customWidth="1"/>
    <col min="12" max="12" width="5.109375" style="6" customWidth="1"/>
    <col min="13" max="13" width="9.21875" style="5" customWidth="1"/>
    <col min="14" max="14" width="8.109375" style="5" customWidth="1"/>
    <col min="15" max="15" width="6.5546875" style="5" customWidth="1"/>
    <col min="16" max="16" width="9.6640625" style="5" customWidth="1"/>
    <col min="17" max="17" width="10" style="5" customWidth="1"/>
    <col min="18" max="18" width="9.109375" style="5" customWidth="1"/>
    <col min="19" max="19" width="8.109375" style="5" customWidth="1"/>
    <col min="20" max="21" width="9.109375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109375" style="5" customWidth="1"/>
    <col min="28" max="28" width="9" style="5" customWidth="1"/>
    <col min="29" max="30" width="8" style="5" customWidth="1"/>
    <col min="31" max="31" width="10.109375" style="5" customWidth="1"/>
    <col min="32" max="32" width="10.5546875" style="5" customWidth="1"/>
    <col min="33" max="33" width="9.6640625" style="3" customWidth="1"/>
    <col min="34" max="1025" width="9.109375" style="3" customWidth="1"/>
  </cols>
  <sheetData>
    <row r="1" spans="1:35" ht="12" customHeight="1" x14ac:dyDescent="0.3">
      <c r="A1" s="7" t="s">
        <v>0</v>
      </c>
      <c r="C1" s="8"/>
    </row>
    <row r="2" spans="1:35" ht="12" customHeight="1" x14ac:dyDescent="0.3">
      <c r="A2" s="7" t="s">
        <v>1</v>
      </c>
    </row>
    <row r="3" spans="1:35" ht="12" customHeight="1" x14ac:dyDescent="0.3">
      <c r="A3" s="7" t="s">
        <v>384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5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6" t="s">
        <v>36</v>
      </c>
    </row>
    <row r="5" spans="1:35" s="29" customFormat="1" ht="23.25" customHeight="1" x14ac:dyDescent="0.2">
      <c r="A5" s="18">
        <v>43963</v>
      </c>
      <c r="B5" s="19"/>
      <c r="C5" s="20" t="s">
        <v>385</v>
      </c>
      <c r="D5" s="20"/>
      <c r="E5" s="20"/>
      <c r="F5" s="21"/>
      <c r="G5" s="21" t="s">
        <v>386</v>
      </c>
      <c r="H5" s="22">
        <v>180</v>
      </c>
      <c r="I5" s="22"/>
      <c r="J5" s="22"/>
      <c r="K5" s="22"/>
      <c r="L5" s="23"/>
      <c r="M5" s="24">
        <f t="shared" ref="M5:M25" si="0">SUM(H5:J5,K5/1.12)</f>
        <v>180</v>
      </c>
      <c r="N5" s="24">
        <f t="shared" ref="N5:N25" si="1">K5/1.12*0.12</f>
        <v>0</v>
      </c>
      <c r="O5" s="24">
        <f t="shared" ref="O5:O25" si="2">-SUM(I5:J5,K5/1.12)*L5</f>
        <v>0</v>
      </c>
      <c r="P5" s="24"/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>
        <v>180</v>
      </c>
      <c r="AF5" s="24">
        <f t="shared" ref="AF5:AF25" si="3">-SUM(N5:AE5)</f>
        <v>-180</v>
      </c>
      <c r="AG5" s="27">
        <f t="shared" ref="AG5:AG25" si="4">SUM(H5:K5)+AF5+O5</f>
        <v>0</v>
      </c>
      <c r="AI5" s="28">
        <f t="shared" ref="AI5:AI22" si="5">-AF5</f>
        <v>180</v>
      </c>
    </row>
    <row r="6" spans="1:35" s="29" customFormat="1" ht="23.25" hidden="1" customHeight="1" x14ac:dyDescent="0.2">
      <c r="A6" s="18">
        <v>43963</v>
      </c>
      <c r="B6" s="19"/>
      <c r="C6" s="20" t="s">
        <v>334</v>
      </c>
      <c r="D6" s="20"/>
      <c r="E6" s="20"/>
      <c r="F6" s="21"/>
      <c r="G6" s="21" t="s">
        <v>387</v>
      </c>
      <c r="H6" s="22">
        <v>5000</v>
      </c>
      <c r="I6" s="22"/>
      <c r="J6" s="22"/>
      <c r="K6" s="22"/>
      <c r="L6" s="23"/>
      <c r="M6" s="24">
        <f t="shared" si="0"/>
        <v>5000</v>
      </c>
      <c r="N6" s="24">
        <f t="shared" si="1"/>
        <v>0</v>
      </c>
      <c r="O6" s="24">
        <f t="shared" si="2"/>
        <v>0</v>
      </c>
      <c r="P6" s="24"/>
      <c r="Q6" s="25"/>
      <c r="R6" s="25"/>
      <c r="S6" s="26"/>
      <c r="T6" s="26"/>
      <c r="U6" s="26"/>
      <c r="V6" s="26"/>
      <c r="W6" s="26"/>
      <c r="X6" s="25"/>
      <c r="Y6" s="25">
        <v>5000</v>
      </c>
      <c r="Z6" s="25"/>
      <c r="AA6" s="25"/>
      <c r="AB6" s="26"/>
      <c r="AC6" s="26"/>
      <c r="AD6" s="25"/>
      <c r="AE6" s="25"/>
      <c r="AF6" s="24">
        <f t="shared" si="3"/>
        <v>-5000</v>
      </c>
      <c r="AG6" s="27">
        <f t="shared" si="4"/>
        <v>0</v>
      </c>
      <c r="AI6" s="28">
        <f t="shared" si="5"/>
        <v>5000</v>
      </c>
    </row>
    <row r="7" spans="1:35" s="29" customFormat="1" ht="23.25" hidden="1" customHeight="1" x14ac:dyDescent="0.2">
      <c r="A7" s="18">
        <v>43963</v>
      </c>
      <c r="B7" s="19"/>
      <c r="C7" s="20" t="s">
        <v>385</v>
      </c>
      <c r="D7" s="20"/>
      <c r="E7" s="20"/>
      <c r="F7" s="21"/>
      <c r="G7" s="21" t="s">
        <v>388</v>
      </c>
      <c r="H7" s="22">
        <v>1800</v>
      </c>
      <c r="I7" s="22"/>
      <c r="J7" s="22"/>
      <c r="K7" s="22"/>
      <c r="L7" s="23"/>
      <c r="M7" s="24">
        <f t="shared" si="0"/>
        <v>1800</v>
      </c>
      <c r="N7" s="24">
        <f t="shared" si="1"/>
        <v>0</v>
      </c>
      <c r="O7" s="24">
        <f t="shared" si="2"/>
        <v>0</v>
      </c>
      <c r="P7" s="24"/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>
        <v>1800</v>
      </c>
      <c r="AC7" s="26"/>
      <c r="AD7" s="25"/>
      <c r="AE7" s="25"/>
      <c r="AF7" s="24">
        <f t="shared" si="3"/>
        <v>-1800</v>
      </c>
      <c r="AG7" s="27">
        <f t="shared" si="4"/>
        <v>0</v>
      </c>
      <c r="AI7" s="28">
        <f t="shared" si="5"/>
        <v>1800</v>
      </c>
    </row>
    <row r="8" spans="1:35" s="29" customFormat="1" ht="23.25" hidden="1" customHeight="1" x14ac:dyDescent="0.2">
      <c r="A8" s="18">
        <v>43963</v>
      </c>
      <c r="B8" s="19"/>
      <c r="C8" s="20" t="s">
        <v>45</v>
      </c>
      <c r="D8" s="20"/>
      <c r="E8" s="20"/>
      <c r="F8" s="21"/>
      <c r="G8" s="21" t="s">
        <v>389</v>
      </c>
      <c r="H8" s="22"/>
      <c r="I8" s="22"/>
      <c r="J8" s="22">
        <v>155</v>
      </c>
      <c r="K8" s="22"/>
      <c r="L8" s="23"/>
      <c r="M8" s="24">
        <f t="shared" si="0"/>
        <v>155</v>
      </c>
      <c r="N8" s="24">
        <f t="shared" si="1"/>
        <v>0</v>
      </c>
      <c r="O8" s="24">
        <f t="shared" si="2"/>
        <v>0</v>
      </c>
      <c r="P8" s="24"/>
      <c r="Q8" s="25"/>
      <c r="R8" s="25">
        <v>155</v>
      </c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>
        <f t="shared" si="3"/>
        <v>-155</v>
      </c>
      <c r="AG8" s="27">
        <f t="shared" si="4"/>
        <v>0</v>
      </c>
      <c r="AI8" s="28">
        <f t="shared" si="5"/>
        <v>155</v>
      </c>
    </row>
    <row r="9" spans="1:35" s="29" customFormat="1" ht="23.25" hidden="1" customHeight="1" x14ac:dyDescent="0.2">
      <c r="A9" s="18">
        <v>43970</v>
      </c>
      <c r="B9" s="19"/>
      <c r="C9" s="20" t="s">
        <v>374</v>
      </c>
      <c r="D9" s="20" t="s">
        <v>375</v>
      </c>
      <c r="E9" s="20" t="s">
        <v>390</v>
      </c>
      <c r="F9" s="21">
        <v>2073062</v>
      </c>
      <c r="G9" s="21" t="s">
        <v>391</v>
      </c>
      <c r="H9" s="22"/>
      <c r="I9" s="22"/>
      <c r="J9" s="22"/>
      <c r="K9" s="22">
        <v>30</v>
      </c>
      <c r="L9" s="23"/>
      <c r="M9" s="24">
        <f t="shared" si="0"/>
        <v>26.785714285714285</v>
      </c>
      <c r="N9" s="24">
        <f t="shared" si="1"/>
        <v>3.214285714285714</v>
      </c>
      <c r="O9" s="24">
        <f t="shared" si="2"/>
        <v>0</v>
      </c>
      <c r="P9" s="24"/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>
        <v>26.79</v>
      </c>
      <c r="AE9" s="25"/>
      <c r="AF9" s="24">
        <f t="shared" si="3"/>
        <v>-30.004285714285714</v>
      </c>
      <c r="AG9" s="27">
        <f t="shared" si="4"/>
        <v>-4.2857142857144481E-3</v>
      </c>
      <c r="AI9" s="28">
        <f t="shared" si="5"/>
        <v>30.004285714285714</v>
      </c>
    </row>
    <row r="10" spans="1:35" s="29" customFormat="1" ht="23.25" hidden="1" customHeight="1" x14ac:dyDescent="0.2">
      <c r="A10" s="18">
        <v>43971</v>
      </c>
      <c r="B10" s="19"/>
      <c r="C10" s="20" t="s">
        <v>374</v>
      </c>
      <c r="D10" s="20" t="s">
        <v>375</v>
      </c>
      <c r="E10" s="20" t="s">
        <v>390</v>
      </c>
      <c r="F10" s="21">
        <v>3462313</v>
      </c>
      <c r="G10" s="21" t="s">
        <v>58</v>
      </c>
      <c r="H10" s="22"/>
      <c r="I10" s="22"/>
      <c r="J10" s="22"/>
      <c r="K10" s="22">
        <v>42</v>
      </c>
      <c r="L10" s="23"/>
      <c r="M10" s="24">
        <f t="shared" si="0"/>
        <v>37.499999999999993</v>
      </c>
      <c r="N10" s="24">
        <f t="shared" si="1"/>
        <v>4.4999999999999991</v>
      </c>
      <c r="O10" s="24">
        <f t="shared" si="2"/>
        <v>0</v>
      </c>
      <c r="P10" s="24"/>
      <c r="Q10" s="25">
        <v>37.5</v>
      </c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>
        <f t="shared" si="3"/>
        <v>-42</v>
      </c>
      <c r="AG10" s="27">
        <f t="shared" si="4"/>
        <v>0</v>
      </c>
      <c r="AI10" s="28">
        <f t="shared" si="5"/>
        <v>42</v>
      </c>
    </row>
    <row r="11" spans="1:35" s="29" customFormat="1" ht="23.25" hidden="1" customHeight="1" x14ac:dyDescent="0.2">
      <c r="A11" s="18">
        <v>43971</v>
      </c>
      <c r="B11" s="19"/>
      <c r="C11" s="20" t="s">
        <v>392</v>
      </c>
      <c r="D11" s="20" t="s">
        <v>393</v>
      </c>
      <c r="E11" s="20" t="s">
        <v>49</v>
      </c>
      <c r="F11" s="21">
        <v>10380188</v>
      </c>
      <c r="G11" s="21" t="s">
        <v>256</v>
      </c>
      <c r="H11" s="22"/>
      <c r="I11" s="22"/>
      <c r="J11" s="22">
        <v>1357.94</v>
      </c>
      <c r="K11" s="22"/>
      <c r="L11" s="23"/>
      <c r="M11" s="24">
        <f t="shared" si="0"/>
        <v>1357.94</v>
      </c>
      <c r="N11" s="24">
        <f t="shared" si="1"/>
        <v>0</v>
      </c>
      <c r="O11" s="24">
        <f t="shared" si="2"/>
        <v>0</v>
      </c>
      <c r="P11" s="24">
        <v>1357.94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>
        <f t="shared" si="3"/>
        <v>-1357.94</v>
      </c>
      <c r="AG11" s="27">
        <f t="shared" si="4"/>
        <v>0</v>
      </c>
      <c r="AI11" s="28">
        <f t="shared" si="5"/>
        <v>1357.94</v>
      </c>
    </row>
    <row r="12" spans="1:35" s="29" customFormat="1" ht="23.25" hidden="1" customHeight="1" x14ac:dyDescent="0.2">
      <c r="A12" s="18">
        <v>43977</v>
      </c>
      <c r="B12" s="19"/>
      <c r="C12" s="20" t="s">
        <v>374</v>
      </c>
      <c r="D12" s="20" t="s">
        <v>375</v>
      </c>
      <c r="E12" s="20" t="s">
        <v>390</v>
      </c>
      <c r="F12" s="21">
        <v>3646622</v>
      </c>
      <c r="G12" s="21" t="s">
        <v>58</v>
      </c>
      <c r="H12" s="22"/>
      <c r="I12" s="22"/>
      <c r="J12" s="22"/>
      <c r="K12" s="22">
        <v>24</v>
      </c>
      <c r="L12" s="23"/>
      <c r="M12" s="24">
        <f t="shared" si="0"/>
        <v>21.428571428571427</v>
      </c>
      <c r="N12" s="24">
        <f t="shared" si="1"/>
        <v>2.5714285714285712</v>
      </c>
      <c r="O12" s="24">
        <f t="shared" si="2"/>
        <v>0</v>
      </c>
      <c r="P12" s="24"/>
      <c r="Q12" s="25">
        <v>21.43</v>
      </c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>
        <f t="shared" si="3"/>
        <v>-24.001428571428569</v>
      </c>
      <c r="AG12" s="27">
        <f t="shared" si="4"/>
        <v>-1.4285714285691142E-3</v>
      </c>
      <c r="AI12" s="28">
        <f t="shared" si="5"/>
        <v>24.001428571428569</v>
      </c>
    </row>
    <row r="13" spans="1:35" s="29" customFormat="1" ht="23.25" hidden="1" customHeight="1" x14ac:dyDescent="0.2">
      <c r="A13" s="18">
        <v>43977</v>
      </c>
      <c r="B13" s="19"/>
      <c r="C13" s="20" t="s">
        <v>325</v>
      </c>
      <c r="D13" s="20"/>
      <c r="E13" s="20"/>
      <c r="F13" s="21"/>
      <c r="G13" s="21" t="s">
        <v>394</v>
      </c>
      <c r="H13" s="22"/>
      <c r="I13" s="22"/>
      <c r="J13" s="22">
        <v>40</v>
      </c>
      <c r="K13" s="22"/>
      <c r="L13" s="23"/>
      <c r="M13" s="24">
        <f t="shared" si="0"/>
        <v>40</v>
      </c>
      <c r="N13" s="24">
        <f t="shared" si="1"/>
        <v>0</v>
      </c>
      <c r="O13" s="24">
        <f t="shared" si="2"/>
        <v>0</v>
      </c>
      <c r="P13" s="24">
        <v>40</v>
      </c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>
        <f t="shared" si="3"/>
        <v>-40</v>
      </c>
      <c r="AG13" s="27">
        <f t="shared" si="4"/>
        <v>0</v>
      </c>
      <c r="AI13" s="28">
        <f t="shared" si="5"/>
        <v>40</v>
      </c>
    </row>
    <row r="14" spans="1:35" s="29" customFormat="1" ht="23.25" hidden="1" customHeight="1" x14ac:dyDescent="0.2">
      <c r="A14" s="18">
        <v>43977</v>
      </c>
      <c r="B14" s="19"/>
      <c r="C14" s="20" t="s">
        <v>325</v>
      </c>
      <c r="D14" s="20"/>
      <c r="E14" s="20"/>
      <c r="F14" s="21"/>
      <c r="G14" s="21" t="s">
        <v>395</v>
      </c>
      <c r="H14" s="22"/>
      <c r="I14" s="22"/>
      <c r="J14" s="22">
        <v>100</v>
      </c>
      <c r="K14" s="22"/>
      <c r="L14" s="23"/>
      <c r="M14" s="24">
        <f t="shared" si="0"/>
        <v>100</v>
      </c>
      <c r="N14" s="24">
        <f t="shared" si="1"/>
        <v>0</v>
      </c>
      <c r="O14" s="24">
        <f t="shared" si="2"/>
        <v>0</v>
      </c>
      <c r="P14" s="24"/>
      <c r="Q14" s="25"/>
      <c r="R14" s="25">
        <v>100</v>
      </c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>
        <f t="shared" si="3"/>
        <v>-100</v>
      </c>
      <c r="AG14" s="27">
        <f t="shared" si="4"/>
        <v>0</v>
      </c>
      <c r="AI14" s="28">
        <f t="shared" si="5"/>
        <v>100</v>
      </c>
    </row>
    <row r="15" spans="1:35" s="29" customFormat="1" ht="23.25" hidden="1" customHeight="1" x14ac:dyDescent="0.2">
      <c r="A15" s="18">
        <v>43978</v>
      </c>
      <c r="B15" s="19"/>
      <c r="C15" s="20" t="s">
        <v>374</v>
      </c>
      <c r="D15" s="20" t="s">
        <v>375</v>
      </c>
      <c r="E15" s="20" t="s">
        <v>390</v>
      </c>
      <c r="F15" s="21">
        <v>1456454</v>
      </c>
      <c r="G15" s="21" t="s">
        <v>58</v>
      </c>
      <c r="H15" s="22"/>
      <c r="I15" s="22"/>
      <c r="J15" s="22"/>
      <c r="K15" s="22">
        <v>24</v>
      </c>
      <c r="L15" s="23"/>
      <c r="M15" s="24">
        <f t="shared" si="0"/>
        <v>21.428571428571427</v>
      </c>
      <c r="N15" s="24">
        <f t="shared" si="1"/>
        <v>2.5714285714285712</v>
      </c>
      <c r="O15" s="24">
        <f t="shared" si="2"/>
        <v>0</v>
      </c>
      <c r="P15" s="24"/>
      <c r="Q15" s="25">
        <v>21.43</v>
      </c>
      <c r="R15" s="25"/>
      <c r="S15" s="26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>
        <f t="shared" si="3"/>
        <v>-24.001428571428569</v>
      </c>
      <c r="AG15" s="27">
        <f t="shared" si="4"/>
        <v>-1.4285714285691142E-3</v>
      </c>
      <c r="AI15" s="28">
        <f t="shared" si="5"/>
        <v>24.001428571428569</v>
      </c>
    </row>
    <row r="16" spans="1:35" s="29" customFormat="1" ht="23.25" hidden="1" customHeight="1" x14ac:dyDescent="0.2">
      <c r="A16" s="18">
        <v>43978</v>
      </c>
      <c r="B16" s="19"/>
      <c r="C16" s="20" t="s">
        <v>39</v>
      </c>
      <c r="D16" s="20" t="s">
        <v>40</v>
      </c>
      <c r="E16" s="20" t="s">
        <v>41</v>
      </c>
      <c r="F16" s="21">
        <v>38325</v>
      </c>
      <c r="G16" s="21" t="s">
        <v>396</v>
      </c>
      <c r="H16" s="22"/>
      <c r="I16" s="22"/>
      <c r="J16" s="22"/>
      <c r="K16" s="22">
        <v>234</v>
      </c>
      <c r="L16" s="23"/>
      <c r="M16" s="24">
        <f t="shared" si="0"/>
        <v>208.92857142857142</v>
      </c>
      <c r="N16" s="24">
        <f t="shared" si="1"/>
        <v>25.071428571428569</v>
      </c>
      <c r="O16" s="24">
        <f t="shared" si="2"/>
        <v>0</v>
      </c>
      <c r="P16" s="24">
        <v>208.93</v>
      </c>
      <c r="Q16" s="25"/>
      <c r="R16" s="25"/>
      <c r="S16" s="26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5"/>
      <c r="AF16" s="24">
        <f t="shared" si="3"/>
        <v>-234.00142857142856</v>
      </c>
      <c r="AG16" s="27">
        <f t="shared" si="4"/>
        <v>-1.4285714285620088E-3</v>
      </c>
      <c r="AI16" s="28">
        <f t="shared" si="5"/>
        <v>234.00142857142856</v>
      </c>
    </row>
    <row r="17" spans="1:35" s="29" customFormat="1" ht="23.25" hidden="1" customHeight="1" x14ac:dyDescent="0.2">
      <c r="A17" s="18">
        <v>43979</v>
      </c>
      <c r="B17" s="19"/>
      <c r="C17" s="20" t="s">
        <v>39</v>
      </c>
      <c r="D17" s="20" t="s">
        <v>40</v>
      </c>
      <c r="E17" s="20" t="s">
        <v>41</v>
      </c>
      <c r="F17" s="21">
        <v>38331</v>
      </c>
      <c r="G17" s="21" t="s">
        <v>397</v>
      </c>
      <c r="H17" s="22"/>
      <c r="I17" s="22"/>
      <c r="J17" s="22"/>
      <c r="K17" s="22">
        <v>272</v>
      </c>
      <c r="L17" s="23"/>
      <c r="M17" s="24">
        <f t="shared" si="0"/>
        <v>242.85714285714283</v>
      </c>
      <c r="N17" s="24">
        <f t="shared" si="1"/>
        <v>29.142857142857139</v>
      </c>
      <c r="O17" s="24">
        <f t="shared" si="2"/>
        <v>0</v>
      </c>
      <c r="P17" s="24">
        <v>242.86</v>
      </c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>
        <f t="shared" si="3"/>
        <v>-272.00285714285712</v>
      </c>
      <c r="AG17" s="27">
        <f t="shared" si="4"/>
        <v>-2.8571428571240176E-3</v>
      </c>
      <c r="AI17" s="28">
        <f t="shared" si="5"/>
        <v>272.00285714285712</v>
      </c>
    </row>
    <row r="18" spans="1:35" s="29" customFormat="1" ht="23.25" hidden="1" customHeight="1" x14ac:dyDescent="0.2">
      <c r="A18" s="18">
        <v>43979</v>
      </c>
      <c r="B18" s="19"/>
      <c r="C18" s="20" t="s">
        <v>47</v>
      </c>
      <c r="D18" s="20" t="s">
        <v>48</v>
      </c>
      <c r="E18" s="20" t="s">
        <v>49</v>
      </c>
      <c r="F18" s="21">
        <v>256785</v>
      </c>
      <c r="G18" s="21" t="s">
        <v>398</v>
      </c>
      <c r="H18" s="22"/>
      <c r="I18" s="22"/>
      <c r="J18" s="22"/>
      <c r="K18" s="22">
        <v>416.15</v>
      </c>
      <c r="L18" s="23"/>
      <c r="M18" s="24">
        <f t="shared" si="0"/>
        <v>371.56249999999994</v>
      </c>
      <c r="N18" s="24">
        <f t="shared" si="1"/>
        <v>44.587499999999991</v>
      </c>
      <c r="O18" s="24">
        <f t="shared" si="2"/>
        <v>0</v>
      </c>
      <c r="P18" s="24">
        <v>371.56</v>
      </c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>
        <f t="shared" si="3"/>
        <v>-416.14749999999998</v>
      </c>
      <c r="AG18" s="27">
        <f t="shared" si="4"/>
        <v>2.4999999999977263E-3</v>
      </c>
      <c r="AI18" s="28">
        <f t="shared" si="5"/>
        <v>416.14749999999998</v>
      </c>
    </row>
    <row r="19" spans="1:35" s="29" customFormat="1" ht="23.25" hidden="1" customHeight="1" x14ac:dyDescent="0.2">
      <c r="A19" s="18">
        <v>43979</v>
      </c>
      <c r="B19" s="19"/>
      <c r="C19" s="20" t="s">
        <v>392</v>
      </c>
      <c r="D19" s="20" t="s">
        <v>393</v>
      </c>
      <c r="E19" s="20" t="s">
        <v>49</v>
      </c>
      <c r="F19" s="21">
        <v>1038159</v>
      </c>
      <c r="G19" s="21" t="s">
        <v>399</v>
      </c>
      <c r="H19" s="22"/>
      <c r="I19" s="22"/>
      <c r="J19" s="22"/>
      <c r="K19" s="22">
        <v>501.6</v>
      </c>
      <c r="L19" s="23"/>
      <c r="M19" s="24">
        <f t="shared" si="0"/>
        <v>447.85714285714283</v>
      </c>
      <c r="N19" s="24">
        <f t="shared" si="1"/>
        <v>53.74285714285714</v>
      </c>
      <c r="O19" s="24">
        <f t="shared" si="2"/>
        <v>0</v>
      </c>
      <c r="P19" s="24">
        <v>447.86</v>
      </c>
      <c r="Q19" s="25"/>
      <c r="R19" s="25"/>
      <c r="S19" s="26"/>
      <c r="T19" s="26"/>
      <c r="U19" s="26"/>
      <c r="V19" s="26"/>
      <c r="W19" s="26"/>
      <c r="X19" s="25"/>
      <c r="Y19" s="25"/>
      <c r="Z19" s="25"/>
      <c r="AA19" s="25"/>
      <c r="AB19" s="26"/>
      <c r="AC19" s="26"/>
      <c r="AD19" s="25"/>
      <c r="AE19" s="25"/>
      <c r="AF19" s="24">
        <f t="shared" si="3"/>
        <v>-501.60285714285715</v>
      </c>
      <c r="AG19" s="27">
        <f t="shared" si="4"/>
        <v>-2.8571428571240176E-3</v>
      </c>
      <c r="AI19" s="28">
        <f t="shared" si="5"/>
        <v>501.60285714285715</v>
      </c>
    </row>
    <row r="20" spans="1:35" s="29" customFormat="1" ht="23.25" hidden="1" customHeight="1" x14ac:dyDescent="0.2">
      <c r="A20" s="18">
        <v>43979</v>
      </c>
      <c r="B20" s="19"/>
      <c r="C20" s="20" t="s">
        <v>392</v>
      </c>
      <c r="D20" s="20" t="s">
        <v>393</v>
      </c>
      <c r="E20" s="20" t="s">
        <v>49</v>
      </c>
      <c r="F20" s="21">
        <v>1038159</v>
      </c>
      <c r="G20" s="21" t="s">
        <v>400</v>
      </c>
      <c r="H20" s="22"/>
      <c r="I20" s="22"/>
      <c r="J20" s="22"/>
      <c r="K20" s="22">
        <v>272.75</v>
      </c>
      <c r="L20" s="23"/>
      <c r="M20" s="24">
        <f t="shared" si="0"/>
        <v>243.52678571428569</v>
      </c>
      <c r="N20" s="24">
        <f t="shared" si="1"/>
        <v>29.223214285714281</v>
      </c>
      <c r="O20" s="24">
        <f t="shared" si="2"/>
        <v>0</v>
      </c>
      <c r="P20" s="24"/>
      <c r="Q20" s="25"/>
      <c r="R20" s="25"/>
      <c r="S20" s="26">
        <v>243.53</v>
      </c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>
        <f t="shared" si="3"/>
        <v>-272.75321428571431</v>
      </c>
      <c r="AG20" s="27">
        <f t="shared" si="4"/>
        <v>-3.2142857143071524E-3</v>
      </c>
      <c r="AI20" s="28">
        <f t="shared" si="5"/>
        <v>272.75321428571431</v>
      </c>
    </row>
    <row r="21" spans="1:35" s="29" customFormat="1" ht="23.25" hidden="1" customHeight="1" x14ac:dyDescent="0.2">
      <c r="A21" s="18">
        <v>43979</v>
      </c>
      <c r="B21" s="19"/>
      <c r="C21" s="20" t="s">
        <v>374</v>
      </c>
      <c r="D21" s="20" t="s">
        <v>375</v>
      </c>
      <c r="E21" s="20" t="s">
        <v>390</v>
      </c>
      <c r="F21" s="21">
        <v>1032581</v>
      </c>
      <c r="G21" s="21" t="s">
        <v>58</v>
      </c>
      <c r="H21" s="22"/>
      <c r="I21" s="22"/>
      <c r="J21" s="22"/>
      <c r="K21" s="22">
        <v>24</v>
      </c>
      <c r="L21" s="23"/>
      <c r="M21" s="24">
        <f t="shared" si="0"/>
        <v>21.428571428571427</v>
      </c>
      <c r="N21" s="24">
        <f t="shared" si="1"/>
        <v>2.5714285714285712</v>
      </c>
      <c r="O21" s="24">
        <f t="shared" si="2"/>
        <v>0</v>
      </c>
      <c r="P21" s="24"/>
      <c r="Q21" s="25">
        <v>21.43</v>
      </c>
      <c r="R21" s="25"/>
      <c r="S21" s="26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>
        <f t="shared" si="3"/>
        <v>-24.001428571428569</v>
      </c>
      <c r="AG21" s="27">
        <f t="shared" si="4"/>
        <v>-1.4285714285691142E-3</v>
      </c>
      <c r="AI21" s="28">
        <f t="shared" si="5"/>
        <v>24.001428571428569</v>
      </c>
    </row>
    <row r="22" spans="1:35" s="29" customFormat="1" ht="23.25" customHeight="1" x14ac:dyDescent="0.2">
      <c r="A22" s="18">
        <v>43980</v>
      </c>
      <c r="B22" s="19"/>
      <c r="C22" s="20" t="s">
        <v>374</v>
      </c>
      <c r="D22" s="20" t="s">
        <v>375</v>
      </c>
      <c r="E22" s="20" t="s">
        <v>390</v>
      </c>
      <c r="F22" s="21">
        <v>2063084</v>
      </c>
      <c r="G22" s="21" t="s">
        <v>58</v>
      </c>
      <c r="H22" s="22"/>
      <c r="I22" s="22"/>
      <c r="J22" s="22"/>
      <c r="K22" s="22">
        <v>24</v>
      </c>
      <c r="L22" s="23"/>
      <c r="M22" s="24">
        <f t="shared" si="0"/>
        <v>21.428571428571427</v>
      </c>
      <c r="N22" s="24">
        <f t="shared" si="1"/>
        <v>2.5714285714285712</v>
      </c>
      <c r="O22" s="24">
        <f t="shared" si="2"/>
        <v>0</v>
      </c>
      <c r="P22" s="24"/>
      <c r="Q22" s="25">
        <v>21.43</v>
      </c>
      <c r="R22" s="25"/>
      <c r="S22" s="26"/>
      <c r="T22" s="26"/>
      <c r="U22" s="26"/>
      <c r="V22" s="26"/>
      <c r="W22" s="26"/>
      <c r="X22" s="25"/>
      <c r="Y22" s="25"/>
      <c r="Z22" s="25"/>
      <c r="AA22" s="25"/>
      <c r="AB22" s="26"/>
      <c r="AC22" s="26"/>
      <c r="AD22" s="25"/>
      <c r="AE22" s="25"/>
      <c r="AF22" s="24">
        <f t="shared" si="3"/>
        <v>-24.001428571428569</v>
      </c>
      <c r="AG22" s="27">
        <f t="shared" si="4"/>
        <v>-1.4285714285691142E-3</v>
      </c>
      <c r="AI22" s="28">
        <f t="shared" si="5"/>
        <v>24.001428571428569</v>
      </c>
    </row>
    <row r="23" spans="1:35" s="29" customFormat="1" ht="23.25" customHeight="1" x14ac:dyDescent="0.2">
      <c r="A23" s="18"/>
      <c r="B23" s="19"/>
      <c r="C23" s="20"/>
      <c r="D23" s="20"/>
      <c r="E23" s="20"/>
      <c r="F23" s="21"/>
      <c r="G23" s="21"/>
      <c r="H23" s="22"/>
      <c r="I23" s="22"/>
      <c r="J23" s="22"/>
      <c r="K23" s="22"/>
      <c r="L23" s="23"/>
      <c r="M23" s="24">
        <f t="shared" si="0"/>
        <v>0</v>
      </c>
      <c r="N23" s="24">
        <f t="shared" si="1"/>
        <v>0</v>
      </c>
      <c r="O23" s="24">
        <f t="shared" si="2"/>
        <v>0</v>
      </c>
      <c r="P23" s="24"/>
      <c r="Q23" s="25"/>
      <c r="R23" s="25"/>
      <c r="S23" s="26"/>
      <c r="T23" s="26"/>
      <c r="U23" s="26"/>
      <c r="V23" s="26"/>
      <c r="W23" s="26"/>
      <c r="X23" s="25"/>
      <c r="Y23" s="25"/>
      <c r="Z23" s="25"/>
      <c r="AA23" s="25"/>
      <c r="AB23" s="26"/>
      <c r="AC23" s="26"/>
      <c r="AD23" s="25"/>
      <c r="AE23" s="25"/>
      <c r="AF23" s="24">
        <f t="shared" si="3"/>
        <v>0</v>
      </c>
      <c r="AG23" s="27">
        <f t="shared" si="4"/>
        <v>0</v>
      </c>
    </row>
    <row r="24" spans="1:35" s="29" customFormat="1" ht="23.25" customHeight="1" x14ac:dyDescent="0.2">
      <c r="A24" s="18"/>
      <c r="B24" s="19"/>
      <c r="C24" s="20"/>
      <c r="D24" s="20"/>
      <c r="E24" s="20"/>
      <c r="F24" s="21"/>
      <c r="G24" s="21"/>
      <c r="H24" s="22"/>
      <c r="I24" s="22"/>
      <c r="J24" s="22"/>
      <c r="K24" s="22"/>
      <c r="L24" s="23"/>
      <c r="M24" s="24">
        <f t="shared" si="0"/>
        <v>0</v>
      </c>
      <c r="N24" s="24">
        <f t="shared" si="1"/>
        <v>0</v>
      </c>
      <c r="O24" s="24">
        <f t="shared" si="2"/>
        <v>0</v>
      </c>
      <c r="P24" s="24"/>
      <c r="Q24" s="25"/>
      <c r="R24" s="25"/>
      <c r="S24" s="26"/>
      <c r="T24" s="26"/>
      <c r="U24" s="26"/>
      <c r="V24" s="26"/>
      <c r="W24" s="26"/>
      <c r="X24" s="25"/>
      <c r="Y24" s="25"/>
      <c r="Z24" s="25"/>
      <c r="AA24" s="25"/>
      <c r="AB24" s="26"/>
      <c r="AC24" s="26"/>
      <c r="AD24" s="25"/>
      <c r="AE24" s="25"/>
      <c r="AF24" s="24">
        <f t="shared" si="3"/>
        <v>0</v>
      </c>
      <c r="AG24" s="27">
        <f t="shared" si="4"/>
        <v>0</v>
      </c>
    </row>
    <row r="25" spans="1:35" s="29" customFormat="1" ht="23.25" customHeight="1" x14ac:dyDescent="0.2">
      <c r="A25" s="18"/>
      <c r="B25" s="19"/>
      <c r="C25" s="20"/>
      <c r="D25" s="20"/>
      <c r="E25" s="20"/>
      <c r="F25" s="21"/>
      <c r="G25" s="21"/>
      <c r="H25" s="22"/>
      <c r="I25" s="22"/>
      <c r="J25" s="22"/>
      <c r="K25" s="22"/>
      <c r="L25" s="23"/>
      <c r="M25" s="24">
        <f t="shared" si="0"/>
        <v>0</v>
      </c>
      <c r="N25" s="24">
        <f t="shared" si="1"/>
        <v>0</v>
      </c>
      <c r="O25" s="24">
        <f t="shared" si="2"/>
        <v>0</v>
      </c>
      <c r="P25" s="24"/>
      <c r="Q25" s="25"/>
      <c r="R25" s="25"/>
      <c r="S25" s="26"/>
      <c r="T25" s="26"/>
      <c r="U25" s="26"/>
      <c r="V25" s="26"/>
      <c r="W25" s="26"/>
      <c r="X25" s="25"/>
      <c r="Y25" s="25"/>
      <c r="Z25" s="25"/>
      <c r="AA25" s="25"/>
      <c r="AB25" s="26"/>
      <c r="AC25" s="26"/>
      <c r="AD25" s="25"/>
      <c r="AE25" s="25"/>
      <c r="AF25" s="24">
        <f t="shared" si="3"/>
        <v>0</v>
      </c>
      <c r="AG25" s="27">
        <f t="shared" si="4"/>
        <v>0</v>
      </c>
    </row>
    <row r="26" spans="1:35" s="52" customFormat="1" ht="10.199999999999999" x14ac:dyDescent="0.2">
      <c r="A26" s="46"/>
      <c r="B26" s="47"/>
      <c r="C26" s="48"/>
      <c r="D26" s="49"/>
      <c r="E26" s="49"/>
      <c r="F26" s="50"/>
      <c r="G26" s="48"/>
      <c r="H26" s="51">
        <f t="shared" ref="H26:AG26" si="6">SUM(H5:H25)</f>
        <v>6980</v>
      </c>
      <c r="I26" s="51">
        <f t="shared" si="6"/>
        <v>0</v>
      </c>
      <c r="J26" s="51">
        <f t="shared" si="6"/>
        <v>1652.94</v>
      </c>
      <c r="K26" s="51">
        <f t="shared" si="6"/>
        <v>1864.5</v>
      </c>
      <c r="L26" s="51">
        <f t="shared" si="6"/>
        <v>0</v>
      </c>
      <c r="M26" s="51">
        <f t="shared" si="6"/>
        <v>10297.67214285714</v>
      </c>
      <c r="N26" s="51">
        <f t="shared" si="6"/>
        <v>199.76785714285714</v>
      </c>
      <c r="O26" s="51">
        <f t="shared" si="6"/>
        <v>0</v>
      </c>
      <c r="P26" s="51">
        <f t="shared" si="6"/>
        <v>2669.15</v>
      </c>
      <c r="Q26" s="51">
        <f t="shared" si="6"/>
        <v>123.22</v>
      </c>
      <c r="R26" s="51">
        <f t="shared" si="6"/>
        <v>255</v>
      </c>
      <c r="S26" s="51">
        <f t="shared" si="6"/>
        <v>243.53</v>
      </c>
      <c r="T26" s="51">
        <f t="shared" si="6"/>
        <v>0</v>
      </c>
      <c r="U26" s="51">
        <f t="shared" si="6"/>
        <v>0</v>
      </c>
      <c r="V26" s="51">
        <f t="shared" si="6"/>
        <v>0</v>
      </c>
      <c r="W26" s="51">
        <f t="shared" si="6"/>
        <v>0</v>
      </c>
      <c r="X26" s="51">
        <f t="shared" si="6"/>
        <v>0</v>
      </c>
      <c r="Y26" s="51">
        <f t="shared" si="6"/>
        <v>5000</v>
      </c>
      <c r="Z26" s="51">
        <f t="shared" si="6"/>
        <v>0</v>
      </c>
      <c r="AA26" s="51">
        <f t="shared" si="6"/>
        <v>0</v>
      </c>
      <c r="AB26" s="51">
        <f t="shared" si="6"/>
        <v>1800</v>
      </c>
      <c r="AC26" s="51">
        <f t="shared" si="6"/>
        <v>0</v>
      </c>
      <c r="AD26" s="51">
        <f t="shared" si="6"/>
        <v>26.79</v>
      </c>
      <c r="AE26" s="51">
        <f t="shared" si="6"/>
        <v>180</v>
      </c>
      <c r="AF26" s="51">
        <f t="shared" si="6"/>
        <v>-10497.457857142854</v>
      </c>
      <c r="AG26" s="51">
        <f t="shared" si="6"/>
        <v>-1.7857142857110375E-2</v>
      </c>
    </row>
    <row r="31" spans="1:35" x14ac:dyDescent="0.3">
      <c r="J31" s="5" t="s">
        <v>401</v>
      </c>
    </row>
    <row r="32" spans="1:35" x14ac:dyDescent="0.3">
      <c r="Q32" s="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MK35"/>
  <sheetViews>
    <sheetView topLeftCell="A4" zoomScaleNormal="100" workbookViewId="0">
      <selection activeCell="A14" sqref="A14"/>
    </sheetView>
  </sheetViews>
  <sheetFormatPr defaultRowHeight="14.4" x14ac:dyDescent="0.3"/>
  <cols>
    <col min="1" max="1" width="8.109375" style="1" customWidth="1"/>
    <col min="2" max="2" width="7.21875" style="2" customWidth="1"/>
    <col min="3" max="3" width="26.109375" style="3" customWidth="1"/>
    <col min="4" max="4" width="14" style="4" customWidth="1"/>
    <col min="5" max="5" width="29.33203125" style="4" customWidth="1"/>
    <col min="6" max="6" width="7.88671875" style="2" customWidth="1"/>
    <col min="7" max="7" width="26.5546875" style="3" customWidth="1"/>
    <col min="8" max="8" width="11.109375" style="5" customWidth="1"/>
    <col min="9" max="9" width="9.5546875" style="5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10.6640625" style="5" customWidth="1"/>
    <col min="19" max="19" width="9.5546875" style="5" customWidth="1"/>
    <col min="20" max="20" width="9.109375" style="5" customWidth="1"/>
    <col min="21" max="21" width="10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30" width="8" style="5" customWidth="1"/>
    <col min="31" max="31" width="10.109375" style="5" customWidth="1"/>
    <col min="32" max="32" width="10.6640625" style="5" customWidth="1"/>
    <col min="33" max="33" width="8.88671875" style="3" customWidth="1"/>
    <col min="34" max="1025" width="9.109375" style="3" customWidth="1"/>
  </cols>
  <sheetData>
    <row r="1" spans="1:34" ht="12" customHeight="1" x14ac:dyDescent="0.3">
      <c r="A1" s="7" t="s">
        <v>0</v>
      </c>
      <c r="C1" s="8"/>
    </row>
    <row r="2" spans="1:34" ht="12" customHeight="1" x14ac:dyDescent="0.3">
      <c r="A2" s="7" t="s">
        <v>1</v>
      </c>
    </row>
    <row r="3" spans="1:34" ht="12" customHeight="1" x14ac:dyDescent="0.3">
      <c r="A3" s="7" t="s">
        <v>976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4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613</v>
      </c>
      <c r="S4" s="13" t="s">
        <v>771</v>
      </c>
      <c r="T4" s="13" t="s">
        <v>31</v>
      </c>
      <c r="U4" s="13" t="s">
        <v>34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613</v>
      </c>
      <c r="AD4" s="13" t="s">
        <v>34</v>
      </c>
      <c r="AE4" s="15" t="s">
        <v>35</v>
      </c>
      <c r="AF4" s="16" t="s">
        <v>36</v>
      </c>
    </row>
    <row r="5" spans="1:34" s="17" customFormat="1" ht="19.5" customHeight="1" x14ac:dyDescent="0.2">
      <c r="A5" s="81">
        <v>44181</v>
      </c>
      <c r="B5" s="12"/>
      <c r="C5" s="20" t="s">
        <v>45</v>
      </c>
      <c r="D5" s="12"/>
      <c r="E5" s="12"/>
      <c r="F5" s="82"/>
      <c r="G5" s="82" t="s">
        <v>965</v>
      </c>
      <c r="H5" s="84"/>
      <c r="I5" s="82"/>
      <c r="J5" s="84">
        <v>120</v>
      </c>
      <c r="K5" s="84"/>
      <c r="L5" s="83"/>
      <c r="M5" s="24">
        <f t="shared" ref="M5:M19" si="0">SUM(H5:J5,K5/1.12)</f>
        <v>120</v>
      </c>
      <c r="N5" s="24">
        <f t="shared" ref="N5:N19" si="1">K5/1.12*0.12</f>
        <v>0</v>
      </c>
      <c r="O5" s="24">
        <f t="shared" ref="O5:O16" si="2">-SUM(I5:J5,K5/1.12)*L5</f>
        <v>0</v>
      </c>
      <c r="P5" s="24"/>
      <c r="Q5" s="25"/>
      <c r="R5" s="25"/>
      <c r="S5" s="26"/>
      <c r="T5" s="26">
        <v>120</v>
      </c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>
        <f t="shared" ref="AF5:AF19" si="3">-SUM(N5:AE5)</f>
        <v>-120</v>
      </c>
      <c r="AG5" s="27">
        <f t="shared" ref="AG5:AG19" si="4">SUM(H5:K5)+AF5+O5</f>
        <v>0</v>
      </c>
      <c r="AH5" s="91">
        <f t="shared" ref="AH5:AH14" si="5">-AF5</f>
        <v>120</v>
      </c>
    </row>
    <row r="6" spans="1:34" s="17" customFormat="1" ht="19.5" customHeight="1" x14ac:dyDescent="0.2">
      <c r="A6" s="81">
        <v>44181</v>
      </c>
      <c r="B6" s="12"/>
      <c r="C6" s="20" t="s">
        <v>47</v>
      </c>
      <c r="D6" s="12"/>
      <c r="E6" s="12"/>
      <c r="F6" s="82"/>
      <c r="G6" s="82" t="s">
        <v>977</v>
      </c>
      <c r="H6" s="82"/>
      <c r="I6" s="82"/>
      <c r="J6" s="84"/>
      <c r="K6" s="84">
        <v>124.75</v>
      </c>
      <c r="L6" s="83"/>
      <c r="M6" s="24">
        <f t="shared" si="0"/>
        <v>111.38392857142856</v>
      </c>
      <c r="N6" s="24">
        <f t="shared" si="1"/>
        <v>13.366071428571425</v>
      </c>
      <c r="O6" s="24">
        <f t="shared" si="2"/>
        <v>0</v>
      </c>
      <c r="P6" s="24"/>
      <c r="Q6" s="25"/>
      <c r="R6" s="25"/>
      <c r="S6" s="26"/>
      <c r="T6" s="26"/>
      <c r="U6" s="26">
        <v>111.38</v>
      </c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>
        <f t="shared" si="3"/>
        <v>-124.74607142857143</v>
      </c>
      <c r="AG6" s="27">
        <f t="shared" si="4"/>
        <v>3.9285714285739459E-3</v>
      </c>
      <c r="AH6" s="91">
        <f t="shared" si="5"/>
        <v>124.74607142857143</v>
      </c>
    </row>
    <row r="7" spans="1:34" s="17" customFormat="1" ht="23.25" customHeight="1" x14ac:dyDescent="0.2">
      <c r="A7" s="81">
        <v>44181</v>
      </c>
      <c r="B7" s="12"/>
      <c r="C7" s="20" t="s">
        <v>47</v>
      </c>
      <c r="D7" s="12"/>
      <c r="E7" s="12"/>
      <c r="F7" s="82"/>
      <c r="G7" s="82" t="s">
        <v>626</v>
      </c>
      <c r="H7" s="82"/>
      <c r="I7" s="82"/>
      <c r="J7" s="84"/>
      <c r="K7" s="84">
        <v>3485.05</v>
      </c>
      <c r="L7" s="83"/>
      <c r="M7" s="24">
        <f t="shared" si="0"/>
        <v>3111.6517857142858</v>
      </c>
      <c r="N7" s="24">
        <f t="shared" si="1"/>
        <v>373.39821428571429</v>
      </c>
      <c r="O7" s="24">
        <f t="shared" si="2"/>
        <v>0</v>
      </c>
      <c r="P7" s="24">
        <v>3111.65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>
        <f t="shared" si="3"/>
        <v>-3485.0482142857145</v>
      </c>
      <c r="AG7" s="27">
        <f t="shared" si="4"/>
        <v>1.7857142856883002E-3</v>
      </c>
      <c r="AH7" s="91">
        <f t="shared" si="5"/>
        <v>3485.0482142857145</v>
      </c>
    </row>
    <row r="8" spans="1:34" s="17" customFormat="1" ht="19.5" customHeight="1" x14ac:dyDescent="0.2">
      <c r="A8" s="81">
        <v>44181</v>
      </c>
      <c r="B8" s="12"/>
      <c r="C8" s="20" t="s">
        <v>47</v>
      </c>
      <c r="D8" s="12"/>
      <c r="E8" s="12"/>
      <c r="F8" s="82"/>
      <c r="G8" s="82" t="s">
        <v>978</v>
      </c>
      <c r="H8" s="84"/>
      <c r="I8" s="82"/>
      <c r="J8" s="84"/>
      <c r="K8" s="84">
        <v>2524</v>
      </c>
      <c r="L8" s="83"/>
      <c r="M8" s="24">
        <f t="shared" si="0"/>
        <v>2253.5714285714284</v>
      </c>
      <c r="N8" s="24">
        <f t="shared" si="1"/>
        <v>270.42857142857139</v>
      </c>
      <c r="O8" s="24">
        <f t="shared" si="2"/>
        <v>0</v>
      </c>
      <c r="P8" s="24"/>
      <c r="Q8" s="25">
        <v>2253.5700000000002</v>
      </c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>
        <f t="shared" si="3"/>
        <v>-2523.9985714285717</v>
      </c>
      <c r="AG8" s="27">
        <f t="shared" si="4"/>
        <v>1.4285714282777917E-3</v>
      </c>
      <c r="AH8" s="91">
        <f t="shared" si="5"/>
        <v>2523.9985714285717</v>
      </c>
    </row>
    <row r="9" spans="1:34" s="17" customFormat="1" ht="19.5" customHeight="1" x14ac:dyDescent="0.2">
      <c r="A9" s="81">
        <v>44181</v>
      </c>
      <c r="B9" s="12"/>
      <c r="C9" s="20" t="s">
        <v>931</v>
      </c>
      <c r="D9" s="12"/>
      <c r="E9" s="12"/>
      <c r="F9" s="82"/>
      <c r="G9" s="82" t="s">
        <v>979</v>
      </c>
      <c r="H9" s="82"/>
      <c r="I9" s="82"/>
      <c r="J9" s="84"/>
      <c r="K9" s="84">
        <v>82</v>
      </c>
      <c r="L9" s="83"/>
      <c r="M9" s="24">
        <f t="shared" si="0"/>
        <v>73.214285714285708</v>
      </c>
      <c r="N9" s="24">
        <f t="shared" si="1"/>
        <v>8.7857142857142847</v>
      </c>
      <c r="O9" s="24">
        <f t="shared" si="2"/>
        <v>0</v>
      </c>
      <c r="P9" s="24">
        <v>73.209999999999994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>
        <f t="shared" si="3"/>
        <v>-81.995714285714286</v>
      </c>
      <c r="AG9" s="27">
        <f t="shared" si="4"/>
        <v>4.2857142857144481E-3</v>
      </c>
      <c r="AH9" s="91">
        <f t="shared" si="5"/>
        <v>81.995714285714286</v>
      </c>
    </row>
    <row r="10" spans="1:34" s="17" customFormat="1" ht="19.5" customHeight="1" x14ac:dyDescent="0.2">
      <c r="A10" s="81">
        <v>44181</v>
      </c>
      <c r="B10" s="12"/>
      <c r="C10" s="20" t="s">
        <v>931</v>
      </c>
      <c r="D10" s="12"/>
      <c r="E10" s="12"/>
      <c r="F10" s="82"/>
      <c r="G10" s="82" t="s">
        <v>599</v>
      </c>
      <c r="H10" s="82"/>
      <c r="I10" s="82"/>
      <c r="J10" s="84"/>
      <c r="K10" s="84">
        <v>117</v>
      </c>
      <c r="L10" s="83"/>
      <c r="M10" s="24">
        <f t="shared" si="0"/>
        <v>104.46428571428571</v>
      </c>
      <c r="N10" s="24">
        <f t="shared" si="1"/>
        <v>12.535714285714285</v>
      </c>
      <c r="O10" s="24">
        <f t="shared" si="2"/>
        <v>0</v>
      </c>
      <c r="P10" s="24">
        <v>104.46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>
        <f t="shared" si="3"/>
        <v>-116.99571428571429</v>
      </c>
      <c r="AG10" s="27">
        <f t="shared" si="4"/>
        <v>4.2857142857144481E-3</v>
      </c>
      <c r="AH10" s="91">
        <f t="shared" si="5"/>
        <v>116.99571428571429</v>
      </c>
    </row>
    <row r="11" spans="1:34" s="17" customFormat="1" ht="19.5" customHeight="1" x14ac:dyDescent="0.2">
      <c r="A11" s="81">
        <v>44181</v>
      </c>
      <c r="B11" s="12"/>
      <c r="C11" s="20" t="s">
        <v>931</v>
      </c>
      <c r="D11" s="12"/>
      <c r="E11" s="12"/>
      <c r="F11" s="82"/>
      <c r="G11" s="82" t="s">
        <v>980</v>
      </c>
      <c r="H11" s="82"/>
      <c r="I11" s="82"/>
      <c r="J11" s="84"/>
      <c r="K11" s="84">
        <v>320</v>
      </c>
      <c r="L11" s="83"/>
      <c r="M11" s="24">
        <f t="shared" si="0"/>
        <v>285.71428571428567</v>
      </c>
      <c r="N11" s="24">
        <f t="shared" si="1"/>
        <v>34.285714285714278</v>
      </c>
      <c r="O11" s="24">
        <f t="shared" si="2"/>
        <v>0</v>
      </c>
      <c r="P11" s="24">
        <v>285.70999999999998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>
        <f t="shared" si="3"/>
        <v>-319.99571428571426</v>
      </c>
      <c r="AG11" s="27">
        <f t="shared" si="4"/>
        <v>4.2857142857428698E-3</v>
      </c>
      <c r="AH11" s="91">
        <f t="shared" si="5"/>
        <v>319.99571428571426</v>
      </c>
    </row>
    <row r="12" spans="1:34" s="17" customFormat="1" ht="19.5" customHeight="1" x14ac:dyDescent="0.2">
      <c r="A12" s="81">
        <v>44181</v>
      </c>
      <c r="B12" s="12"/>
      <c r="C12" s="20" t="s">
        <v>981</v>
      </c>
      <c r="D12" s="12"/>
      <c r="E12" s="12"/>
      <c r="F12" s="82"/>
      <c r="G12" s="82" t="s">
        <v>982</v>
      </c>
      <c r="H12" s="82"/>
      <c r="I12" s="82"/>
      <c r="J12" s="84">
        <v>1300</v>
      </c>
      <c r="K12" s="84"/>
      <c r="L12" s="83"/>
      <c r="M12" s="24">
        <f t="shared" si="0"/>
        <v>1300</v>
      </c>
      <c r="N12" s="24">
        <f t="shared" si="1"/>
        <v>0</v>
      </c>
      <c r="O12" s="24">
        <f t="shared" si="2"/>
        <v>0</v>
      </c>
      <c r="P12" s="24">
        <v>1300</v>
      </c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>
        <f t="shared" si="3"/>
        <v>-1300</v>
      </c>
      <c r="AG12" s="27">
        <f t="shared" si="4"/>
        <v>0</v>
      </c>
      <c r="AH12" s="91">
        <f t="shared" si="5"/>
        <v>1300</v>
      </c>
    </row>
    <row r="13" spans="1:34" s="17" customFormat="1" ht="19.5" customHeight="1" x14ac:dyDescent="0.2">
      <c r="A13" s="81">
        <v>44181</v>
      </c>
      <c r="B13" s="12"/>
      <c r="C13" s="20" t="s">
        <v>981</v>
      </c>
      <c r="D13" s="12"/>
      <c r="E13" s="12"/>
      <c r="F13" s="82"/>
      <c r="G13" s="82" t="s">
        <v>521</v>
      </c>
      <c r="H13" s="82"/>
      <c r="I13" s="82"/>
      <c r="J13" s="84">
        <v>350</v>
      </c>
      <c r="K13" s="84"/>
      <c r="L13" s="83"/>
      <c r="M13" s="24">
        <f t="shared" si="0"/>
        <v>350</v>
      </c>
      <c r="N13" s="24">
        <f t="shared" si="1"/>
        <v>0</v>
      </c>
      <c r="O13" s="24">
        <f t="shared" si="2"/>
        <v>0</v>
      </c>
      <c r="P13" s="24">
        <v>350</v>
      </c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>
        <f t="shared" si="3"/>
        <v>-350</v>
      </c>
      <c r="AG13" s="27">
        <f t="shared" si="4"/>
        <v>0</v>
      </c>
      <c r="AH13" s="91">
        <f t="shared" si="5"/>
        <v>350</v>
      </c>
    </row>
    <row r="14" spans="1:34" s="17" customFormat="1" ht="19.5" customHeight="1" x14ac:dyDescent="0.2">
      <c r="A14" s="81">
        <v>44184</v>
      </c>
      <c r="B14" s="12"/>
      <c r="C14" s="82" t="s">
        <v>325</v>
      </c>
      <c r="D14" s="12"/>
      <c r="E14" s="12"/>
      <c r="F14" s="82"/>
      <c r="G14" s="82" t="s">
        <v>983</v>
      </c>
      <c r="H14" s="82"/>
      <c r="I14" s="82"/>
      <c r="J14" s="84">
        <v>500</v>
      </c>
      <c r="K14" s="84"/>
      <c r="L14" s="83"/>
      <c r="M14" s="24">
        <f t="shared" si="0"/>
        <v>500</v>
      </c>
      <c r="N14" s="24">
        <f t="shared" si="1"/>
        <v>0</v>
      </c>
      <c r="O14" s="24">
        <f t="shared" si="2"/>
        <v>0</v>
      </c>
      <c r="P14" s="24"/>
      <c r="Q14" s="25"/>
      <c r="R14" s="25"/>
      <c r="S14" s="26"/>
      <c r="T14" s="26">
        <v>500</v>
      </c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>
        <f t="shared" si="3"/>
        <v>-500</v>
      </c>
      <c r="AG14" s="27">
        <f t="shared" si="4"/>
        <v>0</v>
      </c>
      <c r="AH14" s="91">
        <f t="shared" si="5"/>
        <v>500</v>
      </c>
    </row>
    <row r="15" spans="1:34" s="17" customFormat="1" ht="19.5" customHeight="1" x14ac:dyDescent="0.2">
      <c r="A15" s="81"/>
      <c r="B15" s="12"/>
      <c r="C15" s="20"/>
      <c r="D15" s="12"/>
      <c r="E15" s="12"/>
      <c r="F15" s="82"/>
      <c r="G15" s="82"/>
      <c r="H15" s="82"/>
      <c r="I15" s="82"/>
      <c r="J15" s="84"/>
      <c r="K15" s="84"/>
      <c r="L15" s="83"/>
      <c r="M15" s="24">
        <f t="shared" si="0"/>
        <v>0</v>
      </c>
      <c r="N15" s="24">
        <f t="shared" si="1"/>
        <v>0</v>
      </c>
      <c r="O15" s="24">
        <f t="shared" si="2"/>
        <v>0</v>
      </c>
      <c r="P15" s="24"/>
      <c r="Q15" s="25"/>
      <c r="R15" s="25"/>
      <c r="S15" s="26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>
        <f t="shared" si="3"/>
        <v>0</v>
      </c>
      <c r="AG15" s="27">
        <f t="shared" si="4"/>
        <v>0</v>
      </c>
    </row>
    <row r="16" spans="1:34" s="17" customFormat="1" ht="19.5" customHeight="1" x14ac:dyDescent="0.2">
      <c r="A16" s="81"/>
      <c r="B16" s="12"/>
      <c r="C16" s="20"/>
      <c r="D16" s="12"/>
      <c r="E16" s="12"/>
      <c r="F16" s="82"/>
      <c r="G16" s="82"/>
      <c r="H16" s="82"/>
      <c r="I16" s="82"/>
      <c r="J16" s="84"/>
      <c r="K16" s="84"/>
      <c r="L16" s="83"/>
      <c r="M16" s="24">
        <f t="shared" si="0"/>
        <v>0</v>
      </c>
      <c r="N16" s="24">
        <f t="shared" si="1"/>
        <v>0</v>
      </c>
      <c r="O16" s="24">
        <f t="shared" si="2"/>
        <v>0</v>
      </c>
      <c r="P16" s="24"/>
      <c r="Q16" s="25"/>
      <c r="R16" s="25"/>
      <c r="S16" s="26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5"/>
      <c r="AF16" s="24">
        <f t="shared" si="3"/>
        <v>0</v>
      </c>
      <c r="AG16" s="27">
        <f t="shared" si="4"/>
        <v>0</v>
      </c>
    </row>
    <row r="17" spans="1:33" s="17" customFormat="1" ht="19.5" customHeight="1" x14ac:dyDescent="0.2">
      <c r="A17" s="81"/>
      <c r="B17" s="12"/>
      <c r="C17" s="20"/>
      <c r="D17" s="12"/>
      <c r="E17" s="12"/>
      <c r="F17" s="82"/>
      <c r="G17" s="82"/>
      <c r="H17" s="82"/>
      <c r="I17" s="82"/>
      <c r="J17" s="84"/>
      <c r="K17" s="84"/>
      <c r="L17" s="83"/>
      <c r="M17" s="24">
        <f t="shared" si="0"/>
        <v>0</v>
      </c>
      <c r="N17" s="24">
        <f t="shared" si="1"/>
        <v>0</v>
      </c>
      <c r="O17" s="24"/>
      <c r="P17" s="24"/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>
        <f t="shared" si="3"/>
        <v>0</v>
      </c>
      <c r="AG17" s="27">
        <f t="shared" si="4"/>
        <v>0</v>
      </c>
    </row>
    <row r="18" spans="1:33" s="29" customFormat="1" ht="23.25" customHeight="1" x14ac:dyDescent="0.2">
      <c r="A18" s="18"/>
      <c r="B18" s="19"/>
      <c r="C18" s="20"/>
      <c r="D18" s="20"/>
      <c r="E18" s="20"/>
      <c r="F18" s="21"/>
      <c r="G18" s="21"/>
      <c r="H18" s="22"/>
      <c r="I18" s="22"/>
      <c r="J18" s="22"/>
      <c r="K18" s="22"/>
      <c r="L18" s="23"/>
      <c r="M18" s="24">
        <f t="shared" si="0"/>
        <v>0</v>
      </c>
      <c r="N18" s="24">
        <f t="shared" si="1"/>
        <v>0</v>
      </c>
      <c r="O18" s="24">
        <f>-SUM(I18:J18,K18/1.12)*L18</f>
        <v>0</v>
      </c>
      <c r="P18" s="24"/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>
        <f t="shared" si="3"/>
        <v>0</v>
      </c>
      <c r="AG18" s="27">
        <f t="shared" si="4"/>
        <v>0</v>
      </c>
    </row>
    <row r="19" spans="1:33" s="29" customFormat="1" ht="10.199999999999999" x14ac:dyDescent="0.2">
      <c r="A19" s="18"/>
      <c r="B19" s="19"/>
      <c r="C19" s="43"/>
      <c r="D19" s="43"/>
      <c r="E19" s="43"/>
      <c r="F19" s="21"/>
      <c r="G19" s="30"/>
      <c r="H19" s="22"/>
      <c r="I19" s="22"/>
      <c r="J19" s="22"/>
      <c r="K19" s="22"/>
      <c r="L19" s="23"/>
      <c r="M19" s="25">
        <f t="shared" si="0"/>
        <v>0</v>
      </c>
      <c r="N19" s="25">
        <f t="shared" si="1"/>
        <v>0</v>
      </c>
      <c r="O19" s="25">
        <f>-SUM(I19:J19,K19/1.12)*L19</f>
        <v>0</v>
      </c>
      <c r="P19" s="25"/>
      <c r="Q19" s="25"/>
      <c r="R19" s="25"/>
      <c r="S19" s="25"/>
      <c r="T19" s="26"/>
      <c r="U19" s="51"/>
      <c r="V19" s="26"/>
      <c r="W19" s="26"/>
      <c r="X19" s="26"/>
      <c r="Y19" s="44"/>
      <c r="Z19" s="25"/>
      <c r="AA19" s="51"/>
      <c r="AB19" s="25"/>
      <c r="AC19" s="26"/>
      <c r="AD19" s="26"/>
      <c r="AE19" s="45"/>
      <c r="AF19" s="24">
        <f t="shared" si="3"/>
        <v>0</v>
      </c>
      <c r="AG19" s="27">
        <f t="shared" si="4"/>
        <v>0</v>
      </c>
    </row>
    <row r="20" spans="1:33" s="52" customFormat="1" ht="10.199999999999999" x14ac:dyDescent="0.2">
      <c r="A20" s="46"/>
      <c r="B20" s="47"/>
      <c r="C20" s="48"/>
      <c r="D20" s="49"/>
      <c r="E20" s="49"/>
      <c r="F20" s="50"/>
      <c r="G20" s="48"/>
      <c r="H20" s="51">
        <f>SUM(H5:H18)</f>
        <v>0</v>
      </c>
      <c r="I20" s="51">
        <f>SUM(I18:I19)</f>
        <v>0</v>
      </c>
      <c r="J20" s="51">
        <f>SUM(J5:J19)</f>
        <v>2270</v>
      </c>
      <c r="K20" s="51">
        <f>SUM(K5:K19)</f>
        <v>6652.8</v>
      </c>
      <c r="L20" s="51">
        <f>SUM(L18:L19)</f>
        <v>0</v>
      </c>
      <c r="M20" s="51">
        <f>SUM(M5:M19)</f>
        <v>8210</v>
      </c>
      <c r="N20" s="51">
        <f>SUM(N5:N19)</f>
        <v>712.8</v>
      </c>
      <c r="O20" s="51">
        <f>SUM(O18:O19)</f>
        <v>0</v>
      </c>
      <c r="P20" s="51">
        <f>SUM(P5:P19)</f>
        <v>5225.0300000000007</v>
      </c>
      <c r="Q20" s="51">
        <f>SUM(Q5:Q19)</f>
        <v>2253.5700000000002</v>
      </c>
      <c r="R20" s="51">
        <f>SUM(R5:R18)</f>
        <v>0</v>
      </c>
      <c r="S20" s="51">
        <f>SUM(S18:S19)</f>
        <v>0</v>
      </c>
      <c r="T20" s="51">
        <f>SUM(T5:T19)</f>
        <v>620</v>
      </c>
      <c r="U20" s="51">
        <f>SUM(U5:U19)</f>
        <v>111.38</v>
      </c>
      <c r="V20" s="51">
        <f>SUM(V18:V19)</f>
        <v>0</v>
      </c>
      <c r="W20" s="51">
        <f>SUM(W18:W19)</f>
        <v>0</v>
      </c>
      <c r="X20" s="51">
        <f>SUM(X18:X19)</f>
        <v>0</v>
      </c>
      <c r="Y20" s="51">
        <f>SUM(Y18:Y19)</f>
        <v>0</v>
      </c>
      <c r="Z20" s="51">
        <f>SUM(Z18:Z19)</f>
        <v>0</v>
      </c>
      <c r="AA20" s="51">
        <f>SUM(AA5:AA18)</f>
        <v>0</v>
      </c>
      <c r="AB20" s="51">
        <f>SUM(AB18:AB19)</f>
        <v>0</v>
      </c>
      <c r="AC20" s="51">
        <f>SUM(AC5:AC18)</f>
        <v>0</v>
      </c>
      <c r="AD20" s="51">
        <f>SUM(AD5:AD18)</f>
        <v>0</v>
      </c>
      <c r="AE20" s="51">
        <f>SUM(AE18:AE19)</f>
        <v>0</v>
      </c>
      <c r="AF20" s="51">
        <f>SUM(AF5:AF19)</f>
        <v>-8922.7800000000025</v>
      </c>
      <c r="AG20" s="51">
        <f>SUM(AG18:AG19)</f>
        <v>0</v>
      </c>
    </row>
    <row r="21" spans="1:33" s="77" customFormat="1" ht="10.199999999999999" x14ac:dyDescent="0.2"/>
    <row r="22" spans="1:33" x14ac:dyDescent="0.3">
      <c r="H22" s="85"/>
      <c r="I22" s="85"/>
      <c r="J22" s="85"/>
      <c r="K22" s="85"/>
    </row>
    <row r="23" spans="1:33" x14ac:dyDescent="0.3">
      <c r="H23" s="85"/>
      <c r="I23" s="85"/>
      <c r="J23" s="85"/>
      <c r="K23" s="85"/>
    </row>
    <row r="24" spans="1:33" x14ac:dyDescent="0.3">
      <c r="H24" s="85"/>
      <c r="I24" s="85"/>
      <c r="J24" s="85"/>
      <c r="K24" s="85"/>
    </row>
    <row r="25" spans="1:33" x14ac:dyDescent="0.3">
      <c r="H25" s="85"/>
      <c r="I25" s="85"/>
      <c r="J25" s="85"/>
      <c r="K25" s="85"/>
      <c r="Q25" s="5">
        <v>0</v>
      </c>
    </row>
    <row r="26" spans="1:33" s="3" customFormat="1" ht="11.4" x14ac:dyDescent="0.2">
      <c r="H26" s="86"/>
      <c r="I26" s="86"/>
      <c r="J26" s="86"/>
      <c r="K26" s="86"/>
      <c r="T26" s="5"/>
      <c r="U26" s="5"/>
      <c r="V26" s="5"/>
      <c r="W26" s="5"/>
      <c r="X26" s="5"/>
      <c r="Y26" s="5"/>
    </row>
    <row r="27" spans="1:33" x14ac:dyDescent="0.3">
      <c r="H27" s="85"/>
      <c r="I27" s="85"/>
      <c r="J27" s="85"/>
      <c r="K27" s="85"/>
    </row>
    <row r="28" spans="1:33" x14ac:dyDescent="0.3">
      <c r="H28" s="85"/>
      <c r="I28" s="85"/>
      <c r="J28" s="85"/>
      <c r="K28" s="85"/>
    </row>
    <row r="29" spans="1:33" x14ac:dyDescent="0.3">
      <c r="H29" s="85"/>
      <c r="I29" s="85"/>
      <c r="J29" s="85"/>
      <c r="K29" s="85"/>
    </row>
    <row r="30" spans="1:33" x14ac:dyDescent="0.3">
      <c r="H30" s="85"/>
      <c r="I30" s="85"/>
      <c r="J30" s="85"/>
      <c r="K30" s="85"/>
    </row>
    <row r="31" spans="1:33" x14ac:dyDescent="0.3">
      <c r="H31" s="87"/>
      <c r="I31" s="87"/>
      <c r="J31" s="87"/>
      <c r="K31" s="87"/>
    </row>
    <row r="32" spans="1:33" x14ac:dyDescent="0.3">
      <c r="H32" s="87"/>
      <c r="I32" s="87"/>
      <c r="J32" s="87"/>
      <c r="K32" s="87"/>
    </row>
    <row r="33" spans="8:11" s="3" customFormat="1" ht="10.199999999999999" x14ac:dyDescent="0.2">
      <c r="H33" s="87"/>
      <c r="I33" s="87"/>
      <c r="J33" s="87"/>
      <c r="K33" s="87"/>
    </row>
    <row r="34" spans="8:11" s="3" customFormat="1" ht="10.199999999999999" x14ac:dyDescent="0.2">
      <c r="H34" s="87"/>
      <c r="I34" s="87"/>
      <c r="J34" s="87"/>
      <c r="K34" s="87"/>
    </row>
    <row r="35" spans="8:11" s="3" customFormat="1" ht="10.199999999999999" x14ac:dyDescent="0.2">
      <c r="H35" s="87"/>
      <c r="I35" s="87"/>
      <c r="J35" s="87"/>
      <c r="K35" s="8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MK48"/>
  <sheetViews>
    <sheetView tabSelected="1" zoomScaleNormal="100" workbookViewId="0">
      <selection activeCell="A29" sqref="A29"/>
    </sheetView>
  </sheetViews>
  <sheetFormatPr defaultRowHeight="14.4" x14ac:dyDescent="0.3"/>
  <cols>
    <col min="1" max="1" width="8.109375" style="107" customWidth="1"/>
    <col min="2" max="2" width="7.21875" style="2" customWidth="1"/>
    <col min="3" max="3" width="26.109375" style="3" customWidth="1"/>
    <col min="4" max="4" width="14" style="4" customWidth="1"/>
    <col min="5" max="5" width="29.33203125" style="4" customWidth="1"/>
    <col min="6" max="6" width="7.88671875" style="2" customWidth="1"/>
    <col min="7" max="7" width="26.5546875" style="3" customWidth="1"/>
    <col min="8" max="8" width="11.109375" style="5" customWidth="1"/>
    <col min="9" max="9" width="9.5546875" style="5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10.6640625" style="5" customWidth="1"/>
    <col min="19" max="19" width="9.5546875" style="5" customWidth="1"/>
    <col min="20" max="20" width="10" style="5" customWidth="1"/>
    <col min="21" max="21" width="10.5546875" style="5" customWidth="1"/>
    <col min="22" max="22" width="11.109375" style="5" customWidth="1"/>
    <col min="23" max="23" width="9.88671875" style="5" customWidth="1"/>
    <col min="24" max="24" width="9.21875" style="5" customWidth="1"/>
    <col min="25" max="25" width="8.21875" style="5" customWidth="1"/>
    <col min="26" max="26" width="8.6640625" style="5" customWidth="1"/>
    <col min="27" max="27" width="9.5546875" style="5" customWidth="1"/>
    <col min="28" max="28" width="8" style="5" customWidth="1"/>
    <col min="29" max="29" width="10.21875" style="5" customWidth="1"/>
    <col min="30" max="30" width="10.109375" style="5" customWidth="1"/>
    <col min="31" max="31" width="10.6640625" style="5" customWidth="1"/>
    <col min="32" max="32" width="8.88671875" style="3" customWidth="1"/>
    <col min="33" max="1025" width="9.109375" style="3" customWidth="1"/>
  </cols>
  <sheetData>
    <row r="1" spans="1:33" ht="12" customHeight="1" x14ac:dyDescent="0.3">
      <c r="A1" s="101" t="s">
        <v>0</v>
      </c>
      <c r="C1" s="8"/>
    </row>
    <row r="2" spans="1:33" ht="12" customHeight="1" x14ac:dyDescent="0.3">
      <c r="A2" s="101" t="s">
        <v>1</v>
      </c>
    </row>
    <row r="3" spans="1:33" ht="12" customHeight="1" x14ac:dyDescent="0.3">
      <c r="A3" s="101" t="s">
        <v>984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/>
      <c r="U3" s="10"/>
      <c r="V3" s="10"/>
      <c r="W3" s="10"/>
      <c r="X3" s="10" t="s">
        <v>3</v>
      </c>
      <c r="Y3" s="10"/>
      <c r="Z3" s="10">
        <v>6230</v>
      </c>
      <c r="AA3" s="10" t="s">
        <v>4</v>
      </c>
      <c r="AB3" s="10">
        <v>6202</v>
      </c>
      <c r="AC3" s="10"/>
      <c r="AD3" s="10">
        <v>6109</v>
      </c>
      <c r="AE3" s="10">
        <v>1002</v>
      </c>
    </row>
    <row r="4" spans="1:33" s="17" customFormat="1" ht="44.25" customHeight="1" x14ac:dyDescent="0.3">
      <c r="A4" s="102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613</v>
      </c>
      <c r="S4" s="13" t="s">
        <v>771</v>
      </c>
      <c r="T4" s="13" t="s">
        <v>24</v>
      </c>
      <c r="U4" s="13" t="s">
        <v>26</v>
      </c>
      <c r="V4" s="13" t="s">
        <v>22</v>
      </c>
      <c r="W4" s="13" t="s">
        <v>28</v>
      </c>
      <c r="X4" s="13" t="s">
        <v>29</v>
      </c>
      <c r="Y4" s="13" t="s">
        <v>30</v>
      </c>
      <c r="Z4" s="13" t="s">
        <v>31</v>
      </c>
      <c r="AA4" s="13" t="s">
        <v>32</v>
      </c>
      <c r="AB4" s="14" t="s">
        <v>613</v>
      </c>
      <c r="AC4" s="13" t="s">
        <v>23</v>
      </c>
      <c r="AD4" s="15" t="s">
        <v>34</v>
      </c>
      <c r="AE4" s="16" t="s">
        <v>36</v>
      </c>
    </row>
    <row r="5" spans="1:33" s="17" customFormat="1" ht="19.5" customHeight="1" x14ac:dyDescent="0.2">
      <c r="A5" s="103">
        <v>44183</v>
      </c>
      <c r="B5" s="12"/>
      <c r="C5" s="20" t="s">
        <v>409</v>
      </c>
      <c r="D5" s="12"/>
      <c r="E5" s="12"/>
      <c r="F5" s="82">
        <v>522</v>
      </c>
      <c r="G5" s="82" t="s">
        <v>985</v>
      </c>
      <c r="H5" s="84"/>
      <c r="I5" s="82"/>
      <c r="J5" s="84">
        <v>5836</v>
      </c>
      <c r="K5" s="84"/>
      <c r="L5" s="83"/>
      <c r="M5" s="24">
        <f t="shared" ref="M5:M35" si="0">SUM(H5:J5,K5/1.12)</f>
        <v>5836</v>
      </c>
      <c r="N5" s="24">
        <f t="shared" ref="N5:N35" si="1">K5/1.12*0.12</f>
        <v>0</v>
      </c>
      <c r="O5" s="24">
        <f t="shared" ref="O5:O35" si="2">-SUM(I5:J5,K5/1.12)*L5</f>
        <v>0</v>
      </c>
      <c r="P5" s="24">
        <v>5836</v>
      </c>
      <c r="Q5" s="25"/>
      <c r="R5" s="25"/>
      <c r="S5" s="26"/>
      <c r="T5" s="26"/>
      <c r="U5" s="26"/>
      <c r="V5" s="26"/>
      <c r="W5" s="25"/>
      <c r="X5" s="25"/>
      <c r="Y5" s="25"/>
      <c r="Z5" s="25"/>
      <c r="AA5" s="26"/>
      <c r="AB5" s="26"/>
      <c r="AC5" s="25"/>
      <c r="AD5" s="25"/>
      <c r="AE5" s="24">
        <f t="shared" ref="AE5:AE35" si="3">-SUM(N5:AD5)</f>
        <v>-5836</v>
      </c>
      <c r="AF5" s="27">
        <f t="shared" ref="AF5:AF35" si="4">SUM(H5:K5)+AE5+O5</f>
        <v>0</v>
      </c>
      <c r="AG5" s="91">
        <f t="shared" ref="AG5:AG30" si="5">-AE5</f>
        <v>5836</v>
      </c>
    </row>
    <row r="6" spans="1:33" s="17" customFormat="1" ht="19.5" customHeight="1" x14ac:dyDescent="0.2">
      <c r="A6" s="103">
        <v>44183</v>
      </c>
      <c r="B6" s="12"/>
      <c r="C6" s="20" t="s">
        <v>931</v>
      </c>
      <c r="D6" s="12"/>
      <c r="E6" s="12"/>
      <c r="F6" s="82">
        <v>8439</v>
      </c>
      <c r="G6" s="82" t="s">
        <v>986</v>
      </c>
      <c r="H6" s="82"/>
      <c r="I6" s="82"/>
      <c r="J6" s="84"/>
      <c r="K6" s="84">
        <v>167.5</v>
      </c>
      <c r="L6" s="83"/>
      <c r="M6" s="24">
        <f t="shared" si="0"/>
        <v>149.55357142857142</v>
      </c>
      <c r="N6" s="24">
        <f t="shared" si="1"/>
        <v>17.946428571428569</v>
      </c>
      <c r="O6" s="24">
        <f t="shared" si="2"/>
        <v>0</v>
      </c>
      <c r="P6" s="24">
        <v>149.55000000000001</v>
      </c>
      <c r="Q6" s="25"/>
      <c r="R6" s="25"/>
      <c r="S6" s="26"/>
      <c r="T6" s="26"/>
      <c r="U6" s="26"/>
      <c r="V6" s="26"/>
      <c r="W6" s="25"/>
      <c r="X6" s="25"/>
      <c r="Y6" s="25"/>
      <c r="Z6" s="25"/>
      <c r="AA6" s="26"/>
      <c r="AB6" s="26"/>
      <c r="AC6" s="25"/>
      <c r="AD6" s="25"/>
      <c r="AE6" s="24">
        <f t="shared" si="3"/>
        <v>-167.49642857142857</v>
      </c>
      <c r="AF6" s="27">
        <f t="shared" si="4"/>
        <v>3.5714285714334437E-3</v>
      </c>
      <c r="AG6" s="91">
        <f t="shared" si="5"/>
        <v>167.49642857142857</v>
      </c>
    </row>
    <row r="7" spans="1:33" s="17" customFormat="1" ht="23.25" customHeight="1" x14ac:dyDescent="0.2">
      <c r="A7" s="103">
        <v>44183</v>
      </c>
      <c r="B7" s="12"/>
      <c r="C7" s="20" t="s">
        <v>106</v>
      </c>
      <c r="D7" s="12"/>
      <c r="E7" s="12"/>
      <c r="F7" s="82">
        <v>75569</v>
      </c>
      <c r="G7" s="82" t="s">
        <v>987</v>
      </c>
      <c r="H7" s="82"/>
      <c r="I7" s="82"/>
      <c r="J7" s="84"/>
      <c r="K7" s="84">
        <v>98</v>
      </c>
      <c r="L7" s="83"/>
      <c r="M7" s="24">
        <f t="shared" si="0"/>
        <v>87.499999999999986</v>
      </c>
      <c r="N7" s="24">
        <f t="shared" si="1"/>
        <v>10.499999999999998</v>
      </c>
      <c r="O7" s="24">
        <f t="shared" si="2"/>
        <v>0</v>
      </c>
      <c r="P7" s="24"/>
      <c r="Q7" s="25"/>
      <c r="R7" s="25"/>
      <c r="S7" s="26"/>
      <c r="T7" s="26">
        <v>87.5</v>
      </c>
      <c r="U7" s="26"/>
      <c r="V7" s="26"/>
      <c r="W7" s="25"/>
      <c r="X7" s="25"/>
      <c r="Y7" s="25"/>
      <c r="Z7" s="25"/>
      <c r="AA7" s="26"/>
      <c r="AB7" s="26"/>
      <c r="AC7" s="25"/>
      <c r="AD7" s="25"/>
      <c r="AE7" s="24">
        <f t="shared" si="3"/>
        <v>-98</v>
      </c>
      <c r="AF7" s="27">
        <f t="shared" si="4"/>
        <v>0</v>
      </c>
      <c r="AG7" s="91">
        <f t="shared" si="5"/>
        <v>98</v>
      </c>
    </row>
    <row r="8" spans="1:33" s="17" customFormat="1" ht="23.25" customHeight="1" x14ac:dyDescent="0.2">
      <c r="A8" s="103">
        <v>44183</v>
      </c>
      <c r="B8" s="12"/>
      <c r="C8" s="20" t="s">
        <v>931</v>
      </c>
      <c r="D8" s="12"/>
      <c r="E8" s="12"/>
      <c r="F8" s="82">
        <v>8869</v>
      </c>
      <c r="G8" s="82" t="s">
        <v>399</v>
      </c>
      <c r="H8" s="82"/>
      <c r="I8" s="82"/>
      <c r="J8" s="84">
        <v>104</v>
      </c>
      <c r="K8" s="84"/>
      <c r="L8" s="83"/>
      <c r="M8" s="24">
        <f t="shared" si="0"/>
        <v>104</v>
      </c>
      <c r="N8" s="24">
        <f t="shared" si="1"/>
        <v>0</v>
      </c>
      <c r="O8" s="24">
        <f t="shared" si="2"/>
        <v>0</v>
      </c>
      <c r="P8" s="24">
        <v>104</v>
      </c>
      <c r="Q8" s="25"/>
      <c r="R8" s="25"/>
      <c r="S8" s="26"/>
      <c r="T8" s="26"/>
      <c r="U8" s="26"/>
      <c r="V8" s="26"/>
      <c r="W8" s="25"/>
      <c r="X8" s="25"/>
      <c r="Y8" s="25"/>
      <c r="Z8" s="25"/>
      <c r="AA8" s="26"/>
      <c r="AB8" s="26"/>
      <c r="AC8" s="25"/>
      <c r="AD8" s="25"/>
      <c r="AE8" s="24">
        <f t="shared" si="3"/>
        <v>-104</v>
      </c>
      <c r="AF8" s="27">
        <f t="shared" si="4"/>
        <v>0</v>
      </c>
      <c r="AG8" s="91">
        <f t="shared" si="5"/>
        <v>104</v>
      </c>
    </row>
    <row r="9" spans="1:33" s="17" customFormat="1" ht="23.25" customHeight="1" x14ac:dyDescent="0.2">
      <c r="A9" s="103">
        <v>44183</v>
      </c>
      <c r="B9" s="12"/>
      <c r="C9" s="20" t="s">
        <v>62</v>
      </c>
      <c r="D9" s="12"/>
      <c r="E9" s="12"/>
      <c r="F9" s="82"/>
      <c r="G9" s="82" t="s">
        <v>988</v>
      </c>
      <c r="H9" s="82"/>
      <c r="I9" s="82"/>
      <c r="J9" s="84">
        <v>105</v>
      </c>
      <c r="K9" s="84"/>
      <c r="L9" s="83"/>
      <c r="M9" s="24">
        <f t="shared" si="0"/>
        <v>105</v>
      </c>
      <c r="N9" s="24">
        <f t="shared" si="1"/>
        <v>0</v>
      </c>
      <c r="O9" s="24">
        <f t="shared" si="2"/>
        <v>0</v>
      </c>
      <c r="P9" s="24"/>
      <c r="Q9" s="25"/>
      <c r="R9" s="25"/>
      <c r="S9" s="26"/>
      <c r="T9" s="26"/>
      <c r="U9" s="26"/>
      <c r="V9" s="26"/>
      <c r="W9" s="25"/>
      <c r="X9" s="25"/>
      <c r="Y9" s="25"/>
      <c r="Z9" s="25"/>
      <c r="AA9" s="26"/>
      <c r="AB9" s="26"/>
      <c r="AC9" s="25">
        <v>105</v>
      </c>
      <c r="AD9" s="25"/>
      <c r="AE9" s="24">
        <f t="shared" si="3"/>
        <v>-105</v>
      </c>
      <c r="AF9" s="27">
        <f t="shared" si="4"/>
        <v>0</v>
      </c>
      <c r="AG9" s="91">
        <f t="shared" si="5"/>
        <v>105</v>
      </c>
    </row>
    <row r="10" spans="1:33" s="17" customFormat="1" ht="23.25" customHeight="1" x14ac:dyDescent="0.2">
      <c r="A10" s="103">
        <v>44183</v>
      </c>
      <c r="B10" s="12"/>
      <c r="C10" s="20" t="s">
        <v>931</v>
      </c>
      <c r="D10" s="12"/>
      <c r="E10" s="12"/>
      <c r="F10" s="82">
        <v>8393</v>
      </c>
      <c r="G10" s="82" t="s">
        <v>989</v>
      </c>
      <c r="H10" s="82"/>
      <c r="I10" s="82"/>
      <c r="J10" s="84"/>
      <c r="K10" s="84">
        <v>124</v>
      </c>
      <c r="L10" s="83"/>
      <c r="M10" s="24">
        <f t="shared" si="0"/>
        <v>110.71428571428571</v>
      </c>
      <c r="N10" s="24">
        <f t="shared" si="1"/>
        <v>13.285714285714285</v>
      </c>
      <c r="O10" s="24">
        <f t="shared" si="2"/>
        <v>0</v>
      </c>
      <c r="P10" s="24"/>
      <c r="Q10" s="25"/>
      <c r="R10" s="25"/>
      <c r="S10" s="26"/>
      <c r="T10" s="26"/>
      <c r="U10" s="26"/>
      <c r="V10" s="26">
        <v>110.71</v>
      </c>
      <c r="W10" s="25"/>
      <c r="X10" s="25"/>
      <c r="Y10" s="25"/>
      <c r="Z10" s="25"/>
      <c r="AA10" s="26"/>
      <c r="AB10" s="26"/>
      <c r="AC10" s="25"/>
      <c r="AD10" s="25"/>
      <c r="AE10" s="24">
        <f t="shared" si="3"/>
        <v>-123.99571428571429</v>
      </c>
      <c r="AF10" s="27">
        <f t="shared" si="4"/>
        <v>4.2857142857144481E-3</v>
      </c>
      <c r="AG10" s="91">
        <f t="shared" si="5"/>
        <v>123.99571428571429</v>
      </c>
    </row>
    <row r="11" spans="1:33" s="17" customFormat="1" ht="23.25" customHeight="1" x14ac:dyDescent="0.2">
      <c r="A11" s="103">
        <v>44183</v>
      </c>
      <c r="B11" s="12"/>
      <c r="C11" s="20" t="s">
        <v>931</v>
      </c>
      <c r="D11" s="12"/>
      <c r="E11" s="12"/>
      <c r="F11" s="82">
        <v>8393</v>
      </c>
      <c r="G11" s="82" t="s">
        <v>399</v>
      </c>
      <c r="H11" s="82"/>
      <c r="I11" s="82"/>
      <c r="J11" s="84">
        <v>123.42</v>
      </c>
      <c r="K11" s="84"/>
      <c r="L11" s="83"/>
      <c r="M11" s="24">
        <f t="shared" si="0"/>
        <v>123.42</v>
      </c>
      <c r="N11" s="24">
        <f t="shared" si="1"/>
        <v>0</v>
      </c>
      <c r="O11" s="24">
        <f t="shared" si="2"/>
        <v>0</v>
      </c>
      <c r="P11" s="24">
        <v>123.42</v>
      </c>
      <c r="Q11" s="25"/>
      <c r="R11" s="25"/>
      <c r="S11" s="26"/>
      <c r="T11" s="26"/>
      <c r="U11" s="26"/>
      <c r="V11" s="26"/>
      <c r="W11" s="25"/>
      <c r="X11" s="25"/>
      <c r="Y11" s="25"/>
      <c r="Z11" s="25"/>
      <c r="AA11" s="26"/>
      <c r="AB11" s="26"/>
      <c r="AC11" s="25"/>
      <c r="AD11" s="25"/>
      <c r="AE11" s="24">
        <f t="shared" si="3"/>
        <v>-123.42</v>
      </c>
      <c r="AF11" s="27">
        <f t="shared" si="4"/>
        <v>0</v>
      </c>
      <c r="AG11" s="91">
        <f t="shared" si="5"/>
        <v>123.42</v>
      </c>
    </row>
    <row r="12" spans="1:33" s="17" customFormat="1" ht="23.25" customHeight="1" x14ac:dyDescent="0.2">
      <c r="A12" s="103">
        <v>44183</v>
      </c>
      <c r="B12" s="12"/>
      <c r="C12" s="20" t="s">
        <v>62</v>
      </c>
      <c r="D12" s="12"/>
      <c r="E12" s="12"/>
      <c r="F12" s="82"/>
      <c r="G12" s="82" t="s">
        <v>691</v>
      </c>
      <c r="H12" s="84">
        <v>120</v>
      </c>
      <c r="I12" s="82"/>
      <c r="J12" s="84"/>
      <c r="K12" s="84"/>
      <c r="L12" s="83"/>
      <c r="M12" s="24">
        <f t="shared" si="0"/>
        <v>120</v>
      </c>
      <c r="N12" s="24">
        <f t="shared" si="1"/>
        <v>0</v>
      </c>
      <c r="O12" s="24">
        <f t="shared" si="2"/>
        <v>0</v>
      </c>
      <c r="P12" s="24"/>
      <c r="Q12" s="25"/>
      <c r="R12" s="25"/>
      <c r="S12" s="26"/>
      <c r="T12" s="26"/>
      <c r="U12" s="26"/>
      <c r="V12" s="26"/>
      <c r="W12" s="25"/>
      <c r="X12" s="25"/>
      <c r="Y12" s="25"/>
      <c r="Z12" s="25">
        <v>120</v>
      </c>
      <c r="AA12" s="26"/>
      <c r="AB12" s="26"/>
      <c r="AC12" s="25"/>
      <c r="AD12" s="25"/>
      <c r="AE12" s="24">
        <f t="shared" si="3"/>
        <v>-120</v>
      </c>
      <c r="AF12" s="27">
        <f t="shared" si="4"/>
        <v>0</v>
      </c>
      <c r="AG12" s="91">
        <f t="shared" si="5"/>
        <v>120</v>
      </c>
    </row>
    <row r="13" spans="1:33" s="17" customFormat="1" ht="54.75" customHeight="1" x14ac:dyDescent="0.2">
      <c r="A13" s="103">
        <v>44183</v>
      </c>
      <c r="B13" s="12"/>
      <c r="C13" s="20" t="s">
        <v>489</v>
      </c>
      <c r="D13" s="12"/>
      <c r="E13" s="12"/>
      <c r="F13" s="82">
        <v>282411</v>
      </c>
      <c r="G13" s="82" t="s">
        <v>990</v>
      </c>
      <c r="H13" s="82"/>
      <c r="I13" s="82"/>
      <c r="J13" s="84"/>
      <c r="K13" s="99">
        <v>7099.8</v>
      </c>
      <c r="L13" s="83"/>
      <c r="M13" s="24">
        <f t="shared" si="0"/>
        <v>6339.1071428571422</v>
      </c>
      <c r="N13" s="24">
        <f t="shared" si="1"/>
        <v>760.69285714285706</v>
      </c>
      <c r="O13" s="24">
        <f t="shared" si="2"/>
        <v>0</v>
      </c>
      <c r="P13" s="24">
        <v>6339.11</v>
      </c>
      <c r="Q13" s="25"/>
      <c r="R13" s="25"/>
      <c r="S13" s="26"/>
      <c r="T13" s="26"/>
      <c r="U13" s="26"/>
      <c r="V13" s="26"/>
      <c r="W13" s="25"/>
      <c r="X13" s="25"/>
      <c r="Y13" s="25"/>
      <c r="Z13" s="25"/>
      <c r="AA13" s="26"/>
      <c r="AB13" s="26"/>
      <c r="AC13" s="25"/>
      <c r="AD13" s="25"/>
      <c r="AE13" s="24">
        <f t="shared" si="3"/>
        <v>-7099.8028571428567</v>
      </c>
      <c r="AF13" s="27">
        <f t="shared" si="4"/>
        <v>-2.8571428565555834E-3</v>
      </c>
      <c r="AG13" s="91">
        <f t="shared" si="5"/>
        <v>7099.8028571428567</v>
      </c>
    </row>
    <row r="14" spans="1:33" s="17" customFormat="1" ht="23.25" customHeight="1" x14ac:dyDescent="0.2">
      <c r="A14" s="103">
        <v>44183</v>
      </c>
      <c r="B14" s="12"/>
      <c r="C14" s="20" t="s">
        <v>489</v>
      </c>
      <c r="D14" s="12"/>
      <c r="E14" s="12"/>
      <c r="F14" s="82">
        <v>282411</v>
      </c>
      <c r="G14" s="82" t="s">
        <v>991</v>
      </c>
      <c r="H14" s="82"/>
      <c r="I14" s="82"/>
      <c r="J14" s="84">
        <v>616.35</v>
      </c>
      <c r="K14" s="84"/>
      <c r="L14" s="83"/>
      <c r="M14" s="24">
        <f t="shared" si="0"/>
        <v>616.35</v>
      </c>
      <c r="N14" s="24">
        <f t="shared" si="1"/>
        <v>0</v>
      </c>
      <c r="O14" s="24">
        <f t="shared" si="2"/>
        <v>0</v>
      </c>
      <c r="P14" s="24">
        <v>616.35</v>
      </c>
      <c r="Q14" s="25"/>
      <c r="R14" s="25"/>
      <c r="S14" s="26"/>
      <c r="T14" s="26"/>
      <c r="U14" s="26"/>
      <c r="V14" s="26"/>
      <c r="W14" s="25"/>
      <c r="X14" s="25"/>
      <c r="Y14" s="25"/>
      <c r="Z14" s="25"/>
      <c r="AA14" s="26"/>
      <c r="AB14" s="26"/>
      <c r="AC14" s="25"/>
      <c r="AD14" s="25"/>
      <c r="AE14" s="24">
        <f t="shared" si="3"/>
        <v>-616.35</v>
      </c>
      <c r="AF14" s="27">
        <f t="shared" si="4"/>
        <v>0</v>
      </c>
      <c r="AG14" s="91">
        <f t="shared" si="5"/>
        <v>616.35</v>
      </c>
    </row>
    <row r="15" spans="1:33" s="17" customFormat="1" ht="23.25" customHeight="1" x14ac:dyDescent="0.2">
      <c r="A15" s="103">
        <v>44184</v>
      </c>
      <c r="B15" s="12"/>
      <c r="C15" s="20" t="s">
        <v>806</v>
      </c>
      <c r="D15" s="12"/>
      <c r="E15" s="12"/>
      <c r="F15" s="82">
        <v>207245</v>
      </c>
      <c r="G15" s="82" t="s">
        <v>927</v>
      </c>
      <c r="H15" s="82"/>
      <c r="I15" s="82"/>
      <c r="J15" s="84"/>
      <c r="K15" s="84">
        <v>3727</v>
      </c>
      <c r="L15" s="83"/>
      <c r="M15" s="24">
        <f t="shared" si="0"/>
        <v>3327.6785714285711</v>
      </c>
      <c r="N15" s="24">
        <f t="shared" si="1"/>
        <v>399.3214285714285</v>
      </c>
      <c r="O15" s="24">
        <f t="shared" si="2"/>
        <v>0</v>
      </c>
      <c r="P15" s="24"/>
      <c r="Q15" s="25"/>
      <c r="R15" s="25"/>
      <c r="S15" s="26"/>
      <c r="T15" s="26"/>
      <c r="U15" s="26"/>
      <c r="V15" s="26"/>
      <c r="W15" s="25"/>
      <c r="X15" s="25"/>
      <c r="Y15" s="25"/>
      <c r="Z15" s="25"/>
      <c r="AA15" s="26"/>
      <c r="AB15" s="26"/>
      <c r="AC15" s="25">
        <v>3327.68</v>
      </c>
      <c r="AD15" s="25"/>
      <c r="AE15" s="24">
        <f t="shared" si="3"/>
        <v>-3727.0014285714283</v>
      </c>
      <c r="AF15" s="27">
        <f t="shared" si="4"/>
        <v>-1.4285714282777917E-3</v>
      </c>
      <c r="AG15" s="91">
        <f t="shared" si="5"/>
        <v>3727.0014285714283</v>
      </c>
    </row>
    <row r="16" spans="1:33" s="17" customFormat="1" ht="19.5" customHeight="1" x14ac:dyDescent="0.2">
      <c r="A16" s="103">
        <v>44184</v>
      </c>
      <c r="B16" s="12"/>
      <c r="C16" s="20" t="s">
        <v>992</v>
      </c>
      <c r="D16" s="12"/>
      <c r="E16" s="12"/>
      <c r="F16" s="82"/>
      <c r="G16" s="82" t="s">
        <v>993</v>
      </c>
      <c r="H16" s="84">
        <v>537</v>
      </c>
      <c r="I16" s="82"/>
      <c r="J16" s="84"/>
      <c r="K16" s="84"/>
      <c r="L16" s="83"/>
      <c r="M16" s="24">
        <f t="shared" si="0"/>
        <v>537</v>
      </c>
      <c r="N16" s="24">
        <f t="shared" si="1"/>
        <v>0</v>
      </c>
      <c r="O16" s="24">
        <f t="shared" si="2"/>
        <v>0</v>
      </c>
      <c r="P16" s="24"/>
      <c r="Q16" s="25"/>
      <c r="R16" s="25"/>
      <c r="S16" s="26"/>
      <c r="T16" s="26"/>
      <c r="U16" s="26"/>
      <c r="V16" s="26"/>
      <c r="W16" s="25"/>
      <c r="X16" s="25"/>
      <c r="Y16" s="25"/>
      <c r="Z16" s="25"/>
      <c r="AA16" s="26"/>
      <c r="AB16" s="26"/>
      <c r="AC16" s="25"/>
      <c r="AD16" s="25">
        <v>537</v>
      </c>
      <c r="AE16" s="24">
        <f t="shared" si="3"/>
        <v>-537</v>
      </c>
      <c r="AF16" s="27">
        <f t="shared" si="4"/>
        <v>0</v>
      </c>
      <c r="AG16" s="91">
        <f t="shared" si="5"/>
        <v>537</v>
      </c>
    </row>
    <row r="17" spans="1:33" s="17" customFormat="1" ht="19.5" customHeight="1" x14ac:dyDescent="0.2">
      <c r="A17" s="103">
        <v>44184</v>
      </c>
      <c r="B17" s="12"/>
      <c r="C17" s="20" t="s">
        <v>45</v>
      </c>
      <c r="D17" s="12"/>
      <c r="E17" s="12"/>
      <c r="F17" s="82"/>
      <c r="G17" s="82" t="s">
        <v>439</v>
      </c>
      <c r="H17" s="84">
        <v>60</v>
      </c>
      <c r="I17" s="82"/>
      <c r="J17" s="84"/>
      <c r="K17" s="84"/>
      <c r="L17" s="83"/>
      <c r="M17" s="24">
        <f t="shared" si="0"/>
        <v>60</v>
      </c>
      <c r="N17" s="24">
        <f t="shared" si="1"/>
        <v>0</v>
      </c>
      <c r="O17" s="24">
        <f t="shared" si="2"/>
        <v>0</v>
      </c>
      <c r="P17" s="24"/>
      <c r="Q17" s="25"/>
      <c r="R17" s="25"/>
      <c r="S17" s="26"/>
      <c r="T17" s="26"/>
      <c r="U17" s="26"/>
      <c r="V17" s="26"/>
      <c r="W17" s="25"/>
      <c r="X17" s="25"/>
      <c r="Y17" s="25"/>
      <c r="Z17" s="25">
        <v>60</v>
      </c>
      <c r="AA17" s="26"/>
      <c r="AB17" s="26"/>
      <c r="AC17" s="25"/>
      <c r="AD17" s="25"/>
      <c r="AE17" s="24">
        <f t="shared" si="3"/>
        <v>-60</v>
      </c>
      <c r="AF17" s="27">
        <f t="shared" si="4"/>
        <v>0</v>
      </c>
      <c r="AG17" s="91">
        <f t="shared" si="5"/>
        <v>60</v>
      </c>
    </row>
    <row r="18" spans="1:33" s="17" customFormat="1" ht="19.5" customHeight="1" x14ac:dyDescent="0.2">
      <c r="A18" s="103">
        <v>44184</v>
      </c>
      <c r="B18" s="12"/>
      <c r="C18" s="20" t="s">
        <v>45</v>
      </c>
      <c r="D18" s="12"/>
      <c r="E18" s="12"/>
      <c r="F18" s="82"/>
      <c r="G18" s="82" t="s">
        <v>994</v>
      </c>
      <c r="H18" s="84">
        <v>60</v>
      </c>
      <c r="I18" s="82"/>
      <c r="J18" s="84"/>
      <c r="K18" s="84"/>
      <c r="L18" s="83"/>
      <c r="M18" s="24">
        <f t="shared" si="0"/>
        <v>60</v>
      </c>
      <c r="N18" s="24">
        <f t="shared" si="1"/>
        <v>0</v>
      </c>
      <c r="O18" s="24">
        <f t="shared" si="2"/>
        <v>0</v>
      </c>
      <c r="P18" s="24"/>
      <c r="Q18" s="25"/>
      <c r="R18" s="25"/>
      <c r="S18" s="26"/>
      <c r="T18" s="26"/>
      <c r="U18" s="26"/>
      <c r="V18" s="26"/>
      <c r="W18" s="25"/>
      <c r="X18" s="25"/>
      <c r="Y18" s="25"/>
      <c r="Z18" s="25">
        <v>60</v>
      </c>
      <c r="AA18" s="26"/>
      <c r="AB18" s="26"/>
      <c r="AC18" s="25"/>
      <c r="AD18" s="25"/>
      <c r="AE18" s="24">
        <f t="shared" si="3"/>
        <v>-60</v>
      </c>
      <c r="AF18" s="27">
        <f t="shared" si="4"/>
        <v>0</v>
      </c>
      <c r="AG18" s="91">
        <f t="shared" si="5"/>
        <v>60</v>
      </c>
    </row>
    <row r="19" spans="1:33" s="17" customFormat="1" ht="19.5" customHeight="1" x14ac:dyDescent="0.2">
      <c r="A19" s="103">
        <v>44184</v>
      </c>
      <c r="B19" s="12"/>
      <c r="C19" s="20" t="s">
        <v>931</v>
      </c>
      <c r="D19" s="12"/>
      <c r="E19" s="12"/>
      <c r="F19" s="82">
        <v>8567</v>
      </c>
      <c r="G19" s="82" t="s">
        <v>624</v>
      </c>
      <c r="H19" s="84"/>
      <c r="I19" s="82"/>
      <c r="J19" s="84"/>
      <c r="K19" s="84">
        <v>358.5</v>
      </c>
      <c r="L19" s="83"/>
      <c r="M19" s="24">
        <f t="shared" si="0"/>
        <v>320.08928571428567</v>
      </c>
      <c r="N19" s="24">
        <f t="shared" si="1"/>
        <v>38.410714285714278</v>
      </c>
      <c r="O19" s="24">
        <f t="shared" si="2"/>
        <v>0</v>
      </c>
      <c r="P19" s="24"/>
      <c r="Q19" s="25">
        <v>320.08999999999997</v>
      </c>
      <c r="R19" s="25"/>
      <c r="S19" s="26"/>
      <c r="T19" s="26"/>
      <c r="U19" s="26"/>
      <c r="V19" s="26"/>
      <c r="W19" s="25"/>
      <c r="X19" s="25"/>
      <c r="Y19" s="25"/>
      <c r="Z19" s="25"/>
      <c r="AA19" s="26"/>
      <c r="AB19" s="26"/>
      <c r="AC19" s="25"/>
      <c r="AD19" s="25"/>
      <c r="AE19" s="24">
        <f t="shared" si="3"/>
        <v>-358.50071428571425</v>
      </c>
      <c r="AF19" s="27">
        <f t="shared" si="4"/>
        <v>-7.1428571425258269E-4</v>
      </c>
      <c r="AG19" s="91">
        <f t="shared" si="5"/>
        <v>358.50071428571425</v>
      </c>
    </row>
    <row r="20" spans="1:33" s="17" customFormat="1" ht="19.5" customHeight="1" x14ac:dyDescent="0.2">
      <c r="A20" s="103">
        <v>44184</v>
      </c>
      <c r="B20" s="12"/>
      <c r="C20" s="20" t="s">
        <v>931</v>
      </c>
      <c r="D20" s="12"/>
      <c r="E20" s="12"/>
      <c r="F20" s="82">
        <v>8567</v>
      </c>
      <c r="G20" s="82" t="s">
        <v>926</v>
      </c>
      <c r="H20" s="84"/>
      <c r="I20" s="82"/>
      <c r="J20" s="84">
        <v>74</v>
      </c>
      <c r="K20" s="84"/>
      <c r="L20" s="83"/>
      <c r="M20" s="24">
        <f t="shared" si="0"/>
        <v>74</v>
      </c>
      <c r="N20" s="24">
        <f t="shared" si="1"/>
        <v>0</v>
      </c>
      <c r="O20" s="24">
        <f t="shared" si="2"/>
        <v>0</v>
      </c>
      <c r="P20" s="24">
        <v>74</v>
      </c>
      <c r="Q20" s="25"/>
      <c r="R20" s="25"/>
      <c r="S20" s="26"/>
      <c r="T20" s="26"/>
      <c r="U20" s="26"/>
      <c r="V20" s="26"/>
      <c r="W20" s="25"/>
      <c r="X20" s="25"/>
      <c r="Y20" s="25"/>
      <c r="Z20" s="25"/>
      <c r="AA20" s="26"/>
      <c r="AB20" s="26"/>
      <c r="AC20" s="25"/>
      <c r="AD20" s="25"/>
      <c r="AE20" s="24">
        <f t="shared" si="3"/>
        <v>-74</v>
      </c>
      <c r="AF20" s="27">
        <f t="shared" si="4"/>
        <v>0</v>
      </c>
      <c r="AG20" s="91">
        <f t="shared" si="5"/>
        <v>74</v>
      </c>
    </row>
    <row r="21" spans="1:33" s="17" customFormat="1" ht="19.5" customHeight="1" x14ac:dyDescent="0.2">
      <c r="A21" s="103">
        <v>44184</v>
      </c>
      <c r="B21" s="12"/>
      <c r="C21" s="20" t="s">
        <v>358</v>
      </c>
      <c r="D21" s="12"/>
      <c r="E21" s="12"/>
      <c r="F21" s="82">
        <v>417857</v>
      </c>
      <c r="G21" s="82" t="s">
        <v>995</v>
      </c>
      <c r="H21" s="82"/>
      <c r="I21" s="84">
        <v>472</v>
      </c>
      <c r="J21" s="84"/>
      <c r="K21" s="84"/>
      <c r="L21" s="83"/>
      <c r="M21" s="24">
        <f t="shared" si="0"/>
        <v>472</v>
      </c>
      <c r="N21" s="24">
        <f t="shared" si="1"/>
        <v>0</v>
      </c>
      <c r="O21" s="24">
        <f t="shared" si="2"/>
        <v>0</v>
      </c>
      <c r="P21" s="24">
        <v>472</v>
      </c>
      <c r="Q21" s="25"/>
      <c r="R21" s="25"/>
      <c r="S21" s="26"/>
      <c r="T21" s="26"/>
      <c r="U21" s="26"/>
      <c r="V21" s="26"/>
      <c r="W21" s="25"/>
      <c r="X21" s="25"/>
      <c r="Y21" s="25"/>
      <c r="Z21" s="25"/>
      <c r="AA21" s="26"/>
      <c r="AB21" s="26"/>
      <c r="AC21" s="25"/>
      <c r="AD21" s="25"/>
      <c r="AE21" s="24">
        <f t="shared" si="3"/>
        <v>-472</v>
      </c>
      <c r="AF21" s="27">
        <f t="shared" si="4"/>
        <v>0</v>
      </c>
      <c r="AG21" s="91">
        <f t="shared" si="5"/>
        <v>472</v>
      </c>
    </row>
    <row r="22" spans="1:33" s="17" customFormat="1" ht="19.5" customHeight="1" x14ac:dyDescent="0.2">
      <c r="A22" s="103">
        <v>44186</v>
      </c>
      <c r="B22" s="12"/>
      <c r="C22" s="20" t="s">
        <v>996</v>
      </c>
      <c r="D22" s="12"/>
      <c r="E22" s="12"/>
      <c r="F22" s="82"/>
      <c r="G22" s="82" t="s">
        <v>439</v>
      </c>
      <c r="H22" s="84">
        <v>60</v>
      </c>
      <c r="I22" s="82"/>
      <c r="J22" s="84"/>
      <c r="K22" s="84"/>
      <c r="L22" s="83"/>
      <c r="M22" s="24">
        <f t="shared" si="0"/>
        <v>60</v>
      </c>
      <c r="N22" s="24">
        <f t="shared" si="1"/>
        <v>0</v>
      </c>
      <c r="O22" s="24">
        <f t="shared" si="2"/>
        <v>0</v>
      </c>
      <c r="P22" s="24"/>
      <c r="Q22" s="25"/>
      <c r="R22" s="25"/>
      <c r="S22" s="26"/>
      <c r="T22" s="26"/>
      <c r="U22" s="26"/>
      <c r="V22" s="26"/>
      <c r="W22" s="25"/>
      <c r="X22" s="25"/>
      <c r="Y22" s="25"/>
      <c r="Z22" s="25">
        <v>60</v>
      </c>
      <c r="AA22" s="26"/>
      <c r="AB22" s="26"/>
      <c r="AC22" s="25"/>
      <c r="AD22" s="25"/>
      <c r="AE22" s="24">
        <f t="shared" si="3"/>
        <v>-60</v>
      </c>
      <c r="AF22" s="27">
        <f t="shared" si="4"/>
        <v>0</v>
      </c>
      <c r="AG22" s="91">
        <f t="shared" si="5"/>
        <v>60</v>
      </c>
    </row>
    <row r="23" spans="1:33" s="17" customFormat="1" ht="19.5" customHeight="1" x14ac:dyDescent="0.2">
      <c r="A23" s="103">
        <v>44186</v>
      </c>
      <c r="B23" s="12"/>
      <c r="C23" s="20" t="s">
        <v>607</v>
      </c>
      <c r="D23" s="12"/>
      <c r="E23" s="12"/>
      <c r="F23" s="82"/>
      <c r="G23" s="82" t="s">
        <v>568</v>
      </c>
      <c r="H23" s="84"/>
      <c r="I23" s="82"/>
      <c r="J23" s="84">
        <v>1250</v>
      </c>
      <c r="K23" s="84"/>
      <c r="L23" s="83"/>
      <c r="M23" s="24">
        <f t="shared" si="0"/>
        <v>1250</v>
      </c>
      <c r="N23" s="24">
        <f t="shared" si="1"/>
        <v>0</v>
      </c>
      <c r="O23" s="24">
        <f t="shared" si="2"/>
        <v>0</v>
      </c>
      <c r="P23" s="24">
        <v>1250</v>
      </c>
      <c r="Q23" s="25"/>
      <c r="R23" s="25"/>
      <c r="S23" s="26"/>
      <c r="T23" s="26"/>
      <c r="U23" s="26"/>
      <c r="V23" s="26"/>
      <c r="W23" s="25"/>
      <c r="X23" s="25"/>
      <c r="Y23" s="25"/>
      <c r="Z23" s="25"/>
      <c r="AA23" s="26"/>
      <c r="AB23" s="26"/>
      <c r="AC23" s="25"/>
      <c r="AD23" s="25"/>
      <c r="AE23" s="24">
        <f t="shared" si="3"/>
        <v>-1250</v>
      </c>
      <c r="AF23" s="27">
        <f t="shared" si="4"/>
        <v>0</v>
      </c>
      <c r="AG23" s="91">
        <f t="shared" si="5"/>
        <v>1250</v>
      </c>
    </row>
    <row r="24" spans="1:33" s="17" customFormat="1" ht="19.5" customHeight="1" x14ac:dyDescent="0.2">
      <c r="A24" s="103">
        <v>44186</v>
      </c>
      <c r="B24" s="12"/>
      <c r="C24" s="20" t="s">
        <v>45</v>
      </c>
      <c r="D24" s="12"/>
      <c r="E24" s="12"/>
      <c r="F24" s="82"/>
      <c r="G24" s="82" t="s">
        <v>702</v>
      </c>
      <c r="H24" s="84">
        <v>100</v>
      </c>
      <c r="I24" s="82"/>
      <c r="J24" s="84"/>
      <c r="K24" s="84"/>
      <c r="L24" s="83"/>
      <c r="M24" s="24">
        <f t="shared" si="0"/>
        <v>100</v>
      </c>
      <c r="N24" s="24">
        <f t="shared" si="1"/>
        <v>0</v>
      </c>
      <c r="O24" s="24">
        <f t="shared" si="2"/>
        <v>0</v>
      </c>
      <c r="P24" s="24"/>
      <c r="Q24" s="25"/>
      <c r="R24" s="25"/>
      <c r="S24" s="26"/>
      <c r="T24" s="26"/>
      <c r="U24" s="26"/>
      <c r="V24" s="26"/>
      <c r="W24" s="25"/>
      <c r="X24" s="25"/>
      <c r="Y24" s="25"/>
      <c r="Z24" s="25">
        <v>100</v>
      </c>
      <c r="AA24" s="26"/>
      <c r="AB24" s="26"/>
      <c r="AC24" s="25"/>
      <c r="AD24" s="25"/>
      <c r="AE24" s="24">
        <f t="shared" si="3"/>
        <v>-100</v>
      </c>
      <c r="AF24" s="27">
        <f t="shared" si="4"/>
        <v>0</v>
      </c>
      <c r="AG24" s="91">
        <f t="shared" si="5"/>
        <v>100</v>
      </c>
    </row>
    <row r="25" spans="1:33" s="17" customFormat="1" ht="19.5" customHeight="1" x14ac:dyDescent="0.2">
      <c r="A25" s="103">
        <v>44186</v>
      </c>
      <c r="B25" s="12"/>
      <c r="C25" s="20" t="s">
        <v>931</v>
      </c>
      <c r="D25" s="12"/>
      <c r="E25" s="12"/>
      <c r="F25" s="82">
        <v>283</v>
      </c>
      <c r="G25" s="82" t="s">
        <v>138</v>
      </c>
      <c r="H25" s="84"/>
      <c r="I25" s="82"/>
      <c r="J25" s="84"/>
      <c r="K25" s="84">
        <v>234</v>
      </c>
      <c r="L25" s="83"/>
      <c r="M25" s="24">
        <f t="shared" si="0"/>
        <v>208.92857142857142</v>
      </c>
      <c r="N25" s="24">
        <f t="shared" si="1"/>
        <v>25.071428571428569</v>
      </c>
      <c r="O25" s="24">
        <f t="shared" si="2"/>
        <v>0</v>
      </c>
      <c r="P25" s="24">
        <v>208.93</v>
      </c>
      <c r="Q25" s="25"/>
      <c r="R25" s="25"/>
      <c r="S25" s="26"/>
      <c r="T25" s="26"/>
      <c r="U25" s="26"/>
      <c r="V25" s="26"/>
      <c r="W25" s="25"/>
      <c r="X25" s="25"/>
      <c r="Y25" s="25"/>
      <c r="Z25" s="25"/>
      <c r="AA25" s="26"/>
      <c r="AB25" s="26"/>
      <c r="AC25" s="25"/>
      <c r="AD25" s="25"/>
      <c r="AE25" s="24">
        <f t="shared" si="3"/>
        <v>-234.00142857142856</v>
      </c>
      <c r="AF25" s="27">
        <f t="shared" si="4"/>
        <v>-1.4285714285620088E-3</v>
      </c>
      <c r="AG25" s="91">
        <f t="shared" si="5"/>
        <v>234.00142857142856</v>
      </c>
    </row>
    <row r="26" spans="1:33" s="17" customFormat="1" ht="19.5" customHeight="1" x14ac:dyDescent="0.2">
      <c r="A26" s="103">
        <v>44186</v>
      </c>
      <c r="B26" s="12"/>
      <c r="C26" s="20" t="s">
        <v>206</v>
      </c>
      <c r="D26" s="12"/>
      <c r="E26" s="12"/>
      <c r="F26" s="82">
        <v>26014</v>
      </c>
      <c r="G26" s="82" t="s">
        <v>68</v>
      </c>
      <c r="H26" s="82"/>
      <c r="I26" s="82"/>
      <c r="J26" s="84">
        <v>750</v>
      </c>
      <c r="K26" s="84"/>
      <c r="L26" s="83"/>
      <c r="M26" s="24">
        <f t="shared" si="0"/>
        <v>750</v>
      </c>
      <c r="N26" s="24">
        <f t="shared" si="1"/>
        <v>0</v>
      </c>
      <c r="O26" s="24">
        <f t="shared" si="2"/>
        <v>0</v>
      </c>
      <c r="P26" s="24">
        <v>750</v>
      </c>
      <c r="Q26" s="25"/>
      <c r="R26" s="25"/>
      <c r="S26" s="26"/>
      <c r="T26" s="26"/>
      <c r="U26" s="26"/>
      <c r="V26" s="26"/>
      <c r="W26" s="25"/>
      <c r="X26" s="25"/>
      <c r="Y26" s="25"/>
      <c r="Z26" s="25"/>
      <c r="AA26" s="26"/>
      <c r="AB26" s="26"/>
      <c r="AC26" s="25"/>
      <c r="AD26" s="25"/>
      <c r="AE26" s="24">
        <f t="shared" si="3"/>
        <v>-750</v>
      </c>
      <c r="AF26" s="27">
        <f t="shared" si="4"/>
        <v>0</v>
      </c>
      <c r="AG26" s="91">
        <f t="shared" si="5"/>
        <v>750</v>
      </c>
    </row>
    <row r="27" spans="1:33" s="17" customFormat="1" ht="19.5" customHeight="1" x14ac:dyDescent="0.2">
      <c r="A27" s="103">
        <v>44186</v>
      </c>
      <c r="B27" s="12"/>
      <c r="C27" s="82" t="s">
        <v>206</v>
      </c>
      <c r="D27" s="12"/>
      <c r="E27" s="12"/>
      <c r="F27" s="82">
        <v>26013</v>
      </c>
      <c r="G27" s="57" t="s">
        <v>263</v>
      </c>
      <c r="H27" s="82"/>
      <c r="I27" s="82"/>
      <c r="J27" s="84">
        <v>500</v>
      </c>
      <c r="K27" s="84"/>
      <c r="L27" s="83"/>
      <c r="M27" s="24">
        <f t="shared" si="0"/>
        <v>500</v>
      </c>
      <c r="N27" s="24">
        <f t="shared" si="1"/>
        <v>0</v>
      </c>
      <c r="O27" s="24">
        <f t="shared" si="2"/>
        <v>0</v>
      </c>
      <c r="P27" s="24">
        <v>500</v>
      </c>
      <c r="Q27" s="25"/>
      <c r="R27" s="25"/>
      <c r="S27" s="26"/>
      <c r="T27" s="26"/>
      <c r="U27" s="26"/>
      <c r="V27" s="26"/>
      <c r="W27" s="25"/>
      <c r="X27" s="25"/>
      <c r="Y27" s="25"/>
      <c r="Z27" s="25"/>
      <c r="AA27" s="26"/>
      <c r="AB27" s="26"/>
      <c r="AC27" s="25"/>
      <c r="AD27" s="25"/>
      <c r="AE27" s="24">
        <f t="shared" si="3"/>
        <v>-500</v>
      </c>
      <c r="AF27" s="27">
        <f t="shared" si="4"/>
        <v>0</v>
      </c>
      <c r="AG27" s="91">
        <f t="shared" si="5"/>
        <v>500</v>
      </c>
    </row>
    <row r="28" spans="1:33" s="17" customFormat="1" ht="19.5" customHeight="1" x14ac:dyDescent="0.2">
      <c r="A28" s="103">
        <v>44190</v>
      </c>
      <c r="B28" s="12"/>
      <c r="C28" s="20" t="s">
        <v>931</v>
      </c>
      <c r="D28" s="12"/>
      <c r="E28" s="12"/>
      <c r="F28" s="82">
        <v>53213</v>
      </c>
      <c r="G28" s="57" t="s">
        <v>473</v>
      </c>
      <c r="H28" s="82"/>
      <c r="I28" s="82"/>
      <c r="J28" s="84"/>
      <c r="K28" s="84">
        <v>174.5</v>
      </c>
      <c r="L28" s="83"/>
      <c r="M28" s="24">
        <f t="shared" si="0"/>
        <v>155.80357142857142</v>
      </c>
      <c r="N28" s="24">
        <f t="shared" si="1"/>
        <v>18.696428571428569</v>
      </c>
      <c r="O28" s="24">
        <f t="shared" si="2"/>
        <v>0</v>
      </c>
      <c r="P28" s="24">
        <v>155.80000000000001</v>
      </c>
      <c r="Q28" s="25"/>
      <c r="R28" s="25"/>
      <c r="S28" s="26"/>
      <c r="T28" s="26"/>
      <c r="U28" s="26"/>
      <c r="V28" s="26"/>
      <c r="W28" s="25"/>
      <c r="X28" s="25"/>
      <c r="Y28" s="25"/>
      <c r="Z28" s="25"/>
      <c r="AA28" s="26"/>
      <c r="AB28" s="26"/>
      <c r="AC28" s="25"/>
      <c r="AD28" s="25"/>
      <c r="AE28" s="24">
        <f t="shared" si="3"/>
        <v>-174.49642857142857</v>
      </c>
      <c r="AF28" s="27">
        <f t="shared" si="4"/>
        <v>3.5714285714334437E-3</v>
      </c>
      <c r="AG28" s="91">
        <f t="shared" si="5"/>
        <v>174.49642857142857</v>
      </c>
    </row>
    <row r="29" spans="1:33" s="17" customFormat="1" ht="19.5" customHeight="1" x14ac:dyDescent="0.2">
      <c r="A29" s="103">
        <v>44193</v>
      </c>
      <c r="B29" s="12"/>
      <c r="C29" s="20" t="s">
        <v>931</v>
      </c>
      <c r="D29" s="12"/>
      <c r="E29" s="12"/>
      <c r="F29" s="82">
        <v>307</v>
      </c>
      <c r="G29" s="57" t="s">
        <v>997</v>
      </c>
      <c r="H29" s="82"/>
      <c r="I29" s="82"/>
      <c r="J29" s="84"/>
      <c r="K29" s="84">
        <v>426</v>
      </c>
      <c r="L29" s="83"/>
      <c r="M29" s="24">
        <f t="shared" si="0"/>
        <v>380.35714285714283</v>
      </c>
      <c r="N29" s="24">
        <f t="shared" si="1"/>
        <v>45.642857142857139</v>
      </c>
      <c r="O29" s="24">
        <f t="shared" si="2"/>
        <v>0</v>
      </c>
      <c r="P29" s="24">
        <v>380.36</v>
      </c>
      <c r="Q29" s="25"/>
      <c r="R29" s="25"/>
      <c r="S29" s="26"/>
      <c r="T29" s="26"/>
      <c r="U29" s="26"/>
      <c r="V29" s="26"/>
      <c r="W29" s="25"/>
      <c r="X29" s="25"/>
      <c r="Y29" s="25"/>
      <c r="Z29" s="25"/>
      <c r="AA29" s="26"/>
      <c r="AB29" s="26"/>
      <c r="AC29" s="25"/>
      <c r="AD29" s="25"/>
      <c r="AE29" s="24">
        <f t="shared" si="3"/>
        <v>-426.00285714285712</v>
      </c>
      <c r="AF29" s="27">
        <f t="shared" si="4"/>
        <v>-2.8571428571240176E-3</v>
      </c>
      <c r="AG29" s="91">
        <f t="shared" si="5"/>
        <v>426.00285714285712</v>
      </c>
    </row>
    <row r="30" spans="1:33" s="17" customFormat="1" ht="19.5" customHeight="1" x14ac:dyDescent="0.2">
      <c r="A30" s="103">
        <v>44194</v>
      </c>
      <c r="B30" s="12"/>
      <c r="C30" s="82" t="s">
        <v>996</v>
      </c>
      <c r="D30" s="12"/>
      <c r="E30" s="12"/>
      <c r="F30" s="82"/>
      <c r="G30" s="57" t="s">
        <v>994</v>
      </c>
      <c r="H30" s="84">
        <v>60</v>
      </c>
      <c r="I30" s="82"/>
      <c r="J30" s="84"/>
      <c r="K30" s="84"/>
      <c r="L30" s="83"/>
      <c r="M30" s="24">
        <f t="shared" si="0"/>
        <v>60</v>
      </c>
      <c r="N30" s="24">
        <f t="shared" si="1"/>
        <v>0</v>
      </c>
      <c r="O30" s="24">
        <f t="shared" si="2"/>
        <v>0</v>
      </c>
      <c r="P30" s="24"/>
      <c r="Q30" s="25"/>
      <c r="R30" s="25"/>
      <c r="S30" s="26"/>
      <c r="T30" s="26"/>
      <c r="U30" s="26"/>
      <c r="V30" s="26"/>
      <c r="W30" s="25"/>
      <c r="X30" s="25"/>
      <c r="Y30" s="25"/>
      <c r="Z30" s="25">
        <v>60</v>
      </c>
      <c r="AA30" s="26"/>
      <c r="AB30" s="26"/>
      <c r="AC30" s="25"/>
      <c r="AD30" s="25"/>
      <c r="AE30" s="24">
        <f t="shared" si="3"/>
        <v>-60</v>
      </c>
      <c r="AF30" s="27">
        <f t="shared" si="4"/>
        <v>0</v>
      </c>
      <c r="AG30" s="91">
        <f t="shared" si="5"/>
        <v>60</v>
      </c>
    </row>
    <row r="31" spans="1:33" s="17" customFormat="1" ht="19.5" customHeight="1" x14ac:dyDescent="0.2">
      <c r="A31" s="103"/>
      <c r="B31" s="12"/>
      <c r="C31" s="82"/>
      <c r="D31" s="12"/>
      <c r="E31" s="12"/>
      <c r="F31" s="82"/>
      <c r="G31" s="57"/>
      <c r="H31" s="82"/>
      <c r="I31" s="82"/>
      <c r="J31" s="84"/>
      <c r="K31" s="84"/>
      <c r="L31" s="83"/>
      <c r="M31" s="24">
        <f t="shared" si="0"/>
        <v>0</v>
      </c>
      <c r="N31" s="24">
        <f t="shared" si="1"/>
        <v>0</v>
      </c>
      <c r="O31" s="24">
        <f t="shared" si="2"/>
        <v>0</v>
      </c>
      <c r="P31" s="24"/>
      <c r="Q31" s="25"/>
      <c r="R31" s="25"/>
      <c r="S31" s="26"/>
      <c r="T31" s="26"/>
      <c r="U31" s="26"/>
      <c r="V31" s="26"/>
      <c r="W31" s="25"/>
      <c r="X31" s="25"/>
      <c r="Y31" s="25"/>
      <c r="Z31" s="25"/>
      <c r="AA31" s="26"/>
      <c r="AB31" s="26"/>
      <c r="AC31" s="25"/>
      <c r="AD31" s="25"/>
      <c r="AE31" s="24">
        <f t="shared" si="3"/>
        <v>0</v>
      </c>
      <c r="AF31" s="27">
        <f t="shared" si="4"/>
        <v>0</v>
      </c>
    </row>
    <row r="32" spans="1:33" s="17" customFormat="1" ht="19.5" customHeight="1" x14ac:dyDescent="0.2">
      <c r="A32" s="103"/>
      <c r="B32" s="12"/>
      <c r="C32" s="82"/>
      <c r="D32" s="12"/>
      <c r="E32" s="12"/>
      <c r="F32" s="82"/>
      <c r="G32" s="57"/>
      <c r="H32" s="82"/>
      <c r="I32" s="82"/>
      <c r="J32" s="84"/>
      <c r="K32" s="84"/>
      <c r="L32" s="83"/>
      <c r="M32" s="24">
        <f t="shared" si="0"/>
        <v>0</v>
      </c>
      <c r="N32" s="24">
        <f t="shared" si="1"/>
        <v>0</v>
      </c>
      <c r="O32" s="24">
        <f t="shared" si="2"/>
        <v>0</v>
      </c>
      <c r="P32" s="24"/>
      <c r="Q32" s="25"/>
      <c r="R32" s="25"/>
      <c r="S32" s="26"/>
      <c r="T32" s="26"/>
      <c r="U32" s="26"/>
      <c r="V32" s="26"/>
      <c r="W32" s="25"/>
      <c r="X32" s="25"/>
      <c r="Y32" s="25"/>
      <c r="Z32" s="25"/>
      <c r="AA32" s="26"/>
      <c r="AB32" s="26"/>
      <c r="AC32" s="25"/>
      <c r="AD32" s="25"/>
      <c r="AE32" s="24">
        <f t="shared" si="3"/>
        <v>0</v>
      </c>
      <c r="AF32" s="27">
        <f t="shared" si="4"/>
        <v>0</v>
      </c>
    </row>
    <row r="33" spans="1:32" s="17" customFormat="1" ht="19.5" customHeight="1" x14ac:dyDescent="0.2">
      <c r="A33" s="103"/>
      <c r="B33" s="12"/>
      <c r="C33" s="82"/>
      <c r="D33" s="12"/>
      <c r="E33" s="12"/>
      <c r="F33" s="82"/>
      <c r="G33" s="57"/>
      <c r="H33" s="82"/>
      <c r="I33" s="82"/>
      <c r="J33" s="84"/>
      <c r="K33" s="84"/>
      <c r="L33" s="83"/>
      <c r="M33" s="24">
        <f t="shared" si="0"/>
        <v>0</v>
      </c>
      <c r="N33" s="24">
        <f t="shared" si="1"/>
        <v>0</v>
      </c>
      <c r="O33" s="24">
        <f t="shared" si="2"/>
        <v>0</v>
      </c>
      <c r="P33" s="24"/>
      <c r="Q33" s="25"/>
      <c r="R33" s="25"/>
      <c r="S33" s="26"/>
      <c r="T33" s="26"/>
      <c r="U33" s="26"/>
      <c r="V33" s="26"/>
      <c r="W33" s="25"/>
      <c r="X33" s="25"/>
      <c r="Y33" s="25"/>
      <c r="Z33" s="25"/>
      <c r="AA33" s="26"/>
      <c r="AB33" s="26"/>
      <c r="AC33" s="25"/>
      <c r="AD33" s="25"/>
      <c r="AE33" s="24">
        <f t="shared" si="3"/>
        <v>0</v>
      </c>
      <c r="AF33" s="27">
        <f t="shared" si="4"/>
        <v>0</v>
      </c>
    </row>
    <row r="34" spans="1:32" s="17" customFormat="1" ht="19.5" customHeight="1" x14ac:dyDescent="0.2">
      <c r="A34" s="103"/>
      <c r="B34" s="12"/>
      <c r="C34" s="82"/>
      <c r="D34" s="12"/>
      <c r="E34" s="12"/>
      <c r="F34" s="82"/>
      <c r="G34" s="57"/>
      <c r="H34" s="82"/>
      <c r="I34" s="82"/>
      <c r="J34" s="84"/>
      <c r="K34" s="84"/>
      <c r="L34" s="83"/>
      <c r="M34" s="24">
        <f t="shared" si="0"/>
        <v>0</v>
      </c>
      <c r="N34" s="24">
        <f t="shared" si="1"/>
        <v>0</v>
      </c>
      <c r="O34" s="24">
        <f t="shared" si="2"/>
        <v>0</v>
      </c>
      <c r="P34" s="24"/>
      <c r="Q34" s="25"/>
      <c r="R34" s="25"/>
      <c r="S34" s="26"/>
      <c r="T34" s="26"/>
      <c r="U34" s="26"/>
      <c r="V34" s="26"/>
      <c r="W34" s="25"/>
      <c r="X34" s="25"/>
      <c r="Y34" s="25"/>
      <c r="Z34" s="25"/>
      <c r="AA34" s="26"/>
      <c r="AB34" s="26"/>
      <c r="AC34" s="25"/>
      <c r="AD34" s="25"/>
      <c r="AE34" s="24">
        <f t="shared" si="3"/>
        <v>0</v>
      </c>
      <c r="AF34" s="27">
        <f t="shared" si="4"/>
        <v>0</v>
      </c>
    </row>
    <row r="35" spans="1:32" s="29" customFormat="1" ht="10.199999999999999" x14ac:dyDescent="0.2">
      <c r="A35" s="104"/>
      <c r="B35" s="19"/>
      <c r="C35" s="43"/>
      <c r="D35" s="43"/>
      <c r="E35" s="43"/>
      <c r="F35" s="21"/>
      <c r="G35" s="30"/>
      <c r="H35" s="22"/>
      <c r="I35" s="22"/>
      <c r="J35" s="22"/>
      <c r="K35" s="22"/>
      <c r="L35" s="23"/>
      <c r="M35" s="25">
        <f t="shared" si="0"/>
        <v>0</v>
      </c>
      <c r="N35" s="25">
        <f t="shared" si="1"/>
        <v>0</v>
      </c>
      <c r="O35" s="25">
        <f t="shared" si="2"/>
        <v>0</v>
      </c>
      <c r="P35" s="25"/>
      <c r="Q35" s="25"/>
      <c r="R35" s="25"/>
      <c r="S35" s="26"/>
      <c r="T35" s="100"/>
      <c r="U35" s="25"/>
      <c r="V35" s="25"/>
      <c r="W35" s="25"/>
      <c r="X35" s="44"/>
      <c r="Y35" s="25"/>
      <c r="Z35" s="100"/>
      <c r="AA35" s="25"/>
      <c r="AB35" s="26"/>
      <c r="AC35" s="26"/>
      <c r="AD35" s="45"/>
      <c r="AE35" s="24">
        <f t="shared" si="3"/>
        <v>0</v>
      </c>
      <c r="AF35" s="27">
        <f t="shared" si="4"/>
        <v>0</v>
      </c>
    </row>
    <row r="36" spans="1:32" s="52" customFormat="1" ht="10.199999999999999" x14ac:dyDescent="0.2">
      <c r="A36" s="105"/>
      <c r="B36" s="47"/>
      <c r="C36" s="48"/>
      <c r="D36" s="49"/>
      <c r="E36" s="49"/>
      <c r="F36" s="50"/>
      <c r="G36" s="48"/>
      <c r="H36" s="51">
        <f>SUM(H5:H27)</f>
        <v>937</v>
      </c>
      <c r="I36" s="51">
        <f>SUM(I35:I35)</f>
        <v>0</v>
      </c>
      <c r="J36" s="51">
        <f>SUM(J5:J35)</f>
        <v>9358.77</v>
      </c>
      <c r="K36" s="51">
        <f>SUM(K5:K35)</f>
        <v>12409.3</v>
      </c>
      <c r="L36" s="51">
        <f>SUM(L35:L35)</f>
        <v>0</v>
      </c>
      <c r="M36" s="51">
        <f>SUM(M5:M35)</f>
        <v>21907.502142857142</v>
      </c>
      <c r="N36" s="51">
        <f>SUM(N5:N35)</f>
        <v>1329.5678571428571</v>
      </c>
      <c r="O36" s="51">
        <f>SUM(O35:O35)</f>
        <v>0</v>
      </c>
      <c r="P36" s="51">
        <f>SUM(P5:P35)</f>
        <v>16959.52</v>
      </c>
      <c r="Q36" s="51">
        <f>SUM(Q5:Q35)</f>
        <v>320.08999999999997</v>
      </c>
      <c r="R36" s="51">
        <f>SUM(R5:R27)</f>
        <v>0</v>
      </c>
      <c r="S36" s="51">
        <f>SUM(S35:S35)</f>
        <v>0</v>
      </c>
      <c r="T36" s="51">
        <f>SUM(T5:T35)</f>
        <v>87.5</v>
      </c>
      <c r="U36" s="51">
        <f>SUM(U35:U35)</f>
        <v>0</v>
      </c>
      <c r="V36" s="51">
        <f>SUM(V35:V35)</f>
        <v>0</v>
      </c>
      <c r="W36" s="51">
        <f>SUM(W35:W35)</f>
        <v>0</v>
      </c>
      <c r="X36" s="51">
        <f>SUM(X35:X35)</f>
        <v>0</v>
      </c>
      <c r="Y36" s="51">
        <f>SUM(Y35:Y35)</f>
        <v>0</v>
      </c>
      <c r="Z36" s="51">
        <f>SUM(Z5:Z27)</f>
        <v>400</v>
      </c>
      <c r="AA36" s="51">
        <f>SUM(AA35:AA35)</f>
        <v>0</v>
      </c>
      <c r="AB36" s="51">
        <f>SUM(AB5:AB27)</f>
        <v>0</v>
      </c>
      <c r="AC36" s="51">
        <f>SUM(AC5:AC27)</f>
        <v>3432.68</v>
      </c>
      <c r="AD36" s="51">
        <f>SUM(AD35:AD35)</f>
        <v>0</v>
      </c>
      <c r="AE36" s="51">
        <f>SUM(AE5:AE35)</f>
        <v>-23237.067857142854</v>
      </c>
      <c r="AF36" s="51">
        <f>SUM(AF35:AF35)</f>
        <v>0</v>
      </c>
    </row>
    <row r="37" spans="1:32" s="77" customFormat="1" ht="10.199999999999999" x14ac:dyDescent="0.2">
      <c r="A37" s="106"/>
    </row>
    <row r="38" spans="1:32" x14ac:dyDescent="0.3">
      <c r="H38" s="85"/>
      <c r="I38" s="85"/>
      <c r="J38" s="85"/>
      <c r="K38" s="85"/>
      <c r="Q38" s="5">
        <v>0</v>
      </c>
    </row>
    <row r="39" spans="1:32" s="3" customFormat="1" ht="11.4" x14ac:dyDescent="0.2">
      <c r="A39" s="108"/>
      <c r="H39" s="86"/>
      <c r="I39" s="86"/>
      <c r="J39" s="86"/>
      <c r="K39" s="86"/>
      <c r="T39" s="5"/>
      <c r="U39" s="5"/>
      <c r="V39" s="5"/>
      <c r="W39" s="5"/>
      <c r="X39" s="5"/>
    </row>
    <row r="40" spans="1:32" x14ac:dyDescent="0.3">
      <c r="H40" s="85"/>
      <c r="I40" s="85"/>
      <c r="J40" s="85"/>
      <c r="K40" s="85"/>
    </row>
    <row r="41" spans="1:32" x14ac:dyDescent="0.3">
      <c r="H41" s="85"/>
      <c r="I41" s="85"/>
      <c r="J41" s="85"/>
      <c r="K41" s="85"/>
    </row>
    <row r="42" spans="1:32" x14ac:dyDescent="0.3">
      <c r="H42" s="85"/>
      <c r="I42" s="85"/>
      <c r="J42" s="85"/>
      <c r="K42" s="85"/>
    </row>
    <row r="43" spans="1:32" x14ac:dyDescent="0.3">
      <c r="H43" s="85"/>
      <c r="I43" s="85"/>
      <c r="J43" s="85"/>
      <c r="K43" s="85"/>
    </row>
    <row r="44" spans="1:32" x14ac:dyDescent="0.3">
      <c r="H44" s="87"/>
      <c r="I44" s="87"/>
      <c r="J44" s="87"/>
      <c r="K44" s="87"/>
    </row>
    <row r="45" spans="1:32" x14ac:dyDescent="0.3">
      <c r="H45" s="87"/>
      <c r="I45" s="87"/>
      <c r="J45" s="87"/>
      <c r="K45" s="87"/>
    </row>
    <row r="46" spans="1:32" s="3" customFormat="1" ht="10.199999999999999" x14ac:dyDescent="0.2">
      <c r="A46" s="108"/>
      <c r="H46" s="87"/>
      <c r="I46" s="87"/>
      <c r="J46" s="87"/>
      <c r="K46" s="87"/>
    </row>
    <row r="47" spans="1:32" s="3" customFormat="1" ht="10.199999999999999" x14ac:dyDescent="0.2">
      <c r="A47" s="108"/>
      <c r="H47" s="87"/>
      <c r="I47" s="87"/>
      <c r="J47" s="87"/>
      <c r="K47" s="87"/>
    </row>
    <row r="48" spans="1:32" s="3" customFormat="1" ht="10.199999999999999" x14ac:dyDescent="0.2">
      <c r="A48" s="108"/>
      <c r="H48" s="87"/>
      <c r="I48" s="87"/>
      <c r="J48" s="87"/>
      <c r="K48" s="8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MK31"/>
  <sheetViews>
    <sheetView topLeftCell="A19" zoomScaleNormal="100" workbookViewId="0">
      <selection sqref="A1:XFD1048576"/>
    </sheetView>
  </sheetViews>
  <sheetFormatPr defaultRowHeight="14.4" x14ac:dyDescent="0.3"/>
  <cols>
    <col min="1" max="1" width="8.109375" style="1" customWidth="1"/>
    <col min="2" max="2" width="7.21875" style="2" customWidth="1"/>
    <col min="3" max="3" width="26.109375" style="3" customWidth="1"/>
    <col min="4" max="4" width="14" style="4" customWidth="1"/>
    <col min="5" max="5" width="29.33203125" style="4" customWidth="1"/>
    <col min="6" max="6" width="7.88671875" style="2" customWidth="1"/>
    <col min="7" max="7" width="26.5546875" style="3" customWidth="1"/>
    <col min="8" max="8" width="11.109375" style="5" customWidth="1"/>
    <col min="9" max="9" width="9.5546875" style="5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10.6640625" style="5" customWidth="1"/>
    <col min="19" max="19" width="9.5546875" style="5" customWidth="1"/>
    <col min="20" max="20" width="9.109375" style="5" customWidth="1"/>
    <col min="21" max="21" width="10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30" width="8" style="5" customWidth="1"/>
    <col min="31" max="31" width="10.109375" style="5" customWidth="1"/>
    <col min="32" max="32" width="10.6640625" style="5" customWidth="1"/>
    <col min="33" max="33" width="8.88671875" style="3" customWidth="1"/>
    <col min="34" max="1025" width="9.109375" style="3" customWidth="1"/>
  </cols>
  <sheetData>
    <row r="1" spans="1:34" ht="12" customHeight="1" x14ac:dyDescent="0.3">
      <c r="A1" s="7" t="s">
        <v>0</v>
      </c>
      <c r="C1" s="8"/>
    </row>
    <row r="2" spans="1:34" ht="12" customHeight="1" x14ac:dyDescent="0.3">
      <c r="A2" s="7" t="s">
        <v>1</v>
      </c>
    </row>
    <row r="3" spans="1:34" ht="12" customHeight="1" x14ac:dyDescent="0.3">
      <c r="A3" s="7" t="s">
        <v>998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4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613</v>
      </c>
      <c r="S4" s="13" t="s">
        <v>34</v>
      </c>
      <c r="T4" s="13" t="s">
        <v>31</v>
      </c>
      <c r="U4" s="13" t="s">
        <v>22</v>
      </c>
      <c r="V4" s="13" t="s">
        <v>23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613</v>
      </c>
      <c r="AD4" s="13" t="s">
        <v>34</v>
      </c>
      <c r="AE4" s="15" t="s">
        <v>35</v>
      </c>
      <c r="AF4" s="16" t="s">
        <v>36</v>
      </c>
    </row>
    <row r="5" spans="1:34" s="17" customFormat="1" ht="19.5" customHeight="1" x14ac:dyDescent="0.2">
      <c r="A5" s="81">
        <v>44186</v>
      </c>
      <c r="B5" s="12"/>
      <c r="C5" s="20" t="s">
        <v>489</v>
      </c>
      <c r="D5" s="12"/>
      <c r="E5" s="12"/>
      <c r="F5" s="82">
        <v>52905</v>
      </c>
      <c r="G5" s="82" t="s">
        <v>999</v>
      </c>
      <c r="H5" s="84"/>
      <c r="I5" s="82"/>
      <c r="J5" s="84"/>
      <c r="K5" s="84">
        <v>68.75</v>
      </c>
      <c r="L5" s="83"/>
      <c r="M5" s="24">
        <f t="shared" ref="M5:M22" si="0">SUM(H5:J5,K5/1.12)</f>
        <v>61.383928571428562</v>
      </c>
      <c r="N5" s="24">
        <f t="shared" ref="N5:N22" si="1">K5/1.12*0.12</f>
        <v>7.366071428571427</v>
      </c>
      <c r="O5" s="24">
        <f t="shared" ref="O5:O22" si="2">-SUM(I5:J5,K5/1.12)*L5</f>
        <v>0</v>
      </c>
      <c r="P5" s="24"/>
      <c r="Q5" s="25"/>
      <c r="R5" s="25"/>
      <c r="S5" s="26"/>
      <c r="T5" s="26"/>
      <c r="U5" s="26">
        <v>61.38</v>
      </c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>
        <f t="shared" ref="AF5:AF22" si="3">-SUM(N5:AE5)</f>
        <v>-68.746071428571426</v>
      </c>
      <c r="AG5" s="27">
        <f t="shared" ref="AG5:AG22" si="4">SUM(H5:K5)+AF5+O5</f>
        <v>3.9285714285739459E-3</v>
      </c>
      <c r="AH5" s="91">
        <f t="shared" ref="AH5:AH21" si="5">-AF5</f>
        <v>68.746071428571426</v>
      </c>
    </row>
    <row r="6" spans="1:34" s="17" customFormat="1" ht="19.5" customHeight="1" x14ac:dyDescent="0.2">
      <c r="A6" s="81">
        <v>44186</v>
      </c>
      <c r="B6" s="12"/>
      <c r="C6" s="20" t="s">
        <v>489</v>
      </c>
      <c r="D6" s="12"/>
      <c r="E6" s="12"/>
      <c r="F6" s="82">
        <v>252904</v>
      </c>
      <c r="G6" s="82" t="s">
        <v>1000</v>
      </c>
      <c r="H6" s="82"/>
      <c r="I6" s="82"/>
      <c r="J6" s="84"/>
      <c r="K6" s="84">
        <f>115.8+157.5+38.2</f>
        <v>311.5</v>
      </c>
      <c r="L6" s="83"/>
      <c r="M6" s="24">
        <f t="shared" si="0"/>
        <v>278.125</v>
      </c>
      <c r="N6" s="24">
        <f t="shared" si="1"/>
        <v>33.375</v>
      </c>
      <c r="O6" s="24">
        <f t="shared" si="2"/>
        <v>0</v>
      </c>
      <c r="P6" s="24">
        <v>278.13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>
        <f t="shared" si="3"/>
        <v>-311.505</v>
      </c>
      <c r="AG6" s="27">
        <f t="shared" si="4"/>
        <v>-4.9999999999954525E-3</v>
      </c>
      <c r="AH6" s="91">
        <f t="shared" si="5"/>
        <v>311.505</v>
      </c>
    </row>
    <row r="7" spans="1:34" s="17" customFormat="1" ht="23.25" customHeight="1" x14ac:dyDescent="0.2">
      <c r="A7" s="81">
        <v>44186</v>
      </c>
      <c r="B7" s="12"/>
      <c r="C7" s="20" t="s">
        <v>489</v>
      </c>
      <c r="D7" s="12"/>
      <c r="E7" s="12"/>
      <c r="F7" s="82">
        <v>252904</v>
      </c>
      <c r="G7" s="82" t="s">
        <v>1001</v>
      </c>
      <c r="H7" s="82"/>
      <c r="I7" s="82"/>
      <c r="J7" s="84"/>
      <c r="K7" s="84">
        <v>83</v>
      </c>
      <c r="L7" s="83"/>
      <c r="M7" s="24">
        <f t="shared" si="0"/>
        <v>74.107142857142847</v>
      </c>
      <c r="N7" s="24">
        <f t="shared" si="1"/>
        <v>8.8928571428571406</v>
      </c>
      <c r="O7" s="24">
        <f t="shared" si="2"/>
        <v>0</v>
      </c>
      <c r="P7" s="24"/>
      <c r="Q7" s="25"/>
      <c r="R7" s="25"/>
      <c r="S7" s="26"/>
      <c r="T7" s="26"/>
      <c r="U7" s="26"/>
      <c r="V7" s="26">
        <v>74.11</v>
      </c>
      <c r="W7" s="26"/>
      <c r="X7" s="25"/>
      <c r="Y7" s="25"/>
      <c r="Z7" s="25"/>
      <c r="AA7" s="25"/>
      <c r="AB7" s="26"/>
      <c r="AC7" s="26"/>
      <c r="AD7" s="25"/>
      <c r="AE7" s="25"/>
      <c r="AF7" s="24">
        <f t="shared" si="3"/>
        <v>-83.002857142857138</v>
      </c>
      <c r="AG7" s="27">
        <f t="shared" si="4"/>
        <v>-2.8571428571382285E-3</v>
      </c>
      <c r="AH7" s="91">
        <f t="shared" si="5"/>
        <v>83.002857142857138</v>
      </c>
    </row>
    <row r="8" spans="1:34" s="17" customFormat="1" ht="19.5" customHeight="1" x14ac:dyDescent="0.2">
      <c r="A8" s="81">
        <v>44186</v>
      </c>
      <c r="B8" s="12"/>
      <c r="C8" s="20" t="s">
        <v>931</v>
      </c>
      <c r="D8" s="12"/>
      <c r="E8" s="12"/>
      <c r="F8" s="82">
        <v>12669</v>
      </c>
      <c r="G8" s="82" t="s">
        <v>1002</v>
      </c>
      <c r="H8" s="84"/>
      <c r="I8" s="82"/>
      <c r="J8" s="84"/>
      <c r="K8" s="84">
        <v>298.5</v>
      </c>
      <c r="L8" s="83"/>
      <c r="M8" s="24">
        <f t="shared" si="0"/>
        <v>266.51785714285711</v>
      </c>
      <c r="N8" s="24">
        <f t="shared" si="1"/>
        <v>31.982142857142851</v>
      </c>
      <c r="O8" s="24">
        <f t="shared" si="2"/>
        <v>0</v>
      </c>
      <c r="P8" s="24">
        <v>266.52</v>
      </c>
      <c r="Q8" s="25"/>
      <c r="R8" s="25"/>
      <c r="S8" s="26"/>
      <c r="T8" s="26"/>
      <c r="U8" s="26"/>
      <c r="V8" s="90"/>
      <c r="W8" s="26"/>
      <c r="X8" s="25"/>
      <c r="Y8" s="25"/>
      <c r="Z8" s="25"/>
      <c r="AA8" s="25"/>
      <c r="AB8" s="26"/>
      <c r="AC8" s="26"/>
      <c r="AD8" s="25"/>
      <c r="AE8" s="25"/>
      <c r="AF8" s="24">
        <f t="shared" si="3"/>
        <v>-298.50214285714281</v>
      </c>
      <c r="AG8" s="27">
        <f t="shared" si="4"/>
        <v>-2.1428571428145915E-3</v>
      </c>
      <c r="AH8" s="91">
        <f t="shared" si="5"/>
        <v>298.50214285714281</v>
      </c>
    </row>
    <row r="9" spans="1:34" s="17" customFormat="1" ht="29.25" customHeight="1" x14ac:dyDescent="0.2">
      <c r="A9" s="81">
        <v>44187</v>
      </c>
      <c r="B9" s="12"/>
      <c r="C9" s="20" t="s">
        <v>489</v>
      </c>
      <c r="D9" s="12"/>
      <c r="E9" s="12"/>
      <c r="F9" s="82">
        <v>187713</v>
      </c>
      <c r="G9" s="82" t="s">
        <v>1003</v>
      </c>
      <c r="H9" s="82"/>
      <c r="I9" s="82"/>
      <c r="J9" s="84"/>
      <c r="K9" s="99">
        <f>3228.62+387.43</f>
        <v>3616.0499999999997</v>
      </c>
      <c r="L9" s="83"/>
      <c r="M9" s="24">
        <f t="shared" si="0"/>
        <v>3228.6160714285711</v>
      </c>
      <c r="N9" s="24">
        <f t="shared" si="1"/>
        <v>387.43392857142851</v>
      </c>
      <c r="O9" s="24">
        <f t="shared" si="2"/>
        <v>0</v>
      </c>
      <c r="P9" s="24">
        <v>3228.62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>
        <f t="shared" si="3"/>
        <v>-3616.0539285714285</v>
      </c>
      <c r="AG9" s="27">
        <f t="shared" si="4"/>
        <v>-3.9285714287871087E-3</v>
      </c>
      <c r="AH9" s="91">
        <f t="shared" si="5"/>
        <v>3616.0539285714285</v>
      </c>
    </row>
    <row r="10" spans="1:34" s="17" customFormat="1" ht="19.5" customHeight="1" x14ac:dyDescent="0.2">
      <c r="A10" s="81">
        <v>44187</v>
      </c>
      <c r="B10" s="12"/>
      <c r="C10" s="20" t="s">
        <v>489</v>
      </c>
      <c r="D10" s="12"/>
      <c r="E10" s="12"/>
      <c r="F10" s="82">
        <v>187713</v>
      </c>
      <c r="G10" s="82" t="s">
        <v>1004</v>
      </c>
      <c r="H10" s="82"/>
      <c r="I10" s="82"/>
      <c r="J10" s="84">
        <v>188.35</v>
      </c>
      <c r="K10" s="84"/>
      <c r="L10" s="83"/>
      <c r="M10" s="24">
        <f t="shared" si="0"/>
        <v>188.35</v>
      </c>
      <c r="N10" s="24">
        <f t="shared" si="1"/>
        <v>0</v>
      </c>
      <c r="O10" s="24">
        <f t="shared" si="2"/>
        <v>0</v>
      </c>
      <c r="P10" s="24">
        <v>188.35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>
        <f t="shared" si="3"/>
        <v>-188.35</v>
      </c>
      <c r="AG10" s="27">
        <f t="shared" si="4"/>
        <v>0</v>
      </c>
      <c r="AH10" s="91">
        <f t="shared" si="5"/>
        <v>188.35</v>
      </c>
    </row>
    <row r="11" spans="1:34" s="17" customFormat="1" ht="19.5" customHeight="1" x14ac:dyDescent="0.2">
      <c r="A11" s="81">
        <v>44187</v>
      </c>
      <c r="B11" s="12"/>
      <c r="C11" s="20" t="s">
        <v>1005</v>
      </c>
      <c r="D11" s="12"/>
      <c r="E11" s="12"/>
      <c r="F11" s="82">
        <v>251635</v>
      </c>
      <c r="G11" s="82" t="s">
        <v>58</v>
      </c>
      <c r="H11" s="82"/>
      <c r="I11" s="82"/>
      <c r="J11" s="84"/>
      <c r="K11" s="84">
        <v>42</v>
      </c>
      <c r="L11" s="83"/>
      <c r="M11" s="24">
        <f t="shared" si="0"/>
        <v>37.499999999999993</v>
      </c>
      <c r="N11" s="24">
        <f t="shared" si="1"/>
        <v>4.4999999999999991</v>
      </c>
      <c r="O11" s="24">
        <f t="shared" si="2"/>
        <v>0</v>
      </c>
      <c r="P11" s="24"/>
      <c r="Q11" s="25">
        <v>37.5</v>
      </c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>
        <f t="shared" si="3"/>
        <v>-42</v>
      </c>
      <c r="AG11" s="27">
        <f t="shared" si="4"/>
        <v>0</v>
      </c>
      <c r="AH11" s="91">
        <f t="shared" si="5"/>
        <v>42</v>
      </c>
    </row>
    <row r="12" spans="1:34" s="17" customFormat="1" ht="19.5" customHeight="1" x14ac:dyDescent="0.2">
      <c r="A12" s="81">
        <v>44187</v>
      </c>
      <c r="B12" s="12"/>
      <c r="C12" s="20" t="s">
        <v>931</v>
      </c>
      <c r="D12" s="12"/>
      <c r="E12" s="12"/>
      <c r="F12" s="82">
        <v>9689</v>
      </c>
      <c r="G12" s="82" t="s">
        <v>989</v>
      </c>
      <c r="H12" s="82"/>
      <c r="I12" s="82"/>
      <c r="J12" s="84"/>
      <c r="K12" s="84">
        <v>124</v>
      </c>
      <c r="L12" s="83"/>
      <c r="M12" s="24">
        <f t="shared" si="0"/>
        <v>110.71428571428571</v>
      </c>
      <c r="N12" s="24">
        <f t="shared" si="1"/>
        <v>13.285714285714285</v>
      </c>
      <c r="O12" s="24">
        <f t="shared" si="2"/>
        <v>0</v>
      </c>
      <c r="P12" s="24"/>
      <c r="Q12" s="25"/>
      <c r="R12" s="25"/>
      <c r="S12" s="26"/>
      <c r="T12" s="26"/>
      <c r="U12" s="26">
        <v>110.71</v>
      </c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>
        <f t="shared" si="3"/>
        <v>-123.99571428571429</v>
      </c>
      <c r="AG12" s="27">
        <f t="shared" si="4"/>
        <v>4.2857142857144481E-3</v>
      </c>
      <c r="AH12" s="91">
        <f t="shared" si="5"/>
        <v>123.99571428571429</v>
      </c>
    </row>
    <row r="13" spans="1:34" s="17" customFormat="1" ht="19.5" customHeight="1" x14ac:dyDescent="0.2">
      <c r="A13" s="81">
        <v>44187</v>
      </c>
      <c r="B13" s="12"/>
      <c r="C13" s="20" t="s">
        <v>931</v>
      </c>
      <c r="D13" s="12"/>
      <c r="E13" s="12"/>
      <c r="F13" s="82">
        <v>9689</v>
      </c>
      <c r="G13" s="82" t="s">
        <v>1006</v>
      </c>
      <c r="H13" s="82"/>
      <c r="I13" s="82"/>
      <c r="J13" s="84"/>
      <c r="K13" s="84">
        <v>996</v>
      </c>
      <c r="L13" s="83"/>
      <c r="M13" s="24">
        <f t="shared" si="0"/>
        <v>889.28571428571422</v>
      </c>
      <c r="N13" s="24">
        <f t="shared" si="1"/>
        <v>106.71428571428571</v>
      </c>
      <c r="O13" s="24">
        <f t="shared" si="2"/>
        <v>0</v>
      </c>
      <c r="P13" s="24"/>
      <c r="Q13" s="25">
        <v>889.29</v>
      </c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>
        <f t="shared" si="3"/>
        <v>-996.00428571428563</v>
      </c>
      <c r="AG13" s="27">
        <f t="shared" si="4"/>
        <v>-4.285714285629183E-3</v>
      </c>
      <c r="AH13" s="91">
        <f t="shared" si="5"/>
        <v>996.00428571428563</v>
      </c>
    </row>
    <row r="14" spans="1:34" s="17" customFormat="1" ht="19.5" customHeight="1" x14ac:dyDescent="0.2">
      <c r="A14" s="81">
        <v>44187</v>
      </c>
      <c r="B14" s="12"/>
      <c r="C14" s="82" t="s">
        <v>374</v>
      </c>
      <c r="D14" s="12"/>
      <c r="E14" s="12"/>
      <c r="F14" s="82">
        <v>878</v>
      </c>
      <c r="G14" s="82" t="s">
        <v>58</v>
      </c>
      <c r="H14" s="82"/>
      <c r="I14" s="82"/>
      <c r="J14" s="84"/>
      <c r="K14" s="84">
        <v>50</v>
      </c>
      <c r="L14" s="83"/>
      <c r="M14" s="24">
        <f t="shared" si="0"/>
        <v>44.642857142857139</v>
      </c>
      <c r="N14" s="24">
        <f t="shared" si="1"/>
        <v>5.3571428571428568</v>
      </c>
      <c r="O14" s="24">
        <f t="shared" si="2"/>
        <v>0</v>
      </c>
      <c r="P14" s="24"/>
      <c r="Q14" s="25">
        <v>44.64</v>
      </c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>
        <f t="shared" si="3"/>
        <v>-49.997142857142855</v>
      </c>
      <c r="AG14" s="27">
        <f t="shared" si="4"/>
        <v>2.8571428571453339E-3</v>
      </c>
      <c r="AH14" s="91">
        <f t="shared" si="5"/>
        <v>49.997142857142855</v>
      </c>
    </row>
    <row r="15" spans="1:34" s="17" customFormat="1" ht="19.5" customHeight="1" x14ac:dyDescent="0.2">
      <c r="A15" s="81">
        <v>44187</v>
      </c>
      <c r="B15" s="12"/>
      <c r="C15" s="20" t="s">
        <v>106</v>
      </c>
      <c r="D15" s="12"/>
      <c r="E15" s="12"/>
      <c r="F15" s="82">
        <v>756924</v>
      </c>
      <c r="G15" s="82" t="s">
        <v>1007</v>
      </c>
      <c r="H15" s="82"/>
      <c r="I15" s="82"/>
      <c r="J15" s="84"/>
      <c r="K15" s="84">
        <v>176</v>
      </c>
      <c r="L15" s="83"/>
      <c r="M15" s="24">
        <f t="shared" si="0"/>
        <v>157.14285714285714</v>
      </c>
      <c r="N15" s="24">
        <f t="shared" si="1"/>
        <v>18.857142857142858</v>
      </c>
      <c r="O15" s="24">
        <f t="shared" si="2"/>
        <v>0</v>
      </c>
      <c r="P15" s="24"/>
      <c r="Q15" s="25"/>
      <c r="R15" s="25">
        <v>157.13999999999999</v>
      </c>
      <c r="S15" s="26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>
        <f t="shared" si="3"/>
        <v>-175.99714285714285</v>
      </c>
      <c r="AG15" s="27">
        <f t="shared" si="4"/>
        <v>2.8571428571524393E-3</v>
      </c>
      <c r="AH15" s="91">
        <f t="shared" si="5"/>
        <v>175.99714285714285</v>
      </c>
    </row>
    <row r="16" spans="1:34" s="17" customFormat="1" ht="19.5" customHeight="1" x14ac:dyDescent="0.2">
      <c r="A16" s="81">
        <v>44187</v>
      </c>
      <c r="B16" s="12"/>
      <c r="C16" s="20" t="s">
        <v>1005</v>
      </c>
      <c r="D16" s="12"/>
      <c r="E16" s="12"/>
      <c r="F16" s="82">
        <v>6565</v>
      </c>
      <c r="G16" s="82" t="s">
        <v>58</v>
      </c>
      <c r="H16" s="82"/>
      <c r="I16" s="82"/>
      <c r="J16" s="84"/>
      <c r="K16" s="84">
        <v>50</v>
      </c>
      <c r="L16" s="83"/>
      <c r="M16" s="24">
        <f t="shared" si="0"/>
        <v>44.642857142857139</v>
      </c>
      <c r="N16" s="24">
        <f t="shared" si="1"/>
        <v>5.3571428571428568</v>
      </c>
      <c r="O16" s="24">
        <f t="shared" si="2"/>
        <v>0</v>
      </c>
      <c r="P16" s="24"/>
      <c r="Q16" s="25">
        <v>44.64</v>
      </c>
      <c r="R16" s="25"/>
      <c r="S16" s="26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5"/>
      <c r="AF16" s="24">
        <f t="shared" si="3"/>
        <v>-49.997142857142855</v>
      </c>
      <c r="AG16" s="27">
        <f t="shared" si="4"/>
        <v>2.8571428571453339E-3</v>
      </c>
      <c r="AH16" s="91">
        <f t="shared" si="5"/>
        <v>49.997142857142855</v>
      </c>
    </row>
    <row r="17" spans="1:34" s="17" customFormat="1" ht="19.5" customHeight="1" x14ac:dyDescent="0.2">
      <c r="A17" s="81">
        <v>44188</v>
      </c>
      <c r="B17" s="12"/>
      <c r="C17" s="20" t="s">
        <v>837</v>
      </c>
      <c r="D17" s="12"/>
      <c r="E17" s="12"/>
      <c r="F17" s="82">
        <v>341581</v>
      </c>
      <c r="G17" s="82" t="s">
        <v>800</v>
      </c>
      <c r="H17" s="82"/>
      <c r="I17" s="82"/>
      <c r="J17" s="84"/>
      <c r="K17" s="84">
        <v>125</v>
      </c>
      <c r="L17" s="83"/>
      <c r="M17" s="24">
        <f t="shared" si="0"/>
        <v>111.60714285714285</v>
      </c>
      <c r="N17" s="24">
        <f t="shared" si="1"/>
        <v>13.392857142857141</v>
      </c>
      <c r="O17" s="24">
        <f t="shared" si="2"/>
        <v>0</v>
      </c>
      <c r="P17" s="24"/>
      <c r="Q17" s="25">
        <v>111.61</v>
      </c>
      <c r="R17" s="25"/>
      <c r="S17" s="26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>
        <f t="shared" si="3"/>
        <v>-125.00285714285714</v>
      </c>
      <c r="AG17" s="27">
        <f t="shared" si="4"/>
        <v>-2.8571428571382285E-3</v>
      </c>
      <c r="AH17" s="91">
        <f t="shared" si="5"/>
        <v>125.00285714285714</v>
      </c>
    </row>
    <row r="18" spans="1:34" s="17" customFormat="1" ht="46.5" customHeight="1" x14ac:dyDescent="0.2">
      <c r="A18" s="81">
        <v>44188</v>
      </c>
      <c r="B18" s="12"/>
      <c r="C18" s="20" t="s">
        <v>489</v>
      </c>
      <c r="D18" s="12"/>
      <c r="E18" s="12"/>
      <c r="F18" s="82">
        <v>253087</v>
      </c>
      <c r="G18" s="82" t="s">
        <v>1008</v>
      </c>
      <c r="H18" s="82"/>
      <c r="I18" s="82"/>
      <c r="J18" s="84"/>
      <c r="K18" s="84">
        <f>1898.44+227.81</f>
        <v>2126.25</v>
      </c>
      <c r="L18" s="83"/>
      <c r="M18" s="24">
        <f t="shared" si="0"/>
        <v>1898.4374999999998</v>
      </c>
      <c r="N18" s="24">
        <f t="shared" si="1"/>
        <v>227.81249999999997</v>
      </c>
      <c r="O18" s="24">
        <f t="shared" si="2"/>
        <v>0</v>
      </c>
      <c r="P18" s="24">
        <v>1898.44</v>
      </c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>
        <f t="shared" si="3"/>
        <v>-2126.2525000000001</v>
      </c>
      <c r="AG18" s="27">
        <f t="shared" si="4"/>
        <v>-2.5000000000545697E-3</v>
      </c>
      <c r="AH18" s="91">
        <f t="shared" si="5"/>
        <v>2126.2525000000001</v>
      </c>
    </row>
    <row r="19" spans="1:34" s="17" customFormat="1" ht="19.5" customHeight="1" x14ac:dyDescent="0.2">
      <c r="A19" s="81">
        <v>44188</v>
      </c>
      <c r="B19" s="12"/>
      <c r="C19" s="20" t="s">
        <v>489</v>
      </c>
      <c r="D19" s="12"/>
      <c r="E19" s="12"/>
      <c r="F19" s="82">
        <v>253087</v>
      </c>
      <c r="G19" s="82" t="s">
        <v>1009</v>
      </c>
      <c r="H19" s="82"/>
      <c r="I19" s="82"/>
      <c r="J19" s="84">
        <v>453.9</v>
      </c>
      <c r="K19" s="84"/>
      <c r="L19" s="83"/>
      <c r="M19" s="24">
        <f t="shared" si="0"/>
        <v>453.9</v>
      </c>
      <c r="N19" s="24">
        <f t="shared" si="1"/>
        <v>0</v>
      </c>
      <c r="O19" s="24">
        <f t="shared" si="2"/>
        <v>0</v>
      </c>
      <c r="P19" s="24">
        <v>453.9</v>
      </c>
      <c r="Q19" s="25"/>
      <c r="R19" s="25"/>
      <c r="S19" s="26"/>
      <c r="T19" s="26"/>
      <c r="U19" s="26"/>
      <c r="V19" s="26"/>
      <c r="W19" s="26"/>
      <c r="X19" s="25"/>
      <c r="Y19" s="25"/>
      <c r="Z19" s="25"/>
      <c r="AA19" s="25"/>
      <c r="AB19" s="26"/>
      <c r="AC19" s="26"/>
      <c r="AD19" s="25"/>
      <c r="AE19" s="25"/>
      <c r="AF19" s="24">
        <f t="shared" si="3"/>
        <v>-453.9</v>
      </c>
      <c r="AG19" s="27">
        <f t="shared" si="4"/>
        <v>0</v>
      </c>
      <c r="AH19" s="91">
        <f t="shared" si="5"/>
        <v>453.9</v>
      </c>
    </row>
    <row r="20" spans="1:34" s="17" customFormat="1" ht="19.5" customHeight="1" x14ac:dyDescent="0.2">
      <c r="A20" s="81">
        <v>44188</v>
      </c>
      <c r="B20" s="12"/>
      <c r="C20" s="20" t="s">
        <v>325</v>
      </c>
      <c r="D20" s="12"/>
      <c r="E20" s="12"/>
      <c r="F20" s="82"/>
      <c r="G20" s="82" t="s">
        <v>1010</v>
      </c>
      <c r="H20" s="82"/>
      <c r="I20" s="82">
        <v>736.7</v>
      </c>
      <c r="J20" s="84"/>
      <c r="K20" s="84"/>
      <c r="L20" s="83"/>
      <c r="M20" s="24">
        <f t="shared" si="0"/>
        <v>736.7</v>
      </c>
      <c r="N20" s="24">
        <f t="shared" si="1"/>
        <v>0</v>
      </c>
      <c r="O20" s="24">
        <f t="shared" si="2"/>
        <v>0</v>
      </c>
      <c r="P20" s="24"/>
      <c r="Q20" s="25"/>
      <c r="R20" s="25"/>
      <c r="S20" s="26">
        <v>736.7</v>
      </c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>
        <f t="shared" si="3"/>
        <v>-736.7</v>
      </c>
      <c r="AG20" s="27">
        <f t="shared" si="4"/>
        <v>0</v>
      </c>
      <c r="AH20" s="91">
        <f t="shared" si="5"/>
        <v>736.7</v>
      </c>
    </row>
    <row r="21" spans="1:34" s="29" customFormat="1" ht="23.25" customHeight="1" x14ac:dyDescent="0.2">
      <c r="A21" s="81">
        <v>44188</v>
      </c>
      <c r="B21" s="19"/>
      <c r="C21" s="20" t="s">
        <v>325</v>
      </c>
      <c r="D21" s="20"/>
      <c r="E21" s="20"/>
      <c r="F21" s="21"/>
      <c r="G21" s="21" t="s">
        <v>983</v>
      </c>
      <c r="H21" s="22"/>
      <c r="I21" s="22">
        <v>500</v>
      </c>
      <c r="J21" s="22"/>
      <c r="K21" s="22"/>
      <c r="L21" s="23"/>
      <c r="M21" s="24">
        <f t="shared" si="0"/>
        <v>500</v>
      </c>
      <c r="N21" s="24">
        <f t="shared" si="1"/>
        <v>0</v>
      </c>
      <c r="O21" s="24">
        <f t="shared" si="2"/>
        <v>0</v>
      </c>
      <c r="P21" s="24"/>
      <c r="Q21" s="25"/>
      <c r="R21" s="25"/>
      <c r="S21" s="26"/>
      <c r="T21" s="26">
        <v>500</v>
      </c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>
        <f t="shared" si="3"/>
        <v>-500</v>
      </c>
      <c r="AG21" s="27">
        <f t="shared" si="4"/>
        <v>0</v>
      </c>
      <c r="AH21" s="91">
        <f t="shared" si="5"/>
        <v>500</v>
      </c>
    </row>
    <row r="22" spans="1:34" s="29" customFormat="1" ht="10.199999999999999" x14ac:dyDescent="0.2">
      <c r="A22" s="18"/>
      <c r="B22" s="19"/>
      <c r="C22" s="43"/>
      <c r="D22" s="43"/>
      <c r="E22" s="43"/>
      <c r="F22" s="21"/>
      <c r="G22" s="30"/>
      <c r="H22" s="22"/>
      <c r="I22" s="22"/>
      <c r="J22" s="22"/>
      <c r="K22" s="22"/>
      <c r="L22" s="23"/>
      <c r="M22" s="25">
        <f t="shared" si="0"/>
        <v>0</v>
      </c>
      <c r="N22" s="25">
        <f t="shared" si="1"/>
        <v>0</v>
      </c>
      <c r="O22" s="25">
        <f t="shared" si="2"/>
        <v>0</v>
      </c>
      <c r="P22" s="25"/>
      <c r="Q22" s="25"/>
      <c r="R22" s="25"/>
      <c r="S22" s="25"/>
      <c r="T22" s="26"/>
      <c r="U22" s="51"/>
      <c r="V22" s="26"/>
      <c r="W22" s="26"/>
      <c r="X22" s="26"/>
      <c r="Y22" s="44"/>
      <c r="Z22" s="25"/>
      <c r="AA22" s="51"/>
      <c r="AB22" s="25"/>
      <c r="AC22" s="26"/>
      <c r="AD22" s="26"/>
      <c r="AE22" s="45"/>
      <c r="AF22" s="24">
        <f t="shared" si="3"/>
        <v>0</v>
      </c>
      <c r="AG22" s="27">
        <f t="shared" si="4"/>
        <v>0</v>
      </c>
    </row>
    <row r="23" spans="1:34" s="52" customFormat="1" ht="10.199999999999999" x14ac:dyDescent="0.2">
      <c r="A23" s="46"/>
      <c r="B23" s="47"/>
      <c r="C23" s="48"/>
      <c r="D23" s="49"/>
      <c r="E23" s="49"/>
      <c r="F23" s="50"/>
      <c r="G23" s="48"/>
      <c r="H23" s="51">
        <f>SUM(H5:H21)</f>
        <v>0</v>
      </c>
      <c r="I23" s="51">
        <f>SUM(I21:I22)</f>
        <v>500</v>
      </c>
      <c r="J23" s="51">
        <f>SUM(J5:J22)</f>
        <v>642.25</v>
      </c>
      <c r="K23" s="51">
        <f>SUM(K5:K22)</f>
        <v>8067.0499999999993</v>
      </c>
      <c r="L23" s="51">
        <f>SUM(L21:L22)</f>
        <v>0</v>
      </c>
      <c r="M23" s="51">
        <f>SUM(M5:M22)</f>
        <v>9081.6732142857127</v>
      </c>
      <c r="N23" s="51">
        <f>SUM(N5:N22)</f>
        <v>864.32678571428573</v>
      </c>
      <c r="O23" s="51">
        <f>SUM(O21:O22)</f>
        <v>0</v>
      </c>
      <c r="P23" s="51">
        <f>SUM(P5:P22)</f>
        <v>6313.9599999999991</v>
      </c>
      <c r="Q23" s="51">
        <f>SUM(Q5:Q22)</f>
        <v>1127.6799999999998</v>
      </c>
      <c r="R23" s="51">
        <f>SUM(R5:R21)</f>
        <v>157.13999999999999</v>
      </c>
      <c r="S23" s="51">
        <f>SUM(S21:S22)</f>
        <v>0</v>
      </c>
      <c r="T23" s="51">
        <f>SUM(T5:T22)</f>
        <v>500</v>
      </c>
      <c r="U23" s="51">
        <f>SUM(U5:U22)</f>
        <v>172.09</v>
      </c>
      <c r="V23" s="51">
        <f>SUM(V21:V22)</f>
        <v>0</v>
      </c>
      <c r="W23" s="51">
        <f>SUM(W21:W22)</f>
        <v>0</v>
      </c>
      <c r="X23" s="51">
        <f>SUM(X21:X22)</f>
        <v>0</v>
      </c>
      <c r="Y23" s="51">
        <f>SUM(Y21:Y22)</f>
        <v>0</v>
      </c>
      <c r="Z23" s="51">
        <f>SUM(Z21:Z22)</f>
        <v>0</v>
      </c>
      <c r="AA23" s="51">
        <f>SUM(AA5:AA21)</f>
        <v>0</v>
      </c>
      <c r="AB23" s="51">
        <f>SUM(AB21:AB22)</f>
        <v>0</v>
      </c>
      <c r="AC23" s="51">
        <f>SUM(AC5:AC21)</f>
        <v>0</v>
      </c>
      <c r="AD23" s="51">
        <f>SUM(AD5:AD21)</f>
        <v>0</v>
      </c>
      <c r="AE23" s="51">
        <f>SUM(AE21:AE22)</f>
        <v>0</v>
      </c>
      <c r="AF23" s="51">
        <f>SUM(AF5:AF22)</f>
        <v>-9946.0067857142858</v>
      </c>
      <c r="AG23" s="51">
        <f>SUM(AG21:AG22)</f>
        <v>0</v>
      </c>
    </row>
    <row r="24" spans="1:34" s="77" customFormat="1" ht="10.199999999999999" x14ac:dyDescent="0.2"/>
    <row r="25" spans="1:34" x14ac:dyDescent="0.3">
      <c r="H25" s="85"/>
      <c r="I25" s="85"/>
      <c r="J25" s="85"/>
      <c r="K25" s="85"/>
    </row>
    <row r="26" spans="1:34" x14ac:dyDescent="0.3">
      <c r="H26" s="85"/>
      <c r="I26" s="85"/>
      <c r="J26" s="85"/>
      <c r="K26" s="85"/>
    </row>
    <row r="27" spans="1:34" x14ac:dyDescent="0.3">
      <c r="H27" s="87"/>
      <c r="I27" s="87"/>
      <c r="J27" s="87"/>
      <c r="K27" s="87"/>
    </row>
    <row r="28" spans="1:34" x14ac:dyDescent="0.3">
      <c r="H28" s="87"/>
      <c r="I28" s="87"/>
      <c r="J28" s="87"/>
      <c r="K28" s="87"/>
    </row>
    <row r="29" spans="1:34" s="3" customFormat="1" ht="10.199999999999999" x14ac:dyDescent="0.2">
      <c r="H29" s="87"/>
      <c r="I29" s="87"/>
      <c r="J29" s="87"/>
      <c r="K29" s="87"/>
    </row>
    <row r="30" spans="1:34" s="3" customFormat="1" ht="10.199999999999999" x14ac:dyDescent="0.2">
      <c r="H30" s="87"/>
      <c r="I30" s="87"/>
      <c r="J30" s="87"/>
      <c r="K30" s="87"/>
    </row>
    <row r="31" spans="1:34" s="3" customFormat="1" ht="10.199999999999999" x14ac:dyDescent="0.2">
      <c r="H31" s="87"/>
      <c r="I31" s="87"/>
      <c r="J31" s="87"/>
      <c r="K31" s="8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MJ24"/>
  <sheetViews>
    <sheetView topLeftCell="Q1" zoomScaleNormal="100" workbookViewId="0">
      <selection sqref="A1:XFD1048576"/>
    </sheetView>
  </sheetViews>
  <sheetFormatPr defaultRowHeight="14.4" x14ac:dyDescent="0.3"/>
  <cols>
    <col min="1" max="1" width="8.109375" style="1" customWidth="1"/>
    <col min="2" max="2" width="7.21875" style="2" customWidth="1"/>
    <col min="3" max="3" width="26.109375" style="3" customWidth="1"/>
    <col min="4" max="4" width="14" style="4" customWidth="1"/>
    <col min="5" max="5" width="29.33203125" style="4" customWidth="1"/>
    <col min="6" max="6" width="7.88671875" style="2" customWidth="1"/>
    <col min="7" max="7" width="26.5546875" style="3" customWidth="1"/>
    <col min="8" max="8" width="11.109375" style="5" customWidth="1"/>
    <col min="9" max="9" width="9.5546875" style="5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10.88671875" style="5" customWidth="1"/>
    <col min="18" max="18" width="10.6640625" style="5" customWidth="1"/>
    <col min="19" max="19" width="9.5546875" style="5" customWidth="1"/>
    <col min="20" max="20" width="9.109375" style="5" customWidth="1"/>
    <col min="21" max="21" width="10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29" width="8" style="5" customWidth="1"/>
    <col min="30" max="30" width="10.109375" style="5" customWidth="1"/>
    <col min="31" max="31" width="10.6640625" style="5" customWidth="1"/>
    <col min="32" max="32" width="8.88671875" style="3" customWidth="1"/>
    <col min="33" max="1023" width="9.109375" style="3" customWidth="1"/>
    <col min="1024" max="1025" width="9.109375" customWidth="1"/>
  </cols>
  <sheetData>
    <row r="1" spans="1:1024" ht="12" customHeight="1" x14ac:dyDescent="0.3">
      <c r="A1" s="7" t="s">
        <v>0</v>
      </c>
      <c r="C1" s="8"/>
    </row>
    <row r="2" spans="1:1024" ht="12" customHeight="1" x14ac:dyDescent="0.3">
      <c r="A2" s="7" t="s">
        <v>1</v>
      </c>
    </row>
    <row r="3" spans="1:1024" ht="12" customHeight="1" x14ac:dyDescent="0.3">
      <c r="A3" s="7" t="s">
        <v>1011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>
        <v>6109</v>
      </c>
      <c r="AE3" s="10">
        <v>1002</v>
      </c>
    </row>
    <row r="4" spans="1:1024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613</v>
      </c>
      <c r="S4" s="13" t="s">
        <v>34</v>
      </c>
      <c r="T4" s="13" t="s">
        <v>31</v>
      </c>
      <c r="U4" s="13" t="s">
        <v>22</v>
      </c>
      <c r="V4" s="13" t="s">
        <v>23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613</v>
      </c>
      <c r="AD4" s="15" t="s">
        <v>35</v>
      </c>
      <c r="AE4" s="16" t="s">
        <v>36</v>
      </c>
      <c r="AMJ4"/>
    </row>
    <row r="5" spans="1:1024" s="17" customFormat="1" ht="19.5" customHeight="1" x14ac:dyDescent="0.3">
      <c r="A5" s="81">
        <v>44559</v>
      </c>
      <c r="B5" s="12"/>
      <c r="C5" s="20" t="s">
        <v>489</v>
      </c>
      <c r="D5" s="12"/>
      <c r="E5" s="12"/>
      <c r="F5" s="82">
        <v>262518</v>
      </c>
      <c r="G5" s="82" t="s">
        <v>1012</v>
      </c>
      <c r="H5" s="84"/>
      <c r="I5" s="82"/>
      <c r="J5" s="84"/>
      <c r="K5" s="84">
        <v>780</v>
      </c>
      <c r="L5" s="83"/>
      <c r="M5" s="24">
        <f t="shared" ref="M5:M15" si="0">SUM(H5:J5,K5/1.12)</f>
        <v>696.42857142857133</v>
      </c>
      <c r="N5" s="24">
        <f t="shared" ref="N5:N15" si="1">K5/1.12*0.12</f>
        <v>83.571428571428555</v>
      </c>
      <c r="O5" s="24">
        <f t="shared" ref="O5:O15" si="2">-SUM(I5:J5,K5/1.12)*L5</f>
        <v>0</v>
      </c>
      <c r="P5" s="24"/>
      <c r="Q5" s="25">
        <v>696.43</v>
      </c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4">
        <f t="shared" ref="AE5:AE15" si="3">-SUM(N5:AD5)</f>
        <v>-780.00142857142851</v>
      </c>
      <c r="AF5" s="27">
        <f t="shared" ref="AF5:AF15" si="4">SUM(H5:K5)+AE5+O5</f>
        <v>-1.4285714285051654E-3</v>
      </c>
      <c r="AG5" s="91">
        <f t="shared" ref="AG5:AG12" si="5">-AE5</f>
        <v>780.00142857142851</v>
      </c>
      <c r="AMJ5"/>
    </row>
    <row r="6" spans="1:1024" s="17" customFormat="1" ht="19.5" customHeight="1" x14ac:dyDescent="0.3">
      <c r="A6" s="81">
        <v>44559</v>
      </c>
      <c r="B6" s="12"/>
      <c r="C6" s="20" t="s">
        <v>62</v>
      </c>
      <c r="D6" s="12"/>
      <c r="E6" s="12"/>
      <c r="F6" s="82"/>
      <c r="G6" s="82" t="s">
        <v>923</v>
      </c>
      <c r="H6" s="84">
        <v>100</v>
      </c>
      <c r="I6" s="82"/>
      <c r="J6" s="84"/>
      <c r="K6" s="84"/>
      <c r="L6" s="83"/>
      <c r="M6" s="24">
        <f t="shared" si="0"/>
        <v>100</v>
      </c>
      <c r="N6" s="24">
        <f t="shared" si="1"/>
        <v>0</v>
      </c>
      <c r="O6" s="24">
        <f t="shared" si="2"/>
        <v>0</v>
      </c>
      <c r="P6" s="24"/>
      <c r="Q6" s="25"/>
      <c r="R6" s="25"/>
      <c r="S6" s="26"/>
      <c r="T6" s="26">
        <v>100</v>
      </c>
      <c r="U6" s="26"/>
      <c r="V6" s="26"/>
      <c r="W6" s="26"/>
      <c r="X6" s="25"/>
      <c r="Y6" s="25"/>
      <c r="Z6" s="25"/>
      <c r="AA6" s="25"/>
      <c r="AB6" s="26"/>
      <c r="AC6" s="26"/>
      <c r="AD6" s="25"/>
      <c r="AE6" s="24">
        <f t="shared" si="3"/>
        <v>-100</v>
      </c>
      <c r="AF6" s="27">
        <f t="shared" si="4"/>
        <v>0</v>
      </c>
      <c r="AG6" s="91">
        <f t="shared" si="5"/>
        <v>100</v>
      </c>
      <c r="AMJ6"/>
    </row>
    <row r="7" spans="1:1024" s="17" customFormat="1" ht="19.5" customHeight="1" x14ac:dyDescent="0.3">
      <c r="A7" s="81">
        <v>44559</v>
      </c>
      <c r="B7" s="12"/>
      <c r="C7" s="20" t="s">
        <v>931</v>
      </c>
      <c r="D7" s="12"/>
      <c r="E7" s="12"/>
      <c r="F7" s="82">
        <v>315</v>
      </c>
      <c r="G7" s="82" t="s">
        <v>512</v>
      </c>
      <c r="H7" s="84"/>
      <c r="I7" s="82"/>
      <c r="J7" s="84"/>
      <c r="K7" s="84">
        <v>135</v>
      </c>
      <c r="L7" s="83"/>
      <c r="M7" s="24">
        <f t="shared" si="0"/>
        <v>120.53571428571428</v>
      </c>
      <c r="N7" s="24">
        <f t="shared" si="1"/>
        <v>14.464285714285714</v>
      </c>
      <c r="O7" s="24">
        <f t="shared" si="2"/>
        <v>0</v>
      </c>
      <c r="P7" s="24">
        <v>120.54</v>
      </c>
      <c r="Q7" s="25"/>
      <c r="R7" s="25"/>
      <c r="S7" s="26"/>
      <c r="T7" s="26"/>
      <c r="U7" s="26"/>
      <c r="V7" s="90"/>
      <c r="W7" s="26"/>
      <c r="X7" s="25"/>
      <c r="Y7" s="25"/>
      <c r="Z7" s="25"/>
      <c r="AA7" s="25"/>
      <c r="AB7" s="26"/>
      <c r="AC7" s="26"/>
      <c r="AD7" s="25"/>
      <c r="AE7" s="24">
        <f t="shared" si="3"/>
        <v>-135.00428571428571</v>
      </c>
      <c r="AF7" s="27">
        <f t="shared" si="4"/>
        <v>-4.2857142857144481E-3</v>
      </c>
      <c r="AG7" s="91">
        <f t="shared" si="5"/>
        <v>135.00428571428571</v>
      </c>
      <c r="AMJ7"/>
    </row>
    <row r="8" spans="1:1024" s="17" customFormat="1" ht="22.5" customHeight="1" x14ac:dyDescent="0.3">
      <c r="A8" s="81">
        <v>44559</v>
      </c>
      <c r="B8" s="12"/>
      <c r="C8" s="20" t="s">
        <v>931</v>
      </c>
      <c r="D8" s="12"/>
      <c r="E8" s="12"/>
      <c r="F8" s="82">
        <v>315</v>
      </c>
      <c r="G8" s="82" t="s">
        <v>193</v>
      </c>
      <c r="H8" s="82"/>
      <c r="I8" s="82"/>
      <c r="J8" s="84"/>
      <c r="K8" s="99">
        <v>158</v>
      </c>
      <c r="L8" s="83"/>
      <c r="M8" s="24">
        <f t="shared" si="0"/>
        <v>141.07142857142856</v>
      </c>
      <c r="N8" s="24">
        <f t="shared" si="1"/>
        <v>16.928571428571427</v>
      </c>
      <c r="O8" s="24">
        <f t="shared" si="2"/>
        <v>0</v>
      </c>
      <c r="P8" s="24"/>
      <c r="Q8" s="25"/>
      <c r="R8" s="25">
        <v>141.07</v>
      </c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4">
        <f t="shared" si="3"/>
        <v>-157.99857142857141</v>
      </c>
      <c r="AF8" s="27">
        <f t="shared" si="4"/>
        <v>1.4285714285904305E-3</v>
      </c>
      <c r="AG8" s="91">
        <f t="shared" si="5"/>
        <v>157.99857142857141</v>
      </c>
      <c r="AMJ8"/>
    </row>
    <row r="9" spans="1:1024" s="17" customFormat="1" ht="19.5" customHeight="1" x14ac:dyDescent="0.3">
      <c r="A9" s="81">
        <v>44559</v>
      </c>
      <c r="B9" s="12"/>
      <c r="C9" s="20" t="s">
        <v>489</v>
      </c>
      <c r="D9" s="12"/>
      <c r="E9" s="12"/>
      <c r="F9" s="82">
        <v>262319</v>
      </c>
      <c r="G9" s="82" t="s">
        <v>1013</v>
      </c>
      <c r="H9" s="82"/>
      <c r="I9" s="82"/>
      <c r="J9" s="84"/>
      <c r="K9" s="84">
        <v>2093</v>
      </c>
      <c r="L9" s="83"/>
      <c r="M9" s="24">
        <f t="shared" si="0"/>
        <v>1868.7499999999998</v>
      </c>
      <c r="N9" s="24">
        <f t="shared" si="1"/>
        <v>224.24999999999997</v>
      </c>
      <c r="O9" s="24">
        <f t="shared" si="2"/>
        <v>0</v>
      </c>
      <c r="P9" s="24">
        <v>1868.75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4">
        <f t="shared" si="3"/>
        <v>-2093</v>
      </c>
      <c r="AF9" s="27">
        <f t="shared" si="4"/>
        <v>0</v>
      </c>
      <c r="AG9" s="91">
        <f t="shared" si="5"/>
        <v>2093</v>
      </c>
      <c r="AMJ9"/>
    </row>
    <row r="10" spans="1:1024" s="17" customFormat="1" ht="19.5" customHeight="1" x14ac:dyDescent="0.3">
      <c r="A10" s="81">
        <v>44559</v>
      </c>
      <c r="B10" s="12"/>
      <c r="C10" s="20" t="s">
        <v>607</v>
      </c>
      <c r="D10" s="12"/>
      <c r="E10" s="12"/>
      <c r="F10" s="82"/>
      <c r="G10" s="82" t="s">
        <v>244</v>
      </c>
      <c r="H10" s="82"/>
      <c r="I10" s="82"/>
      <c r="J10" s="84">
        <v>466</v>
      </c>
      <c r="K10" s="84"/>
      <c r="L10" s="83"/>
      <c r="M10" s="24">
        <f t="shared" si="0"/>
        <v>466</v>
      </c>
      <c r="N10" s="24">
        <f t="shared" si="1"/>
        <v>0</v>
      </c>
      <c r="O10" s="24">
        <f t="shared" si="2"/>
        <v>0</v>
      </c>
      <c r="P10" s="24">
        <v>466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4">
        <f t="shared" si="3"/>
        <v>-466</v>
      </c>
      <c r="AF10" s="27">
        <f t="shared" si="4"/>
        <v>0</v>
      </c>
      <c r="AG10" s="91">
        <f t="shared" si="5"/>
        <v>466</v>
      </c>
      <c r="AMJ10"/>
    </row>
    <row r="11" spans="1:1024" s="17" customFormat="1" ht="19.5" customHeight="1" x14ac:dyDescent="0.3">
      <c r="A11" s="81">
        <v>44559</v>
      </c>
      <c r="B11" s="12"/>
      <c r="C11" s="20" t="s">
        <v>806</v>
      </c>
      <c r="D11" s="12"/>
      <c r="E11" s="12"/>
      <c r="F11" s="82">
        <v>207738</v>
      </c>
      <c r="G11" s="82" t="s">
        <v>1014</v>
      </c>
      <c r="H11" s="82"/>
      <c r="I11" s="82"/>
      <c r="J11" s="84"/>
      <c r="K11" s="84">
        <v>1050</v>
      </c>
      <c r="L11" s="83"/>
      <c r="M11" s="24">
        <f t="shared" si="0"/>
        <v>937.49999999999989</v>
      </c>
      <c r="N11" s="24">
        <f t="shared" si="1"/>
        <v>112.49999999999999</v>
      </c>
      <c r="O11" s="24">
        <f t="shared" si="2"/>
        <v>0</v>
      </c>
      <c r="P11" s="24"/>
      <c r="Q11" s="25"/>
      <c r="R11" s="25"/>
      <c r="S11" s="26"/>
      <c r="T11" s="26"/>
      <c r="U11" s="26"/>
      <c r="V11" s="26">
        <v>937.5</v>
      </c>
      <c r="W11" s="26"/>
      <c r="X11" s="25"/>
      <c r="Y11" s="25"/>
      <c r="Z11" s="25"/>
      <c r="AA11" s="25"/>
      <c r="AB11" s="26"/>
      <c r="AC11" s="26"/>
      <c r="AD11" s="25"/>
      <c r="AE11" s="24">
        <f t="shared" si="3"/>
        <v>-1050</v>
      </c>
      <c r="AF11" s="27">
        <f t="shared" si="4"/>
        <v>0</v>
      </c>
      <c r="AG11" s="91">
        <f t="shared" si="5"/>
        <v>1050</v>
      </c>
      <c r="AMJ11"/>
    </row>
    <row r="12" spans="1:1024" s="17" customFormat="1" ht="19.5" customHeight="1" x14ac:dyDescent="0.3">
      <c r="A12" s="81">
        <v>44559</v>
      </c>
      <c r="B12" s="12"/>
      <c r="C12" s="20" t="s">
        <v>605</v>
      </c>
      <c r="D12" s="12"/>
      <c r="E12" s="12"/>
      <c r="F12" s="82"/>
      <c r="G12" s="82" t="s">
        <v>1015</v>
      </c>
      <c r="H12" s="84">
        <v>20</v>
      </c>
      <c r="I12" s="82"/>
      <c r="J12" s="84"/>
      <c r="K12" s="84"/>
      <c r="L12" s="83"/>
      <c r="M12" s="24">
        <f t="shared" si="0"/>
        <v>20</v>
      </c>
      <c r="N12" s="24">
        <f t="shared" si="1"/>
        <v>0</v>
      </c>
      <c r="O12" s="24">
        <f t="shared" si="2"/>
        <v>0</v>
      </c>
      <c r="P12" s="24"/>
      <c r="Q12" s="25"/>
      <c r="R12" s="25"/>
      <c r="S12" s="26"/>
      <c r="T12" s="26">
        <v>20</v>
      </c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4">
        <f t="shared" si="3"/>
        <v>-20</v>
      </c>
      <c r="AF12" s="27">
        <f t="shared" si="4"/>
        <v>0</v>
      </c>
      <c r="AG12" s="91">
        <f t="shared" si="5"/>
        <v>20</v>
      </c>
      <c r="AMJ12"/>
    </row>
    <row r="13" spans="1:1024" s="17" customFormat="1" ht="19.5" customHeight="1" x14ac:dyDescent="0.3">
      <c r="A13" s="81"/>
      <c r="B13" s="12"/>
      <c r="C13" s="82"/>
      <c r="D13" s="12"/>
      <c r="E13" s="12"/>
      <c r="F13" s="82"/>
      <c r="G13" s="82"/>
      <c r="H13" s="82"/>
      <c r="I13" s="82"/>
      <c r="J13" s="84"/>
      <c r="K13" s="84"/>
      <c r="L13" s="83"/>
      <c r="M13" s="24">
        <f t="shared" si="0"/>
        <v>0</v>
      </c>
      <c r="N13" s="24">
        <f t="shared" si="1"/>
        <v>0</v>
      </c>
      <c r="O13" s="24">
        <f t="shared" si="2"/>
        <v>0</v>
      </c>
      <c r="P13" s="24"/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4">
        <f t="shared" si="3"/>
        <v>0</v>
      </c>
      <c r="AF13" s="27">
        <f t="shared" si="4"/>
        <v>0</v>
      </c>
      <c r="AMJ13"/>
    </row>
    <row r="14" spans="1:1024" s="29" customFormat="1" ht="23.25" customHeight="1" x14ac:dyDescent="0.3">
      <c r="A14" s="81"/>
      <c r="B14" s="19"/>
      <c r="C14" s="20"/>
      <c r="D14" s="20"/>
      <c r="E14" s="20"/>
      <c r="F14" s="21"/>
      <c r="G14" s="21"/>
      <c r="H14" s="22"/>
      <c r="I14" s="22"/>
      <c r="J14" s="22"/>
      <c r="K14" s="22"/>
      <c r="L14" s="23"/>
      <c r="M14" s="24">
        <f t="shared" si="0"/>
        <v>0</v>
      </c>
      <c r="N14" s="24">
        <f t="shared" si="1"/>
        <v>0</v>
      </c>
      <c r="O14" s="24">
        <f t="shared" si="2"/>
        <v>0</v>
      </c>
      <c r="P14" s="24"/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4">
        <f t="shared" si="3"/>
        <v>0</v>
      </c>
      <c r="AF14" s="27">
        <f t="shared" si="4"/>
        <v>0</v>
      </c>
      <c r="AMJ14"/>
    </row>
    <row r="15" spans="1:1024" s="29" customFormat="1" x14ac:dyDescent="0.3">
      <c r="A15" s="18"/>
      <c r="B15" s="19"/>
      <c r="C15" s="43"/>
      <c r="D15" s="43"/>
      <c r="E15" s="43"/>
      <c r="F15" s="21"/>
      <c r="G15" s="30"/>
      <c r="H15" s="22"/>
      <c r="I15" s="22"/>
      <c r="J15" s="22"/>
      <c r="K15" s="22"/>
      <c r="L15" s="23"/>
      <c r="M15" s="25">
        <f t="shared" si="0"/>
        <v>0</v>
      </c>
      <c r="N15" s="25">
        <f t="shared" si="1"/>
        <v>0</v>
      </c>
      <c r="O15" s="25">
        <f t="shared" si="2"/>
        <v>0</v>
      </c>
      <c r="P15" s="25"/>
      <c r="Q15" s="25"/>
      <c r="R15" s="25"/>
      <c r="S15" s="25"/>
      <c r="T15" s="26"/>
      <c r="U15" s="51"/>
      <c r="V15" s="26"/>
      <c r="W15" s="26"/>
      <c r="X15" s="26"/>
      <c r="Y15" s="44"/>
      <c r="Z15" s="25"/>
      <c r="AA15" s="51"/>
      <c r="AB15" s="25"/>
      <c r="AC15" s="26"/>
      <c r="AD15" s="45"/>
      <c r="AE15" s="24">
        <f t="shared" si="3"/>
        <v>0</v>
      </c>
      <c r="AF15" s="27">
        <f t="shared" si="4"/>
        <v>0</v>
      </c>
      <c r="AMJ15"/>
    </row>
    <row r="16" spans="1:1024" s="52" customFormat="1" x14ac:dyDescent="0.3">
      <c r="A16" s="46"/>
      <c r="B16" s="47"/>
      <c r="C16" s="48"/>
      <c r="D16" s="49"/>
      <c r="E16" s="49"/>
      <c r="F16" s="50"/>
      <c r="G16" s="48"/>
      <c r="H16" s="51">
        <f>SUM(H5:H14)</f>
        <v>120</v>
      </c>
      <c r="I16" s="51">
        <f>SUM(I14:I15)</f>
        <v>0</v>
      </c>
      <c r="J16" s="51">
        <f>SUM(J5:J15)</f>
        <v>466</v>
      </c>
      <c r="K16" s="51">
        <f>SUM(K5:K15)</f>
        <v>4216</v>
      </c>
      <c r="L16" s="51">
        <f>SUM(L14:L15)</f>
        <v>0</v>
      </c>
      <c r="M16" s="51">
        <f>SUM(M5:M15)</f>
        <v>4350.2857142857138</v>
      </c>
      <c r="N16" s="51">
        <f>SUM(N5:N15)</f>
        <v>451.71428571428567</v>
      </c>
      <c r="O16" s="51">
        <f>SUM(O14:O15)</f>
        <v>0</v>
      </c>
      <c r="P16" s="51">
        <f>SUM(P5:P15)</f>
        <v>2455.29</v>
      </c>
      <c r="Q16" s="51">
        <f>SUM(Q5:Q15)</f>
        <v>696.43</v>
      </c>
      <c r="R16" s="51">
        <f>SUM(R5:R14)</f>
        <v>141.07</v>
      </c>
      <c r="S16" s="51">
        <f>SUM(S14:S15)</f>
        <v>0</v>
      </c>
      <c r="T16" s="51">
        <f>SUM(T5:T15)</f>
        <v>120</v>
      </c>
      <c r="U16" s="51">
        <f>SUM(U5:U15)</f>
        <v>0</v>
      </c>
      <c r="V16" s="51">
        <f>SUM(V14:V15)</f>
        <v>0</v>
      </c>
      <c r="W16" s="51">
        <f>SUM(W14:W15)</f>
        <v>0</v>
      </c>
      <c r="X16" s="51">
        <f>SUM(X14:X15)</f>
        <v>0</v>
      </c>
      <c r="Y16" s="51">
        <f>SUM(Y14:Y15)</f>
        <v>0</v>
      </c>
      <c r="Z16" s="51">
        <f>SUM(Z14:Z15)</f>
        <v>0</v>
      </c>
      <c r="AA16" s="51">
        <f>SUM(AA5:AA14)</f>
        <v>0</v>
      </c>
      <c r="AB16" s="51">
        <f>SUM(AB14:AB15)</f>
        <v>0</v>
      </c>
      <c r="AC16" s="51">
        <f>SUM(AC5:AC14)</f>
        <v>0</v>
      </c>
      <c r="AD16" s="51">
        <f>SUM(AD14:AD15)</f>
        <v>0</v>
      </c>
      <c r="AE16" s="51">
        <f>SUM(AE5:AE15)</f>
        <v>-4802.0042857142853</v>
      </c>
      <c r="AF16" s="51">
        <f>SUM(AF14:AF15)</f>
        <v>0</v>
      </c>
      <c r="AMJ16"/>
    </row>
    <row r="17" spans="8:1024" s="77" customFormat="1" x14ac:dyDescent="0.3">
      <c r="AMJ17"/>
    </row>
    <row r="18" spans="8:1024" x14ac:dyDescent="0.3">
      <c r="H18" s="85"/>
      <c r="I18" s="85"/>
      <c r="J18" s="85"/>
      <c r="K18" s="85"/>
    </row>
    <row r="19" spans="8:1024" x14ac:dyDescent="0.3">
      <c r="H19" s="85"/>
      <c r="I19" s="85"/>
      <c r="J19" s="85"/>
      <c r="K19" s="85"/>
    </row>
    <row r="20" spans="8:1024" x14ac:dyDescent="0.3">
      <c r="H20" s="87"/>
      <c r="I20" s="87"/>
      <c r="J20" s="87"/>
      <c r="K20" s="87"/>
    </row>
    <row r="21" spans="8:1024" x14ac:dyDescent="0.3">
      <c r="H21" s="87"/>
      <c r="I21" s="87"/>
      <c r="J21" s="87"/>
      <c r="K21" s="87"/>
    </row>
    <row r="22" spans="8:1024" s="3" customFormat="1" x14ac:dyDescent="0.3">
      <c r="H22" s="87"/>
      <c r="I22" s="87"/>
      <c r="J22" s="87"/>
      <c r="K22" s="87"/>
      <c r="AMJ22"/>
    </row>
    <row r="23" spans="8:1024" s="3" customFormat="1" x14ac:dyDescent="0.3">
      <c r="H23" s="87"/>
      <c r="I23" s="87"/>
      <c r="J23" s="87"/>
      <c r="K23" s="87"/>
      <c r="AMJ23"/>
    </row>
    <row r="24" spans="8:1024" s="3" customFormat="1" x14ac:dyDescent="0.3">
      <c r="H24" s="87"/>
      <c r="I24" s="87"/>
      <c r="J24" s="87"/>
      <c r="K24" s="87"/>
      <c r="AMJ24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94"/>
  <sheetViews>
    <sheetView topLeftCell="A82" zoomScale="90" zoomScaleNormal="90" workbookViewId="0">
      <selection activeCell="G87" sqref="A87:XFD92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4" style="3" customWidth="1"/>
    <col min="4" max="4" width="14" style="4" customWidth="1"/>
    <col min="5" max="5" width="28" style="4" customWidth="1"/>
    <col min="6" max="6" width="7.88671875" style="2" customWidth="1"/>
    <col min="7" max="7" width="31.5546875" style="3" customWidth="1"/>
    <col min="8" max="8" width="11" style="5" customWidth="1"/>
    <col min="9" max="9" width="8.44140625" style="5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9.5546875" style="5" customWidth="1"/>
    <col min="18" max="18" width="10.6640625" style="5" customWidth="1"/>
    <col min="19" max="19" width="8.109375" style="5" customWidth="1"/>
    <col min="20" max="21" width="9.109375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30" width="8" style="5" customWidth="1"/>
    <col min="31" max="31" width="10.109375" style="5" customWidth="1"/>
    <col min="32" max="32" width="10.6640625" style="5" customWidth="1"/>
    <col min="33" max="33" width="8.88671875" style="3" customWidth="1"/>
    <col min="34" max="1025" width="9.109375" style="3" customWidth="1"/>
  </cols>
  <sheetData>
    <row r="1" spans="1:34" ht="12" customHeight="1" x14ac:dyDescent="0.3">
      <c r="A1" s="7" t="s">
        <v>0</v>
      </c>
      <c r="C1" s="8"/>
    </row>
    <row r="2" spans="1:34" ht="12" customHeight="1" x14ac:dyDescent="0.3">
      <c r="A2" s="7" t="s">
        <v>1</v>
      </c>
    </row>
    <row r="3" spans="1:34" ht="12" customHeight="1" x14ac:dyDescent="0.3">
      <c r="A3" s="7" t="s">
        <v>402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4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6" t="s">
        <v>36</v>
      </c>
    </row>
    <row r="5" spans="1:34" s="29" customFormat="1" ht="23.25" customHeight="1" x14ac:dyDescent="0.2">
      <c r="A5" s="18">
        <v>43983</v>
      </c>
      <c r="B5" s="19"/>
      <c r="C5" s="20" t="s">
        <v>39</v>
      </c>
      <c r="D5" s="20" t="s">
        <v>40</v>
      </c>
      <c r="E5" s="20" t="s">
        <v>41</v>
      </c>
      <c r="F5" s="21">
        <v>38337</v>
      </c>
      <c r="G5" s="21" t="s">
        <v>403</v>
      </c>
      <c r="H5" s="22"/>
      <c r="I5" s="22"/>
      <c r="J5" s="22"/>
      <c r="K5" s="22">
        <v>237</v>
      </c>
      <c r="L5" s="23"/>
      <c r="M5" s="24">
        <f t="shared" ref="M5:M36" si="0">SUM(H5:J5,K5/1.12)</f>
        <v>211.60714285714283</v>
      </c>
      <c r="N5" s="24">
        <f t="shared" ref="N5:N36" si="1">K5/1.12*0.12</f>
        <v>25.392857142857139</v>
      </c>
      <c r="O5" s="24">
        <f t="shared" ref="O5:O36" si="2">-SUM(I5:J5,K5/1.12)*L5</f>
        <v>0</v>
      </c>
      <c r="P5" s="24"/>
      <c r="Q5" s="25"/>
      <c r="R5" s="25"/>
      <c r="S5" s="26"/>
      <c r="T5" s="26"/>
      <c r="U5" s="26">
        <v>211.61</v>
      </c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>
        <f t="shared" ref="AF5:AF36" si="3">-SUM(N5:AE5)</f>
        <v>-237.00285714285715</v>
      </c>
      <c r="AG5" s="27">
        <f t="shared" ref="AG5:AG36" si="4">SUM(H5:K5)+AF5+O5</f>
        <v>-2.8571428571524393E-3</v>
      </c>
      <c r="AH5" s="28">
        <f t="shared" ref="AH5:AH36" si="5">-AF5</f>
        <v>237.00285714285715</v>
      </c>
    </row>
    <row r="6" spans="1:34" s="29" customFormat="1" ht="23.25" customHeight="1" x14ac:dyDescent="0.2">
      <c r="A6" s="18">
        <v>43984</v>
      </c>
      <c r="B6" s="19"/>
      <c r="C6" s="20" t="s">
        <v>404</v>
      </c>
      <c r="D6" s="20"/>
      <c r="E6" s="20"/>
      <c r="F6" s="21"/>
      <c r="G6" s="21" t="s">
        <v>405</v>
      </c>
      <c r="H6" s="22">
        <v>24</v>
      </c>
      <c r="I6" s="22"/>
      <c r="J6" s="22"/>
      <c r="K6" s="22"/>
      <c r="L6" s="23"/>
      <c r="M6" s="24">
        <f t="shared" si="0"/>
        <v>24</v>
      </c>
      <c r="N6" s="24">
        <f t="shared" si="1"/>
        <v>0</v>
      </c>
      <c r="O6" s="24">
        <f t="shared" si="2"/>
        <v>0</v>
      </c>
      <c r="P6" s="24"/>
      <c r="Q6" s="25"/>
      <c r="R6" s="25"/>
      <c r="S6" s="26"/>
      <c r="T6" s="26"/>
      <c r="U6" s="26"/>
      <c r="V6" s="26"/>
      <c r="W6" s="26"/>
      <c r="X6" s="25"/>
      <c r="Y6" s="25"/>
      <c r="Z6" s="25">
        <v>24</v>
      </c>
      <c r="AA6" s="25"/>
      <c r="AB6" s="26"/>
      <c r="AC6" s="26"/>
      <c r="AD6" s="25"/>
      <c r="AE6" s="25"/>
      <c r="AF6" s="24">
        <f t="shared" si="3"/>
        <v>-24</v>
      </c>
      <c r="AG6" s="27">
        <f t="shared" si="4"/>
        <v>0</v>
      </c>
      <c r="AH6" s="28">
        <f t="shared" si="5"/>
        <v>24</v>
      </c>
    </row>
    <row r="7" spans="1:34" s="29" customFormat="1" ht="23.25" customHeight="1" x14ac:dyDescent="0.2">
      <c r="A7" s="18">
        <v>43984</v>
      </c>
      <c r="B7" s="19"/>
      <c r="C7" s="20" t="s">
        <v>406</v>
      </c>
      <c r="D7" s="20" t="s">
        <v>407</v>
      </c>
      <c r="E7" s="20" t="s">
        <v>41</v>
      </c>
      <c r="F7" s="21">
        <v>34905</v>
      </c>
      <c r="G7" s="21" t="s">
        <v>58</v>
      </c>
      <c r="H7" s="22"/>
      <c r="I7" s="22"/>
      <c r="J7" s="22"/>
      <c r="K7" s="22">
        <v>42</v>
      </c>
      <c r="L7" s="23"/>
      <c r="M7" s="24">
        <f t="shared" si="0"/>
        <v>37.499999999999993</v>
      </c>
      <c r="N7" s="24">
        <f t="shared" si="1"/>
        <v>4.4999999999999991</v>
      </c>
      <c r="O7" s="24">
        <f t="shared" si="2"/>
        <v>0</v>
      </c>
      <c r="P7" s="24"/>
      <c r="Q7" s="25">
        <v>37.5</v>
      </c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>
        <f t="shared" si="3"/>
        <v>-42</v>
      </c>
      <c r="AG7" s="27">
        <f t="shared" si="4"/>
        <v>0</v>
      </c>
      <c r="AH7" s="28">
        <f t="shared" si="5"/>
        <v>42</v>
      </c>
    </row>
    <row r="8" spans="1:34" s="29" customFormat="1" ht="23.25" customHeight="1" x14ac:dyDescent="0.2">
      <c r="A8" s="18">
        <v>43985</v>
      </c>
      <c r="B8" s="19"/>
      <c r="C8" s="20" t="s">
        <v>39</v>
      </c>
      <c r="D8" s="20" t="s">
        <v>40</v>
      </c>
      <c r="E8" s="20" t="s">
        <v>41</v>
      </c>
      <c r="F8" s="21">
        <v>38345</v>
      </c>
      <c r="G8" s="21" t="s">
        <v>138</v>
      </c>
      <c r="H8" s="22"/>
      <c r="I8" s="22"/>
      <c r="J8" s="22"/>
      <c r="K8" s="22">
        <v>156</v>
      </c>
      <c r="L8" s="23"/>
      <c r="M8" s="24">
        <f t="shared" si="0"/>
        <v>139.28571428571428</v>
      </c>
      <c r="N8" s="24">
        <f t="shared" si="1"/>
        <v>16.714285714285712</v>
      </c>
      <c r="O8" s="24">
        <f t="shared" si="2"/>
        <v>0</v>
      </c>
      <c r="P8" s="24">
        <v>139.29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>
        <f t="shared" si="3"/>
        <v>-156.00428571428571</v>
      </c>
      <c r="AG8" s="27">
        <f t="shared" si="4"/>
        <v>-4.2857142857144481E-3</v>
      </c>
      <c r="AH8" s="28">
        <f t="shared" si="5"/>
        <v>156.00428571428571</v>
      </c>
    </row>
    <row r="9" spans="1:34" s="29" customFormat="1" ht="23.25" customHeight="1" x14ac:dyDescent="0.2">
      <c r="A9" s="18">
        <v>43985</v>
      </c>
      <c r="B9" s="19"/>
      <c r="C9" s="20" t="s">
        <v>106</v>
      </c>
      <c r="D9" s="20" t="s">
        <v>107</v>
      </c>
      <c r="E9" s="20" t="s">
        <v>49</v>
      </c>
      <c r="F9" s="21">
        <v>807581</v>
      </c>
      <c r="G9" s="21" t="s">
        <v>408</v>
      </c>
      <c r="H9" s="22"/>
      <c r="I9" s="22"/>
      <c r="J9" s="22"/>
      <c r="K9" s="22">
        <v>380.2</v>
      </c>
      <c r="L9" s="23"/>
      <c r="M9" s="24">
        <f t="shared" si="0"/>
        <v>339.46428571428567</v>
      </c>
      <c r="N9" s="24">
        <f t="shared" si="1"/>
        <v>40.73571428571428</v>
      </c>
      <c r="O9" s="24">
        <f t="shared" si="2"/>
        <v>0</v>
      </c>
      <c r="P9" s="24"/>
      <c r="Q9" s="25"/>
      <c r="R9" s="25"/>
      <c r="S9" s="26"/>
      <c r="T9" s="26">
        <v>339.46</v>
      </c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>
        <f t="shared" si="3"/>
        <v>-380.19571428571425</v>
      </c>
      <c r="AG9" s="27">
        <f t="shared" si="4"/>
        <v>4.2857142857428698E-3</v>
      </c>
      <c r="AH9" s="28">
        <f t="shared" si="5"/>
        <v>380.19571428571425</v>
      </c>
    </row>
    <row r="10" spans="1:34" s="29" customFormat="1" ht="23.25" customHeight="1" x14ac:dyDescent="0.2">
      <c r="A10" s="18">
        <v>43985</v>
      </c>
      <c r="B10" s="19"/>
      <c r="C10" s="20" t="s">
        <v>406</v>
      </c>
      <c r="D10" s="20" t="s">
        <v>407</v>
      </c>
      <c r="E10" s="20" t="s">
        <v>41</v>
      </c>
      <c r="F10" s="21">
        <v>36858</v>
      </c>
      <c r="G10" s="21" t="s">
        <v>58</v>
      </c>
      <c r="H10" s="22"/>
      <c r="I10" s="22"/>
      <c r="J10" s="22"/>
      <c r="K10" s="22">
        <v>42</v>
      </c>
      <c r="L10" s="23"/>
      <c r="M10" s="24">
        <f t="shared" si="0"/>
        <v>37.499999999999993</v>
      </c>
      <c r="N10" s="24">
        <f t="shared" si="1"/>
        <v>4.4999999999999991</v>
      </c>
      <c r="O10" s="24">
        <f t="shared" si="2"/>
        <v>0</v>
      </c>
      <c r="P10" s="24"/>
      <c r="Q10" s="25">
        <v>37.5</v>
      </c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>
        <f t="shared" si="3"/>
        <v>-42</v>
      </c>
      <c r="AG10" s="27">
        <f t="shared" si="4"/>
        <v>0</v>
      </c>
      <c r="AH10" s="28">
        <f t="shared" si="5"/>
        <v>42</v>
      </c>
    </row>
    <row r="11" spans="1:34" s="29" customFormat="1" ht="23.25" customHeight="1" x14ac:dyDescent="0.2">
      <c r="A11" s="18">
        <v>43985</v>
      </c>
      <c r="B11" s="19"/>
      <c r="C11" s="20" t="s">
        <v>409</v>
      </c>
      <c r="D11" s="20" t="s">
        <v>410</v>
      </c>
      <c r="E11" s="20" t="s">
        <v>411</v>
      </c>
      <c r="F11" s="21">
        <v>631</v>
      </c>
      <c r="G11" s="21" t="s">
        <v>256</v>
      </c>
      <c r="H11" s="22"/>
      <c r="I11" s="22"/>
      <c r="J11" s="22">
        <v>7371</v>
      </c>
      <c r="K11" s="22"/>
      <c r="L11" s="23"/>
      <c r="M11" s="24">
        <f t="shared" si="0"/>
        <v>7371</v>
      </c>
      <c r="N11" s="24">
        <f t="shared" si="1"/>
        <v>0</v>
      </c>
      <c r="O11" s="24">
        <f t="shared" si="2"/>
        <v>0</v>
      </c>
      <c r="P11" s="24">
        <v>7371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>
        <f t="shared" si="3"/>
        <v>-7371</v>
      </c>
      <c r="AG11" s="27">
        <f t="shared" si="4"/>
        <v>0</v>
      </c>
      <c r="AH11" s="28">
        <f t="shared" si="5"/>
        <v>7371</v>
      </c>
    </row>
    <row r="12" spans="1:34" s="29" customFormat="1" ht="23.25" customHeight="1" x14ac:dyDescent="0.2">
      <c r="A12" s="18">
        <v>43986</v>
      </c>
      <c r="B12" s="19"/>
      <c r="C12" s="20" t="s">
        <v>217</v>
      </c>
      <c r="D12" s="20" t="s">
        <v>185</v>
      </c>
      <c r="E12" s="20" t="s">
        <v>412</v>
      </c>
      <c r="F12" s="21">
        <v>6489</v>
      </c>
      <c r="G12" s="21" t="s">
        <v>413</v>
      </c>
      <c r="H12" s="22"/>
      <c r="I12" s="22"/>
      <c r="J12" s="22"/>
      <c r="K12" s="22">
        <v>170</v>
      </c>
      <c r="L12" s="23"/>
      <c r="M12" s="24">
        <f t="shared" si="0"/>
        <v>151.78571428571428</v>
      </c>
      <c r="N12" s="24">
        <f t="shared" si="1"/>
        <v>18.214285714285712</v>
      </c>
      <c r="O12" s="24">
        <f t="shared" si="2"/>
        <v>0</v>
      </c>
      <c r="P12" s="24">
        <v>151.79</v>
      </c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>
        <f t="shared" si="3"/>
        <v>-170.00428571428571</v>
      </c>
      <c r="AG12" s="27">
        <f t="shared" si="4"/>
        <v>-4.2857142857144481E-3</v>
      </c>
      <c r="AH12" s="28">
        <f t="shared" si="5"/>
        <v>170.00428571428571</v>
      </c>
    </row>
    <row r="13" spans="1:34" s="29" customFormat="1" ht="23.25" customHeight="1" x14ac:dyDescent="0.2">
      <c r="A13" s="18">
        <v>43986</v>
      </c>
      <c r="B13" s="19"/>
      <c r="C13" s="20" t="s">
        <v>39</v>
      </c>
      <c r="D13" s="20" t="s">
        <v>40</v>
      </c>
      <c r="E13" s="20" t="s">
        <v>41</v>
      </c>
      <c r="F13" s="21">
        <v>38356</v>
      </c>
      <c r="G13" s="21" t="s">
        <v>414</v>
      </c>
      <c r="H13" s="22"/>
      <c r="I13" s="22"/>
      <c r="J13" s="22"/>
      <c r="K13" s="22">
        <v>644.75</v>
      </c>
      <c r="L13" s="23"/>
      <c r="M13" s="24">
        <f t="shared" si="0"/>
        <v>575.66964285714278</v>
      </c>
      <c r="N13" s="24">
        <f t="shared" si="1"/>
        <v>69.080357142857125</v>
      </c>
      <c r="O13" s="24">
        <f t="shared" si="2"/>
        <v>0</v>
      </c>
      <c r="P13" s="24">
        <v>575.66999999999996</v>
      </c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>
        <f t="shared" si="3"/>
        <v>-644.75035714285707</v>
      </c>
      <c r="AG13" s="27">
        <f t="shared" si="4"/>
        <v>-3.5714285706944793E-4</v>
      </c>
      <c r="AH13" s="28">
        <f t="shared" si="5"/>
        <v>644.75035714285707</v>
      </c>
    </row>
    <row r="14" spans="1:34" s="29" customFormat="1" ht="23.25" customHeight="1" x14ac:dyDescent="0.2">
      <c r="A14" s="18">
        <v>43987</v>
      </c>
      <c r="B14" s="19"/>
      <c r="C14" s="20" t="s">
        <v>45</v>
      </c>
      <c r="D14" s="20"/>
      <c r="E14" s="20"/>
      <c r="F14" s="21"/>
      <c r="G14" s="21" t="s">
        <v>415</v>
      </c>
      <c r="H14" s="22"/>
      <c r="I14" s="22"/>
      <c r="J14" s="22">
        <v>200</v>
      </c>
      <c r="K14" s="22"/>
      <c r="L14" s="23"/>
      <c r="M14" s="24">
        <f t="shared" si="0"/>
        <v>200</v>
      </c>
      <c r="N14" s="24">
        <f t="shared" si="1"/>
        <v>0</v>
      </c>
      <c r="O14" s="24">
        <f t="shared" si="2"/>
        <v>0</v>
      </c>
      <c r="P14" s="24">
        <v>200</v>
      </c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>
        <f t="shared" si="3"/>
        <v>-200</v>
      </c>
      <c r="AG14" s="27">
        <f t="shared" si="4"/>
        <v>0</v>
      </c>
      <c r="AH14" s="28">
        <f t="shared" si="5"/>
        <v>200</v>
      </c>
    </row>
    <row r="15" spans="1:34" s="29" customFormat="1" ht="23.25" customHeight="1" x14ac:dyDescent="0.2">
      <c r="A15" s="18">
        <v>43956</v>
      </c>
      <c r="B15" s="19"/>
      <c r="C15" s="20" t="s">
        <v>406</v>
      </c>
      <c r="D15" s="20" t="s">
        <v>407</v>
      </c>
      <c r="E15" s="20" t="s">
        <v>41</v>
      </c>
      <c r="F15" s="21">
        <v>348731</v>
      </c>
      <c r="G15" s="21" t="s">
        <v>58</v>
      </c>
      <c r="H15" s="22"/>
      <c r="I15" s="22"/>
      <c r="J15" s="22"/>
      <c r="K15" s="22">
        <v>42</v>
      </c>
      <c r="L15" s="23"/>
      <c r="M15" s="24">
        <f t="shared" si="0"/>
        <v>37.499999999999993</v>
      </c>
      <c r="N15" s="24">
        <f t="shared" si="1"/>
        <v>4.4999999999999991</v>
      </c>
      <c r="O15" s="24">
        <f t="shared" si="2"/>
        <v>0</v>
      </c>
      <c r="P15" s="24"/>
      <c r="Q15" s="25">
        <v>37.5</v>
      </c>
      <c r="R15" s="25"/>
      <c r="S15" s="26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>
        <f t="shared" si="3"/>
        <v>-42</v>
      </c>
      <c r="AG15" s="27">
        <f t="shared" si="4"/>
        <v>0</v>
      </c>
      <c r="AH15" s="28">
        <f t="shared" si="5"/>
        <v>42</v>
      </c>
    </row>
    <row r="16" spans="1:34" s="29" customFormat="1" ht="27.75" customHeight="1" x14ac:dyDescent="0.2">
      <c r="A16" s="18">
        <v>43956</v>
      </c>
      <c r="B16" s="19"/>
      <c r="C16" s="20" t="s">
        <v>39</v>
      </c>
      <c r="D16" s="20" t="s">
        <v>40</v>
      </c>
      <c r="E16" s="20" t="s">
        <v>41</v>
      </c>
      <c r="F16" s="21">
        <v>38362</v>
      </c>
      <c r="G16" s="30" t="s">
        <v>138</v>
      </c>
      <c r="H16" s="22"/>
      <c r="I16" s="22"/>
      <c r="J16" s="22"/>
      <c r="K16" s="22">
        <v>195</v>
      </c>
      <c r="L16" s="23"/>
      <c r="M16" s="24">
        <f t="shared" si="0"/>
        <v>174.10714285714283</v>
      </c>
      <c r="N16" s="24">
        <f t="shared" si="1"/>
        <v>20.892857142857139</v>
      </c>
      <c r="O16" s="24">
        <f t="shared" si="2"/>
        <v>0</v>
      </c>
      <c r="P16" s="24">
        <v>174.11</v>
      </c>
      <c r="Q16" s="25"/>
      <c r="R16" s="25"/>
      <c r="S16" s="26"/>
      <c r="T16" s="26"/>
      <c r="U16" s="26"/>
      <c r="V16" s="26"/>
      <c r="W16" s="26"/>
      <c r="X16" s="25"/>
      <c r="Y16" s="25"/>
      <c r="Z16" s="25"/>
      <c r="AA16" s="25"/>
      <c r="AB16" s="26"/>
      <c r="AC16" s="26"/>
      <c r="AD16" s="25"/>
      <c r="AE16" s="25"/>
      <c r="AF16" s="24">
        <f t="shared" si="3"/>
        <v>-195.00285714285715</v>
      </c>
      <c r="AG16" s="27">
        <f t="shared" si="4"/>
        <v>-2.8571428571524393E-3</v>
      </c>
      <c r="AH16" s="28">
        <f t="shared" si="5"/>
        <v>195.00285714285715</v>
      </c>
    </row>
    <row r="17" spans="1:34" s="29" customFormat="1" ht="23.25" customHeight="1" x14ac:dyDescent="0.2">
      <c r="A17" s="18">
        <v>43990</v>
      </c>
      <c r="B17" s="19"/>
      <c r="C17" s="20" t="s">
        <v>206</v>
      </c>
      <c r="D17" s="20" t="s">
        <v>79</v>
      </c>
      <c r="E17" s="20" t="s">
        <v>67</v>
      </c>
      <c r="F17" s="21">
        <v>24070</v>
      </c>
      <c r="G17" s="21" t="s">
        <v>263</v>
      </c>
      <c r="H17" s="22"/>
      <c r="I17" s="22"/>
      <c r="J17" s="22">
        <v>250</v>
      </c>
      <c r="K17" s="22"/>
      <c r="L17" s="23"/>
      <c r="M17" s="24">
        <f t="shared" si="0"/>
        <v>250</v>
      </c>
      <c r="N17" s="24">
        <f t="shared" si="1"/>
        <v>0</v>
      </c>
      <c r="O17" s="24">
        <f t="shared" si="2"/>
        <v>0</v>
      </c>
      <c r="P17" s="24">
        <v>250</v>
      </c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>
        <f t="shared" si="3"/>
        <v>-250</v>
      </c>
      <c r="AG17" s="27">
        <f t="shared" si="4"/>
        <v>0</v>
      </c>
      <c r="AH17" s="28">
        <f t="shared" si="5"/>
        <v>250</v>
      </c>
    </row>
    <row r="18" spans="1:34" s="29" customFormat="1" ht="23.25" customHeight="1" x14ac:dyDescent="0.2">
      <c r="A18" s="18">
        <v>43990</v>
      </c>
      <c r="B18" s="19"/>
      <c r="C18" s="20" t="s">
        <v>37</v>
      </c>
      <c r="D18" s="20"/>
      <c r="E18" s="20"/>
      <c r="F18" s="21"/>
      <c r="G18" s="21" t="s">
        <v>416</v>
      </c>
      <c r="H18" s="22">
        <v>20</v>
      </c>
      <c r="I18" s="22"/>
      <c r="J18" s="22"/>
      <c r="K18" s="22"/>
      <c r="L18" s="23"/>
      <c r="M18" s="24">
        <f t="shared" si="0"/>
        <v>20</v>
      </c>
      <c r="N18" s="24">
        <f t="shared" si="1"/>
        <v>0</v>
      </c>
      <c r="O18" s="24">
        <f t="shared" si="2"/>
        <v>0</v>
      </c>
      <c r="P18" s="25"/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>
        <v>20</v>
      </c>
      <c r="AB18" s="26"/>
      <c r="AC18" s="26"/>
      <c r="AD18" s="25"/>
      <c r="AE18" s="25"/>
      <c r="AF18" s="24">
        <f t="shared" si="3"/>
        <v>-20</v>
      </c>
      <c r="AG18" s="27">
        <f t="shared" si="4"/>
        <v>0</v>
      </c>
      <c r="AH18" s="28">
        <f t="shared" si="5"/>
        <v>20</v>
      </c>
    </row>
    <row r="19" spans="1:34" s="42" customFormat="1" ht="23.25" customHeight="1" x14ac:dyDescent="0.2">
      <c r="A19" s="32">
        <v>43990</v>
      </c>
      <c r="B19" s="33"/>
      <c r="C19" s="34" t="s">
        <v>37</v>
      </c>
      <c r="D19" s="34"/>
      <c r="E19" s="34"/>
      <c r="F19" s="35"/>
      <c r="G19" s="35" t="s">
        <v>417</v>
      </c>
      <c r="H19" s="36">
        <v>218</v>
      </c>
      <c r="I19" s="36"/>
      <c r="J19" s="36"/>
      <c r="K19" s="36"/>
      <c r="L19" s="37"/>
      <c r="M19" s="38">
        <f t="shared" si="0"/>
        <v>218</v>
      </c>
      <c r="N19" s="38">
        <f t="shared" si="1"/>
        <v>0</v>
      </c>
      <c r="O19" s="38">
        <f t="shared" si="2"/>
        <v>0</v>
      </c>
      <c r="P19" s="38"/>
      <c r="Q19" s="39"/>
      <c r="R19" s="39"/>
      <c r="S19" s="40"/>
      <c r="T19" s="40"/>
      <c r="U19" s="40"/>
      <c r="V19" s="40"/>
      <c r="W19" s="40"/>
      <c r="X19" s="39"/>
      <c r="Y19" s="39"/>
      <c r="Z19" s="39"/>
      <c r="AA19" s="39">
        <v>218</v>
      </c>
      <c r="AB19" s="40"/>
      <c r="AC19" s="40"/>
      <c r="AD19" s="39"/>
      <c r="AE19" s="39"/>
      <c r="AF19" s="38">
        <f t="shared" si="3"/>
        <v>-218</v>
      </c>
      <c r="AG19" s="41">
        <f t="shared" si="4"/>
        <v>0</v>
      </c>
      <c r="AH19" s="28">
        <f t="shared" si="5"/>
        <v>218</v>
      </c>
    </row>
    <row r="20" spans="1:34" s="29" customFormat="1" ht="23.25" customHeight="1" x14ac:dyDescent="0.2">
      <c r="A20" s="18">
        <v>43986</v>
      </c>
      <c r="B20" s="19"/>
      <c r="C20" s="20" t="s">
        <v>406</v>
      </c>
      <c r="D20" s="20" t="s">
        <v>407</v>
      </c>
      <c r="E20" s="20" t="s">
        <v>41</v>
      </c>
      <c r="F20" s="21">
        <v>37244</v>
      </c>
      <c r="G20" s="21" t="s">
        <v>58</v>
      </c>
      <c r="H20" s="22"/>
      <c r="I20" s="22"/>
      <c r="J20" s="22"/>
      <c r="K20" s="22">
        <v>42</v>
      </c>
      <c r="L20" s="23"/>
      <c r="M20" s="24">
        <f t="shared" si="0"/>
        <v>37.499999999999993</v>
      </c>
      <c r="N20" s="24">
        <f t="shared" si="1"/>
        <v>4.4999999999999991</v>
      </c>
      <c r="O20" s="24">
        <f t="shared" si="2"/>
        <v>0</v>
      </c>
      <c r="P20" s="24"/>
      <c r="Q20" s="25">
        <v>37.5</v>
      </c>
      <c r="R20" s="25"/>
      <c r="S20" s="26"/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>
        <f t="shared" si="3"/>
        <v>-42</v>
      </c>
      <c r="AG20" s="27">
        <f t="shared" si="4"/>
        <v>0</v>
      </c>
      <c r="AH20" s="28">
        <f t="shared" si="5"/>
        <v>42</v>
      </c>
    </row>
    <row r="21" spans="1:34" s="29" customFormat="1" ht="23.25" customHeight="1" x14ac:dyDescent="0.2">
      <c r="A21" s="18">
        <v>43991</v>
      </c>
      <c r="B21" s="19"/>
      <c r="C21" s="20" t="s">
        <v>39</v>
      </c>
      <c r="D21" s="20" t="s">
        <v>40</v>
      </c>
      <c r="E21" s="20" t="s">
        <v>41</v>
      </c>
      <c r="F21" s="21">
        <v>38369</v>
      </c>
      <c r="G21" s="21" t="s">
        <v>399</v>
      </c>
      <c r="H21" s="22"/>
      <c r="I21" s="22"/>
      <c r="J21" s="22">
        <v>304.01</v>
      </c>
      <c r="K21" s="22"/>
      <c r="L21" s="23"/>
      <c r="M21" s="24">
        <f t="shared" si="0"/>
        <v>304.01</v>
      </c>
      <c r="N21" s="24">
        <f t="shared" si="1"/>
        <v>0</v>
      </c>
      <c r="O21" s="24">
        <f t="shared" si="2"/>
        <v>0</v>
      </c>
      <c r="P21" s="24">
        <v>304.01</v>
      </c>
      <c r="Q21" s="25"/>
      <c r="R21" s="25"/>
      <c r="S21" s="26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>
        <f t="shared" si="3"/>
        <v>-304.01</v>
      </c>
      <c r="AG21" s="27">
        <f t="shared" si="4"/>
        <v>0</v>
      </c>
      <c r="AH21" s="28">
        <f t="shared" si="5"/>
        <v>304.01</v>
      </c>
    </row>
    <row r="22" spans="1:34" s="29" customFormat="1" ht="23.25" customHeight="1" x14ac:dyDescent="0.2">
      <c r="A22" s="18">
        <v>43992</v>
      </c>
      <c r="B22" s="19"/>
      <c r="C22" s="20" t="s">
        <v>60</v>
      </c>
      <c r="D22" s="20"/>
      <c r="E22" s="20"/>
      <c r="F22" s="21"/>
      <c r="G22" s="21" t="s">
        <v>418</v>
      </c>
      <c r="H22" s="22">
        <v>40</v>
      </c>
      <c r="I22" s="22"/>
      <c r="J22" s="22"/>
      <c r="K22" s="22"/>
      <c r="L22" s="23"/>
      <c r="M22" s="24">
        <f t="shared" si="0"/>
        <v>40</v>
      </c>
      <c r="N22" s="24">
        <f t="shared" si="1"/>
        <v>0</v>
      </c>
      <c r="O22" s="24">
        <f t="shared" si="2"/>
        <v>0</v>
      </c>
      <c r="P22" s="24"/>
      <c r="Q22" s="25"/>
      <c r="R22" s="25"/>
      <c r="S22" s="26"/>
      <c r="T22" s="26"/>
      <c r="U22" s="26"/>
      <c r="V22" s="26"/>
      <c r="W22" s="26"/>
      <c r="X22" s="25"/>
      <c r="Y22" s="25"/>
      <c r="Z22" s="25"/>
      <c r="AA22" s="25">
        <v>40</v>
      </c>
      <c r="AB22" s="26"/>
      <c r="AC22" s="26"/>
      <c r="AD22" s="25"/>
      <c r="AE22" s="25"/>
      <c r="AF22" s="24">
        <f t="shared" si="3"/>
        <v>-40</v>
      </c>
      <c r="AG22" s="27">
        <f t="shared" si="4"/>
        <v>0</v>
      </c>
      <c r="AH22" s="28">
        <f t="shared" si="5"/>
        <v>40</v>
      </c>
    </row>
    <row r="23" spans="1:34" s="29" customFormat="1" ht="23.25" customHeight="1" x14ac:dyDescent="0.2">
      <c r="A23" s="18">
        <v>43992</v>
      </c>
      <c r="B23" s="19"/>
      <c r="C23" s="20" t="s">
        <v>419</v>
      </c>
      <c r="D23" s="20" t="s">
        <v>214</v>
      </c>
      <c r="E23" s="20" t="s">
        <v>420</v>
      </c>
      <c r="F23" s="21">
        <v>199444</v>
      </c>
      <c r="G23" s="21" t="s">
        <v>421</v>
      </c>
      <c r="H23" s="22"/>
      <c r="I23" s="22"/>
      <c r="J23" s="22"/>
      <c r="K23" s="22">
        <v>690</v>
      </c>
      <c r="L23" s="23"/>
      <c r="M23" s="24">
        <f t="shared" si="0"/>
        <v>616.07142857142856</v>
      </c>
      <c r="N23" s="24">
        <f t="shared" si="1"/>
        <v>73.928571428571431</v>
      </c>
      <c r="O23" s="24">
        <f t="shared" si="2"/>
        <v>0</v>
      </c>
      <c r="P23" s="24"/>
      <c r="Q23" s="25"/>
      <c r="R23" s="25"/>
      <c r="S23" s="26">
        <v>616.07000000000005</v>
      </c>
      <c r="T23" s="26"/>
      <c r="U23" s="26"/>
      <c r="V23" s="26"/>
      <c r="W23" s="26"/>
      <c r="X23" s="25"/>
      <c r="Y23" s="25"/>
      <c r="Z23" s="25"/>
      <c r="AA23" s="25"/>
      <c r="AB23" s="26"/>
      <c r="AC23" s="26"/>
      <c r="AD23" s="25"/>
      <c r="AE23" s="25"/>
      <c r="AF23" s="24">
        <f t="shared" si="3"/>
        <v>-689.99857142857149</v>
      </c>
      <c r="AG23" s="27">
        <f t="shared" si="4"/>
        <v>1.4285714285051654E-3</v>
      </c>
      <c r="AH23" s="28">
        <f t="shared" si="5"/>
        <v>689.99857142857149</v>
      </c>
    </row>
    <row r="24" spans="1:34" s="29" customFormat="1" ht="23.25" customHeight="1" x14ac:dyDescent="0.2">
      <c r="A24" s="18">
        <v>43992</v>
      </c>
      <c r="B24" s="19"/>
      <c r="C24" s="20" t="s">
        <v>422</v>
      </c>
      <c r="D24" s="20" t="s">
        <v>423</v>
      </c>
      <c r="E24" s="20" t="s">
        <v>420</v>
      </c>
      <c r="F24" s="21">
        <v>705</v>
      </c>
      <c r="G24" s="21" t="s">
        <v>424</v>
      </c>
      <c r="H24" s="22"/>
      <c r="I24" s="22"/>
      <c r="J24" s="22">
        <v>300</v>
      </c>
      <c r="K24" s="22"/>
      <c r="L24" s="23"/>
      <c r="M24" s="24">
        <f t="shared" si="0"/>
        <v>300</v>
      </c>
      <c r="N24" s="24">
        <f t="shared" si="1"/>
        <v>0</v>
      </c>
      <c r="O24" s="24">
        <f t="shared" si="2"/>
        <v>0</v>
      </c>
      <c r="P24" s="24">
        <v>300</v>
      </c>
      <c r="Q24" s="25"/>
      <c r="R24" s="25"/>
      <c r="S24" s="26"/>
      <c r="T24" s="26"/>
      <c r="U24" s="26"/>
      <c r="V24" s="26"/>
      <c r="W24" s="26"/>
      <c r="X24" s="25"/>
      <c r="Y24" s="25"/>
      <c r="Z24" s="25"/>
      <c r="AA24" s="25"/>
      <c r="AB24" s="26"/>
      <c r="AC24" s="26"/>
      <c r="AD24" s="25"/>
      <c r="AE24" s="25"/>
      <c r="AF24" s="24">
        <f t="shared" si="3"/>
        <v>-300</v>
      </c>
      <c r="AG24" s="27">
        <f t="shared" si="4"/>
        <v>0</v>
      </c>
      <c r="AH24" s="28">
        <f t="shared" si="5"/>
        <v>300</v>
      </c>
    </row>
    <row r="25" spans="1:34" s="29" customFormat="1" ht="23.25" customHeight="1" x14ac:dyDescent="0.2">
      <c r="A25" s="18">
        <v>43992</v>
      </c>
      <c r="B25" s="19"/>
      <c r="C25" s="20" t="s">
        <v>406</v>
      </c>
      <c r="D25" s="20" t="s">
        <v>407</v>
      </c>
      <c r="E25" s="20" t="s">
        <v>41</v>
      </c>
      <c r="F25" s="21"/>
      <c r="G25" s="21" t="s">
        <v>58</v>
      </c>
      <c r="H25" s="22"/>
      <c r="I25" s="22"/>
      <c r="J25" s="22"/>
      <c r="K25" s="22">
        <v>24</v>
      </c>
      <c r="L25" s="23"/>
      <c r="M25" s="24">
        <f t="shared" si="0"/>
        <v>21.428571428571427</v>
      </c>
      <c r="N25" s="24">
        <f t="shared" si="1"/>
        <v>2.5714285714285712</v>
      </c>
      <c r="O25" s="24">
        <f t="shared" si="2"/>
        <v>0</v>
      </c>
      <c r="P25" s="24"/>
      <c r="Q25" s="25">
        <v>21.43</v>
      </c>
      <c r="R25" s="25"/>
      <c r="S25" s="26"/>
      <c r="T25" s="26"/>
      <c r="U25" s="26"/>
      <c r="V25" s="26"/>
      <c r="W25" s="26"/>
      <c r="X25" s="25"/>
      <c r="Y25" s="25"/>
      <c r="Z25" s="25"/>
      <c r="AA25" s="25"/>
      <c r="AB25" s="26"/>
      <c r="AC25" s="26"/>
      <c r="AD25" s="25"/>
      <c r="AE25" s="25"/>
      <c r="AF25" s="24">
        <f t="shared" si="3"/>
        <v>-24.001428571428569</v>
      </c>
      <c r="AG25" s="27">
        <f t="shared" si="4"/>
        <v>-1.4285714285691142E-3</v>
      </c>
      <c r="AH25" s="28">
        <f t="shared" si="5"/>
        <v>24.001428571428569</v>
      </c>
    </row>
    <row r="26" spans="1:34" s="29" customFormat="1" ht="23.25" customHeight="1" x14ac:dyDescent="0.2">
      <c r="A26" s="18">
        <v>43993</v>
      </c>
      <c r="B26" s="19"/>
      <c r="C26" s="20" t="s">
        <v>406</v>
      </c>
      <c r="D26" s="20" t="s">
        <v>407</v>
      </c>
      <c r="E26" s="20" t="s">
        <v>41</v>
      </c>
      <c r="F26" s="21">
        <v>2764308</v>
      </c>
      <c r="G26" s="21" t="s">
        <v>58</v>
      </c>
      <c r="H26" s="22"/>
      <c r="I26" s="22"/>
      <c r="J26" s="22"/>
      <c r="K26" s="22">
        <v>24</v>
      </c>
      <c r="L26" s="23"/>
      <c r="M26" s="24">
        <f t="shared" si="0"/>
        <v>21.428571428571427</v>
      </c>
      <c r="N26" s="24">
        <f t="shared" si="1"/>
        <v>2.5714285714285712</v>
      </c>
      <c r="O26" s="24">
        <f t="shared" si="2"/>
        <v>0</v>
      </c>
      <c r="P26" s="24"/>
      <c r="Q26" s="25">
        <v>21.43</v>
      </c>
      <c r="R26" s="25"/>
      <c r="S26" s="26"/>
      <c r="T26" s="26"/>
      <c r="U26" s="26"/>
      <c r="V26" s="26"/>
      <c r="W26" s="26"/>
      <c r="X26" s="25"/>
      <c r="Y26" s="25"/>
      <c r="Z26" s="25"/>
      <c r="AA26" s="25"/>
      <c r="AB26" s="26"/>
      <c r="AC26" s="26"/>
      <c r="AD26" s="25"/>
      <c r="AE26" s="25"/>
      <c r="AF26" s="24">
        <f t="shared" si="3"/>
        <v>-24.001428571428569</v>
      </c>
      <c r="AG26" s="27">
        <f t="shared" si="4"/>
        <v>-1.4285714285691142E-3</v>
      </c>
      <c r="AH26" s="28">
        <f t="shared" si="5"/>
        <v>24.001428571428569</v>
      </c>
    </row>
    <row r="27" spans="1:34" s="29" customFormat="1" ht="23.25" customHeight="1" x14ac:dyDescent="0.2">
      <c r="A27" s="18">
        <v>43993</v>
      </c>
      <c r="B27" s="19"/>
      <c r="C27" s="20" t="s">
        <v>240</v>
      </c>
      <c r="D27" s="20" t="s">
        <v>111</v>
      </c>
      <c r="E27" s="20" t="s">
        <v>49</v>
      </c>
      <c r="F27" s="21">
        <v>240583</v>
      </c>
      <c r="G27" s="21" t="s">
        <v>425</v>
      </c>
      <c r="H27" s="22"/>
      <c r="I27" s="22"/>
      <c r="J27" s="22"/>
      <c r="K27" s="22">
        <v>646.99</v>
      </c>
      <c r="L27" s="23"/>
      <c r="M27" s="24">
        <f t="shared" si="0"/>
        <v>577.66964285714278</v>
      </c>
      <c r="N27" s="24">
        <f t="shared" si="1"/>
        <v>69.320357142857134</v>
      </c>
      <c r="O27" s="24">
        <f t="shared" si="2"/>
        <v>0</v>
      </c>
      <c r="P27" s="24">
        <v>577.66999999999996</v>
      </c>
      <c r="Q27" s="25"/>
      <c r="R27" s="25"/>
      <c r="S27" s="26"/>
      <c r="T27" s="26"/>
      <c r="U27" s="26"/>
      <c r="V27" s="26"/>
      <c r="W27" s="26"/>
      <c r="X27" s="25"/>
      <c r="Y27" s="25"/>
      <c r="Z27" s="25"/>
      <c r="AA27" s="25"/>
      <c r="AB27" s="26"/>
      <c r="AC27" s="26"/>
      <c r="AD27" s="25"/>
      <c r="AE27" s="25"/>
      <c r="AF27" s="24">
        <f t="shared" si="3"/>
        <v>-646.99035714285708</v>
      </c>
      <c r="AG27" s="27">
        <f t="shared" si="4"/>
        <v>-3.5714285706944793E-4</v>
      </c>
      <c r="AH27" s="28">
        <f t="shared" si="5"/>
        <v>646.99035714285708</v>
      </c>
    </row>
    <row r="28" spans="1:34" s="29" customFormat="1" ht="23.25" customHeight="1" x14ac:dyDescent="0.2">
      <c r="A28" s="18">
        <v>43993</v>
      </c>
      <c r="B28" s="19"/>
      <c r="C28" s="20" t="s">
        <v>39</v>
      </c>
      <c r="D28" s="20" t="s">
        <v>40</v>
      </c>
      <c r="E28" s="20" t="s">
        <v>41</v>
      </c>
      <c r="F28" s="21">
        <v>38380</v>
      </c>
      <c r="G28" s="21" t="s">
        <v>426</v>
      </c>
      <c r="H28" s="22"/>
      <c r="I28" s="22"/>
      <c r="J28" s="22"/>
      <c r="K28" s="22">
        <v>603.25</v>
      </c>
      <c r="L28" s="23"/>
      <c r="M28" s="24">
        <f t="shared" si="0"/>
        <v>538.61607142857133</v>
      </c>
      <c r="N28" s="24">
        <f t="shared" si="1"/>
        <v>64.633928571428555</v>
      </c>
      <c r="O28" s="24">
        <f t="shared" si="2"/>
        <v>0</v>
      </c>
      <c r="P28" s="24">
        <v>538.62</v>
      </c>
      <c r="Q28" s="25"/>
      <c r="R28" s="25"/>
      <c r="S28" s="26"/>
      <c r="T28" s="26"/>
      <c r="U28" s="26"/>
      <c r="V28" s="26"/>
      <c r="W28" s="26"/>
      <c r="X28" s="25"/>
      <c r="Y28" s="25"/>
      <c r="Z28" s="25"/>
      <c r="AA28" s="25"/>
      <c r="AB28" s="26"/>
      <c r="AC28" s="26"/>
      <c r="AD28" s="25"/>
      <c r="AE28" s="25"/>
      <c r="AF28" s="24">
        <f t="shared" si="3"/>
        <v>-603.25392857142856</v>
      </c>
      <c r="AG28" s="27">
        <f t="shared" si="4"/>
        <v>-3.9285714285597351E-3</v>
      </c>
      <c r="AH28" s="28">
        <f t="shared" si="5"/>
        <v>603.25392857142856</v>
      </c>
    </row>
    <row r="29" spans="1:34" s="29" customFormat="1" ht="27.75" customHeight="1" x14ac:dyDescent="0.2">
      <c r="A29" s="18">
        <v>43993</v>
      </c>
      <c r="B29" s="19"/>
      <c r="C29" s="20" t="s">
        <v>427</v>
      </c>
      <c r="D29" s="20"/>
      <c r="E29" s="20"/>
      <c r="F29" s="21"/>
      <c r="G29" s="30" t="s">
        <v>428</v>
      </c>
      <c r="H29" s="22">
        <v>476</v>
      </c>
      <c r="I29" s="22"/>
      <c r="J29" s="22"/>
      <c r="K29" s="22"/>
      <c r="L29" s="23"/>
      <c r="M29" s="24">
        <f t="shared" si="0"/>
        <v>476</v>
      </c>
      <c r="N29" s="24">
        <f t="shared" si="1"/>
        <v>0</v>
      </c>
      <c r="O29" s="24">
        <f t="shared" si="2"/>
        <v>0</v>
      </c>
      <c r="P29" s="24"/>
      <c r="Q29" s="25"/>
      <c r="R29" s="25"/>
      <c r="S29" s="26"/>
      <c r="T29" s="26"/>
      <c r="U29" s="26"/>
      <c r="V29" s="26"/>
      <c r="W29" s="26"/>
      <c r="X29" s="25"/>
      <c r="Y29" s="25"/>
      <c r="Z29" s="25"/>
      <c r="AA29" s="25"/>
      <c r="AB29" s="26"/>
      <c r="AC29" s="26"/>
      <c r="AD29" s="25">
        <v>476</v>
      </c>
      <c r="AE29" s="25"/>
      <c r="AF29" s="24">
        <f t="shared" si="3"/>
        <v>-476</v>
      </c>
      <c r="AG29" s="27">
        <f t="shared" si="4"/>
        <v>0</v>
      </c>
      <c r="AH29" s="28">
        <f t="shared" si="5"/>
        <v>476</v>
      </c>
    </row>
    <row r="30" spans="1:34" s="29" customFormat="1" ht="23.25" customHeight="1" x14ac:dyDescent="0.2">
      <c r="A30" s="18">
        <v>43993</v>
      </c>
      <c r="B30" s="19"/>
      <c r="C30" s="20" t="s">
        <v>37</v>
      </c>
      <c r="D30" s="20"/>
      <c r="E30" s="20"/>
      <c r="F30" s="21"/>
      <c r="G30" s="21" t="s">
        <v>429</v>
      </c>
      <c r="H30" s="22">
        <v>170</v>
      </c>
      <c r="I30" s="22"/>
      <c r="J30" s="22"/>
      <c r="K30" s="22"/>
      <c r="L30" s="23"/>
      <c r="M30" s="24">
        <f t="shared" si="0"/>
        <v>170</v>
      </c>
      <c r="N30" s="24">
        <f t="shared" si="1"/>
        <v>0</v>
      </c>
      <c r="O30" s="24">
        <f t="shared" si="2"/>
        <v>0</v>
      </c>
      <c r="P30" s="24"/>
      <c r="Q30" s="25"/>
      <c r="R30" s="25"/>
      <c r="S30" s="26"/>
      <c r="T30" s="26"/>
      <c r="U30" s="26"/>
      <c r="V30" s="26"/>
      <c r="W30" s="26"/>
      <c r="X30" s="25"/>
      <c r="Y30" s="25"/>
      <c r="Z30" s="25"/>
      <c r="AA30" s="25">
        <v>170</v>
      </c>
      <c r="AB30" s="26"/>
      <c r="AC30" s="26"/>
      <c r="AD30" s="25"/>
      <c r="AE30" s="25"/>
      <c r="AF30" s="24">
        <f t="shared" si="3"/>
        <v>-170</v>
      </c>
      <c r="AG30" s="27">
        <f t="shared" si="4"/>
        <v>0</v>
      </c>
      <c r="AH30" s="28">
        <f t="shared" si="5"/>
        <v>170</v>
      </c>
    </row>
    <row r="31" spans="1:34" s="29" customFormat="1" ht="23.25" customHeight="1" x14ac:dyDescent="0.2">
      <c r="A31" s="18">
        <v>43993</v>
      </c>
      <c r="B31" s="19"/>
      <c r="C31" s="20" t="s">
        <v>217</v>
      </c>
      <c r="D31" s="20" t="s">
        <v>185</v>
      </c>
      <c r="E31" s="20" t="s">
        <v>41</v>
      </c>
      <c r="F31" s="21">
        <v>229</v>
      </c>
      <c r="G31" s="21" t="s">
        <v>430</v>
      </c>
      <c r="H31" s="22"/>
      <c r="I31" s="22"/>
      <c r="J31" s="22"/>
      <c r="K31" s="22">
        <v>30</v>
      </c>
      <c r="L31" s="23"/>
      <c r="M31" s="24">
        <f t="shared" si="0"/>
        <v>26.785714285714285</v>
      </c>
      <c r="N31" s="24">
        <f t="shared" si="1"/>
        <v>3.214285714285714</v>
      </c>
      <c r="O31" s="24">
        <f t="shared" si="2"/>
        <v>0</v>
      </c>
      <c r="P31" s="25"/>
      <c r="Q31" s="25"/>
      <c r="R31" s="25"/>
      <c r="S31" s="26"/>
      <c r="T31" s="26"/>
      <c r="U31" s="26"/>
      <c r="V31" s="26"/>
      <c r="W31" s="26"/>
      <c r="X31" s="25"/>
      <c r="Y31" s="25"/>
      <c r="Z31" s="25"/>
      <c r="AA31" s="25"/>
      <c r="AB31" s="26"/>
      <c r="AC31" s="26"/>
      <c r="AD31" s="25">
        <v>26.79</v>
      </c>
      <c r="AE31" s="25"/>
      <c r="AF31" s="24">
        <f t="shared" si="3"/>
        <v>-30.004285714285714</v>
      </c>
      <c r="AG31" s="27">
        <f t="shared" si="4"/>
        <v>-4.2857142857144481E-3</v>
      </c>
      <c r="AH31" s="28">
        <f t="shared" si="5"/>
        <v>30.004285714285714</v>
      </c>
    </row>
    <row r="32" spans="1:34" s="29" customFormat="1" ht="23.25" customHeight="1" x14ac:dyDescent="0.2">
      <c r="A32" s="18">
        <v>43994</v>
      </c>
      <c r="B32" s="19"/>
      <c r="C32" s="20" t="s">
        <v>60</v>
      </c>
      <c r="D32" s="20"/>
      <c r="E32" s="20"/>
      <c r="F32" s="21"/>
      <c r="G32" s="21" t="s">
        <v>431</v>
      </c>
      <c r="H32" s="22">
        <v>40</v>
      </c>
      <c r="I32" s="22"/>
      <c r="J32" s="22"/>
      <c r="K32" s="22"/>
      <c r="L32" s="23"/>
      <c r="M32" s="24">
        <f t="shared" si="0"/>
        <v>40</v>
      </c>
      <c r="N32" s="24">
        <f t="shared" si="1"/>
        <v>0</v>
      </c>
      <c r="O32" s="24">
        <f t="shared" si="2"/>
        <v>0</v>
      </c>
      <c r="P32" s="24"/>
      <c r="Q32" s="25"/>
      <c r="R32" s="25"/>
      <c r="S32" s="26"/>
      <c r="T32" s="26"/>
      <c r="U32" s="26"/>
      <c r="V32" s="26"/>
      <c r="W32" s="26"/>
      <c r="X32" s="25"/>
      <c r="Y32" s="25"/>
      <c r="Z32" s="25"/>
      <c r="AA32" s="25">
        <v>40</v>
      </c>
      <c r="AB32" s="26"/>
      <c r="AC32" s="26"/>
      <c r="AD32" s="25"/>
      <c r="AE32" s="25"/>
      <c r="AF32" s="24">
        <f t="shared" si="3"/>
        <v>-40</v>
      </c>
      <c r="AG32" s="27">
        <f t="shared" si="4"/>
        <v>0</v>
      </c>
      <c r="AH32" s="28">
        <f t="shared" si="5"/>
        <v>40</v>
      </c>
    </row>
    <row r="33" spans="1:34" s="29" customFormat="1" ht="23.25" customHeight="1" x14ac:dyDescent="0.2">
      <c r="A33" s="18">
        <v>43994</v>
      </c>
      <c r="B33" s="19"/>
      <c r="C33" s="20" t="s">
        <v>60</v>
      </c>
      <c r="D33" s="20"/>
      <c r="E33" s="20"/>
      <c r="F33" s="21"/>
      <c r="G33" s="21" t="s">
        <v>432</v>
      </c>
      <c r="H33" s="22"/>
      <c r="I33" s="22"/>
      <c r="J33" s="22">
        <v>250</v>
      </c>
      <c r="K33" s="22"/>
      <c r="L33" s="23"/>
      <c r="M33" s="24">
        <f t="shared" si="0"/>
        <v>250</v>
      </c>
      <c r="N33" s="24">
        <f t="shared" si="1"/>
        <v>0</v>
      </c>
      <c r="O33" s="24">
        <f t="shared" si="2"/>
        <v>0</v>
      </c>
      <c r="P33" s="24">
        <v>250</v>
      </c>
      <c r="Q33" s="25"/>
      <c r="R33" s="25"/>
      <c r="S33" s="26"/>
      <c r="T33" s="26"/>
      <c r="U33" s="26"/>
      <c r="V33" s="26"/>
      <c r="W33" s="26"/>
      <c r="X33" s="25"/>
      <c r="Y33" s="25"/>
      <c r="Z33" s="25"/>
      <c r="AA33" s="25"/>
      <c r="AB33" s="26"/>
      <c r="AC33" s="26"/>
      <c r="AD33" s="25"/>
      <c r="AE33" s="25"/>
      <c r="AF33" s="24">
        <f t="shared" si="3"/>
        <v>-250</v>
      </c>
      <c r="AG33" s="27">
        <f t="shared" si="4"/>
        <v>0</v>
      </c>
      <c r="AH33" s="28">
        <f t="shared" si="5"/>
        <v>250</v>
      </c>
    </row>
    <row r="34" spans="1:34" s="29" customFormat="1" ht="23.25" customHeight="1" x14ac:dyDescent="0.2">
      <c r="A34" s="18">
        <v>43994</v>
      </c>
      <c r="B34" s="19"/>
      <c r="C34" s="20" t="s">
        <v>45</v>
      </c>
      <c r="D34" s="20"/>
      <c r="E34" s="20"/>
      <c r="F34" s="21"/>
      <c r="G34" s="21" t="s">
        <v>69</v>
      </c>
      <c r="H34" s="22">
        <v>100</v>
      </c>
      <c r="I34" s="22"/>
      <c r="J34" s="22"/>
      <c r="K34" s="22"/>
      <c r="L34" s="23"/>
      <c r="M34" s="24">
        <f t="shared" si="0"/>
        <v>100</v>
      </c>
      <c r="N34" s="24">
        <f t="shared" si="1"/>
        <v>0</v>
      </c>
      <c r="O34" s="24">
        <f t="shared" si="2"/>
        <v>0</v>
      </c>
      <c r="P34" s="24"/>
      <c r="Q34" s="25"/>
      <c r="R34" s="25"/>
      <c r="S34" s="26"/>
      <c r="T34" s="26"/>
      <c r="U34" s="26"/>
      <c r="V34" s="26"/>
      <c r="W34" s="26"/>
      <c r="X34" s="25"/>
      <c r="Y34" s="25"/>
      <c r="Z34" s="25"/>
      <c r="AA34" s="25">
        <v>100</v>
      </c>
      <c r="AB34" s="26"/>
      <c r="AC34" s="26"/>
      <c r="AD34" s="25"/>
      <c r="AE34" s="25"/>
      <c r="AF34" s="24">
        <f t="shared" si="3"/>
        <v>-100</v>
      </c>
      <c r="AG34" s="27">
        <f t="shared" si="4"/>
        <v>0</v>
      </c>
      <c r="AH34" s="28">
        <f t="shared" si="5"/>
        <v>100</v>
      </c>
    </row>
    <row r="35" spans="1:34" s="29" customFormat="1" ht="23.25" customHeight="1" x14ac:dyDescent="0.2">
      <c r="A35" s="18">
        <v>43994</v>
      </c>
      <c r="B35" s="19"/>
      <c r="C35" s="20" t="s">
        <v>45</v>
      </c>
      <c r="D35" s="20"/>
      <c r="E35" s="20"/>
      <c r="F35" s="21"/>
      <c r="G35" s="21" t="s">
        <v>98</v>
      </c>
      <c r="H35" s="22"/>
      <c r="I35" s="22"/>
      <c r="J35" s="22">
        <v>180</v>
      </c>
      <c r="K35" s="22"/>
      <c r="L35" s="23"/>
      <c r="M35" s="24">
        <f t="shared" si="0"/>
        <v>180</v>
      </c>
      <c r="N35" s="24">
        <f t="shared" si="1"/>
        <v>0</v>
      </c>
      <c r="O35" s="24">
        <f t="shared" si="2"/>
        <v>0</v>
      </c>
      <c r="P35" s="24">
        <v>180</v>
      </c>
      <c r="Q35" s="25"/>
      <c r="R35" s="25"/>
      <c r="S35" s="26"/>
      <c r="T35" s="26"/>
      <c r="U35" s="26"/>
      <c r="V35" s="26"/>
      <c r="W35" s="26"/>
      <c r="X35" s="25"/>
      <c r="Y35" s="25"/>
      <c r="Z35" s="25"/>
      <c r="AA35" s="25"/>
      <c r="AB35" s="26"/>
      <c r="AC35" s="26"/>
      <c r="AD35" s="25"/>
      <c r="AE35" s="25"/>
      <c r="AF35" s="24">
        <f t="shared" si="3"/>
        <v>-180</v>
      </c>
      <c r="AG35" s="27">
        <f t="shared" si="4"/>
        <v>0</v>
      </c>
      <c r="AH35" s="28">
        <f t="shared" si="5"/>
        <v>180</v>
      </c>
    </row>
    <row r="36" spans="1:34" s="29" customFormat="1" ht="23.25" customHeight="1" x14ac:dyDescent="0.2">
      <c r="A36" s="18">
        <v>43994</v>
      </c>
      <c r="B36" s="19"/>
      <c r="C36" s="20" t="s">
        <v>433</v>
      </c>
      <c r="D36" s="20" t="s">
        <v>434</v>
      </c>
      <c r="E36" s="20" t="s">
        <v>49</v>
      </c>
      <c r="F36" s="21">
        <v>27900</v>
      </c>
      <c r="G36" s="21" t="s">
        <v>435</v>
      </c>
      <c r="H36" s="22"/>
      <c r="I36" s="22"/>
      <c r="J36" s="22">
        <v>1178</v>
      </c>
      <c r="K36" s="22"/>
      <c r="L36" s="23"/>
      <c r="M36" s="24">
        <f t="shared" si="0"/>
        <v>1178</v>
      </c>
      <c r="N36" s="24">
        <f t="shared" si="1"/>
        <v>0</v>
      </c>
      <c r="O36" s="24">
        <f t="shared" si="2"/>
        <v>0</v>
      </c>
      <c r="P36" s="24">
        <v>1178</v>
      </c>
      <c r="Q36" s="25"/>
      <c r="R36" s="25"/>
      <c r="S36" s="26"/>
      <c r="T36" s="26"/>
      <c r="U36" s="26"/>
      <c r="V36" s="26"/>
      <c r="W36" s="26"/>
      <c r="X36" s="25"/>
      <c r="Y36" s="25"/>
      <c r="Z36" s="25"/>
      <c r="AA36" s="25"/>
      <c r="AB36" s="26"/>
      <c r="AC36" s="26"/>
      <c r="AD36" s="25"/>
      <c r="AE36" s="25"/>
      <c r="AF36" s="24">
        <f t="shared" si="3"/>
        <v>-1178</v>
      </c>
      <c r="AG36" s="27">
        <f t="shared" si="4"/>
        <v>0</v>
      </c>
      <c r="AH36" s="28">
        <f t="shared" si="5"/>
        <v>1178</v>
      </c>
    </row>
    <row r="37" spans="1:34" s="29" customFormat="1" ht="23.25" customHeight="1" x14ac:dyDescent="0.2">
      <c r="A37" s="18">
        <v>43995</v>
      </c>
      <c r="B37" s="19"/>
      <c r="C37" s="20" t="s">
        <v>436</v>
      </c>
      <c r="D37" s="20"/>
      <c r="E37" s="20"/>
      <c r="F37" s="21"/>
      <c r="G37" s="21" t="s">
        <v>437</v>
      </c>
      <c r="H37" s="22">
        <v>254</v>
      </c>
      <c r="I37" s="22"/>
      <c r="J37" s="22"/>
      <c r="K37" s="22"/>
      <c r="L37" s="23"/>
      <c r="M37" s="24">
        <f t="shared" ref="M37:M68" si="6">SUM(H37:J37,K37/1.12)</f>
        <v>254</v>
      </c>
      <c r="N37" s="24">
        <f t="shared" ref="N37:N68" si="7">K37/1.12*0.12</f>
        <v>0</v>
      </c>
      <c r="O37" s="24">
        <f t="shared" ref="O37:O68" si="8">-SUM(I37:J37,K37/1.12)*L37</f>
        <v>0</v>
      </c>
      <c r="P37" s="24"/>
      <c r="Q37" s="25"/>
      <c r="R37" s="25"/>
      <c r="S37" s="26"/>
      <c r="T37" s="26"/>
      <c r="U37" s="26"/>
      <c r="V37" s="26"/>
      <c r="W37" s="26"/>
      <c r="X37" s="25"/>
      <c r="Y37" s="25"/>
      <c r="Z37" s="25"/>
      <c r="AA37" s="25">
        <v>254</v>
      </c>
      <c r="AB37" s="26"/>
      <c r="AC37" s="26"/>
      <c r="AD37" s="25"/>
      <c r="AE37" s="25"/>
      <c r="AF37" s="24">
        <f t="shared" ref="AF37:AF68" si="9">-SUM(N37:AE37)</f>
        <v>-254</v>
      </c>
      <c r="AG37" s="27">
        <f t="shared" ref="AG37:AG68" si="10">SUM(H37:K37)+AF37+O37</f>
        <v>0</v>
      </c>
      <c r="AH37" s="28">
        <f t="shared" ref="AH37:AH68" si="11">-AF37</f>
        <v>254</v>
      </c>
    </row>
    <row r="38" spans="1:34" s="29" customFormat="1" ht="23.25" customHeight="1" x14ac:dyDescent="0.2">
      <c r="A38" s="18">
        <v>43996</v>
      </c>
      <c r="B38" s="19"/>
      <c r="C38" s="20" t="s">
        <v>325</v>
      </c>
      <c r="D38" s="20"/>
      <c r="E38" s="20"/>
      <c r="F38" s="21"/>
      <c r="G38" s="21" t="s">
        <v>438</v>
      </c>
      <c r="H38" s="22"/>
      <c r="I38" s="22"/>
      <c r="J38" s="22">
        <v>2120</v>
      </c>
      <c r="K38" s="22"/>
      <c r="L38" s="23"/>
      <c r="M38" s="24">
        <f t="shared" si="6"/>
        <v>2120</v>
      </c>
      <c r="N38" s="24">
        <f t="shared" si="7"/>
        <v>0</v>
      </c>
      <c r="O38" s="24">
        <f t="shared" si="8"/>
        <v>0</v>
      </c>
      <c r="P38" s="24">
        <v>2120</v>
      </c>
      <c r="Q38" s="25"/>
      <c r="R38" s="25"/>
      <c r="S38" s="26"/>
      <c r="T38" s="26"/>
      <c r="U38" s="26"/>
      <c r="V38" s="26"/>
      <c r="W38" s="26"/>
      <c r="X38" s="25"/>
      <c r="Y38" s="25"/>
      <c r="Z38" s="25"/>
      <c r="AA38" s="25"/>
      <c r="AB38" s="26"/>
      <c r="AC38" s="26"/>
      <c r="AD38" s="25"/>
      <c r="AE38" s="25"/>
      <c r="AF38" s="24">
        <f t="shared" si="9"/>
        <v>-2120</v>
      </c>
      <c r="AG38" s="27">
        <f t="shared" si="10"/>
        <v>0</v>
      </c>
      <c r="AH38" s="28">
        <f t="shared" si="11"/>
        <v>2120</v>
      </c>
    </row>
    <row r="39" spans="1:34" s="29" customFormat="1" ht="23.25" customHeight="1" x14ac:dyDescent="0.2">
      <c r="A39" s="18">
        <v>43996</v>
      </c>
      <c r="B39" s="19"/>
      <c r="C39" s="20" t="s">
        <v>325</v>
      </c>
      <c r="D39" s="20"/>
      <c r="E39" s="20"/>
      <c r="F39" s="21"/>
      <c r="G39" s="21" t="s">
        <v>439</v>
      </c>
      <c r="H39" s="22">
        <v>50</v>
      </c>
      <c r="I39" s="22"/>
      <c r="J39" s="22"/>
      <c r="K39" s="22"/>
      <c r="L39" s="23"/>
      <c r="M39" s="24">
        <f t="shared" si="6"/>
        <v>50</v>
      </c>
      <c r="N39" s="24">
        <f t="shared" si="7"/>
        <v>0</v>
      </c>
      <c r="O39" s="24">
        <f t="shared" si="8"/>
        <v>0</v>
      </c>
      <c r="P39" s="24"/>
      <c r="Q39" s="25"/>
      <c r="R39" s="25"/>
      <c r="S39" s="26"/>
      <c r="T39" s="26"/>
      <c r="U39" s="26"/>
      <c r="V39" s="26"/>
      <c r="W39" s="26"/>
      <c r="X39" s="25"/>
      <c r="Y39" s="25"/>
      <c r="Z39" s="25"/>
      <c r="AA39" s="25">
        <v>50</v>
      </c>
      <c r="AB39" s="26"/>
      <c r="AC39" s="26"/>
      <c r="AD39" s="25"/>
      <c r="AE39" s="25"/>
      <c r="AF39" s="24">
        <f t="shared" si="9"/>
        <v>-50</v>
      </c>
      <c r="AG39" s="27">
        <f t="shared" si="10"/>
        <v>0</v>
      </c>
      <c r="AH39" s="28">
        <f t="shared" si="11"/>
        <v>50</v>
      </c>
    </row>
    <row r="40" spans="1:34" s="29" customFormat="1" ht="23.25" customHeight="1" x14ac:dyDescent="0.2">
      <c r="A40" s="18">
        <v>43997</v>
      </c>
      <c r="B40" s="19"/>
      <c r="C40" s="20" t="s">
        <v>224</v>
      </c>
      <c r="D40" s="20" t="s">
        <v>225</v>
      </c>
      <c r="E40" s="20" t="s">
        <v>49</v>
      </c>
      <c r="F40" s="21">
        <v>1598997</v>
      </c>
      <c r="G40" s="21" t="s">
        <v>58</v>
      </c>
      <c r="H40" s="22"/>
      <c r="I40" s="22"/>
      <c r="J40" s="22"/>
      <c r="K40" s="22">
        <v>60</v>
      </c>
      <c r="L40" s="23"/>
      <c r="M40" s="24">
        <f t="shared" si="6"/>
        <v>53.571428571428569</v>
      </c>
      <c r="N40" s="24">
        <f t="shared" si="7"/>
        <v>6.4285714285714279</v>
      </c>
      <c r="O40" s="24">
        <f t="shared" si="8"/>
        <v>0</v>
      </c>
      <c r="P40" s="24"/>
      <c r="Q40" s="25">
        <v>53.57</v>
      </c>
      <c r="R40" s="25"/>
      <c r="S40" s="26"/>
      <c r="T40" s="26"/>
      <c r="U40" s="26"/>
      <c r="V40" s="26"/>
      <c r="W40" s="26"/>
      <c r="X40" s="25"/>
      <c r="Y40" s="25"/>
      <c r="Z40" s="25"/>
      <c r="AA40" s="25"/>
      <c r="AB40" s="26"/>
      <c r="AC40" s="26"/>
      <c r="AD40" s="25"/>
      <c r="AE40" s="25"/>
      <c r="AF40" s="24">
        <f t="shared" si="9"/>
        <v>-59.998571428571431</v>
      </c>
      <c r="AG40" s="27">
        <f t="shared" si="10"/>
        <v>1.4285714285691142E-3</v>
      </c>
      <c r="AH40" s="28">
        <f t="shared" si="11"/>
        <v>59.998571428571431</v>
      </c>
    </row>
    <row r="41" spans="1:34" s="29" customFormat="1" ht="23.25" customHeight="1" x14ac:dyDescent="0.2">
      <c r="A41" s="18">
        <v>43997</v>
      </c>
      <c r="B41" s="19"/>
      <c r="C41" s="20" t="s">
        <v>39</v>
      </c>
      <c r="D41" s="20" t="s">
        <v>40</v>
      </c>
      <c r="E41" s="20" t="s">
        <v>41</v>
      </c>
      <c r="F41" s="21">
        <v>182812</v>
      </c>
      <c r="G41" s="21" t="s">
        <v>440</v>
      </c>
      <c r="H41" s="22"/>
      <c r="I41" s="22"/>
      <c r="J41" s="22"/>
      <c r="K41" s="22">
        <v>202</v>
      </c>
      <c r="L41" s="23"/>
      <c r="M41" s="24">
        <f t="shared" si="6"/>
        <v>180.35714285714283</v>
      </c>
      <c r="N41" s="24">
        <f t="shared" si="7"/>
        <v>21.642857142857139</v>
      </c>
      <c r="O41" s="24">
        <f t="shared" si="8"/>
        <v>0</v>
      </c>
      <c r="P41" s="24">
        <v>180.36</v>
      </c>
      <c r="Q41" s="25"/>
      <c r="R41" s="25"/>
      <c r="S41" s="26"/>
      <c r="T41" s="26"/>
      <c r="U41" s="26"/>
      <c r="V41" s="26"/>
      <c r="W41" s="26"/>
      <c r="X41" s="25"/>
      <c r="Y41" s="25"/>
      <c r="Z41" s="25"/>
      <c r="AA41" s="25"/>
      <c r="AB41" s="26"/>
      <c r="AC41" s="26"/>
      <c r="AD41" s="25"/>
      <c r="AE41" s="25"/>
      <c r="AF41" s="24">
        <f t="shared" si="9"/>
        <v>-202.00285714285715</v>
      </c>
      <c r="AG41" s="27">
        <f t="shared" si="10"/>
        <v>-2.8571428571524393E-3</v>
      </c>
      <c r="AH41" s="28">
        <f t="shared" si="11"/>
        <v>202.00285714285715</v>
      </c>
    </row>
    <row r="42" spans="1:34" s="29" customFormat="1" ht="23.25" customHeight="1" x14ac:dyDescent="0.2">
      <c r="A42" s="18">
        <v>44000</v>
      </c>
      <c r="B42" s="19"/>
      <c r="C42" s="20" t="s">
        <v>106</v>
      </c>
      <c r="D42" s="20" t="s">
        <v>107</v>
      </c>
      <c r="E42" s="20" t="s">
        <v>49</v>
      </c>
      <c r="F42" s="21">
        <v>809179</v>
      </c>
      <c r="G42" s="21" t="s">
        <v>441</v>
      </c>
      <c r="H42" s="22"/>
      <c r="I42" s="22"/>
      <c r="J42" s="22"/>
      <c r="K42" s="22">
        <v>131.25</v>
      </c>
      <c r="L42" s="23"/>
      <c r="M42" s="24">
        <f t="shared" si="6"/>
        <v>117.18749999999999</v>
      </c>
      <c r="N42" s="24">
        <f t="shared" si="7"/>
        <v>14.062499999999998</v>
      </c>
      <c r="O42" s="24">
        <f t="shared" si="8"/>
        <v>0</v>
      </c>
      <c r="P42" s="24"/>
      <c r="Q42" s="25"/>
      <c r="R42" s="25"/>
      <c r="S42" s="26"/>
      <c r="T42" s="26">
        <v>117.19</v>
      </c>
      <c r="U42" s="26"/>
      <c r="V42" s="26"/>
      <c r="W42" s="26"/>
      <c r="X42" s="25"/>
      <c r="Y42" s="25"/>
      <c r="Z42" s="25"/>
      <c r="AA42" s="25"/>
      <c r="AB42" s="26"/>
      <c r="AC42" s="26"/>
      <c r="AD42" s="25"/>
      <c r="AE42" s="25"/>
      <c r="AF42" s="24">
        <f t="shared" si="9"/>
        <v>-131.2525</v>
      </c>
      <c r="AG42" s="27">
        <f t="shared" si="10"/>
        <v>-2.4999999999977263E-3</v>
      </c>
      <c r="AH42" s="28">
        <f t="shared" si="11"/>
        <v>131.2525</v>
      </c>
    </row>
    <row r="43" spans="1:34" s="29" customFormat="1" ht="23.25" customHeight="1" x14ac:dyDescent="0.2">
      <c r="A43" s="18">
        <v>44000</v>
      </c>
      <c r="B43" s="19"/>
      <c r="C43" s="20" t="s">
        <v>224</v>
      </c>
      <c r="D43" s="20" t="s">
        <v>225</v>
      </c>
      <c r="E43" s="20" t="s">
        <v>49</v>
      </c>
      <c r="F43" s="21">
        <v>174367</v>
      </c>
      <c r="G43" s="21" t="s">
        <v>58</v>
      </c>
      <c r="H43" s="22"/>
      <c r="I43" s="22"/>
      <c r="J43" s="22"/>
      <c r="K43" s="22">
        <v>42</v>
      </c>
      <c r="L43" s="23"/>
      <c r="M43" s="24">
        <f t="shared" si="6"/>
        <v>37.499999999999993</v>
      </c>
      <c r="N43" s="24">
        <f t="shared" si="7"/>
        <v>4.4999999999999991</v>
      </c>
      <c r="O43" s="24">
        <f t="shared" si="8"/>
        <v>0</v>
      </c>
      <c r="P43" s="24"/>
      <c r="Q43" s="25">
        <v>37.5</v>
      </c>
      <c r="R43" s="25"/>
      <c r="S43" s="26"/>
      <c r="T43" s="26"/>
      <c r="U43" s="26"/>
      <c r="V43" s="26"/>
      <c r="W43" s="26"/>
      <c r="X43" s="25"/>
      <c r="Y43" s="25"/>
      <c r="Z43" s="25"/>
      <c r="AA43" s="25"/>
      <c r="AB43" s="26"/>
      <c r="AC43" s="26"/>
      <c r="AD43" s="25"/>
      <c r="AE43" s="25"/>
      <c r="AF43" s="24">
        <f t="shared" si="9"/>
        <v>-42</v>
      </c>
      <c r="AG43" s="27">
        <f t="shared" si="10"/>
        <v>0</v>
      </c>
      <c r="AH43" s="28">
        <f t="shared" si="11"/>
        <v>42</v>
      </c>
    </row>
    <row r="44" spans="1:34" s="29" customFormat="1" ht="23.25" customHeight="1" x14ac:dyDescent="0.2">
      <c r="A44" s="18">
        <v>44000</v>
      </c>
      <c r="B44" s="19"/>
      <c r="C44" s="20" t="s">
        <v>240</v>
      </c>
      <c r="D44" s="20" t="s">
        <v>111</v>
      </c>
      <c r="E44" s="20" t="s">
        <v>49</v>
      </c>
      <c r="F44" s="21">
        <v>10348742</v>
      </c>
      <c r="G44" s="21" t="s">
        <v>442</v>
      </c>
      <c r="H44" s="22"/>
      <c r="I44" s="22"/>
      <c r="J44" s="22">
        <v>337.81</v>
      </c>
      <c r="K44" s="22"/>
      <c r="L44" s="23"/>
      <c r="M44" s="24">
        <f t="shared" si="6"/>
        <v>337.81</v>
      </c>
      <c r="N44" s="24">
        <f t="shared" si="7"/>
        <v>0</v>
      </c>
      <c r="O44" s="24">
        <f t="shared" si="8"/>
        <v>0</v>
      </c>
      <c r="P44" s="24">
        <v>337.81</v>
      </c>
      <c r="Q44" s="25"/>
      <c r="R44" s="25"/>
      <c r="S44" s="26"/>
      <c r="T44" s="26"/>
      <c r="U44" s="26"/>
      <c r="V44" s="26"/>
      <c r="W44" s="26"/>
      <c r="X44" s="25"/>
      <c r="Y44" s="25"/>
      <c r="Z44" s="25"/>
      <c r="AA44" s="25"/>
      <c r="AB44" s="26"/>
      <c r="AC44" s="26"/>
      <c r="AD44" s="25"/>
      <c r="AE44" s="25"/>
      <c r="AF44" s="24">
        <f t="shared" si="9"/>
        <v>-337.81</v>
      </c>
      <c r="AG44" s="27">
        <f t="shared" si="10"/>
        <v>0</v>
      </c>
      <c r="AH44" s="28">
        <f t="shared" si="11"/>
        <v>337.81</v>
      </c>
    </row>
    <row r="45" spans="1:34" s="42" customFormat="1" ht="23.25" customHeight="1" x14ac:dyDescent="0.2">
      <c r="A45" s="32">
        <v>44001</v>
      </c>
      <c r="B45" s="33"/>
      <c r="C45" s="34" t="s">
        <v>106</v>
      </c>
      <c r="D45" s="34" t="s">
        <v>107</v>
      </c>
      <c r="E45" s="34" t="s">
        <v>49</v>
      </c>
      <c r="F45" s="35">
        <v>809317</v>
      </c>
      <c r="G45" s="35" t="s">
        <v>443</v>
      </c>
      <c r="H45" s="36"/>
      <c r="I45" s="36"/>
      <c r="J45" s="36"/>
      <c r="K45" s="36">
        <v>45</v>
      </c>
      <c r="L45" s="37"/>
      <c r="M45" s="38">
        <f t="shared" si="6"/>
        <v>40.178571428571423</v>
      </c>
      <c r="N45" s="38">
        <f t="shared" si="7"/>
        <v>4.8214285714285703</v>
      </c>
      <c r="O45" s="38">
        <f t="shared" si="8"/>
        <v>0</v>
      </c>
      <c r="P45" s="38"/>
      <c r="Q45" s="39"/>
      <c r="R45" s="39"/>
      <c r="S45" s="40"/>
      <c r="T45" s="40">
        <v>40.18</v>
      </c>
      <c r="U45" s="40"/>
      <c r="V45" s="40"/>
      <c r="W45" s="40"/>
      <c r="X45" s="39"/>
      <c r="Y45" s="39"/>
      <c r="Z45" s="39"/>
      <c r="AA45" s="39"/>
      <c r="AB45" s="40"/>
      <c r="AC45" s="40"/>
      <c r="AD45" s="39"/>
      <c r="AE45" s="39"/>
      <c r="AF45" s="38">
        <f t="shared" si="9"/>
        <v>-45.001428571428569</v>
      </c>
      <c r="AG45" s="41">
        <f t="shared" si="10"/>
        <v>-1.4285714285691142E-3</v>
      </c>
      <c r="AH45" s="28">
        <f t="shared" si="11"/>
        <v>45.001428571428569</v>
      </c>
    </row>
    <row r="46" spans="1:34" s="29" customFormat="1" ht="23.25" customHeight="1" x14ac:dyDescent="0.2">
      <c r="A46" s="18">
        <v>44001</v>
      </c>
      <c r="B46" s="19"/>
      <c r="C46" s="20" t="s">
        <v>404</v>
      </c>
      <c r="D46" s="20"/>
      <c r="E46" s="20"/>
      <c r="F46" s="21"/>
      <c r="G46" s="21" t="s">
        <v>444</v>
      </c>
      <c r="H46" s="22">
        <v>100</v>
      </c>
      <c r="I46" s="22"/>
      <c r="J46" s="22"/>
      <c r="K46" s="22"/>
      <c r="L46" s="23"/>
      <c r="M46" s="24">
        <f t="shared" si="6"/>
        <v>100</v>
      </c>
      <c r="N46" s="24">
        <f t="shared" si="7"/>
        <v>0</v>
      </c>
      <c r="O46" s="24">
        <f t="shared" si="8"/>
        <v>0</v>
      </c>
      <c r="P46" s="24"/>
      <c r="Q46" s="25"/>
      <c r="R46" s="25"/>
      <c r="S46" s="26"/>
      <c r="T46" s="26"/>
      <c r="U46" s="26"/>
      <c r="V46" s="26"/>
      <c r="W46" s="26"/>
      <c r="X46" s="25"/>
      <c r="Y46" s="25"/>
      <c r="Z46" s="25"/>
      <c r="AA46" s="25">
        <v>100</v>
      </c>
      <c r="AB46" s="26"/>
      <c r="AC46" s="26"/>
      <c r="AD46" s="25"/>
      <c r="AE46" s="25"/>
      <c r="AF46" s="24">
        <f t="shared" si="9"/>
        <v>-100</v>
      </c>
      <c r="AG46" s="27">
        <f t="shared" si="10"/>
        <v>0</v>
      </c>
      <c r="AH46" s="28">
        <f t="shared" si="11"/>
        <v>100</v>
      </c>
    </row>
    <row r="47" spans="1:34" s="29" customFormat="1" ht="23.25" customHeight="1" x14ac:dyDescent="0.2">
      <c r="A47" s="18">
        <v>44002</v>
      </c>
      <c r="B47" s="19"/>
      <c r="C47" s="20" t="s">
        <v>206</v>
      </c>
      <c r="D47" s="20" t="s">
        <v>79</v>
      </c>
      <c r="E47" s="20" t="s">
        <v>67</v>
      </c>
      <c r="F47" s="21">
        <v>22893</v>
      </c>
      <c r="G47" s="21" t="s">
        <v>263</v>
      </c>
      <c r="H47" s="22"/>
      <c r="I47" s="22"/>
      <c r="J47" s="22">
        <v>500</v>
      </c>
      <c r="K47" s="22"/>
      <c r="L47" s="23"/>
      <c r="M47" s="24">
        <f t="shared" si="6"/>
        <v>500</v>
      </c>
      <c r="N47" s="24">
        <f t="shared" si="7"/>
        <v>0</v>
      </c>
      <c r="O47" s="24">
        <f t="shared" si="8"/>
        <v>0</v>
      </c>
      <c r="P47" s="24">
        <v>500</v>
      </c>
      <c r="Q47" s="25"/>
      <c r="R47" s="25"/>
      <c r="S47" s="26"/>
      <c r="T47" s="26"/>
      <c r="U47" s="26"/>
      <c r="V47" s="26"/>
      <c r="W47" s="26"/>
      <c r="X47" s="25"/>
      <c r="Y47" s="25"/>
      <c r="Z47" s="25"/>
      <c r="AA47" s="25"/>
      <c r="AB47" s="26"/>
      <c r="AC47" s="26"/>
      <c r="AD47" s="25"/>
      <c r="AE47" s="25"/>
      <c r="AF47" s="24">
        <f t="shared" si="9"/>
        <v>-500</v>
      </c>
      <c r="AG47" s="27">
        <f t="shared" si="10"/>
        <v>0</v>
      </c>
      <c r="AH47" s="28">
        <f t="shared" si="11"/>
        <v>500</v>
      </c>
    </row>
    <row r="48" spans="1:34" s="29" customFormat="1" ht="23.25" customHeight="1" x14ac:dyDescent="0.2">
      <c r="A48" s="18">
        <v>44004</v>
      </c>
      <c r="B48" s="19"/>
      <c r="C48" s="20" t="s">
        <v>406</v>
      </c>
      <c r="D48" s="20" t="s">
        <v>407</v>
      </c>
      <c r="E48" s="20" t="s">
        <v>41</v>
      </c>
      <c r="F48" s="21">
        <v>2769038</v>
      </c>
      <c r="G48" s="21" t="s">
        <v>445</v>
      </c>
      <c r="H48" s="22"/>
      <c r="I48" s="22"/>
      <c r="J48" s="22"/>
      <c r="K48" s="22">
        <v>70</v>
      </c>
      <c r="L48" s="23"/>
      <c r="M48" s="24">
        <f t="shared" si="6"/>
        <v>62.499999999999993</v>
      </c>
      <c r="N48" s="24">
        <f t="shared" si="7"/>
        <v>7.4999999999999991</v>
      </c>
      <c r="O48" s="24">
        <f t="shared" si="8"/>
        <v>0</v>
      </c>
      <c r="P48" s="24"/>
      <c r="Q48" s="25"/>
      <c r="R48" s="25"/>
      <c r="S48" s="26"/>
      <c r="T48" s="26"/>
      <c r="U48" s="26"/>
      <c r="V48" s="26"/>
      <c r="W48" s="26">
        <v>62.5</v>
      </c>
      <c r="X48" s="25"/>
      <c r="Y48" s="25"/>
      <c r="Z48" s="25"/>
      <c r="AA48" s="25"/>
      <c r="AB48" s="26"/>
      <c r="AC48" s="26"/>
      <c r="AD48" s="25"/>
      <c r="AE48" s="25"/>
      <c r="AF48" s="24">
        <f t="shared" si="9"/>
        <v>-70</v>
      </c>
      <c r="AG48" s="27">
        <f t="shared" si="10"/>
        <v>0</v>
      </c>
      <c r="AH48" s="28">
        <f t="shared" si="11"/>
        <v>70</v>
      </c>
    </row>
    <row r="49" spans="1:34" s="29" customFormat="1" ht="23.25" customHeight="1" x14ac:dyDescent="0.2">
      <c r="A49" s="18">
        <v>44004</v>
      </c>
      <c r="B49" s="19"/>
      <c r="C49" s="20" t="s">
        <v>45</v>
      </c>
      <c r="D49" s="20"/>
      <c r="E49" s="20"/>
      <c r="F49" s="21"/>
      <c r="G49" s="21" t="s">
        <v>68</v>
      </c>
      <c r="H49" s="22"/>
      <c r="I49" s="22"/>
      <c r="J49" s="22">
        <v>450</v>
      </c>
      <c r="K49" s="22"/>
      <c r="L49" s="23"/>
      <c r="M49" s="24">
        <f t="shared" si="6"/>
        <v>450</v>
      </c>
      <c r="N49" s="24">
        <f t="shared" si="7"/>
        <v>0</v>
      </c>
      <c r="O49" s="24">
        <f t="shared" si="8"/>
        <v>0</v>
      </c>
      <c r="P49" s="24">
        <v>450</v>
      </c>
      <c r="Q49" s="25"/>
      <c r="R49" s="25"/>
      <c r="S49" s="26"/>
      <c r="T49" s="26"/>
      <c r="U49" s="26"/>
      <c r="V49" s="26"/>
      <c r="W49" s="26"/>
      <c r="X49" s="25"/>
      <c r="Y49" s="25"/>
      <c r="Z49" s="25"/>
      <c r="AA49" s="25"/>
      <c r="AB49" s="26"/>
      <c r="AC49" s="26"/>
      <c r="AD49" s="25"/>
      <c r="AE49" s="25"/>
      <c r="AF49" s="24">
        <f t="shared" si="9"/>
        <v>-450</v>
      </c>
      <c r="AG49" s="27">
        <f t="shared" si="10"/>
        <v>0</v>
      </c>
      <c r="AH49" s="28">
        <f t="shared" si="11"/>
        <v>450</v>
      </c>
    </row>
    <row r="50" spans="1:34" s="29" customFormat="1" ht="23.25" customHeight="1" x14ac:dyDescent="0.2">
      <c r="A50" s="18">
        <v>44004</v>
      </c>
      <c r="B50" s="19"/>
      <c r="C50" s="20" t="s">
        <v>45</v>
      </c>
      <c r="D50" s="20"/>
      <c r="E50" s="20"/>
      <c r="F50" s="21"/>
      <c r="G50" s="21" t="s">
        <v>446</v>
      </c>
      <c r="H50" s="22">
        <v>50</v>
      </c>
      <c r="I50" s="22"/>
      <c r="J50" s="22"/>
      <c r="K50" s="22"/>
      <c r="L50" s="23"/>
      <c r="M50" s="24">
        <f t="shared" si="6"/>
        <v>50</v>
      </c>
      <c r="N50" s="24">
        <f t="shared" si="7"/>
        <v>0</v>
      </c>
      <c r="O50" s="24">
        <f t="shared" si="8"/>
        <v>0</v>
      </c>
      <c r="P50" s="24"/>
      <c r="Q50" s="25"/>
      <c r="R50" s="25"/>
      <c r="S50" s="26"/>
      <c r="T50" s="26"/>
      <c r="U50" s="26"/>
      <c r="V50" s="26"/>
      <c r="W50" s="26"/>
      <c r="X50" s="25"/>
      <c r="Y50" s="25"/>
      <c r="Z50" s="25"/>
      <c r="AA50" s="25">
        <v>50</v>
      </c>
      <c r="AB50" s="26"/>
      <c r="AC50" s="26"/>
      <c r="AD50" s="25"/>
      <c r="AE50" s="25"/>
      <c r="AF50" s="24">
        <f t="shared" si="9"/>
        <v>-50</v>
      </c>
      <c r="AG50" s="27">
        <f t="shared" si="10"/>
        <v>0</v>
      </c>
      <c r="AH50" s="28">
        <f t="shared" si="11"/>
        <v>50</v>
      </c>
    </row>
    <row r="51" spans="1:34" s="29" customFormat="1" ht="23.25" customHeight="1" x14ac:dyDescent="0.2">
      <c r="A51" s="18">
        <v>44004</v>
      </c>
      <c r="B51" s="19"/>
      <c r="C51" s="20" t="s">
        <v>217</v>
      </c>
      <c r="D51" s="20" t="s">
        <v>185</v>
      </c>
      <c r="E51" s="20" t="s">
        <v>41</v>
      </c>
      <c r="F51" s="21">
        <v>37611</v>
      </c>
      <c r="G51" s="21" t="s">
        <v>447</v>
      </c>
      <c r="H51" s="22"/>
      <c r="I51" s="22"/>
      <c r="J51" s="22"/>
      <c r="K51" s="22">
        <v>210</v>
      </c>
      <c r="L51" s="23"/>
      <c r="M51" s="24">
        <f t="shared" si="6"/>
        <v>187.49999999999997</v>
      </c>
      <c r="N51" s="24">
        <f t="shared" si="7"/>
        <v>22.499999999999996</v>
      </c>
      <c r="O51" s="24">
        <f t="shared" si="8"/>
        <v>0</v>
      </c>
      <c r="P51" s="24"/>
      <c r="Q51" s="25"/>
      <c r="R51" s="25"/>
      <c r="S51" s="26"/>
      <c r="T51" s="26"/>
      <c r="U51" s="26"/>
      <c r="V51" s="26"/>
      <c r="W51" s="26">
        <v>187.5</v>
      </c>
      <c r="X51" s="25"/>
      <c r="Y51" s="25"/>
      <c r="Z51" s="25"/>
      <c r="AA51" s="25"/>
      <c r="AB51" s="26"/>
      <c r="AC51" s="26"/>
      <c r="AD51" s="25"/>
      <c r="AE51" s="25"/>
      <c r="AF51" s="24">
        <f t="shared" si="9"/>
        <v>-210</v>
      </c>
      <c r="AG51" s="27">
        <f t="shared" si="10"/>
        <v>0</v>
      </c>
      <c r="AH51" s="28">
        <f t="shared" si="11"/>
        <v>210</v>
      </c>
    </row>
    <row r="52" spans="1:34" s="29" customFormat="1" ht="23.25" customHeight="1" x14ac:dyDescent="0.2">
      <c r="A52" s="18">
        <v>44004</v>
      </c>
      <c r="B52" s="19"/>
      <c r="C52" s="20" t="s">
        <v>406</v>
      </c>
      <c r="D52" s="20" t="s">
        <v>407</v>
      </c>
      <c r="E52" s="20" t="s">
        <v>41</v>
      </c>
      <c r="F52" s="21">
        <v>2768891</v>
      </c>
      <c r="G52" s="21" t="s">
        <v>58</v>
      </c>
      <c r="H52" s="22"/>
      <c r="I52" s="22"/>
      <c r="J52" s="22"/>
      <c r="K52" s="22">
        <v>24</v>
      </c>
      <c r="L52" s="23"/>
      <c r="M52" s="24">
        <f t="shared" si="6"/>
        <v>21.428571428571427</v>
      </c>
      <c r="N52" s="24">
        <f t="shared" si="7"/>
        <v>2.5714285714285712</v>
      </c>
      <c r="O52" s="24">
        <f t="shared" si="8"/>
        <v>0</v>
      </c>
      <c r="P52" s="24"/>
      <c r="Q52" s="25">
        <v>21.43</v>
      </c>
      <c r="R52" s="25"/>
      <c r="S52" s="26"/>
      <c r="T52" s="26"/>
      <c r="U52" s="26"/>
      <c r="V52" s="26"/>
      <c r="W52" s="26"/>
      <c r="X52" s="25"/>
      <c r="Y52" s="25"/>
      <c r="Z52" s="25"/>
      <c r="AA52" s="25"/>
      <c r="AB52" s="26"/>
      <c r="AC52" s="26"/>
      <c r="AD52" s="25"/>
      <c r="AE52" s="25"/>
      <c r="AF52" s="24">
        <f t="shared" si="9"/>
        <v>-24.001428571428569</v>
      </c>
      <c r="AG52" s="27">
        <f t="shared" si="10"/>
        <v>-1.4285714285691142E-3</v>
      </c>
      <c r="AH52" s="28">
        <f t="shared" si="11"/>
        <v>24.001428571428569</v>
      </c>
    </row>
    <row r="53" spans="1:34" s="29" customFormat="1" ht="23.25" customHeight="1" x14ac:dyDescent="0.2">
      <c r="A53" s="18">
        <v>44005</v>
      </c>
      <c r="B53" s="19"/>
      <c r="C53" s="20" t="s">
        <v>37</v>
      </c>
      <c r="D53" s="20"/>
      <c r="E53" s="20"/>
      <c r="F53" s="21"/>
      <c r="G53" s="21" t="s">
        <v>448</v>
      </c>
      <c r="H53" s="22">
        <v>267</v>
      </c>
      <c r="I53" s="22"/>
      <c r="J53" s="22"/>
      <c r="K53" s="22"/>
      <c r="L53" s="23"/>
      <c r="M53" s="24">
        <f t="shared" si="6"/>
        <v>267</v>
      </c>
      <c r="N53" s="24">
        <f t="shared" si="7"/>
        <v>0</v>
      </c>
      <c r="O53" s="24">
        <f t="shared" si="8"/>
        <v>0</v>
      </c>
      <c r="P53" s="24"/>
      <c r="Q53" s="25"/>
      <c r="R53" s="25"/>
      <c r="S53" s="26"/>
      <c r="T53" s="26"/>
      <c r="U53" s="26"/>
      <c r="V53" s="26"/>
      <c r="W53" s="26"/>
      <c r="X53" s="25"/>
      <c r="Y53" s="25"/>
      <c r="Z53" s="25"/>
      <c r="AA53" s="25">
        <v>267</v>
      </c>
      <c r="AB53" s="26"/>
      <c r="AC53" s="26"/>
      <c r="AD53" s="25"/>
      <c r="AE53" s="25"/>
      <c r="AF53" s="24">
        <f t="shared" si="9"/>
        <v>-267</v>
      </c>
      <c r="AG53" s="27">
        <f t="shared" si="10"/>
        <v>0</v>
      </c>
      <c r="AH53" s="28">
        <f t="shared" si="11"/>
        <v>267</v>
      </c>
    </row>
    <row r="54" spans="1:34" s="29" customFormat="1" ht="23.25" customHeight="1" x14ac:dyDescent="0.2">
      <c r="A54" s="18">
        <v>44005</v>
      </c>
      <c r="B54" s="19"/>
      <c r="C54" s="20" t="s">
        <v>39</v>
      </c>
      <c r="D54" s="20" t="s">
        <v>40</v>
      </c>
      <c r="E54" s="20" t="s">
        <v>41</v>
      </c>
      <c r="F54" s="21">
        <v>38409</v>
      </c>
      <c r="G54" s="21" t="s">
        <v>449</v>
      </c>
      <c r="H54" s="22"/>
      <c r="I54" s="22"/>
      <c r="J54" s="22"/>
      <c r="K54" s="22">
        <v>592.5</v>
      </c>
      <c r="L54" s="23"/>
      <c r="M54" s="24">
        <f t="shared" si="6"/>
        <v>529.01785714285711</v>
      </c>
      <c r="N54" s="24">
        <f t="shared" si="7"/>
        <v>63.482142857142854</v>
      </c>
      <c r="O54" s="24">
        <f t="shared" si="8"/>
        <v>0</v>
      </c>
      <c r="P54" s="24">
        <v>529.02</v>
      </c>
      <c r="Q54" s="25"/>
      <c r="R54" s="25"/>
      <c r="S54" s="26"/>
      <c r="T54" s="26"/>
      <c r="U54" s="26"/>
      <c r="V54" s="26"/>
      <c r="W54" s="26"/>
      <c r="X54" s="25"/>
      <c r="Y54" s="25"/>
      <c r="Z54" s="25"/>
      <c r="AA54" s="25"/>
      <c r="AB54" s="26"/>
      <c r="AC54" s="26"/>
      <c r="AD54" s="25"/>
      <c r="AE54" s="25"/>
      <c r="AF54" s="24">
        <f t="shared" si="9"/>
        <v>-592.50214285714287</v>
      </c>
      <c r="AG54" s="27">
        <f t="shared" si="10"/>
        <v>-2.1428571428714349E-3</v>
      </c>
      <c r="AH54" s="28">
        <f t="shared" si="11"/>
        <v>592.50214285714287</v>
      </c>
    </row>
    <row r="55" spans="1:34" s="29" customFormat="1" ht="23.25" customHeight="1" x14ac:dyDescent="0.2">
      <c r="A55" s="18">
        <v>44006</v>
      </c>
      <c r="B55" s="19"/>
      <c r="C55" s="20" t="s">
        <v>450</v>
      </c>
      <c r="D55" s="20" t="s">
        <v>451</v>
      </c>
      <c r="E55" s="20" t="s">
        <v>452</v>
      </c>
      <c r="F55" s="21">
        <v>6216</v>
      </c>
      <c r="G55" s="21" t="s">
        <v>453</v>
      </c>
      <c r="H55" s="22"/>
      <c r="I55" s="22"/>
      <c r="J55" s="22">
        <v>320</v>
      </c>
      <c r="K55" s="22"/>
      <c r="L55" s="23"/>
      <c r="M55" s="24">
        <f t="shared" si="6"/>
        <v>320</v>
      </c>
      <c r="N55" s="24">
        <f t="shared" si="7"/>
        <v>0</v>
      </c>
      <c r="O55" s="24">
        <f t="shared" si="8"/>
        <v>0</v>
      </c>
      <c r="P55" s="24">
        <v>320</v>
      </c>
      <c r="Q55" s="25"/>
      <c r="R55" s="25"/>
      <c r="S55" s="26"/>
      <c r="T55" s="26"/>
      <c r="U55" s="26"/>
      <c r="V55" s="26"/>
      <c r="W55" s="26"/>
      <c r="X55" s="25"/>
      <c r="Y55" s="25"/>
      <c r="Z55" s="25"/>
      <c r="AA55" s="25"/>
      <c r="AB55" s="26"/>
      <c r="AC55" s="26"/>
      <c r="AD55" s="25"/>
      <c r="AE55" s="25"/>
      <c r="AF55" s="24">
        <f t="shared" si="9"/>
        <v>-320</v>
      </c>
      <c r="AG55" s="27">
        <f t="shared" si="10"/>
        <v>0</v>
      </c>
      <c r="AH55" s="28">
        <f t="shared" si="11"/>
        <v>320</v>
      </c>
    </row>
    <row r="56" spans="1:34" s="29" customFormat="1" ht="23.25" customHeight="1" x14ac:dyDescent="0.2">
      <c r="A56" s="18">
        <v>44006</v>
      </c>
      <c r="B56" s="19"/>
      <c r="C56" s="20" t="s">
        <v>406</v>
      </c>
      <c r="D56" s="20" t="s">
        <v>407</v>
      </c>
      <c r="E56" s="20" t="s">
        <v>41</v>
      </c>
      <c r="F56" s="21">
        <v>2770218</v>
      </c>
      <c r="G56" s="21" t="s">
        <v>58</v>
      </c>
      <c r="H56" s="22"/>
      <c r="I56" s="22"/>
      <c r="J56" s="22"/>
      <c r="K56" s="22">
        <v>24</v>
      </c>
      <c r="L56" s="23"/>
      <c r="M56" s="24">
        <f t="shared" si="6"/>
        <v>21.428571428571427</v>
      </c>
      <c r="N56" s="24">
        <f t="shared" si="7"/>
        <v>2.5714285714285712</v>
      </c>
      <c r="O56" s="24">
        <f t="shared" si="8"/>
        <v>0</v>
      </c>
      <c r="P56" s="24">
        <v>21.43</v>
      </c>
      <c r="Q56" s="25"/>
      <c r="R56" s="25"/>
      <c r="S56" s="26"/>
      <c r="T56" s="26"/>
      <c r="U56" s="26"/>
      <c r="V56" s="26"/>
      <c r="W56" s="26"/>
      <c r="X56" s="25"/>
      <c r="Y56" s="25"/>
      <c r="Z56" s="25"/>
      <c r="AA56" s="25"/>
      <c r="AB56" s="26"/>
      <c r="AC56" s="26"/>
      <c r="AD56" s="25"/>
      <c r="AE56" s="25"/>
      <c r="AF56" s="24">
        <f t="shared" si="9"/>
        <v>-24.001428571428569</v>
      </c>
      <c r="AG56" s="27">
        <f t="shared" si="10"/>
        <v>-1.4285714285691142E-3</v>
      </c>
      <c r="AH56" s="28">
        <f t="shared" si="11"/>
        <v>24.001428571428569</v>
      </c>
    </row>
    <row r="57" spans="1:34" s="29" customFormat="1" ht="23.25" customHeight="1" x14ac:dyDescent="0.2">
      <c r="A57" s="18">
        <v>44001</v>
      </c>
      <c r="B57" s="19"/>
      <c r="C57" s="20" t="s">
        <v>454</v>
      </c>
      <c r="D57" s="20" t="s">
        <v>455</v>
      </c>
      <c r="E57" s="20" t="s">
        <v>456</v>
      </c>
      <c r="F57" s="21">
        <v>151957</v>
      </c>
      <c r="G57" s="21" t="s">
        <v>457</v>
      </c>
      <c r="H57" s="22"/>
      <c r="I57" s="22"/>
      <c r="J57" s="22"/>
      <c r="K57" s="22">
        <v>50</v>
      </c>
      <c r="L57" s="23"/>
      <c r="M57" s="24">
        <f t="shared" si="6"/>
        <v>44.642857142857139</v>
      </c>
      <c r="N57" s="24">
        <f t="shared" si="7"/>
        <v>5.3571428571428568</v>
      </c>
      <c r="O57" s="24">
        <f t="shared" si="8"/>
        <v>0</v>
      </c>
      <c r="P57" s="24"/>
      <c r="Q57" s="25"/>
      <c r="R57" s="25"/>
      <c r="S57" s="26"/>
      <c r="T57" s="26"/>
      <c r="U57" s="26"/>
      <c r="V57" s="26"/>
      <c r="W57" s="26"/>
      <c r="X57" s="25"/>
      <c r="Y57" s="25"/>
      <c r="Z57" s="25"/>
      <c r="AA57" s="25">
        <v>44.64</v>
      </c>
      <c r="AB57" s="26"/>
      <c r="AC57" s="26"/>
      <c r="AD57" s="25"/>
      <c r="AE57" s="25"/>
      <c r="AF57" s="24">
        <f t="shared" si="9"/>
        <v>-49.997142857142855</v>
      </c>
      <c r="AG57" s="27">
        <f t="shared" si="10"/>
        <v>2.8571428571453339E-3</v>
      </c>
      <c r="AH57" s="28">
        <f t="shared" si="11"/>
        <v>49.997142857142855</v>
      </c>
    </row>
    <row r="58" spans="1:34" s="29" customFormat="1" ht="23.25" customHeight="1" x14ac:dyDescent="0.2">
      <c r="A58" s="18">
        <v>44001</v>
      </c>
      <c r="B58" s="19"/>
      <c r="C58" s="20" t="s">
        <v>458</v>
      </c>
      <c r="D58" s="20" t="s">
        <v>459</v>
      </c>
      <c r="E58" s="20" t="s">
        <v>88</v>
      </c>
      <c r="F58" s="21">
        <v>5057788</v>
      </c>
      <c r="G58" s="21" t="s">
        <v>460</v>
      </c>
      <c r="H58" s="22"/>
      <c r="I58" s="22"/>
      <c r="J58" s="22"/>
      <c r="K58" s="22">
        <v>50</v>
      </c>
      <c r="L58" s="23"/>
      <c r="M58" s="24">
        <f t="shared" si="6"/>
        <v>44.642857142857139</v>
      </c>
      <c r="N58" s="24">
        <f t="shared" si="7"/>
        <v>5.3571428571428568</v>
      </c>
      <c r="O58" s="24">
        <f t="shared" si="8"/>
        <v>0</v>
      </c>
      <c r="P58" s="24"/>
      <c r="Q58" s="25"/>
      <c r="R58" s="25"/>
      <c r="S58" s="26"/>
      <c r="T58" s="26"/>
      <c r="U58" s="26"/>
      <c r="V58" s="26"/>
      <c r="W58" s="26"/>
      <c r="X58" s="25"/>
      <c r="Y58" s="25"/>
      <c r="Z58" s="25"/>
      <c r="AA58" s="25">
        <v>44.64</v>
      </c>
      <c r="AB58" s="26"/>
      <c r="AC58" s="26"/>
      <c r="AD58" s="25"/>
      <c r="AE58" s="25"/>
      <c r="AF58" s="24">
        <f t="shared" si="9"/>
        <v>-49.997142857142855</v>
      </c>
      <c r="AG58" s="27">
        <f t="shared" si="10"/>
        <v>2.8571428571453339E-3</v>
      </c>
      <c r="AH58" s="28">
        <f t="shared" si="11"/>
        <v>49.997142857142855</v>
      </c>
    </row>
    <row r="59" spans="1:34" s="29" customFormat="1" ht="23.25" customHeight="1" x14ac:dyDescent="0.2">
      <c r="A59" s="18">
        <v>44002</v>
      </c>
      <c r="B59" s="19"/>
      <c r="C59" s="20" t="s">
        <v>308</v>
      </c>
      <c r="D59" s="20" t="s">
        <v>79</v>
      </c>
      <c r="E59" s="20" t="s">
        <v>67</v>
      </c>
      <c r="F59" s="21">
        <v>22893</v>
      </c>
      <c r="G59" s="21" t="s">
        <v>263</v>
      </c>
      <c r="H59" s="22"/>
      <c r="I59" s="22"/>
      <c r="J59" s="22">
        <v>500</v>
      </c>
      <c r="K59" s="22"/>
      <c r="L59" s="23"/>
      <c r="M59" s="24">
        <f t="shared" si="6"/>
        <v>500</v>
      </c>
      <c r="N59" s="24">
        <f t="shared" si="7"/>
        <v>0</v>
      </c>
      <c r="O59" s="24">
        <f t="shared" si="8"/>
        <v>0</v>
      </c>
      <c r="P59" s="24">
        <v>500</v>
      </c>
      <c r="Q59" s="25"/>
      <c r="R59" s="25"/>
      <c r="S59" s="26"/>
      <c r="T59" s="26"/>
      <c r="U59" s="26"/>
      <c r="V59" s="26"/>
      <c r="W59" s="26"/>
      <c r="X59" s="25"/>
      <c r="Y59" s="25"/>
      <c r="Z59" s="25"/>
      <c r="AA59" s="25"/>
      <c r="AB59" s="26"/>
      <c r="AC59" s="26"/>
      <c r="AD59" s="25"/>
      <c r="AE59" s="25"/>
      <c r="AF59" s="24">
        <f t="shared" si="9"/>
        <v>-500</v>
      </c>
      <c r="AG59" s="27">
        <f t="shared" si="10"/>
        <v>0</v>
      </c>
      <c r="AH59" s="28">
        <f t="shared" si="11"/>
        <v>500</v>
      </c>
    </row>
    <row r="60" spans="1:34" s="29" customFormat="1" ht="23.25" customHeight="1" x14ac:dyDescent="0.2">
      <c r="A60" s="18">
        <v>44004</v>
      </c>
      <c r="B60" s="19"/>
      <c r="C60" s="20" t="s">
        <v>302</v>
      </c>
      <c r="D60" s="20" t="s">
        <v>303</v>
      </c>
      <c r="E60" s="20" t="s">
        <v>41</v>
      </c>
      <c r="F60" s="21">
        <v>2769038</v>
      </c>
      <c r="G60" s="21" t="s">
        <v>461</v>
      </c>
      <c r="H60" s="22"/>
      <c r="I60" s="22"/>
      <c r="J60" s="22"/>
      <c r="K60" s="22">
        <v>70</v>
      </c>
      <c r="L60" s="23"/>
      <c r="M60" s="24">
        <f t="shared" si="6"/>
        <v>62.499999999999993</v>
      </c>
      <c r="N60" s="24">
        <f t="shared" si="7"/>
        <v>7.4999999999999991</v>
      </c>
      <c r="O60" s="24">
        <f t="shared" si="8"/>
        <v>0</v>
      </c>
      <c r="P60" s="24"/>
      <c r="Q60" s="25"/>
      <c r="R60" s="25"/>
      <c r="S60" s="26"/>
      <c r="T60" s="26"/>
      <c r="U60" s="26"/>
      <c r="V60" s="26"/>
      <c r="W60" s="26">
        <v>62.5</v>
      </c>
      <c r="X60" s="25"/>
      <c r="Y60" s="25"/>
      <c r="Z60" s="25"/>
      <c r="AA60" s="25"/>
      <c r="AB60" s="26"/>
      <c r="AC60" s="26"/>
      <c r="AD60" s="25"/>
      <c r="AE60" s="25"/>
      <c r="AF60" s="24">
        <f t="shared" si="9"/>
        <v>-70</v>
      </c>
      <c r="AG60" s="27">
        <f t="shared" si="10"/>
        <v>0</v>
      </c>
      <c r="AH60" s="28">
        <f t="shared" si="11"/>
        <v>70</v>
      </c>
    </row>
    <row r="61" spans="1:34" s="29" customFormat="1" ht="23.25" customHeight="1" x14ac:dyDescent="0.2">
      <c r="A61" s="18">
        <v>44004</v>
      </c>
      <c r="B61" s="19"/>
      <c r="C61" s="20" t="s">
        <v>308</v>
      </c>
      <c r="D61" s="20" t="s">
        <v>79</v>
      </c>
      <c r="E61" s="20" t="s">
        <v>67</v>
      </c>
      <c r="F61" s="21">
        <v>34543</v>
      </c>
      <c r="G61" s="21" t="s">
        <v>462</v>
      </c>
      <c r="H61" s="22"/>
      <c r="I61" s="22"/>
      <c r="J61" s="22">
        <v>450</v>
      </c>
      <c r="K61" s="22"/>
      <c r="L61" s="23"/>
      <c r="M61" s="24">
        <f t="shared" si="6"/>
        <v>450</v>
      </c>
      <c r="N61" s="24">
        <f t="shared" si="7"/>
        <v>0</v>
      </c>
      <c r="O61" s="24">
        <f t="shared" si="8"/>
        <v>0</v>
      </c>
      <c r="P61" s="24">
        <v>450</v>
      </c>
      <c r="Q61" s="25"/>
      <c r="R61" s="25"/>
      <c r="S61" s="26"/>
      <c r="T61" s="26"/>
      <c r="U61" s="26"/>
      <c r="V61" s="26"/>
      <c r="W61" s="26"/>
      <c r="X61" s="25"/>
      <c r="Y61" s="25"/>
      <c r="Z61" s="25"/>
      <c r="AA61" s="25"/>
      <c r="AB61" s="26"/>
      <c r="AC61" s="26"/>
      <c r="AD61" s="25"/>
      <c r="AE61" s="25"/>
      <c r="AF61" s="24">
        <f t="shared" si="9"/>
        <v>-450</v>
      </c>
      <c r="AG61" s="27">
        <f t="shared" si="10"/>
        <v>0</v>
      </c>
      <c r="AH61" s="28">
        <f t="shared" si="11"/>
        <v>450</v>
      </c>
    </row>
    <row r="62" spans="1:34" s="29" customFormat="1" ht="23.25" customHeight="1" x14ac:dyDescent="0.2">
      <c r="A62" s="18">
        <v>44004</v>
      </c>
      <c r="B62" s="19"/>
      <c r="C62" s="20" t="s">
        <v>45</v>
      </c>
      <c r="D62" s="20"/>
      <c r="E62" s="20"/>
      <c r="F62" s="21"/>
      <c r="G62" s="21" t="s">
        <v>463</v>
      </c>
      <c r="H62" s="22">
        <v>50</v>
      </c>
      <c r="I62" s="22"/>
      <c r="J62" s="22"/>
      <c r="K62" s="22"/>
      <c r="L62" s="23"/>
      <c r="M62" s="24">
        <f t="shared" si="6"/>
        <v>50</v>
      </c>
      <c r="N62" s="24">
        <f t="shared" si="7"/>
        <v>0</v>
      </c>
      <c r="O62" s="24">
        <f t="shared" si="8"/>
        <v>0</v>
      </c>
      <c r="P62" s="24"/>
      <c r="Q62" s="25"/>
      <c r="R62" s="25"/>
      <c r="S62" s="26"/>
      <c r="T62" s="26"/>
      <c r="U62" s="26"/>
      <c r="V62" s="26"/>
      <c r="W62" s="26"/>
      <c r="X62" s="25"/>
      <c r="Y62" s="25"/>
      <c r="Z62" s="25"/>
      <c r="AA62" s="25">
        <v>50</v>
      </c>
      <c r="AB62" s="26"/>
      <c r="AC62" s="26"/>
      <c r="AD62" s="25"/>
      <c r="AE62" s="25"/>
      <c r="AF62" s="24">
        <f t="shared" si="9"/>
        <v>-50</v>
      </c>
      <c r="AG62" s="27">
        <f t="shared" si="10"/>
        <v>0</v>
      </c>
      <c r="AH62" s="28">
        <f t="shared" si="11"/>
        <v>50</v>
      </c>
    </row>
    <row r="63" spans="1:34" s="29" customFormat="1" ht="23.25" customHeight="1" x14ac:dyDescent="0.2">
      <c r="A63" s="18">
        <v>44004</v>
      </c>
      <c r="B63" s="19"/>
      <c r="C63" s="20" t="s">
        <v>184</v>
      </c>
      <c r="D63" s="20" t="s">
        <v>464</v>
      </c>
      <c r="E63" s="20" t="s">
        <v>49</v>
      </c>
      <c r="F63" s="21">
        <v>37611</v>
      </c>
      <c r="G63" s="21" t="s">
        <v>465</v>
      </c>
      <c r="H63" s="22"/>
      <c r="I63" s="22"/>
      <c r="J63" s="22"/>
      <c r="K63" s="22">
        <v>210</v>
      </c>
      <c r="L63" s="23"/>
      <c r="M63" s="24">
        <f t="shared" si="6"/>
        <v>187.49999999999997</v>
      </c>
      <c r="N63" s="24">
        <f t="shared" si="7"/>
        <v>22.499999999999996</v>
      </c>
      <c r="O63" s="24">
        <f t="shared" si="8"/>
        <v>0</v>
      </c>
      <c r="P63" s="24"/>
      <c r="Q63" s="25"/>
      <c r="R63" s="25"/>
      <c r="S63" s="26"/>
      <c r="T63" s="26"/>
      <c r="U63" s="26"/>
      <c r="V63" s="26"/>
      <c r="W63" s="26">
        <v>187.5</v>
      </c>
      <c r="X63" s="25"/>
      <c r="Y63" s="25"/>
      <c r="Z63" s="25"/>
      <c r="AA63" s="25"/>
      <c r="AB63" s="26"/>
      <c r="AC63" s="26"/>
      <c r="AD63" s="25"/>
      <c r="AE63" s="25"/>
      <c r="AF63" s="24">
        <f t="shared" si="9"/>
        <v>-210</v>
      </c>
      <c r="AG63" s="27">
        <f t="shared" si="10"/>
        <v>0</v>
      </c>
      <c r="AH63" s="28">
        <f t="shared" si="11"/>
        <v>210</v>
      </c>
    </row>
    <row r="64" spans="1:34" s="29" customFormat="1" ht="23.25" customHeight="1" x14ac:dyDescent="0.2">
      <c r="A64" s="18">
        <v>44004</v>
      </c>
      <c r="B64" s="19"/>
      <c r="C64" s="20" t="s">
        <v>302</v>
      </c>
      <c r="D64" s="20" t="s">
        <v>303</v>
      </c>
      <c r="E64" s="20" t="s">
        <v>41</v>
      </c>
      <c r="F64" s="21">
        <v>2768891</v>
      </c>
      <c r="G64" s="21" t="s">
        <v>58</v>
      </c>
      <c r="H64" s="22"/>
      <c r="I64" s="22"/>
      <c r="J64" s="22"/>
      <c r="K64" s="22">
        <v>24</v>
      </c>
      <c r="L64" s="23"/>
      <c r="M64" s="24">
        <f t="shared" si="6"/>
        <v>21.428571428571427</v>
      </c>
      <c r="N64" s="24">
        <f t="shared" si="7"/>
        <v>2.5714285714285712</v>
      </c>
      <c r="O64" s="24">
        <f t="shared" si="8"/>
        <v>0</v>
      </c>
      <c r="P64" s="24"/>
      <c r="Q64" s="25">
        <v>21.43</v>
      </c>
      <c r="R64" s="25"/>
      <c r="S64" s="26"/>
      <c r="T64" s="26"/>
      <c r="U64" s="26"/>
      <c r="V64" s="26"/>
      <c r="W64" s="26"/>
      <c r="X64" s="25"/>
      <c r="Y64" s="25"/>
      <c r="Z64" s="25"/>
      <c r="AA64" s="25"/>
      <c r="AB64" s="26"/>
      <c r="AC64" s="26"/>
      <c r="AD64" s="25"/>
      <c r="AE64" s="25"/>
      <c r="AF64" s="24">
        <f t="shared" si="9"/>
        <v>-24.001428571428569</v>
      </c>
      <c r="AG64" s="27">
        <f t="shared" si="10"/>
        <v>-1.4285714285691142E-3</v>
      </c>
      <c r="AH64" s="28">
        <f t="shared" si="11"/>
        <v>24.001428571428569</v>
      </c>
    </row>
    <row r="65" spans="1:34" s="29" customFormat="1" ht="23.25" customHeight="1" x14ac:dyDescent="0.2">
      <c r="A65" s="18">
        <v>44005</v>
      </c>
      <c r="B65" s="19"/>
      <c r="C65" s="20" t="s">
        <v>37</v>
      </c>
      <c r="D65" s="20"/>
      <c r="E65" s="20"/>
      <c r="F65" s="21"/>
      <c r="G65" s="21" t="s">
        <v>466</v>
      </c>
      <c r="H65" s="22">
        <v>267</v>
      </c>
      <c r="I65" s="22"/>
      <c r="J65" s="22"/>
      <c r="K65" s="22"/>
      <c r="L65" s="23"/>
      <c r="M65" s="24">
        <f t="shared" si="6"/>
        <v>267</v>
      </c>
      <c r="N65" s="24">
        <f t="shared" si="7"/>
        <v>0</v>
      </c>
      <c r="O65" s="24">
        <f t="shared" si="8"/>
        <v>0</v>
      </c>
      <c r="P65" s="24"/>
      <c r="Q65" s="25"/>
      <c r="R65" s="25"/>
      <c r="S65" s="26"/>
      <c r="T65" s="26"/>
      <c r="U65" s="26"/>
      <c r="V65" s="26"/>
      <c r="W65" s="26"/>
      <c r="X65" s="25"/>
      <c r="Y65" s="25"/>
      <c r="Z65" s="25"/>
      <c r="AA65" s="25">
        <v>267</v>
      </c>
      <c r="AB65" s="26"/>
      <c r="AC65" s="26"/>
      <c r="AD65" s="25"/>
      <c r="AE65" s="25"/>
      <c r="AF65" s="24">
        <f t="shared" si="9"/>
        <v>-267</v>
      </c>
      <c r="AG65" s="27">
        <f t="shared" si="10"/>
        <v>0</v>
      </c>
      <c r="AH65" s="28">
        <f t="shared" si="11"/>
        <v>267</v>
      </c>
    </row>
    <row r="66" spans="1:34" s="29" customFormat="1" ht="23.25" customHeight="1" x14ac:dyDescent="0.2">
      <c r="A66" s="18">
        <v>44005</v>
      </c>
      <c r="B66" s="19"/>
      <c r="C66" s="20" t="s">
        <v>39</v>
      </c>
      <c r="D66" s="20" t="s">
        <v>40</v>
      </c>
      <c r="E66" s="20" t="s">
        <v>41</v>
      </c>
      <c r="F66" s="21">
        <v>38409</v>
      </c>
      <c r="G66" s="21" t="s">
        <v>467</v>
      </c>
      <c r="H66" s="22"/>
      <c r="I66" s="22"/>
      <c r="J66" s="22"/>
      <c r="K66" s="22">
        <v>592.5</v>
      </c>
      <c r="L66" s="23"/>
      <c r="M66" s="24">
        <f t="shared" si="6"/>
        <v>529.01785714285711</v>
      </c>
      <c r="N66" s="24">
        <f t="shared" si="7"/>
        <v>63.482142857142854</v>
      </c>
      <c r="O66" s="24">
        <f t="shared" si="8"/>
        <v>0</v>
      </c>
      <c r="P66" s="24">
        <v>529.02</v>
      </c>
      <c r="Q66" s="25"/>
      <c r="R66" s="25"/>
      <c r="S66" s="26"/>
      <c r="T66" s="26"/>
      <c r="U66" s="26"/>
      <c r="V66" s="26"/>
      <c r="W66" s="26"/>
      <c r="X66" s="25"/>
      <c r="Y66" s="25"/>
      <c r="Z66" s="25"/>
      <c r="AA66" s="25"/>
      <c r="AB66" s="26"/>
      <c r="AC66" s="26"/>
      <c r="AD66" s="25"/>
      <c r="AE66" s="25"/>
      <c r="AF66" s="24">
        <f t="shared" si="9"/>
        <v>-592.50214285714287</v>
      </c>
      <c r="AG66" s="27">
        <f t="shared" si="10"/>
        <v>-2.1428571428714349E-3</v>
      </c>
      <c r="AH66" s="28">
        <f t="shared" si="11"/>
        <v>592.50214285714287</v>
      </c>
    </row>
    <row r="67" spans="1:34" s="29" customFormat="1" ht="23.25" customHeight="1" x14ac:dyDescent="0.2">
      <c r="A67" s="18">
        <v>44006</v>
      </c>
      <c r="B67" s="19"/>
      <c r="C67" s="20" t="s">
        <v>302</v>
      </c>
      <c r="D67" s="20" t="s">
        <v>303</v>
      </c>
      <c r="E67" s="20" t="s">
        <v>41</v>
      </c>
      <c r="F67" s="21">
        <v>2770218</v>
      </c>
      <c r="G67" s="21" t="s">
        <v>58</v>
      </c>
      <c r="H67" s="22"/>
      <c r="I67" s="22"/>
      <c r="J67" s="22"/>
      <c r="K67" s="22">
        <v>24</v>
      </c>
      <c r="L67" s="23"/>
      <c r="M67" s="24">
        <f t="shared" si="6"/>
        <v>21.428571428571427</v>
      </c>
      <c r="N67" s="24">
        <f t="shared" si="7"/>
        <v>2.5714285714285712</v>
      </c>
      <c r="O67" s="24">
        <f t="shared" si="8"/>
        <v>0</v>
      </c>
      <c r="P67" s="24"/>
      <c r="Q67" s="25">
        <v>21.43</v>
      </c>
      <c r="R67" s="25"/>
      <c r="S67" s="26"/>
      <c r="T67" s="26"/>
      <c r="U67" s="26"/>
      <c r="V67" s="26"/>
      <c r="W67" s="26"/>
      <c r="X67" s="25"/>
      <c r="Y67" s="25"/>
      <c r="Z67" s="25"/>
      <c r="AA67" s="25"/>
      <c r="AB67" s="26"/>
      <c r="AC67" s="26"/>
      <c r="AD67" s="25"/>
      <c r="AE67" s="25"/>
      <c r="AF67" s="24">
        <f t="shared" si="9"/>
        <v>-24.001428571428569</v>
      </c>
      <c r="AG67" s="27">
        <f t="shared" si="10"/>
        <v>-1.4285714285691142E-3</v>
      </c>
      <c r="AH67" s="28">
        <f t="shared" si="11"/>
        <v>24.001428571428569</v>
      </c>
    </row>
    <row r="68" spans="1:34" s="29" customFormat="1" ht="27.75" customHeight="1" x14ac:dyDescent="0.2">
      <c r="A68" s="18">
        <v>44006</v>
      </c>
      <c r="B68" s="19"/>
      <c r="C68" s="20" t="s">
        <v>468</v>
      </c>
      <c r="D68" s="20" t="s">
        <v>451</v>
      </c>
      <c r="E68" s="20" t="s">
        <v>452</v>
      </c>
      <c r="F68" s="21">
        <v>6216</v>
      </c>
      <c r="G68" s="30" t="s">
        <v>469</v>
      </c>
      <c r="H68" s="22"/>
      <c r="I68" s="22"/>
      <c r="J68" s="22">
        <v>320</v>
      </c>
      <c r="K68" s="22"/>
      <c r="L68" s="23"/>
      <c r="M68" s="24">
        <f t="shared" si="6"/>
        <v>320</v>
      </c>
      <c r="N68" s="24">
        <f t="shared" si="7"/>
        <v>0</v>
      </c>
      <c r="O68" s="24">
        <f t="shared" si="8"/>
        <v>0</v>
      </c>
      <c r="P68" s="24">
        <v>320</v>
      </c>
      <c r="Q68" s="25"/>
      <c r="R68" s="25"/>
      <c r="S68" s="26"/>
      <c r="T68" s="26"/>
      <c r="U68" s="26"/>
      <c r="V68" s="26"/>
      <c r="W68" s="26"/>
      <c r="X68" s="25"/>
      <c r="Y68" s="25"/>
      <c r="Z68" s="25"/>
      <c r="AA68" s="25"/>
      <c r="AB68" s="26"/>
      <c r="AC68" s="26"/>
      <c r="AD68" s="25"/>
      <c r="AE68" s="25"/>
      <c r="AF68" s="24">
        <f t="shared" si="9"/>
        <v>-320</v>
      </c>
      <c r="AG68" s="27">
        <f t="shared" si="10"/>
        <v>0</v>
      </c>
      <c r="AH68" s="28">
        <f t="shared" si="11"/>
        <v>320</v>
      </c>
    </row>
    <row r="69" spans="1:34" s="29" customFormat="1" ht="23.25" customHeight="1" x14ac:dyDescent="0.2">
      <c r="A69" s="18">
        <v>44007</v>
      </c>
      <c r="B69" s="19"/>
      <c r="C69" s="20" t="s">
        <v>302</v>
      </c>
      <c r="D69" s="20" t="s">
        <v>303</v>
      </c>
      <c r="E69" s="20" t="s">
        <v>41</v>
      </c>
      <c r="F69" s="21">
        <v>2770588</v>
      </c>
      <c r="G69" s="21" t="s">
        <v>58</v>
      </c>
      <c r="H69" s="22"/>
      <c r="I69" s="22"/>
      <c r="J69" s="22"/>
      <c r="K69" s="22">
        <v>24</v>
      </c>
      <c r="L69" s="23"/>
      <c r="M69" s="24">
        <f t="shared" ref="M69:M85" si="12">SUM(H69:J69,K69/1.12)</f>
        <v>21.428571428571427</v>
      </c>
      <c r="N69" s="24">
        <f t="shared" ref="N69:N85" si="13">K69/1.12*0.12</f>
        <v>2.5714285714285712</v>
      </c>
      <c r="O69" s="24">
        <f t="shared" ref="O69:O85" si="14">-SUM(I69:J69,K69/1.12)*L69</f>
        <v>0</v>
      </c>
      <c r="P69" s="24"/>
      <c r="Q69" s="25">
        <v>21.43</v>
      </c>
      <c r="R69" s="25"/>
      <c r="S69" s="26"/>
      <c r="T69" s="26"/>
      <c r="U69" s="26"/>
      <c r="V69" s="26"/>
      <c r="W69" s="26"/>
      <c r="X69" s="25"/>
      <c r="Y69" s="25"/>
      <c r="Z69" s="25"/>
      <c r="AA69" s="25"/>
      <c r="AB69" s="26"/>
      <c r="AC69" s="26"/>
      <c r="AD69" s="25"/>
      <c r="AE69" s="25"/>
      <c r="AF69" s="24">
        <f t="shared" ref="AF69:AF85" si="15">-SUM(N69:AE69)</f>
        <v>-24.001428571428569</v>
      </c>
      <c r="AG69" s="27">
        <f t="shared" ref="AG69:AG85" si="16">SUM(H69:K69)+AF69+O69</f>
        <v>-1.4285714285691142E-3</v>
      </c>
      <c r="AH69" s="28">
        <f t="shared" ref="AH69:AH82" si="17">-AF69</f>
        <v>24.001428571428569</v>
      </c>
    </row>
    <row r="70" spans="1:34" s="29" customFormat="1" ht="23.25" customHeight="1" x14ac:dyDescent="0.2">
      <c r="A70" s="18">
        <v>44008</v>
      </c>
      <c r="B70" s="19"/>
      <c r="C70" s="20" t="s">
        <v>302</v>
      </c>
      <c r="D70" s="20" t="s">
        <v>303</v>
      </c>
      <c r="E70" s="20" t="s">
        <v>41</v>
      </c>
      <c r="F70" s="21">
        <v>2076070</v>
      </c>
      <c r="G70" s="21" t="s">
        <v>470</v>
      </c>
      <c r="H70" s="22"/>
      <c r="I70" s="22"/>
      <c r="J70" s="22"/>
      <c r="K70" s="22">
        <v>40</v>
      </c>
      <c r="L70" s="23"/>
      <c r="M70" s="24">
        <f t="shared" si="12"/>
        <v>35.714285714285708</v>
      </c>
      <c r="N70" s="24">
        <f t="shared" si="13"/>
        <v>4.2857142857142847</v>
      </c>
      <c r="O70" s="24">
        <f t="shared" si="14"/>
        <v>0</v>
      </c>
      <c r="P70" s="25"/>
      <c r="Q70" s="25"/>
      <c r="R70" s="25"/>
      <c r="S70" s="26"/>
      <c r="T70" s="26"/>
      <c r="U70" s="26"/>
      <c r="V70" s="26"/>
      <c r="W70" s="26"/>
      <c r="X70" s="25"/>
      <c r="Y70" s="25"/>
      <c r="Z70" s="25"/>
      <c r="AA70" s="25"/>
      <c r="AB70" s="26"/>
      <c r="AC70" s="26"/>
      <c r="AD70" s="25">
        <v>35.71</v>
      </c>
      <c r="AE70" s="25"/>
      <c r="AF70" s="24">
        <f t="shared" si="15"/>
        <v>-39.995714285714286</v>
      </c>
      <c r="AG70" s="27">
        <f t="shared" si="16"/>
        <v>4.2857142857144481E-3</v>
      </c>
      <c r="AH70" s="28">
        <f t="shared" si="17"/>
        <v>39.995714285714286</v>
      </c>
    </row>
    <row r="71" spans="1:34" s="29" customFormat="1" ht="23.25" customHeight="1" x14ac:dyDescent="0.2">
      <c r="A71" s="18">
        <v>44008</v>
      </c>
      <c r="B71" s="19"/>
      <c r="C71" s="20" t="s">
        <v>302</v>
      </c>
      <c r="D71" s="20" t="s">
        <v>303</v>
      </c>
      <c r="E71" s="20" t="s">
        <v>41</v>
      </c>
      <c r="F71" s="21">
        <v>27771093</v>
      </c>
      <c r="G71" s="21" t="s">
        <v>58</v>
      </c>
      <c r="H71" s="22"/>
      <c r="I71" s="22"/>
      <c r="J71" s="22"/>
      <c r="K71" s="22">
        <v>24</v>
      </c>
      <c r="L71" s="23"/>
      <c r="M71" s="24">
        <f t="shared" si="12"/>
        <v>21.428571428571427</v>
      </c>
      <c r="N71" s="24">
        <f t="shared" si="13"/>
        <v>2.5714285714285712</v>
      </c>
      <c r="O71" s="24">
        <f t="shared" si="14"/>
        <v>0</v>
      </c>
      <c r="P71" s="24"/>
      <c r="Q71" s="25">
        <v>21.43</v>
      </c>
      <c r="R71" s="25"/>
      <c r="S71" s="26"/>
      <c r="T71" s="26"/>
      <c r="U71" s="26"/>
      <c r="V71" s="26"/>
      <c r="W71" s="26"/>
      <c r="X71" s="25"/>
      <c r="Y71" s="25"/>
      <c r="Z71" s="25"/>
      <c r="AA71" s="25"/>
      <c r="AB71" s="26"/>
      <c r="AC71" s="26"/>
      <c r="AD71" s="25"/>
      <c r="AE71" s="25"/>
      <c r="AF71" s="24">
        <f t="shared" si="15"/>
        <v>-24.001428571428569</v>
      </c>
      <c r="AG71" s="27">
        <f t="shared" si="16"/>
        <v>-1.4285714285691142E-3</v>
      </c>
      <c r="AH71" s="28">
        <f t="shared" si="17"/>
        <v>24.001428571428569</v>
      </c>
    </row>
    <row r="72" spans="1:34" s="29" customFormat="1" ht="23.25" customHeight="1" x14ac:dyDescent="0.2">
      <c r="A72" s="18">
        <v>44008</v>
      </c>
      <c r="B72" s="19"/>
      <c r="C72" s="20" t="s">
        <v>471</v>
      </c>
      <c r="D72" s="20" t="s">
        <v>214</v>
      </c>
      <c r="E72" s="20" t="s">
        <v>420</v>
      </c>
      <c r="F72" s="21">
        <v>200041</v>
      </c>
      <c r="G72" s="21" t="s">
        <v>472</v>
      </c>
      <c r="H72" s="22"/>
      <c r="I72" s="22"/>
      <c r="J72" s="22"/>
      <c r="K72" s="22">
        <v>435</v>
      </c>
      <c r="L72" s="23"/>
      <c r="M72" s="24">
        <f t="shared" si="12"/>
        <v>388.39285714285711</v>
      </c>
      <c r="N72" s="24">
        <f t="shared" si="13"/>
        <v>46.607142857142854</v>
      </c>
      <c r="O72" s="24">
        <f t="shared" si="14"/>
        <v>0</v>
      </c>
      <c r="P72" s="24"/>
      <c r="Q72" s="25"/>
      <c r="R72" s="25"/>
      <c r="S72" s="26">
        <v>388.39</v>
      </c>
      <c r="T72" s="26"/>
      <c r="U72" s="26"/>
      <c r="V72" s="26"/>
      <c r="W72" s="26"/>
      <c r="X72" s="25"/>
      <c r="Y72" s="25"/>
      <c r="Z72" s="25"/>
      <c r="AA72" s="25"/>
      <c r="AB72" s="26"/>
      <c r="AC72" s="26"/>
      <c r="AD72" s="25"/>
      <c r="AE72" s="25"/>
      <c r="AF72" s="24">
        <f t="shared" si="15"/>
        <v>-434.99714285714282</v>
      </c>
      <c r="AG72" s="27">
        <f t="shared" si="16"/>
        <v>2.857142857180861E-3</v>
      </c>
      <c r="AH72" s="28">
        <f t="shared" si="17"/>
        <v>434.99714285714282</v>
      </c>
    </row>
    <row r="73" spans="1:34" s="29" customFormat="1" ht="23.25" customHeight="1" x14ac:dyDescent="0.2">
      <c r="A73" s="18">
        <v>44008</v>
      </c>
      <c r="B73" s="19"/>
      <c r="C73" s="20" t="s">
        <v>39</v>
      </c>
      <c r="D73" s="20" t="s">
        <v>40</v>
      </c>
      <c r="E73" s="20" t="s">
        <v>41</v>
      </c>
      <c r="F73" s="21">
        <v>185409</v>
      </c>
      <c r="G73" s="21" t="s">
        <v>473</v>
      </c>
      <c r="H73" s="22"/>
      <c r="I73" s="22"/>
      <c r="J73" s="22"/>
      <c r="K73" s="22">
        <v>265.5</v>
      </c>
      <c r="L73" s="23"/>
      <c r="M73" s="24">
        <f t="shared" si="12"/>
        <v>237.05357142857142</v>
      </c>
      <c r="N73" s="24">
        <f t="shared" si="13"/>
        <v>28.446428571428569</v>
      </c>
      <c r="O73" s="24">
        <f t="shared" si="14"/>
        <v>0</v>
      </c>
      <c r="P73" s="24"/>
      <c r="Q73" s="25">
        <v>237.05</v>
      </c>
      <c r="R73" s="25"/>
      <c r="S73" s="26"/>
      <c r="T73" s="26"/>
      <c r="U73" s="26"/>
      <c r="V73" s="26"/>
      <c r="W73" s="26"/>
      <c r="X73" s="25"/>
      <c r="Y73" s="25"/>
      <c r="Z73" s="25"/>
      <c r="AA73" s="25"/>
      <c r="AB73" s="26"/>
      <c r="AC73" s="26"/>
      <c r="AD73" s="25"/>
      <c r="AE73" s="25"/>
      <c r="AF73" s="24">
        <f t="shared" si="15"/>
        <v>-265.49642857142857</v>
      </c>
      <c r="AG73" s="27">
        <f t="shared" si="16"/>
        <v>3.5714285714334437E-3</v>
      </c>
      <c r="AH73" s="28">
        <f t="shared" si="17"/>
        <v>265.49642857142857</v>
      </c>
    </row>
    <row r="74" spans="1:34" s="29" customFormat="1" ht="23.25" customHeight="1" x14ac:dyDescent="0.2">
      <c r="A74" s="18">
        <v>44008</v>
      </c>
      <c r="B74" s="19"/>
      <c r="C74" s="20" t="s">
        <v>60</v>
      </c>
      <c r="D74" s="20"/>
      <c r="E74" s="20"/>
      <c r="F74" s="21"/>
      <c r="G74" s="21" t="s">
        <v>474</v>
      </c>
      <c r="H74" s="22">
        <v>50</v>
      </c>
      <c r="I74" s="22"/>
      <c r="J74" s="22"/>
      <c r="K74" s="22"/>
      <c r="L74" s="23"/>
      <c r="M74" s="24">
        <f t="shared" si="12"/>
        <v>50</v>
      </c>
      <c r="N74" s="24">
        <f t="shared" si="13"/>
        <v>0</v>
      </c>
      <c r="O74" s="24">
        <f t="shared" si="14"/>
        <v>0</v>
      </c>
      <c r="P74" s="24"/>
      <c r="Q74" s="25"/>
      <c r="R74" s="25"/>
      <c r="S74" s="26"/>
      <c r="T74" s="26"/>
      <c r="U74" s="26"/>
      <c r="V74" s="26"/>
      <c r="W74" s="26"/>
      <c r="X74" s="25"/>
      <c r="Y74" s="25"/>
      <c r="Z74" s="25"/>
      <c r="AA74" s="25">
        <v>50</v>
      </c>
      <c r="AB74" s="26"/>
      <c r="AC74" s="26"/>
      <c r="AD74" s="25"/>
      <c r="AE74" s="25"/>
      <c r="AF74" s="24">
        <f t="shared" si="15"/>
        <v>-50</v>
      </c>
      <c r="AG74" s="27">
        <f t="shared" si="16"/>
        <v>0</v>
      </c>
      <c r="AH74" s="28">
        <f t="shared" si="17"/>
        <v>50</v>
      </c>
    </row>
    <row r="75" spans="1:34" s="29" customFormat="1" ht="23.25" customHeight="1" x14ac:dyDescent="0.2">
      <c r="A75" s="18">
        <v>44008</v>
      </c>
      <c r="B75" s="19"/>
      <c r="C75" s="20" t="s">
        <v>475</v>
      </c>
      <c r="D75" s="20"/>
      <c r="E75" s="20"/>
      <c r="F75" s="21"/>
      <c r="G75" s="21" t="s">
        <v>476</v>
      </c>
      <c r="H75" s="22"/>
      <c r="I75" s="22"/>
      <c r="J75" s="22">
        <v>600</v>
      </c>
      <c r="K75" s="22"/>
      <c r="L75" s="23"/>
      <c r="M75" s="24">
        <f t="shared" si="12"/>
        <v>600</v>
      </c>
      <c r="N75" s="24">
        <f t="shared" si="13"/>
        <v>0</v>
      </c>
      <c r="O75" s="24">
        <f t="shared" si="14"/>
        <v>0</v>
      </c>
      <c r="P75" s="24"/>
      <c r="Q75" s="25"/>
      <c r="R75" s="25"/>
      <c r="S75" s="26"/>
      <c r="T75" s="26"/>
      <c r="U75" s="26"/>
      <c r="V75" s="26"/>
      <c r="W75" s="26">
        <v>600</v>
      </c>
      <c r="X75" s="25"/>
      <c r="Y75" s="25"/>
      <c r="Z75" s="25"/>
      <c r="AA75" s="25"/>
      <c r="AB75" s="26"/>
      <c r="AC75" s="26"/>
      <c r="AD75" s="25"/>
      <c r="AE75" s="25"/>
      <c r="AF75" s="24">
        <f t="shared" si="15"/>
        <v>-600</v>
      </c>
      <c r="AG75" s="27">
        <f t="shared" si="16"/>
        <v>0</v>
      </c>
      <c r="AH75" s="28">
        <f t="shared" si="17"/>
        <v>600</v>
      </c>
    </row>
    <row r="76" spans="1:34" s="29" customFormat="1" ht="23.25" customHeight="1" x14ac:dyDescent="0.2">
      <c r="A76" s="18">
        <v>44011</v>
      </c>
      <c r="B76" s="19"/>
      <c r="C76" s="20" t="s">
        <v>302</v>
      </c>
      <c r="D76" s="20" t="s">
        <v>303</v>
      </c>
      <c r="E76" s="20" t="s">
        <v>41</v>
      </c>
      <c r="F76" s="21">
        <v>1496943</v>
      </c>
      <c r="G76" s="21" t="s">
        <v>58</v>
      </c>
      <c r="H76" s="22"/>
      <c r="I76" s="22"/>
      <c r="J76" s="22"/>
      <c r="K76" s="22">
        <v>24</v>
      </c>
      <c r="L76" s="23"/>
      <c r="M76" s="24">
        <f t="shared" si="12"/>
        <v>21.428571428571427</v>
      </c>
      <c r="N76" s="24">
        <f t="shared" si="13"/>
        <v>2.5714285714285712</v>
      </c>
      <c r="O76" s="24">
        <f t="shared" si="14"/>
        <v>0</v>
      </c>
      <c r="P76" s="24"/>
      <c r="Q76" s="25">
        <v>21.43</v>
      </c>
      <c r="R76" s="25"/>
      <c r="S76" s="26"/>
      <c r="T76" s="26"/>
      <c r="U76" s="26"/>
      <c r="V76" s="26"/>
      <c r="W76" s="26"/>
      <c r="X76" s="25"/>
      <c r="Y76" s="25"/>
      <c r="Z76" s="25"/>
      <c r="AA76" s="25"/>
      <c r="AB76" s="26"/>
      <c r="AC76" s="26"/>
      <c r="AD76" s="25"/>
      <c r="AE76" s="25"/>
      <c r="AF76" s="24">
        <f t="shared" si="15"/>
        <v>-24.001428571428569</v>
      </c>
      <c r="AG76" s="27">
        <f t="shared" si="16"/>
        <v>-1.4285714285691142E-3</v>
      </c>
      <c r="AH76" s="28">
        <f t="shared" si="17"/>
        <v>24.001428571428569</v>
      </c>
    </row>
    <row r="77" spans="1:34" s="29" customFormat="1" ht="23.25" customHeight="1" x14ac:dyDescent="0.2">
      <c r="A77" s="18">
        <v>44011</v>
      </c>
      <c r="B77" s="19"/>
      <c r="C77" s="20" t="s">
        <v>39</v>
      </c>
      <c r="D77" s="20" t="s">
        <v>40</v>
      </c>
      <c r="E77" s="20" t="s">
        <v>41</v>
      </c>
      <c r="F77" s="21">
        <v>111687</v>
      </c>
      <c r="G77" s="21" t="s">
        <v>473</v>
      </c>
      <c r="H77" s="22"/>
      <c r="I77" s="22"/>
      <c r="J77" s="22"/>
      <c r="K77" s="22">
        <v>325</v>
      </c>
      <c r="L77" s="23"/>
      <c r="M77" s="24">
        <f t="shared" si="12"/>
        <v>290.17857142857139</v>
      </c>
      <c r="N77" s="24">
        <f t="shared" si="13"/>
        <v>34.821428571428562</v>
      </c>
      <c r="O77" s="24">
        <f t="shared" si="14"/>
        <v>0</v>
      </c>
      <c r="P77" s="24"/>
      <c r="Q77" s="25">
        <v>290.18</v>
      </c>
      <c r="R77" s="25"/>
      <c r="S77" s="26"/>
      <c r="T77" s="26"/>
      <c r="U77" s="26"/>
      <c r="V77" s="26"/>
      <c r="W77" s="26"/>
      <c r="X77" s="25"/>
      <c r="Y77" s="25"/>
      <c r="Z77" s="25"/>
      <c r="AA77" s="25"/>
      <c r="AB77" s="26"/>
      <c r="AC77" s="26"/>
      <c r="AD77" s="25"/>
      <c r="AE77" s="25"/>
      <c r="AF77" s="24">
        <f t="shared" si="15"/>
        <v>-325.00142857142856</v>
      </c>
      <c r="AG77" s="27">
        <f t="shared" si="16"/>
        <v>-1.4285714285620088E-3</v>
      </c>
      <c r="AH77" s="28">
        <f t="shared" si="17"/>
        <v>325.00142857142856</v>
      </c>
    </row>
    <row r="78" spans="1:34" s="29" customFormat="1" ht="23.25" customHeight="1" x14ac:dyDescent="0.2">
      <c r="A78" s="18">
        <v>44011</v>
      </c>
      <c r="B78" s="19"/>
      <c r="C78" s="20" t="s">
        <v>39</v>
      </c>
      <c r="D78" s="20" t="s">
        <v>40</v>
      </c>
      <c r="E78" s="20" t="s">
        <v>41</v>
      </c>
      <c r="F78" s="21">
        <v>111687</v>
      </c>
      <c r="G78" s="21" t="s">
        <v>477</v>
      </c>
      <c r="H78" s="22"/>
      <c r="I78" s="22"/>
      <c r="J78" s="22">
        <v>198</v>
      </c>
      <c r="K78" s="22"/>
      <c r="L78" s="23"/>
      <c r="M78" s="24">
        <f t="shared" si="12"/>
        <v>198</v>
      </c>
      <c r="N78" s="24">
        <f t="shared" si="13"/>
        <v>0</v>
      </c>
      <c r="O78" s="24">
        <f t="shared" si="14"/>
        <v>0</v>
      </c>
      <c r="P78" s="24">
        <v>198</v>
      </c>
      <c r="Q78" s="25"/>
      <c r="R78" s="25"/>
      <c r="S78" s="26"/>
      <c r="T78" s="26"/>
      <c r="U78" s="26"/>
      <c r="V78" s="26"/>
      <c r="W78" s="26"/>
      <c r="X78" s="25"/>
      <c r="Y78" s="25"/>
      <c r="Z78" s="25"/>
      <c r="AA78" s="25"/>
      <c r="AB78" s="26"/>
      <c r="AC78" s="26"/>
      <c r="AD78" s="25"/>
      <c r="AE78" s="25"/>
      <c r="AF78" s="24">
        <f t="shared" si="15"/>
        <v>-198</v>
      </c>
      <c r="AG78" s="27">
        <f t="shared" si="16"/>
        <v>0</v>
      </c>
      <c r="AH78" s="28">
        <f t="shared" si="17"/>
        <v>198</v>
      </c>
    </row>
    <row r="79" spans="1:34" s="29" customFormat="1" ht="23.25" customHeight="1" x14ac:dyDescent="0.2">
      <c r="A79" s="18">
        <v>44011</v>
      </c>
      <c r="B79" s="19"/>
      <c r="C79" s="20" t="s">
        <v>39</v>
      </c>
      <c r="D79" s="20" t="s">
        <v>40</v>
      </c>
      <c r="E79" s="20" t="s">
        <v>41</v>
      </c>
      <c r="F79" s="21">
        <v>156489</v>
      </c>
      <c r="G79" s="21" t="s">
        <v>478</v>
      </c>
      <c r="H79" s="22"/>
      <c r="I79" s="22"/>
      <c r="J79" s="22"/>
      <c r="K79" s="22">
        <v>117.5</v>
      </c>
      <c r="L79" s="23"/>
      <c r="M79" s="24">
        <f t="shared" si="12"/>
        <v>104.91071428571428</v>
      </c>
      <c r="N79" s="24">
        <f t="shared" si="13"/>
        <v>12.589285714285714</v>
      </c>
      <c r="O79" s="24">
        <f t="shared" si="14"/>
        <v>0</v>
      </c>
      <c r="P79" s="24">
        <v>104.91</v>
      </c>
      <c r="Q79" s="25"/>
      <c r="R79" s="25"/>
      <c r="S79" s="26"/>
      <c r="T79" s="26"/>
      <c r="U79" s="26"/>
      <c r="V79" s="26"/>
      <c r="W79" s="26"/>
      <c r="X79" s="25"/>
      <c r="Y79" s="25"/>
      <c r="Z79" s="25"/>
      <c r="AA79" s="25"/>
      <c r="AB79" s="26"/>
      <c r="AC79" s="26"/>
      <c r="AD79" s="25"/>
      <c r="AE79" s="25"/>
      <c r="AF79" s="24">
        <f t="shared" si="15"/>
        <v>-117.4992857142857</v>
      </c>
      <c r="AG79" s="27">
        <f t="shared" si="16"/>
        <v>7.1428571429521526E-4</v>
      </c>
      <c r="AH79" s="28">
        <f t="shared" si="17"/>
        <v>117.4992857142857</v>
      </c>
    </row>
    <row r="80" spans="1:34" s="29" customFormat="1" ht="23.25" customHeight="1" x14ac:dyDescent="0.2">
      <c r="A80" s="18">
        <v>44011</v>
      </c>
      <c r="B80" s="19"/>
      <c r="C80" s="20" t="s">
        <v>39</v>
      </c>
      <c r="D80" s="20" t="s">
        <v>40</v>
      </c>
      <c r="E80" s="20" t="s">
        <v>41</v>
      </c>
      <c r="F80" s="21">
        <v>111564</v>
      </c>
      <c r="G80" s="21" t="s">
        <v>63</v>
      </c>
      <c r="H80" s="22"/>
      <c r="I80" s="22"/>
      <c r="J80" s="22">
        <v>19.899999999999999</v>
      </c>
      <c r="K80" s="22"/>
      <c r="L80" s="23"/>
      <c r="M80" s="24">
        <f t="shared" si="12"/>
        <v>19.899999999999999</v>
      </c>
      <c r="N80" s="24">
        <f t="shared" si="13"/>
        <v>0</v>
      </c>
      <c r="O80" s="24">
        <f t="shared" si="14"/>
        <v>0</v>
      </c>
      <c r="P80" s="24">
        <v>19.899999999999999</v>
      </c>
      <c r="Q80" s="25"/>
      <c r="R80" s="25"/>
      <c r="S80" s="26"/>
      <c r="T80" s="26"/>
      <c r="U80" s="26"/>
      <c r="V80" s="26"/>
      <c r="W80" s="26"/>
      <c r="X80" s="25"/>
      <c r="Y80" s="25"/>
      <c r="Z80" s="25"/>
      <c r="AA80" s="25"/>
      <c r="AB80" s="26"/>
      <c r="AC80" s="26"/>
      <c r="AD80" s="25"/>
      <c r="AE80" s="25"/>
      <c r="AF80" s="24">
        <f t="shared" si="15"/>
        <v>-19.899999999999999</v>
      </c>
      <c r="AG80" s="27">
        <f t="shared" si="16"/>
        <v>0</v>
      </c>
      <c r="AH80" s="28">
        <f t="shared" si="17"/>
        <v>19.899999999999999</v>
      </c>
    </row>
    <row r="81" spans="1:34" s="29" customFormat="1" ht="23.25" customHeight="1" x14ac:dyDescent="0.2">
      <c r="A81" s="18">
        <v>44010</v>
      </c>
      <c r="B81" s="19"/>
      <c r="C81" s="20" t="s">
        <v>479</v>
      </c>
      <c r="D81" s="20" t="s">
        <v>480</v>
      </c>
      <c r="E81" s="20" t="s">
        <v>49</v>
      </c>
      <c r="F81" s="21">
        <v>16458</v>
      </c>
      <c r="G81" s="21" t="s">
        <v>481</v>
      </c>
      <c r="H81" s="22"/>
      <c r="I81" s="22"/>
      <c r="J81" s="22">
        <v>2180.42</v>
      </c>
      <c r="K81" s="22"/>
      <c r="L81" s="23"/>
      <c r="M81" s="24">
        <f t="shared" si="12"/>
        <v>2180.42</v>
      </c>
      <c r="N81" s="24">
        <f t="shared" si="13"/>
        <v>0</v>
      </c>
      <c r="O81" s="24">
        <f t="shared" si="14"/>
        <v>0</v>
      </c>
      <c r="P81" s="24"/>
      <c r="Q81" s="25">
        <v>2180.42</v>
      </c>
      <c r="R81" s="25"/>
      <c r="S81" s="26"/>
      <c r="T81" s="26"/>
      <c r="U81" s="26"/>
      <c r="V81" s="26"/>
      <c r="W81" s="26"/>
      <c r="X81" s="25"/>
      <c r="Y81" s="25"/>
      <c r="Z81" s="25"/>
      <c r="AA81" s="25"/>
      <c r="AB81" s="26"/>
      <c r="AC81" s="26"/>
      <c r="AD81" s="25"/>
      <c r="AE81" s="25"/>
      <c r="AF81" s="24">
        <f t="shared" si="15"/>
        <v>-2180.42</v>
      </c>
      <c r="AG81" s="27">
        <f t="shared" si="16"/>
        <v>0</v>
      </c>
      <c r="AH81" s="28">
        <f t="shared" si="17"/>
        <v>2180.42</v>
      </c>
    </row>
    <row r="82" spans="1:34" s="29" customFormat="1" ht="23.25" customHeight="1" x14ac:dyDescent="0.2">
      <c r="A82" s="18">
        <v>44010</v>
      </c>
      <c r="B82" s="19"/>
      <c r="C82" s="20" t="s">
        <v>482</v>
      </c>
      <c r="D82" s="20"/>
      <c r="E82" s="20"/>
      <c r="F82" s="21"/>
      <c r="G82" s="21" t="s">
        <v>483</v>
      </c>
      <c r="H82" s="22">
        <v>100</v>
      </c>
      <c r="I82" s="22"/>
      <c r="J82" s="22"/>
      <c r="K82" s="22"/>
      <c r="L82" s="23"/>
      <c r="M82" s="24">
        <f t="shared" si="12"/>
        <v>100</v>
      </c>
      <c r="N82" s="24">
        <f t="shared" si="13"/>
        <v>0</v>
      </c>
      <c r="O82" s="24">
        <f t="shared" si="14"/>
        <v>0</v>
      </c>
      <c r="P82" s="24"/>
      <c r="Q82" s="25"/>
      <c r="R82" s="25"/>
      <c r="S82" s="26"/>
      <c r="T82" s="26"/>
      <c r="U82" s="26"/>
      <c r="V82" s="26"/>
      <c r="W82" s="26"/>
      <c r="X82" s="25"/>
      <c r="Y82" s="25"/>
      <c r="Z82" s="25"/>
      <c r="AA82" s="25">
        <v>100</v>
      </c>
      <c r="AB82" s="26"/>
      <c r="AC82" s="26"/>
      <c r="AD82" s="25"/>
      <c r="AE82" s="25"/>
      <c r="AF82" s="24">
        <f t="shared" si="15"/>
        <v>-100</v>
      </c>
      <c r="AG82" s="27">
        <f t="shared" si="16"/>
        <v>0</v>
      </c>
      <c r="AH82" s="28">
        <f t="shared" si="17"/>
        <v>100</v>
      </c>
    </row>
    <row r="83" spans="1:34" s="29" customFormat="1" ht="23.25" customHeight="1" x14ac:dyDescent="0.2">
      <c r="A83" s="18"/>
      <c r="B83" s="19"/>
      <c r="C83" s="20"/>
      <c r="D83" s="20"/>
      <c r="E83" s="20"/>
      <c r="F83" s="21"/>
      <c r="G83" s="21"/>
      <c r="H83" s="22"/>
      <c r="I83" s="22"/>
      <c r="J83" s="22"/>
      <c r="K83" s="22"/>
      <c r="L83" s="23"/>
      <c r="M83" s="24">
        <f t="shared" si="12"/>
        <v>0</v>
      </c>
      <c r="N83" s="24">
        <f t="shared" si="13"/>
        <v>0</v>
      </c>
      <c r="O83" s="24">
        <f t="shared" si="14"/>
        <v>0</v>
      </c>
      <c r="P83" s="24"/>
      <c r="Q83" s="25"/>
      <c r="R83" s="25"/>
      <c r="S83" s="26"/>
      <c r="T83" s="26"/>
      <c r="U83" s="26"/>
      <c r="V83" s="26"/>
      <c r="W83" s="26"/>
      <c r="X83" s="25"/>
      <c r="Y83" s="25"/>
      <c r="Z83" s="25"/>
      <c r="AA83" s="25"/>
      <c r="AB83" s="26"/>
      <c r="AC83" s="26"/>
      <c r="AD83" s="25"/>
      <c r="AE83" s="25"/>
      <c r="AF83" s="24">
        <f t="shared" si="15"/>
        <v>0</v>
      </c>
      <c r="AG83" s="27">
        <f t="shared" si="16"/>
        <v>0</v>
      </c>
    </row>
    <row r="84" spans="1:34" s="29" customFormat="1" ht="23.25" customHeight="1" x14ac:dyDescent="0.2">
      <c r="A84" s="18"/>
      <c r="B84" s="19"/>
      <c r="C84" s="20"/>
      <c r="D84" s="20"/>
      <c r="E84" s="20"/>
      <c r="F84" s="21"/>
      <c r="G84" s="21"/>
      <c r="H84" s="22"/>
      <c r="I84" s="22"/>
      <c r="J84" s="22"/>
      <c r="K84" s="22"/>
      <c r="L84" s="23"/>
      <c r="M84" s="24">
        <f t="shared" si="12"/>
        <v>0</v>
      </c>
      <c r="N84" s="24">
        <f t="shared" si="13"/>
        <v>0</v>
      </c>
      <c r="O84" s="24">
        <f t="shared" si="14"/>
        <v>0</v>
      </c>
      <c r="P84" s="24"/>
      <c r="Q84" s="25"/>
      <c r="R84" s="25"/>
      <c r="S84" s="26"/>
      <c r="T84" s="26"/>
      <c r="U84" s="26"/>
      <c r="V84" s="26"/>
      <c r="W84" s="26"/>
      <c r="X84" s="25"/>
      <c r="Y84" s="25"/>
      <c r="Z84" s="25"/>
      <c r="AA84" s="25"/>
      <c r="AB84" s="26"/>
      <c r="AC84" s="26"/>
      <c r="AD84" s="25"/>
      <c r="AE84" s="25"/>
      <c r="AF84" s="24">
        <f t="shared" si="15"/>
        <v>0</v>
      </c>
      <c r="AG84" s="27">
        <f t="shared" si="16"/>
        <v>0</v>
      </c>
    </row>
    <row r="85" spans="1:34" s="29" customFormat="1" ht="10.199999999999999" x14ac:dyDescent="0.2">
      <c r="A85" s="18"/>
      <c r="B85" s="19"/>
      <c r="C85" s="43"/>
      <c r="D85" s="43"/>
      <c r="E85" s="43"/>
      <c r="F85" s="21"/>
      <c r="G85" s="30"/>
      <c r="H85" s="22"/>
      <c r="I85" s="22"/>
      <c r="J85" s="22"/>
      <c r="K85" s="22"/>
      <c r="L85" s="23"/>
      <c r="M85" s="25">
        <f t="shared" si="12"/>
        <v>0</v>
      </c>
      <c r="N85" s="25">
        <f t="shared" si="13"/>
        <v>0</v>
      </c>
      <c r="O85" s="25">
        <f t="shared" si="14"/>
        <v>0</v>
      </c>
      <c r="P85" s="25"/>
      <c r="Q85" s="25"/>
      <c r="R85" s="25"/>
      <c r="S85" s="25"/>
      <c r="T85" s="26"/>
      <c r="U85" s="26"/>
      <c r="V85" s="26"/>
      <c r="W85" s="26"/>
      <c r="X85" s="26"/>
      <c r="Y85" s="44"/>
      <c r="Z85" s="25"/>
      <c r="AA85" s="25"/>
      <c r="AB85" s="25"/>
      <c r="AC85" s="26"/>
      <c r="AD85" s="26"/>
      <c r="AE85" s="45"/>
      <c r="AF85" s="24">
        <f t="shared" si="15"/>
        <v>0</v>
      </c>
      <c r="AG85" s="27">
        <f t="shared" si="16"/>
        <v>0</v>
      </c>
    </row>
    <row r="86" spans="1:34" s="52" customFormat="1" ht="10.199999999999999" x14ac:dyDescent="0.2">
      <c r="A86" s="46"/>
      <c r="B86" s="47"/>
      <c r="C86" s="48"/>
      <c r="D86" s="49"/>
      <c r="E86" s="49"/>
      <c r="F86" s="50"/>
      <c r="G86" s="48"/>
      <c r="H86" s="51">
        <f t="shared" ref="H86:AG86" si="18">SUM(H5:H85)</f>
        <v>2276</v>
      </c>
      <c r="I86" s="51">
        <f t="shared" si="18"/>
        <v>0</v>
      </c>
      <c r="J86" s="51">
        <f t="shared" si="18"/>
        <v>18029.14</v>
      </c>
      <c r="K86" s="51">
        <f t="shared" si="18"/>
        <v>7645.44</v>
      </c>
      <c r="L86" s="51">
        <f t="shared" si="18"/>
        <v>0</v>
      </c>
      <c r="M86" s="51">
        <f t="shared" si="18"/>
        <v>27131.425714285731</v>
      </c>
      <c r="N86" s="51">
        <f t="shared" si="18"/>
        <v>819.15428571428561</v>
      </c>
      <c r="O86" s="51">
        <f t="shared" si="18"/>
        <v>0</v>
      </c>
      <c r="P86" s="51">
        <f t="shared" si="18"/>
        <v>18770.610000000004</v>
      </c>
      <c r="Q86" s="51">
        <f t="shared" si="18"/>
        <v>3120.16</v>
      </c>
      <c r="R86" s="51">
        <f t="shared" si="18"/>
        <v>0</v>
      </c>
      <c r="S86" s="51">
        <f t="shared" si="18"/>
        <v>1004.46</v>
      </c>
      <c r="T86" s="51">
        <f t="shared" si="18"/>
        <v>496.83</v>
      </c>
      <c r="U86" s="51">
        <f t="shared" si="18"/>
        <v>211.61</v>
      </c>
      <c r="V86" s="51">
        <f t="shared" si="18"/>
        <v>0</v>
      </c>
      <c r="W86" s="51">
        <f t="shared" si="18"/>
        <v>1100</v>
      </c>
      <c r="X86" s="51">
        <f t="shared" si="18"/>
        <v>0</v>
      </c>
      <c r="Y86" s="51">
        <f t="shared" si="18"/>
        <v>0</v>
      </c>
      <c r="Z86" s="51">
        <f t="shared" si="18"/>
        <v>24</v>
      </c>
      <c r="AA86" s="51">
        <f t="shared" si="18"/>
        <v>1865.2800000000002</v>
      </c>
      <c r="AB86" s="51">
        <f t="shared" si="18"/>
        <v>0</v>
      </c>
      <c r="AC86" s="51">
        <f t="shared" si="18"/>
        <v>0</v>
      </c>
      <c r="AD86" s="51">
        <f t="shared" si="18"/>
        <v>538.5</v>
      </c>
      <c r="AE86" s="51">
        <f t="shared" si="18"/>
        <v>0</v>
      </c>
      <c r="AF86" s="51">
        <f t="shared" si="18"/>
        <v>-27950.604285714275</v>
      </c>
      <c r="AG86" s="51">
        <f t="shared" si="18"/>
        <v>-2.4285714285561255E-2</v>
      </c>
    </row>
    <row r="87" spans="1:34" s="3" customFormat="1" ht="10.199999999999999" x14ac:dyDescent="0.2">
      <c r="K87" s="5"/>
      <c r="L87" s="6"/>
      <c r="M87" s="5"/>
      <c r="Y87" s="5"/>
    </row>
    <row r="94" spans="1:34" x14ac:dyDescent="0.3">
      <c r="Q94" s="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64"/>
  <sheetViews>
    <sheetView topLeftCell="A46" zoomScale="90" zoomScaleNormal="90" workbookViewId="0">
      <selection activeCell="G58" sqref="A58:XFD64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4" style="3" customWidth="1"/>
    <col min="4" max="4" width="14" style="4" customWidth="1"/>
    <col min="5" max="5" width="28" style="4" customWidth="1"/>
    <col min="6" max="6" width="7.88671875" style="2" customWidth="1"/>
    <col min="7" max="7" width="31.5546875" style="3" customWidth="1"/>
    <col min="8" max="8" width="11" style="5" customWidth="1"/>
    <col min="9" max="9" width="8.44140625" style="5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9.5546875" style="5" customWidth="1"/>
    <col min="18" max="18" width="10.6640625" style="5" customWidth="1"/>
    <col min="19" max="19" width="8.109375" style="5" customWidth="1"/>
    <col min="20" max="21" width="9.109375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30" width="8" style="5" customWidth="1"/>
    <col min="31" max="31" width="10.109375" style="5" customWidth="1"/>
    <col min="32" max="32" width="10.6640625" style="5" customWidth="1"/>
    <col min="33" max="33" width="8.88671875" style="3" customWidth="1"/>
    <col min="34" max="1025" width="9.109375" style="3" customWidth="1"/>
  </cols>
  <sheetData>
    <row r="1" spans="1:33" ht="12" customHeight="1" x14ac:dyDescent="0.3">
      <c r="A1" s="7" t="s">
        <v>0</v>
      </c>
      <c r="C1" s="8"/>
    </row>
    <row r="2" spans="1:33" ht="12" customHeight="1" x14ac:dyDescent="0.3">
      <c r="A2" s="7" t="s">
        <v>1</v>
      </c>
    </row>
    <row r="3" spans="1:33" ht="12" customHeight="1" x14ac:dyDescent="0.3">
      <c r="A3" s="7" t="s">
        <v>484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3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6" t="s">
        <v>36</v>
      </c>
    </row>
    <row r="5" spans="1:33" s="29" customFormat="1" ht="23.25" customHeight="1" x14ac:dyDescent="0.2">
      <c r="A5" s="18">
        <v>44018</v>
      </c>
      <c r="B5" s="19"/>
      <c r="C5" s="20" t="s">
        <v>106</v>
      </c>
      <c r="D5" s="20" t="s">
        <v>107</v>
      </c>
      <c r="E5" s="20" t="s">
        <v>49</v>
      </c>
      <c r="F5" s="21">
        <v>811365</v>
      </c>
      <c r="G5" s="21" t="s">
        <v>485</v>
      </c>
      <c r="H5" s="22"/>
      <c r="I5" s="22"/>
      <c r="J5" s="22"/>
      <c r="K5" s="22">
        <v>260</v>
      </c>
      <c r="L5" s="23"/>
      <c r="M5" s="24">
        <f t="shared" ref="M5:M36" si="0">SUM(H5:J5,K5/1.12)</f>
        <v>232.14285714285711</v>
      </c>
      <c r="N5" s="24">
        <f t="shared" ref="N5:N36" si="1">K5/1.12*0.12</f>
        <v>27.857142857142851</v>
      </c>
      <c r="O5" s="24">
        <f t="shared" ref="O5:O35" si="2">-SUM(I5:J5,K5/1.12)*L5</f>
        <v>0</v>
      </c>
      <c r="P5" s="24"/>
      <c r="Q5" s="25"/>
      <c r="R5" s="25"/>
      <c r="S5" s="26"/>
      <c r="T5" s="26"/>
      <c r="U5" s="26"/>
      <c r="V5" s="26"/>
      <c r="W5" s="26"/>
      <c r="X5" s="25"/>
      <c r="Y5" s="25">
        <v>232.14</v>
      </c>
      <c r="Z5" s="25"/>
      <c r="AA5" s="25"/>
      <c r="AB5" s="26"/>
      <c r="AC5" s="26"/>
      <c r="AD5" s="25"/>
      <c r="AE5" s="25"/>
      <c r="AF5" s="24">
        <f t="shared" ref="AF5:AF36" si="3">-SUM(N5:AE5)</f>
        <v>-259.99714285714282</v>
      </c>
      <c r="AG5" s="27">
        <f t="shared" ref="AG5:AG36" si="4">SUM(H5:K5)+AF5+O5</f>
        <v>2.857142857180861E-3</v>
      </c>
    </row>
    <row r="6" spans="1:33" s="29" customFormat="1" ht="23.25" customHeight="1" x14ac:dyDescent="0.2">
      <c r="A6" s="18">
        <v>44018</v>
      </c>
      <c r="B6" s="19"/>
      <c r="C6" s="20" t="s">
        <v>162</v>
      </c>
      <c r="D6" s="20" t="s">
        <v>486</v>
      </c>
      <c r="E6" s="20" t="s">
        <v>49</v>
      </c>
      <c r="F6" s="21">
        <v>154162</v>
      </c>
      <c r="G6" s="21" t="s">
        <v>487</v>
      </c>
      <c r="H6" s="22"/>
      <c r="I6" s="22"/>
      <c r="J6" s="22"/>
      <c r="K6" s="22">
        <v>557.5</v>
      </c>
      <c r="L6" s="23"/>
      <c r="M6" s="24">
        <f t="shared" si="0"/>
        <v>497.76785714285711</v>
      </c>
      <c r="N6" s="24">
        <f t="shared" si="1"/>
        <v>59.732142857142854</v>
      </c>
      <c r="O6" s="24">
        <f t="shared" si="2"/>
        <v>0</v>
      </c>
      <c r="P6" s="24">
        <v>497.77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>
        <f t="shared" si="3"/>
        <v>-557.50214285714287</v>
      </c>
      <c r="AG6" s="27">
        <f t="shared" si="4"/>
        <v>-2.1428571428714349E-3</v>
      </c>
    </row>
    <row r="7" spans="1:33" s="29" customFormat="1" ht="23.25" customHeight="1" x14ac:dyDescent="0.2">
      <c r="A7" s="18">
        <v>44018</v>
      </c>
      <c r="B7" s="19"/>
      <c r="C7" s="20" t="s">
        <v>39</v>
      </c>
      <c r="D7" s="20" t="s">
        <v>40</v>
      </c>
      <c r="E7" s="20" t="s">
        <v>41</v>
      </c>
      <c r="F7" s="21">
        <v>38457</v>
      </c>
      <c r="G7" s="21" t="s">
        <v>488</v>
      </c>
      <c r="H7" s="22"/>
      <c r="I7" s="22"/>
      <c r="J7" s="22"/>
      <c r="K7" s="22">
        <v>357</v>
      </c>
      <c r="L7" s="23"/>
      <c r="M7" s="24">
        <f t="shared" si="0"/>
        <v>318.74999999999994</v>
      </c>
      <c r="N7" s="24">
        <f t="shared" si="1"/>
        <v>38.249999999999993</v>
      </c>
      <c r="O7" s="24">
        <f t="shared" si="2"/>
        <v>0</v>
      </c>
      <c r="P7" s="24">
        <v>318.75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>
        <f t="shared" si="3"/>
        <v>-357</v>
      </c>
      <c r="AG7" s="27">
        <f t="shared" si="4"/>
        <v>0</v>
      </c>
    </row>
    <row r="8" spans="1:33" s="29" customFormat="1" ht="23.25" customHeight="1" x14ac:dyDescent="0.2">
      <c r="A8" s="18">
        <v>44019</v>
      </c>
      <c r="B8" s="19"/>
      <c r="C8" s="20" t="s">
        <v>489</v>
      </c>
      <c r="D8" s="20" t="s">
        <v>490</v>
      </c>
      <c r="E8" s="20" t="s">
        <v>49</v>
      </c>
      <c r="F8" s="21">
        <v>236240</v>
      </c>
      <c r="G8" s="21" t="s">
        <v>491</v>
      </c>
      <c r="H8" s="22"/>
      <c r="I8" s="22"/>
      <c r="J8" s="22"/>
      <c r="K8" s="22">
        <v>1312.8</v>
      </c>
      <c r="L8" s="23"/>
      <c r="M8" s="24">
        <f t="shared" si="0"/>
        <v>1172.1428571428569</v>
      </c>
      <c r="N8" s="24">
        <f t="shared" si="1"/>
        <v>140.65714285714282</v>
      </c>
      <c r="O8" s="24">
        <f t="shared" si="2"/>
        <v>0</v>
      </c>
      <c r="P8" s="24">
        <v>1172.1400000000001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>
        <f t="shared" si="3"/>
        <v>-1312.7971428571429</v>
      </c>
      <c r="AG8" s="27">
        <f t="shared" si="4"/>
        <v>2.8571428570103308E-3</v>
      </c>
    </row>
    <row r="9" spans="1:33" s="29" customFormat="1" ht="27.75" customHeight="1" x14ac:dyDescent="0.2">
      <c r="A9" s="18">
        <v>44019</v>
      </c>
      <c r="B9" s="19"/>
      <c r="C9" s="20" t="s">
        <v>37</v>
      </c>
      <c r="D9" s="20"/>
      <c r="E9" s="20"/>
      <c r="F9" s="21"/>
      <c r="G9" s="30" t="s">
        <v>492</v>
      </c>
      <c r="H9" s="22">
        <v>180</v>
      </c>
      <c r="I9" s="22"/>
      <c r="J9" s="22"/>
      <c r="K9" s="22"/>
      <c r="L9" s="23"/>
      <c r="M9" s="24">
        <f t="shared" si="0"/>
        <v>180</v>
      </c>
      <c r="N9" s="24">
        <f t="shared" si="1"/>
        <v>0</v>
      </c>
      <c r="O9" s="24">
        <f t="shared" si="2"/>
        <v>0</v>
      </c>
      <c r="P9" s="24"/>
      <c r="Q9" s="25"/>
      <c r="R9" s="25"/>
      <c r="S9" s="26"/>
      <c r="T9" s="26"/>
      <c r="U9" s="26"/>
      <c r="V9" s="26"/>
      <c r="W9" s="26"/>
      <c r="X9" s="25"/>
      <c r="Y9" s="25"/>
      <c r="Z9" s="25"/>
      <c r="AA9" s="25">
        <v>180</v>
      </c>
      <c r="AB9" s="26"/>
      <c r="AC9" s="26"/>
      <c r="AD9" s="25"/>
      <c r="AE9" s="25"/>
      <c r="AF9" s="24">
        <f t="shared" si="3"/>
        <v>-180</v>
      </c>
      <c r="AG9" s="27">
        <f t="shared" si="4"/>
        <v>0</v>
      </c>
    </row>
    <row r="10" spans="1:33" s="29" customFormat="1" ht="23.25" customHeight="1" x14ac:dyDescent="0.2">
      <c r="A10" s="18">
        <v>44021</v>
      </c>
      <c r="B10" s="19"/>
      <c r="C10" s="20" t="s">
        <v>39</v>
      </c>
      <c r="D10" s="20" t="s">
        <v>40</v>
      </c>
      <c r="E10" s="20" t="s">
        <v>41</v>
      </c>
      <c r="F10" s="21">
        <v>38468</v>
      </c>
      <c r="G10" s="21" t="s">
        <v>493</v>
      </c>
      <c r="H10" s="22"/>
      <c r="I10" s="22"/>
      <c r="J10" s="22"/>
      <c r="K10" s="22">
        <v>254</v>
      </c>
      <c r="L10" s="23"/>
      <c r="M10" s="24">
        <f t="shared" si="0"/>
        <v>226.78571428571428</v>
      </c>
      <c r="N10" s="24">
        <f t="shared" si="1"/>
        <v>27.214285714285712</v>
      </c>
      <c r="O10" s="24">
        <f t="shared" si="2"/>
        <v>0</v>
      </c>
      <c r="P10" s="24">
        <v>226.79</v>
      </c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>
        <f t="shared" si="3"/>
        <v>-254.00428571428571</v>
      </c>
      <c r="AG10" s="27">
        <f t="shared" si="4"/>
        <v>-4.2857142857144481E-3</v>
      </c>
    </row>
    <row r="11" spans="1:33" s="29" customFormat="1" ht="23.25" customHeight="1" x14ac:dyDescent="0.2">
      <c r="A11" s="18">
        <v>58632</v>
      </c>
      <c r="B11" s="19"/>
      <c r="C11" s="20" t="s">
        <v>489</v>
      </c>
      <c r="D11" s="20" t="s">
        <v>490</v>
      </c>
      <c r="E11" s="20" t="s">
        <v>49</v>
      </c>
      <c r="F11" s="21">
        <v>232038</v>
      </c>
      <c r="G11" s="21" t="s">
        <v>494</v>
      </c>
      <c r="H11" s="22"/>
      <c r="I11" s="22"/>
      <c r="J11" s="22"/>
      <c r="K11" s="22">
        <f>448.26+53.79</f>
        <v>502.05</v>
      </c>
      <c r="L11" s="23"/>
      <c r="M11" s="24">
        <f t="shared" si="0"/>
        <v>448.25892857142856</v>
      </c>
      <c r="N11" s="24">
        <f t="shared" si="1"/>
        <v>53.791071428571428</v>
      </c>
      <c r="O11" s="24">
        <f t="shared" si="2"/>
        <v>0</v>
      </c>
      <c r="P11" s="24">
        <v>448.26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>
        <f t="shared" si="3"/>
        <v>-502.05107142857139</v>
      </c>
      <c r="AG11" s="27">
        <f t="shared" si="4"/>
        <v>-1.071428571378874E-3</v>
      </c>
    </row>
    <row r="12" spans="1:33" s="29" customFormat="1" ht="23.25" customHeight="1" x14ac:dyDescent="0.2">
      <c r="A12" s="18">
        <v>58632</v>
      </c>
      <c r="B12" s="19"/>
      <c r="C12" s="20" t="s">
        <v>489</v>
      </c>
      <c r="D12" s="20" t="s">
        <v>490</v>
      </c>
      <c r="E12" s="20" t="s">
        <v>49</v>
      </c>
      <c r="F12" s="21">
        <v>232038</v>
      </c>
      <c r="G12" s="21" t="s">
        <v>399</v>
      </c>
      <c r="H12" s="22"/>
      <c r="I12" s="22"/>
      <c r="J12" s="22">
        <v>248.2</v>
      </c>
      <c r="K12" s="22"/>
      <c r="L12" s="23"/>
      <c r="M12" s="24">
        <f t="shared" si="0"/>
        <v>248.2</v>
      </c>
      <c r="N12" s="24">
        <f t="shared" si="1"/>
        <v>0</v>
      </c>
      <c r="O12" s="24">
        <f t="shared" si="2"/>
        <v>0</v>
      </c>
      <c r="P12" s="24">
        <v>248.2</v>
      </c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>
        <f t="shared" si="3"/>
        <v>-248.2</v>
      </c>
      <c r="AG12" s="27">
        <f t="shared" si="4"/>
        <v>0</v>
      </c>
    </row>
    <row r="13" spans="1:33" s="29" customFormat="1" ht="23.25" customHeight="1" x14ac:dyDescent="0.2">
      <c r="A13" s="18">
        <v>58626</v>
      </c>
      <c r="B13" s="19"/>
      <c r="C13" s="20" t="s">
        <v>495</v>
      </c>
      <c r="D13" s="20"/>
      <c r="E13" s="20"/>
      <c r="F13" s="21"/>
      <c r="G13" s="21" t="s">
        <v>496</v>
      </c>
      <c r="H13" s="22"/>
      <c r="I13" s="22"/>
      <c r="J13" s="22">
        <v>300</v>
      </c>
      <c r="K13" s="22"/>
      <c r="L13" s="23"/>
      <c r="M13" s="24">
        <f t="shared" si="0"/>
        <v>300</v>
      </c>
      <c r="N13" s="24">
        <f t="shared" si="1"/>
        <v>0</v>
      </c>
      <c r="O13" s="24">
        <f t="shared" si="2"/>
        <v>0</v>
      </c>
      <c r="P13" s="24">
        <v>300</v>
      </c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>
        <f t="shared" si="3"/>
        <v>-300</v>
      </c>
      <c r="AG13" s="27">
        <f t="shared" si="4"/>
        <v>0</v>
      </c>
    </row>
    <row r="14" spans="1:33" s="29" customFormat="1" ht="23.25" customHeight="1" x14ac:dyDescent="0.2">
      <c r="A14" s="18">
        <v>44023</v>
      </c>
      <c r="B14" s="19"/>
      <c r="C14" s="20" t="s">
        <v>39</v>
      </c>
      <c r="D14" s="20" t="s">
        <v>40</v>
      </c>
      <c r="E14" s="20" t="s">
        <v>41</v>
      </c>
      <c r="F14" s="21">
        <v>3478</v>
      </c>
      <c r="G14" s="21" t="s">
        <v>497</v>
      </c>
      <c r="H14" s="22"/>
      <c r="I14" s="22"/>
      <c r="J14" s="22"/>
      <c r="K14" s="22">
        <v>182.75</v>
      </c>
      <c r="L14" s="23"/>
      <c r="M14" s="24">
        <f t="shared" si="0"/>
        <v>163.16964285714283</v>
      </c>
      <c r="N14" s="24">
        <f t="shared" si="1"/>
        <v>19.580357142857139</v>
      </c>
      <c r="O14" s="24">
        <f t="shared" si="2"/>
        <v>0</v>
      </c>
      <c r="P14" s="24">
        <v>163.16999999999999</v>
      </c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>
        <f t="shared" si="3"/>
        <v>-182.75035714285713</v>
      </c>
      <c r="AG14" s="27">
        <f t="shared" si="4"/>
        <v>-3.5714285712629135E-4</v>
      </c>
    </row>
    <row r="15" spans="1:33" s="29" customFormat="1" ht="23.25" customHeight="1" x14ac:dyDescent="0.2">
      <c r="A15" s="18">
        <v>44022</v>
      </c>
      <c r="B15" s="19"/>
      <c r="C15" s="20" t="s">
        <v>302</v>
      </c>
      <c r="D15" s="20" t="s">
        <v>303</v>
      </c>
      <c r="E15" s="20" t="s">
        <v>41</v>
      </c>
      <c r="F15" s="21">
        <v>2778648</v>
      </c>
      <c r="G15" s="21" t="s">
        <v>58</v>
      </c>
      <c r="H15" s="22"/>
      <c r="I15" s="22"/>
      <c r="J15" s="22"/>
      <c r="K15" s="22">
        <v>24</v>
      </c>
      <c r="L15" s="23"/>
      <c r="M15" s="24">
        <f t="shared" si="0"/>
        <v>21.428571428571427</v>
      </c>
      <c r="N15" s="24">
        <f t="shared" si="1"/>
        <v>2.5714285714285712</v>
      </c>
      <c r="O15" s="24">
        <f t="shared" si="2"/>
        <v>0</v>
      </c>
      <c r="P15" s="24"/>
      <c r="Q15" s="25">
        <v>21.43</v>
      </c>
      <c r="R15" s="25"/>
      <c r="S15" s="26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>
        <f t="shared" si="3"/>
        <v>-24.001428571428569</v>
      </c>
      <c r="AG15" s="27">
        <f t="shared" si="4"/>
        <v>-1.4285714285691142E-3</v>
      </c>
    </row>
    <row r="16" spans="1:33" s="42" customFormat="1" ht="23.25" customHeight="1" x14ac:dyDescent="0.2">
      <c r="A16" s="32">
        <v>44023</v>
      </c>
      <c r="B16" s="33"/>
      <c r="C16" s="34" t="s">
        <v>39</v>
      </c>
      <c r="D16" s="34" t="s">
        <v>40</v>
      </c>
      <c r="E16" s="34" t="s">
        <v>41</v>
      </c>
      <c r="F16" s="35">
        <v>159113</v>
      </c>
      <c r="G16" s="35" t="s">
        <v>193</v>
      </c>
      <c r="H16" s="36"/>
      <c r="I16" s="36"/>
      <c r="J16" s="36"/>
      <c r="K16" s="36">
        <v>105</v>
      </c>
      <c r="L16" s="37"/>
      <c r="M16" s="38">
        <f t="shared" si="0"/>
        <v>93.749999999999986</v>
      </c>
      <c r="N16" s="38">
        <f t="shared" si="1"/>
        <v>11.249999999999998</v>
      </c>
      <c r="O16" s="38">
        <f t="shared" si="2"/>
        <v>0</v>
      </c>
      <c r="P16" s="38"/>
      <c r="Q16" s="39"/>
      <c r="R16" s="39"/>
      <c r="S16" s="40"/>
      <c r="T16" s="40"/>
      <c r="U16" s="40">
        <v>93.75</v>
      </c>
      <c r="V16" s="40"/>
      <c r="W16" s="40"/>
      <c r="X16" s="39"/>
      <c r="Y16" s="39"/>
      <c r="Z16" s="39"/>
      <c r="AA16" s="39"/>
      <c r="AB16" s="40"/>
      <c r="AC16" s="40"/>
      <c r="AD16" s="39"/>
      <c r="AE16" s="39"/>
      <c r="AF16" s="38">
        <f t="shared" si="3"/>
        <v>-105</v>
      </c>
      <c r="AG16" s="41">
        <f t="shared" si="4"/>
        <v>0</v>
      </c>
    </row>
    <row r="17" spans="1:33" s="29" customFormat="1" ht="23.25" customHeight="1" x14ac:dyDescent="0.2">
      <c r="A17" s="18">
        <v>44029</v>
      </c>
      <c r="B17" s="19"/>
      <c r="C17" s="20" t="s">
        <v>39</v>
      </c>
      <c r="D17" s="20" t="s">
        <v>40</v>
      </c>
      <c r="E17" s="20" t="s">
        <v>41</v>
      </c>
      <c r="F17" s="21">
        <v>189887</v>
      </c>
      <c r="G17" s="21" t="s">
        <v>498</v>
      </c>
      <c r="H17" s="22"/>
      <c r="I17" s="22"/>
      <c r="J17" s="22"/>
      <c r="K17" s="22">
        <v>82</v>
      </c>
      <c r="L17" s="23"/>
      <c r="M17" s="24">
        <f t="shared" si="0"/>
        <v>73.214285714285708</v>
      </c>
      <c r="N17" s="24">
        <f t="shared" si="1"/>
        <v>8.7857142857142847</v>
      </c>
      <c r="O17" s="24">
        <f t="shared" si="2"/>
        <v>0</v>
      </c>
      <c r="P17" s="24">
        <v>73.209999999999994</v>
      </c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>
        <f t="shared" si="3"/>
        <v>-81.995714285714286</v>
      </c>
      <c r="AG17" s="27">
        <f t="shared" si="4"/>
        <v>4.2857142857144481E-3</v>
      </c>
    </row>
    <row r="18" spans="1:33" s="29" customFormat="1" ht="23.25" customHeight="1" x14ac:dyDescent="0.2">
      <c r="A18" s="18">
        <v>44026</v>
      </c>
      <c r="B18" s="19"/>
      <c r="C18" s="20" t="s">
        <v>302</v>
      </c>
      <c r="D18" s="20" t="s">
        <v>303</v>
      </c>
      <c r="E18" s="20" t="s">
        <v>41</v>
      </c>
      <c r="F18" s="21">
        <v>26566</v>
      </c>
      <c r="G18" s="21" t="s">
        <v>58</v>
      </c>
      <c r="H18" s="22"/>
      <c r="I18" s="22"/>
      <c r="J18" s="22"/>
      <c r="K18" s="22">
        <v>42</v>
      </c>
      <c r="L18" s="23"/>
      <c r="M18" s="24">
        <f t="shared" si="0"/>
        <v>37.499999999999993</v>
      </c>
      <c r="N18" s="24">
        <f t="shared" si="1"/>
        <v>4.4999999999999991</v>
      </c>
      <c r="O18" s="24">
        <f t="shared" si="2"/>
        <v>0</v>
      </c>
      <c r="P18" s="24"/>
      <c r="Q18" s="25">
        <v>37.5</v>
      </c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>
        <f t="shared" si="3"/>
        <v>-42</v>
      </c>
      <c r="AG18" s="27">
        <f t="shared" si="4"/>
        <v>0</v>
      </c>
    </row>
    <row r="19" spans="1:33" s="29" customFormat="1" ht="23.25" customHeight="1" x14ac:dyDescent="0.2">
      <c r="A19" s="18">
        <v>44026</v>
      </c>
      <c r="B19" s="19"/>
      <c r="C19" s="20" t="s">
        <v>39</v>
      </c>
      <c r="D19" s="20" t="s">
        <v>40</v>
      </c>
      <c r="E19" s="20" t="s">
        <v>41</v>
      </c>
      <c r="F19" s="21">
        <v>38488</v>
      </c>
      <c r="G19" s="21" t="s">
        <v>499</v>
      </c>
      <c r="H19" s="22"/>
      <c r="I19" s="22"/>
      <c r="J19" s="22"/>
      <c r="K19" s="22">
        <v>519</v>
      </c>
      <c r="L19" s="23"/>
      <c r="M19" s="24">
        <f t="shared" si="0"/>
        <v>463.39285714285711</v>
      </c>
      <c r="N19" s="24">
        <f t="shared" si="1"/>
        <v>55.607142857142854</v>
      </c>
      <c r="O19" s="24">
        <f t="shared" si="2"/>
        <v>0</v>
      </c>
      <c r="P19" s="24">
        <v>463.39</v>
      </c>
      <c r="Q19" s="25"/>
      <c r="R19" s="25"/>
      <c r="S19" s="26"/>
      <c r="T19" s="26"/>
      <c r="U19" s="26"/>
      <c r="V19" s="26"/>
      <c r="W19" s="26"/>
      <c r="X19" s="25"/>
      <c r="Y19" s="25"/>
      <c r="Z19" s="25"/>
      <c r="AA19" s="25"/>
      <c r="AB19" s="26"/>
      <c r="AC19" s="26"/>
      <c r="AD19" s="25"/>
      <c r="AE19" s="25"/>
      <c r="AF19" s="24">
        <f t="shared" si="3"/>
        <v>-518.99714285714288</v>
      </c>
      <c r="AG19" s="27">
        <f t="shared" si="4"/>
        <v>2.8571428571240176E-3</v>
      </c>
    </row>
    <row r="20" spans="1:33" s="29" customFormat="1" ht="23.25" customHeight="1" x14ac:dyDescent="0.2">
      <c r="A20" s="18">
        <v>44026</v>
      </c>
      <c r="B20" s="19"/>
      <c r="C20" s="20" t="s">
        <v>39</v>
      </c>
      <c r="D20" s="20" t="s">
        <v>40</v>
      </c>
      <c r="E20" s="20" t="s">
        <v>41</v>
      </c>
      <c r="F20" s="21">
        <v>159679</v>
      </c>
      <c r="G20" s="21" t="s">
        <v>500</v>
      </c>
      <c r="H20" s="22"/>
      <c r="I20" s="22"/>
      <c r="J20" s="22"/>
      <c r="K20" s="22">
        <v>76.5</v>
      </c>
      <c r="L20" s="23"/>
      <c r="M20" s="24">
        <f t="shared" si="0"/>
        <v>68.303571428571416</v>
      </c>
      <c r="N20" s="24">
        <f t="shared" si="1"/>
        <v>8.1964285714285694</v>
      </c>
      <c r="O20" s="24">
        <f t="shared" si="2"/>
        <v>0</v>
      </c>
      <c r="P20" s="64"/>
      <c r="Q20" s="25"/>
      <c r="R20" s="25">
        <v>68.3</v>
      </c>
      <c r="S20" s="26"/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>
        <f t="shared" si="3"/>
        <v>-76.496428571428567</v>
      </c>
      <c r="AG20" s="27">
        <f t="shared" si="4"/>
        <v>3.5714285714334437E-3</v>
      </c>
    </row>
    <row r="21" spans="1:33" s="29" customFormat="1" ht="27.75" customHeight="1" x14ac:dyDescent="0.2">
      <c r="A21" s="18">
        <v>44029</v>
      </c>
      <c r="B21" s="19"/>
      <c r="C21" s="20" t="s">
        <v>39</v>
      </c>
      <c r="D21" s="20" t="s">
        <v>40</v>
      </c>
      <c r="E21" s="20" t="s">
        <v>41</v>
      </c>
      <c r="F21" s="21">
        <v>189805</v>
      </c>
      <c r="G21" s="20" t="s">
        <v>501</v>
      </c>
      <c r="H21" s="22"/>
      <c r="I21" s="22"/>
      <c r="J21" s="22"/>
      <c r="K21" s="22">
        <v>179</v>
      </c>
      <c r="L21" s="23"/>
      <c r="M21" s="24">
        <f t="shared" si="0"/>
        <v>159.82142857142856</v>
      </c>
      <c r="N21" s="24">
        <f t="shared" si="1"/>
        <v>19.178571428571427</v>
      </c>
      <c r="O21" s="24">
        <f t="shared" si="2"/>
        <v>0</v>
      </c>
      <c r="P21" s="24">
        <v>159.82</v>
      </c>
      <c r="Q21" s="25"/>
      <c r="R21" s="25"/>
      <c r="S21" s="26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>
        <f t="shared" si="3"/>
        <v>-178.99857142857141</v>
      </c>
      <c r="AG21" s="27">
        <f t="shared" si="4"/>
        <v>1.4285714285904305E-3</v>
      </c>
    </row>
    <row r="22" spans="1:33" s="29" customFormat="1" ht="23.25" customHeight="1" x14ac:dyDescent="0.2">
      <c r="A22" s="18">
        <v>44029</v>
      </c>
      <c r="B22" s="19"/>
      <c r="C22" s="20" t="s">
        <v>39</v>
      </c>
      <c r="D22" s="20" t="s">
        <v>40</v>
      </c>
      <c r="E22" s="20" t="s">
        <v>41</v>
      </c>
      <c r="F22" s="21">
        <v>112689</v>
      </c>
      <c r="G22" s="21" t="s">
        <v>138</v>
      </c>
      <c r="H22" s="22"/>
      <c r="I22" s="22"/>
      <c r="J22" s="22"/>
      <c r="K22" s="22">
        <v>117</v>
      </c>
      <c r="L22" s="23"/>
      <c r="M22" s="24">
        <f t="shared" si="0"/>
        <v>104.46428571428571</v>
      </c>
      <c r="N22" s="24">
        <f t="shared" si="1"/>
        <v>12.535714285714285</v>
      </c>
      <c r="O22" s="24">
        <f t="shared" si="2"/>
        <v>0</v>
      </c>
      <c r="P22" s="24">
        <v>104.46</v>
      </c>
      <c r="Q22" s="25"/>
      <c r="R22" s="25"/>
      <c r="S22" s="26"/>
      <c r="T22" s="26"/>
      <c r="U22" s="26"/>
      <c r="V22" s="26"/>
      <c r="W22" s="26"/>
      <c r="X22" s="25"/>
      <c r="Y22" s="25"/>
      <c r="Z22" s="25"/>
      <c r="AA22" s="25"/>
      <c r="AB22" s="26"/>
      <c r="AC22" s="26"/>
      <c r="AD22" s="25"/>
      <c r="AE22" s="25"/>
      <c r="AF22" s="24">
        <f t="shared" si="3"/>
        <v>-116.99571428571429</v>
      </c>
      <c r="AG22" s="27">
        <f t="shared" si="4"/>
        <v>4.2857142857144481E-3</v>
      </c>
    </row>
    <row r="23" spans="1:33" s="29" customFormat="1" ht="23.25" customHeight="1" x14ac:dyDescent="0.2">
      <c r="A23" s="18">
        <v>44029</v>
      </c>
      <c r="B23" s="19"/>
      <c r="C23" s="20" t="s">
        <v>302</v>
      </c>
      <c r="D23" s="20" t="s">
        <v>303</v>
      </c>
      <c r="E23" s="20" t="s">
        <v>41</v>
      </c>
      <c r="F23" s="21">
        <v>365321</v>
      </c>
      <c r="G23" s="21" t="s">
        <v>58</v>
      </c>
      <c r="H23" s="22"/>
      <c r="I23" s="22"/>
      <c r="J23" s="22"/>
      <c r="K23" s="22">
        <v>42</v>
      </c>
      <c r="L23" s="23"/>
      <c r="M23" s="24">
        <f t="shared" si="0"/>
        <v>37.499999999999993</v>
      </c>
      <c r="N23" s="24">
        <f t="shared" si="1"/>
        <v>4.4999999999999991</v>
      </c>
      <c r="O23" s="24">
        <f t="shared" si="2"/>
        <v>0</v>
      </c>
      <c r="P23" s="24"/>
      <c r="Q23" s="25">
        <v>37.5</v>
      </c>
      <c r="R23" s="25"/>
      <c r="S23" s="26"/>
      <c r="T23" s="26"/>
      <c r="U23" s="26"/>
      <c r="V23" s="26"/>
      <c r="W23" s="26"/>
      <c r="X23" s="25"/>
      <c r="Y23" s="25"/>
      <c r="Z23" s="25"/>
      <c r="AA23" s="25"/>
      <c r="AB23" s="26"/>
      <c r="AC23" s="26"/>
      <c r="AD23" s="25"/>
      <c r="AE23" s="25"/>
      <c r="AF23" s="24">
        <f t="shared" si="3"/>
        <v>-42</v>
      </c>
      <c r="AG23" s="27">
        <f t="shared" si="4"/>
        <v>0</v>
      </c>
    </row>
    <row r="24" spans="1:33" s="29" customFormat="1" ht="23.25" customHeight="1" x14ac:dyDescent="0.2">
      <c r="A24" s="18">
        <v>44029</v>
      </c>
      <c r="B24" s="19"/>
      <c r="C24" s="20" t="s">
        <v>489</v>
      </c>
      <c r="D24" s="20" t="s">
        <v>490</v>
      </c>
      <c r="E24" s="20" t="s">
        <v>49</v>
      </c>
      <c r="F24" s="21">
        <v>247090</v>
      </c>
      <c r="G24" s="21" t="s">
        <v>502</v>
      </c>
      <c r="H24" s="22"/>
      <c r="I24" s="22"/>
      <c r="J24" s="22"/>
      <c r="K24" s="22">
        <f>1198.39+143.81</f>
        <v>1342.2</v>
      </c>
      <c r="L24" s="23"/>
      <c r="M24" s="24">
        <f t="shared" si="0"/>
        <v>1198.3928571428571</v>
      </c>
      <c r="N24" s="24">
        <f t="shared" si="1"/>
        <v>143.80714285714285</v>
      </c>
      <c r="O24" s="24">
        <f t="shared" si="2"/>
        <v>0</v>
      </c>
      <c r="P24" s="24">
        <v>1198.3900000000001</v>
      </c>
      <c r="Q24" s="25"/>
      <c r="R24" s="25"/>
      <c r="S24" s="26"/>
      <c r="T24" s="26"/>
      <c r="U24" s="26"/>
      <c r="V24" s="26"/>
      <c r="W24" s="26"/>
      <c r="X24" s="25"/>
      <c r="Y24" s="25"/>
      <c r="Z24" s="25"/>
      <c r="AA24" s="25"/>
      <c r="AB24" s="26"/>
      <c r="AC24" s="26"/>
      <c r="AD24" s="25"/>
      <c r="AE24" s="25"/>
      <c r="AF24" s="24">
        <f t="shared" si="3"/>
        <v>-1342.197142857143</v>
      </c>
      <c r="AG24" s="27">
        <f t="shared" si="4"/>
        <v>2.8571428570103308E-3</v>
      </c>
    </row>
    <row r="25" spans="1:33" s="42" customFormat="1" ht="23.25" customHeight="1" x14ac:dyDescent="0.2">
      <c r="A25" s="32">
        <v>44029</v>
      </c>
      <c r="B25" s="33"/>
      <c r="C25" s="34" t="s">
        <v>489</v>
      </c>
      <c r="D25" s="34" t="s">
        <v>490</v>
      </c>
      <c r="E25" s="34" t="s">
        <v>49</v>
      </c>
      <c r="F25" s="35">
        <v>247090</v>
      </c>
      <c r="G25" s="35" t="s">
        <v>503</v>
      </c>
      <c r="H25" s="36"/>
      <c r="I25" s="36"/>
      <c r="J25" s="36">
        <v>90</v>
      </c>
      <c r="K25" s="36"/>
      <c r="L25" s="37"/>
      <c r="M25" s="38">
        <f t="shared" si="0"/>
        <v>90</v>
      </c>
      <c r="N25" s="38">
        <f t="shared" si="1"/>
        <v>0</v>
      </c>
      <c r="O25" s="38">
        <f t="shared" si="2"/>
        <v>0</v>
      </c>
      <c r="P25" s="38">
        <v>90</v>
      </c>
      <c r="Q25" s="39"/>
      <c r="R25" s="39"/>
      <c r="S25" s="40"/>
      <c r="T25" s="40"/>
      <c r="U25" s="40"/>
      <c r="V25" s="40"/>
      <c r="W25" s="40"/>
      <c r="X25" s="39"/>
      <c r="Y25" s="39"/>
      <c r="Z25" s="39"/>
      <c r="AA25" s="39"/>
      <c r="AB25" s="40"/>
      <c r="AC25" s="40"/>
      <c r="AD25" s="39"/>
      <c r="AE25" s="39"/>
      <c r="AF25" s="38">
        <f t="shared" si="3"/>
        <v>-90</v>
      </c>
      <c r="AG25" s="41">
        <f t="shared" si="4"/>
        <v>0</v>
      </c>
    </row>
    <row r="26" spans="1:33" s="29" customFormat="1" ht="23.25" customHeight="1" x14ac:dyDescent="0.2">
      <c r="A26" s="18">
        <v>44032</v>
      </c>
      <c r="B26" s="19"/>
      <c r="C26" s="20" t="s">
        <v>504</v>
      </c>
      <c r="D26" s="20"/>
      <c r="E26" s="20"/>
      <c r="F26" s="21"/>
      <c r="G26" s="21" t="s">
        <v>505</v>
      </c>
      <c r="H26" s="22">
        <v>175</v>
      </c>
      <c r="I26" s="22"/>
      <c r="J26" s="22"/>
      <c r="K26" s="22"/>
      <c r="L26" s="23"/>
      <c r="M26" s="24">
        <f t="shared" si="0"/>
        <v>175</v>
      </c>
      <c r="N26" s="24">
        <f t="shared" si="1"/>
        <v>0</v>
      </c>
      <c r="O26" s="24">
        <f t="shared" si="2"/>
        <v>0</v>
      </c>
      <c r="P26" s="24"/>
      <c r="Q26" s="25"/>
      <c r="R26" s="25"/>
      <c r="S26" s="26"/>
      <c r="T26" s="26"/>
      <c r="U26" s="26"/>
      <c r="V26" s="26"/>
      <c r="W26" s="26"/>
      <c r="X26" s="25"/>
      <c r="Y26" s="25"/>
      <c r="Z26" s="25"/>
      <c r="AA26" s="25">
        <v>175</v>
      </c>
      <c r="AB26" s="26"/>
      <c r="AC26" s="26"/>
      <c r="AD26" s="25"/>
      <c r="AE26" s="25"/>
      <c r="AF26" s="24">
        <f t="shared" si="3"/>
        <v>-175</v>
      </c>
      <c r="AG26" s="27">
        <f t="shared" si="4"/>
        <v>0</v>
      </c>
    </row>
    <row r="27" spans="1:33" s="29" customFormat="1" ht="23.25" customHeight="1" x14ac:dyDescent="0.2">
      <c r="A27" s="18">
        <v>44032</v>
      </c>
      <c r="B27" s="19"/>
      <c r="C27" s="20" t="s">
        <v>308</v>
      </c>
      <c r="D27" s="20" t="s">
        <v>79</v>
      </c>
      <c r="E27" s="20" t="s">
        <v>67</v>
      </c>
      <c r="F27" s="21">
        <v>24422</v>
      </c>
      <c r="G27" s="21" t="s">
        <v>506</v>
      </c>
      <c r="H27" s="22"/>
      <c r="I27" s="22"/>
      <c r="J27" s="22">
        <v>720</v>
      </c>
      <c r="K27" s="22"/>
      <c r="L27" s="23"/>
      <c r="M27" s="24">
        <f t="shared" si="0"/>
        <v>720</v>
      </c>
      <c r="N27" s="24">
        <f t="shared" si="1"/>
        <v>0</v>
      </c>
      <c r="O27" s="24">
        <f t="shared" si="2"/>
        <v>0</v>
      </c>
      <c r="P27" s="24">
        <v>720</v>
      </c>
      <c r="Q27" s="25"/>
      <c r="R27" s="25"/>
      <c r="S27" s="26"/>
      <c r="T27" s="26"/>
      <c r="U27" s="26"/>
      <c r="V27" s="26"/>
      <c r="W27" s="26"/>
      <c r="X27" s="25"/>
      <c r="Y27" s="25"/>
      <c r="Z27" s="25"/>
      <c r="AA27" s="25"/>
      <c r="AB27" s="26"/>
      <c r="AC27" s="26"/>
      <c r="AD27" s="25"/>
      <c r="AE27" s="25"/>
      <c r="AF27" s="24">
        <f t="shared" si="3"/>
        <v>-720</v>
      </c>
      <c r="AG27" s="27">
        <f t="shared" si="4"/>
        <v>0</v>
      </c>
    </row>
    <row r="28" spans="1:33" s="29" customFormat="1" ht="23.25" customHeight="1" x14ac:dyDescent="0.2">
      <c r="A28" s="18">
        <v>44032</v>
      </c>
      <c r="B28" s="19"/>
      <c r="C28" s="20" t="s">
        <v>123</v>
      </c>
      <c r="D28" s="20" t="s">
        <v>124</v>
      </c>
      <c r="E28" s="20" t="s">
        <v>67</v>
      </c>
      <c r="F28" s="21">
        <v>2116</v>
      </c>
      <c r="G28" s="21" t="s">
        <v>68</v>
      </c>
      <c r="H28" s="22"/>
      <c r="I28" s="22"/>
      <c r="J28" s="22">
        <v>340</v>
      </c>
      <c r="K28" s="22"/>
      <c r="L28" s="23"/>
      <c r="M28" s="24">
        <f t="shared" si="0"/>
        <v>340</v>
      </c>
      <c r="N28" s="24">
        <f t="shared" si="1"/>
        <v>0</v>
      </c>
      <c r="O28" s="24">
        <f t="shared" si="2"/>
        <v>0</v>
      </c>
      <c r="P28" s="24">
        <v>340</v>
      </c>
      <c r="Q28" s="25"/>
      <c r="R28" s="25"/>
      <c r="S28" s="26"/>
      <c r="T28" s="26"/>
      <c r="U28" s="26"/>
      <c r="V28" s="26"/>
      <c r="W28" s="26"/>
      <c r="X28" s="25"/>
      <c r="Y28" s="25"/>
      <c r="Z28" s="25"/>
      <c r="AA28" s="25"/>
      <c r="AB28" s="26"/>
      <c r="AC28" s="26"/>
      <c r="AD28" s="25"/>
      <c r="AE28" s="25"/>
      <c r="AF28" s="24">
        <f t="shared" si="3"/>
        <v>-340</v>
      </c>
      <c r="AG28" s="27">
        <f t="shared" si="4"/>
        <v>0</v>
      </c>
    </row>
    <row r="29" spans="1:33" s="29" customFormat="1" ht="23.25" customHeight="1" x14ac:dyDescent="0.2">
      <c r="A29" s="18">
        <v>44032</v>
      </c>
      <c r="B29" s="19"/>
      <c r="C29" s="20" t="s">
        <v>45</v>
      </c>
      <c r="D29" s="20"/>
      <c r="E29" s="20"/>
      <c r="F29" s="21"/>
      <c r="G29" s="21" t="s">
        <v>286</v>
      </c>
      <c r="H29" s="22">
        <v>100</v>
      </c>
      <c r="I29" s="22"/>
      <c r="J29" s="22"/>
      <c r="K29" s="22"/>
      <c r="L29" s="23"/>
      <c r="M29" s="24">
        <f t="shared" si="0"/>
        <v>100</v>
      </c>
      <c r="N29" s="24">
        <f t="shared" si="1"/>
        <v>0</v>
      </c>
      <c r="O29" s="24">
        <f t="shared" si="2"/>
        <v>0</v>
      </c>
      <c r="P29" s="24"/>
      <c r="Q29" s="25"/>
      <c r="R29" s="25"/>
      <c r="S29" s="26"/>
      <c r="T29" s="26"/>
      <c r="U29" s="26"/>
      <c r="V29" s="26"/>
      <c r="W29" s="26"/>
      <c r="X29" s="25"/>
      <c r="Y29" s="25"/>
      <c r="Z29" s="25"/>
      <c r="AA29" s="25">
        <v>100</v>
      </c>
      <c r="AB29" s="26"/>
      <c r="AC29" s="26"/>
      <c r="AD29" s="25"/>
      <c r="AE29" s="25"/>
      <c r="AF29" s="24">
        <f t="shared" si="3"/>
        <v>-100</v>
      </c>
      <c r="AG29" s="27">
        <f t="shared" si="4"/>
        <v>0</v>
      </c>
    </row>
    <row r="30" spans="1:33" s="29" customFormat="1" ht="23.25" customHeight="1" x14ac:dyDescent="0.2">
      <c r="A30" s="18">
        <v>44033</v>
      </c>
      <c r="B30" s="19"/>
      <c r="C30" s="20" t="s">
        <v>507</v>
      </c>
      <c r="D30" s="20" t="s">
        <v>508</v>
      </c>
      <c r="E30" s="20" t="s">
        <v>49</v>
      </c>
      <c r="F30" s="21">
        <v>2424</v>
      </c>
      <c r="G30" s="21" t="s">
        <v>509</v>
      </c>
      <c r="H30" s="22"/>
      <c r="I30" s="22"/>
      <c r="J30" s="22"/>
      <c r="K30" s="22">
        <v>1600</v>
      </c>
      <c r="L30" s="23"/>
      <c r="M30" s="24">
        <f t="shared" si="0"/>
        <v>1428.5714285714284</v>
      </c>
      <c r="N30" s="24">
        <f t="shared" si="1"/>
        <v>171.42857142857142</v>
      </c>
      <c r="O30" s="24">
        <f t="shared" si="2"/>
        <v>0</v>
      </c>
      <c r="P30" s="24"/>
      <c r="Q30" s="25">
        <v>1428.57</v>
      </c>
      <c r="R30" s="25"/>
      <c r="S30" s="26"/>
      <c r="T30" s="26"/>
      <c r="U30" s="26"/>
      <c r="V30" s="26"/>
      <c r="W30" s="26"/>
      <c r="X30" s="25"/>
      <c r="Y30" s="25"/>
      <c r="Z30" s="25"/>
      <c r="AA30" s="25"/>
      <c r="AB30" s="26"/>
      <c r="AC30" s="26"/>
      <c r="AD30" s="25"/>
      <c r="AE30" s="25"/>
      <c r="AF30" s="24">
        <f t="shared" si="3"/>
        <v>-1599.9985714285713</v>
      </c>
      <c r="AG30" s="27">
        <f t="shared" si="4"/>
        <v>1.4285714287325391E-3</v>
      </c>
    </row>
    <row r="31" spans="1:33" s="29" customFormat="1" ht="23.25" customHeight="1" x14ac:dyDescent="0.2">
      <c r="A31" s="18">
        <v>44033</v>
      </c>
      <c r="B31" s="19"/>
      <c r="C31" s="20" t="s">
        <v>507</v>
      </c>
      <c r="D31" s="20"/>
      <c r="E31" s="20"/>
      <c r="F31" s="21"/>
      <c r="G31" s="21" t="s">
        <v>510</v>
      </c>
      <c r="H31" s="22">
        <v>131</v>
      </c>
      <c r="I31" s="22"/>
      <c r="J31" s="22"/>
      <c r="K31" s="22"/>
      <c r="L31" s="23"/>
      <c r="M31" s="24">
        <f t="shared" si="0"/>
        <v>131</v>
      </c>
      <c r="N31" s="24">
        <f t="shared" si="1"/>
        <v>0</v>
      </c>
      <c r="O31" s="24">
        <f t="shared" si="2"/>
        <v>0</v>
      </c>
      <c r="P31" s="24"/>
      <c r="Q31" s="25"/>
      <c r="R31" s="25"/>
      <c r="S31" s="26"/>
      <c r="T31" s="26"/>
      <c r="U31" s="26"/>
      <c r="V31" s="26"/>
      <c r="W31" s="26"/>
      <c r="X31" s="25"/>
      <c r="Y31" s="25"/>
      <c r="Z31" s="25"/>
      <c r="AA31" s="25">
        <v>131</v>
      </c>
      <c r="AB31" s="26"/>
      <c r="AC31" s="26"/>
      <c r="AD31" s="25"/>
      <c r="AE31" s="25"/>
      <c r="AF31" s="24">
        <f t="shared" si="3"/>
        <v>-131</v>
      </c>
      <c r="AG31" s="27">
        <f t="shared" si="4"/>
        <v>0</v>
      </c>
    </row>
    <row r="32" spans="1:33" s="29" customFormat="1" ht="23.25" customHeight="1" x14ac:dyDescent="0.2">
      <c r="A32" s="18">
        <v>44034</v>
      </c>
      <c r="B32" s="19"/>
      <c r="C32" s="20" t="s">
        <v>224</v>
      </c>
      <c r="D32" s="20" t="s">
        <v>225</v>
      </c>
      <c r="E32" s="20" t="s">
        <v>49</v>
      </c>
      <c r="F32" s="21">
        <v>166091</v>
      </c>
      <c r="G32" s="21" t="s">
        <v>58</v>
      </c>
      <c r="H32" s="22"/>
      <c r="I32" s="22"/>
      <c r="J32" s="22"/>
      <c r="K32" s="22">
        <v>42</v>
      </c>
      <c r="L32" s="23"/>
      <c r="M32" s="24">
        <f t="shared" si="0"/>
        <v>37.499999999999993</v>
      </c>
      <c r="N32" s="24">
        <f t="shared" si="1"/>
        <v>4.4999999999999991</v>
      </c>
      <c r="O32" s="24">
        <f t="shared" si="2"/>
        <v>0</v>
      </c>
      <c r="P32" s="24"/>
      <c r="Q32" s="25">
        <v>37.5</v>
      </c>
      <c r="R32" s="25"/>
      <c r="S32" s="26"/>
      <c r="T32" s="26"/>
      <c r="U32" s="26"/>
      <c r="V32" s="26"/>
      <c r="W32" s="26"/>
      <c r="X32" s="25"/>
      <c r="Y32" s="25"/>
      <c r="Z32" s="25"/>
      <c r="AA32" s="25"/>
      <c r="AB32" s="26"/>
      <c r="AC32" s="26"/>
      <c r="AD32" s="25"/>
      <c r="AE32" s="25"/>
      <c r="AF32" s="24">
        <f t="shared" si="3"/>
        <v>-42</v>
      </c>
      <c r="AG32" s="27">
        <f t="shared" si="4"/>
        <v>0</v>
      </c>
    </row>
    <row r="33" spans="1:33" s="29" customFormat="1" ht="23.25" customHeight="1" x14ac:dyDescent="0.2">
      <c r="A33" s="18">
        <v>44034</v>
      </c>
      <c r="B33" s="19"/>
      <c r="C33" s="20" t="s">
        <v>39</v>
      </c>
      <c r="D33" s="20" t="s">
        <v>40</v>
      </c>
      <c r="E33" s="20" t="s">
        <v>41</v>
      </c>
      <c r="F33" s="21">
        <v>38507</v>
      </c>
      <c r="G33" s="21" t="s">
        <v>511</v>
      </c>
      <c r="H33" s="22"/>
      <c r="I33" s="22"/>
      <c r="J33" s="22"/>
      <c r="K33" s="22">
        <v>441</v>
      </c>
      <c r="L33" s="23"/>
      <c r="M33" s="24">
        <f t="shared" si="0"/>
        <v>393.74999999999994</v>
      </c>
      <c r="N33" s="24">
        <f t="shared" si="1"/>
        <v>47.249999999999993</v>
      </c>
      <c r="O33" s="24">
        <f t="shared" si="2"/>
        <v>0</v>
      </c>
      <c r="P33" s="24">
        <v>393.75</v>
      </c>
      <c r="Q33" s="25"/>
      <c r="R33" s="25"/>
      <c r="S33" s="26"/>
      <c r="T33" s="26"/>
      <c r="U33" s="26"/>
      <c r="V33" s="26"/>
      <c r="W33" s="26"/>
      <c r="X33" s="25"/>
      <c r="Y33" s="25"/>
      <c r="Z33" s="25"/>
      <c r="AA33" s="25"/>
      <c r="AB33" s="26"/>
      <c r="AC33" s="26"/>
      <c r="AD33" s="25"/>
      <c r="AE33" s="25"/>
      <c r="AF33" s="24">
        <f t="shared" si="3"/>
        <v>-441</v>
      </c>
      <c r="AG33" s="27">
        <f t="shared" si="4"/>
        <v>0</v>
      </c>
    </row>
    <row r="34" spans="1:33" s="29" customFormat="1" ht="23.25" customHeight="1" x14ac:dyDescent="0.2">
      <c r="A34" s="18">
        <v>44035</v>
      </c>
      <c r="B34" s="19"/>
      <c r="C34" s="20" t="s">
        <v>489</v>
      </c>
      <c r="D34" s="20" t="s">
        <v>490</v>
      </c>
      <c r="E34" s="20" t="s">
        <v>49</v>
      </c>
      <c r="F34" s="21">
        <v>268895</v>
      </c>
      <c r="G34" s="21" t="s">
        <v>512</v>
      </c>
      <c r="H34" s="22"/>
      <c r="I34" s="22"/>
      <c r="J34" s="22"/>
      <c r="K34" s="22">
        <v>332.55</v>
      </c>
      <c r="L34" s="23"/>
      <c r="M34" s="24">
        <f t="shared" si="0"/>
        <v>296.91964285714283</v>
      </c>
      <c r="N34" s="24">
        <f t="shared" si="1"/>
        <v>35.630357142857136</v>
      </c>
      <c r="O34" s="24">
        <f t="shared" si="2"/>
        <v>0</v>
      </c>
      <c r="P34" s="24">
        <v>296.92</v>
      </c>
      <c r="Q34" s="25"/>
      <c r="R34" s="25"/>
      <c r="S34" s="26"/>
      <c r="T34" s="26"/>
      <c r="U34" s="26"/>
      <c r="V34" s="26"/>
      <c r="W34" s="26"/>
      <c r="X34" s="25"/>
      <c r="Y34" s="25"/>
      <c r="Z34" s="25"/>
      <c r="AA34" s="25"/>
      <c r="AB34" s="26"/>
      <c r="AC34" s="26"/>
      <c r="AD34" s="25"/>
      <c r="AE34" s="25"/>
      <c r="AF34" s="24">
        <f t="shared" si="3"/>
        <v>-332.55035714285714</v>
      </c>
      <c r="AG34" s="27">
        <f t="shared" si="4"/>
        <v>-3.5714285712629135E-4</v>
      </c>
    </row>
    <row r="35" spans="1:33" s="29" customFormat="1" ht="27.75" customHeight="1" x14ac:dyDescent="0.2">
      <c r="A35" s="18">
        <v>44035</v>
      </c>
      <c r="B35" s="19"/>
      <c r="C35" s="20" t="s">
        <v>489</v>
      </c>
      <c r="D35" s="20" t="s">
        <v>490</v>
      </c>
      <c r="E35" s="20" t="s">
        <v>49</v>
      </c>
      <c r="F35" s="21">
        <v>26881</v>
      </c>
      <c r="G35" s="30" t="s">
        <v>513</v>
      </c>
      <c r="H35" s="22"/>
      <c r="I35" s="22"/>
      <c r="J35" s="22"/>
      <c r="K35" s="22">
        <f>1447.41+173.69</f>
        <v>1621.1000000000001</v>
      </c>
      <c r="L35" s="23"/>
      <c r="M35" s="24">
        <f t="shared" si="0"/>
        <v>1447.4107142857142</v>
      </c>
      <c r="N35" s="24">
        <f t="shared" si="1"/>
        <v>173.68928571428569</v>
      </c>
      <c r="O35" s="24">
        <f t="shared" si="2"/>
        <v>0</v>
      </c>
      <c r="P35" s="24">
        <v>1447.41</v>
      </c>
      <c r="Q35" s="25"/>
      <c r="R35" s="25"/>
      <c r="S35" s="26"/>
      <c r="T35" s="26"/>
      <c r="U35" s="26"/>
      <c r="V35" s="26"/>
      <c r="W35" s="26"/>
      <c r="X35" s="25"/>
      <c r="Y35" s="25"/>
      <c r="Z35" s="25"/>
      <c r="AA35" s="25"/>
      <c r="AB35" s="26"/>
      <c r="AC35" s="26"/>
      <c r="AD35" s="25"/>
      <c r="AE35" s="25"/>
      <c r="AF35" s="24">
        <f t="shared" si="3"/>
        <v>-1621.0992857142858</v>
      </c>
      <c r="AG35" s="27">
        <f t="shared" si="4"/>
        <v>7.1428571436626953E-4</v>
      </c>
    </row>
    <row r="36" spans="1:33" s="29" customFormat="1" ht="23.25" customHeight="1" x14ac:dyDescent="0.2">
      <c r="A36" s="18">
        <v>44035</v>
      </c>
      <c r="B36" s="19"/>
      <c r="C36" s="20" t="s">
        <v>489</v>
      </c>
      <c r="D36" s="20" t="s">
        <v>490</v>
      </c>
      <c r="E36" s="20" t="s">
        <v>49</v>
      </c>
      <c r="F36" s="21">
        <v>26881</v>
      </c>
      <c r="G36" s="21" t="s">
        <v>514</v>
      </c>
      <c r="H36" s="22"/>
      <c r="I36" s="22"/>
      <c r="J36" s="22">
        <v>231.2</v>
      </c>
      <c r="K36" s="22"/>
      <c r="L36" s="23"/>
      <c r="M36" s="24">
        <f t="shared" si="0"/>
        <v>231.2</v>
      </c>
      <c r="N36" s="24">
        <f t="shared" si="1"/>
        <v>0</v>
      </c>
      <c r="O36" s="24">
        <v>0</v>
      </c>
      <c r="P36" s="24">
        <v>231.2</v>
      </c>
      <c r="Q36" s="25"/>
      <c r="R36" s="25"/>
      <c r="S36" s="26"/>
      <c r="T36" s="26"/>
      <c r="U36" s="26"/>
      <c r="V36" s="26"/>
      <c r="W36" s="26"/>
      <c r="X36" s="25"/>
      <c r="Y36" s="25"/>
      <c r="Z36" s="25"/>
      <c r="AA36" s="25"/>
      <c r="AB36" s="26"/>
      <c r="AC36" s="26"/>
      <c r="AD36" s="25"/>
      <c r="AE36" s="25"/>
      <c r="AF36" s="24">
        <f t="shared" si="3"/>
        <v>-231.2</v>
      </c>
      <c r="AG36" s="27">
        <f t="shared" si="4"/>
        <v>0</v>
      </c>
    </row>
    <row r="37" spans="1:33" s="42" customFormat="1" ht="23.25" customHeight="1" x14ac:dyDescent="0.2">
      <c r="A37" s="32">
        <v>44035</v>
      </c>
      <c r="B37" s="33"/>
      <c r="C37" s="34" t="s">
        <v>224</v>
      </c>
      <c r="D37" s="34" t="s">
        <v>225</v>
      </c>
      <c r="E37" s="34" t="s">
        <v>49</v>
      </c>
      <c r="F37" s="35">
        <v>182160</v>
      </c>
      <c r="G37" s="35" t="s">
        <v>58</v>
      </c>
      <c r="H37" s="36"/>
      <c r="I37" s="36"/>
      <c r="J37" s="36"/>
      <c r="K37" s="36">
        <v>42</v>
      </c>
      <c r="L37" s="37"/>
      <c r="M37" s="38">
        <f t="shared" ref="M37:M54" si="5">SUM(H37:J37,K37/1.12)</f>
        <v>37.499999999999993</v>
      </c>
      <c r="N37" s="38">
        <f t="shared" ref="N37:N54" si="6">K37/1.12*0.12</f>
        <v>4.4999999999999991</v>
      </c>
      <c r="O37" s="38">
        <f t="shared" ref="O37:O54" si="7">-SUM(I37:J37,K37/1.12)*L37</f>
        <v>0</v>
      </c>
      <c r="P37" s="38"/>
      <c r="Q37" s="39">
        <v>37.5</v>
      </c>
      <c r="R37" s="39"/>
      <c r="S37" s="40"/>
      <c r="T37" s="40"/>
      <c r="U37" s="40"/>
      <c r="V37" s="40"/>
      <c r="W37" s="40"/>
      <c r="X37" s="39"/>
      <c r="Y37" s="39"/>
      <c r="Z37" s="39"/>
      <c r="AA37" s="39"/>
      <c r="AB37" s="40"/>
      <c r="AC37" s="40"/>
      <c r="AD37" s="39"/>
      <c r="AE37" s="39"/>
      <c r="AF37" s="38">
        <f t="shared" ref="AF37:AF54" si="8">-SUM(N37:AE37)</f>
        <v>-42</v>
      </c>
      <c r="AG37" s="41">
        <f t="shared" ref="AG37:AG54" si="9">SUM(H37:K37)+AF37+O37</f>
        <v>0</v>
      </c>
    </row>
    <row r="38" spans="1:33" s="29" customFormat="1" ht="23.25" customHeight="1" x14ac:dyDescent="0.2">
      <c r="A38" s="18">
        <v>44035</v>
      </c>
      <c r="B38" s="19"/>
      <c r="C38" s="20" t="s">
        <v>515</v>
      </c>
      <c r="D38" s="20" t="s">
        <v>516</v>
      </c>
      <c r="E38" s="20" t="s">
        <v>517</v>
      </c>
      <c r="F38" s="21">
        <v>149581</v>
      </c>
      <c r="G38" s="21" t="s">
        <v>518</v>
      </c>
      <c r="H38" s="22"/>
      <c r="I38" s="22"/>
      <c r="J38" s="22"/>
      <c r="K38" s="22">
        <v>130</v>
      </c>
      <c r="L38" s="23"/>
      <c r="M38" s="24">
        <f t="shared" si="5"/>
        <v>116.07142857142856</v>
      </c>
      <c r="N38" s="24">
        <f t="shared" si="6"/>
        <v>13.928571428571425</v>
      </c>
      <c r="O38" s="24">
        <f t="shared" si="7"/>
        <v>0</v>
      </c>
      <c r="P38" s="24">
        <v>116.07</v>
      </c>
      <c r="Q38" s="25"/>
      <c r="R38" s="25"/>
      <c r="S38" s="26"/>
      <c r="T38" s="26"/>
      <c r="U38" s="26"/>
      <c r="V38" s="26"/>
      <c r="W38" s="26"/>
      <c r="X38" s="25"/>
      <c r="Y38" s="25"/>
      <c r="Z38" s="25"/>
      <c r="AA38" s="25"/>
      <c r="AB38" s="26"/>
      <c r="AC38" s="26"/>
      <c r="AD38" s="25"/>
      <c r="AE38" s="25"/>
      <c r="AF38" s="24">
        <f t="shared" si="8"/>
        <v>-129.99857142857141</v>
      </c>
      <c r="AG38" s="27">
        <f t="shared" si="9"/>
        <v>1.4285714285904305E-3</v>
      </c>
    </row>
    <row r="39" spans="1:33" s="29" customFormat="1" ht="23.25" customHeight="1" x14ac:dyDescent="0.2">
      <c r="A39" s="18">
        <v>44037</v>
      </c>
      <c r="B39" s="19"/>
      <c r="C39" s="20" t="s">
        <v>47</v>
      </c>
      <c r="D39" s="20" t="s">
        <v>490</v>
      </c>
      <c r="E39" s="20" t="s">
        <v>519</v>
      </c>
      <c r="F39" s="21"/>
      <c r="G39" s="21" t="s">
        <v>520</v>
      </c>
      <c r="H39" s="22"/>
      <c r="I39" s="22"/>
      <c r="J39" s="22"/>
      <c r="K39" s="22">
        <v>1522.75</v>
      </c>
      <c r="L39" s="23"/>
      <c r="M39" s="24">
        <f t="shared" si="5"/>
        <v>1359.5982142857142</v>
      </c>
      <c r="N39" s="24">
        <f t="shared" si="6"/>
        <v>163.15178571428569</v>
      </c>
      <c r="O39" s="24">
        <f t="shared" si="7"/>
        <v>0</v>
      </c>
      <c r="P39" s="24">
        <v>1359.6</v>
      </c>
      <c r="Q39" s="25"/>
      <c r="R39" s="25"/>
      <c r="S39" s="26"/>
      <c r="T39" s="26"/>
      <c r="U39" s="26"/>
      <c r="V39" s="26"/>
      <c r="W39" s="26"/>
      <c r="X39" s="25"/>
      <c r="Y39" s="25"/>
      <c r="Z39" s="25"/>
      <c r="AA39" s="25"/>
      <c r="AB39" s="26"/>
      <c r="AC39" s="26"/>
      <c r="AD39" s="25"/>
      <c r="AE39" s="25"/>
      <c r="AF39" s="24">
        <f t="shared" si="8"/>
        <v>-1522.7517857142857</v>
      </c>
      <c r="AG39" s="27">
        <f t="shared" si="9"/>
        <v>-1.7857142856883002E-3</v>
      </c>
    </row>
    <row r="40" spans="1:33" s="29" customFormat="1" ht="23.25" customHeight="1" x14ac:dyDescent="0.2">
      <c r="A40" s="18">
        <v>44037</v>
      </c>
      <c r="B40" s="19"/>
      <c r="C40" s="20" t="s">
        <v>47</v>
      </c>
      <c r="D40" s="20" t="s">
        <v>490</v>
      </c>
      <c r="E40" s="20" t="s">
        <v>519</v>
      </c>
      <c r="F40" s="21"/>
      <c r="G40" s="21" t="s">
        <v>521</v>
      </c>
      <c r="H40" s="22"/>
      <c r="I40" s="22"/>
      <c r="J40" s="22">
        <v>172.38</v>
      </c>
      <c r="K40" s="22"/>
      <c r="L40" s="23"/>
      <c r="M40" s="24">
        <f t="shared" si="5"/>
        <v>172.38</v>
      </c>
      <c r="N40" s="24">
        <f t="shared" si="6"/>
        <v>0</v>
      </c>
      <c r="O40" s="24">
        <f t="shared" si="7"/>
        <v>0</v>
      </c>
      <c r="P40" s="24">
        <v>172.38</v>
      </c>
      <c r="Q40" s="25"/>
      <c r="R40" s="25"/>
      <c r="S40" s="26"/>
      <c r="T40" s="26"/>
      <c r="U40" s="26"/>
      <c r="V40" s="26"/>
      <c r="W40" s="26"/>
      <c r="X40" s="25"/>
      <c r="Y40" s="25"/>
      <c r="Z40" s="25"/>
      <c r="AA40" s="25"/>
      <c r="AB40" s="26"/>
      <c r="AC40" s="26"/>
      <c r="AD40" s="25"/>
      <c r="AE40" s="25"/>
      <c r="AF40" s="24">
        <f t="shared" si="8"/>
        <v>-172.38</v>
      </c>
      <c r="AG40" s="27">
        <f t="shared" si="9"/>
        <v>0</v>
      </c>
    </row>
    <row r="41" spans="1:33" s="29" customFormat="1" ht="23.25" customHeight="1" x14ac:dyDescent="0.2">
      <c r="A41" s="18">
        <v>44037</v>
      </c>
      <c r="B41" s="19"/>
      <c r="C41" s="20" t="s">
        <v>522</v>
      </c>
      <c r="D41" s="20" t="s">
        <v>225</v>
      </c>
      <c r="E41" s="20" t="s">
        <v>523</v>
      </c>
      <c r="F41" s="21"/>
      <c r="G41" s="21" t="s">
        <v>58</v>
      </c>
      <c r="H41" s="22"/>
      <c r="I41" s="22"/>
      <c r="J41" s="22"/>
      <c r="K41" s="22">
        <v>42</v>
      </c>
      <c r="L41" s="23"/>
      <c r="M41" s="24">
        <f t="shared" si="5"/>
        <v>37.499999999999993</v>
      </c>
      <c r="N41" s="24">
        <f t="shared" si="6"/>
        <v>4.4999999999999991</v>
      </c>
      <c r="O41" s="24">
        <f t="shared" si="7"/>
        <v>0</v>
      </c>
      <c r="P41" s="24"/>
      <c r="Q41" s="25">
        <v>37.5</v>
      </c>
      <c r="R41" s="25"/>
      <c r="S41" s="26"/>
      <c r="T41" s="26"/>
      <c r="U41" s="26"/>
      <c r="V41" s="26"/>
      <c r="W41" s="26"/>
      <c r="X41" s="25"/>
      <c r="Y41" s="25"/>
      <c r="Z41" s="25"/>
      <c r="AA41" s="25"/>
      <c r="AB41" s="26"/>
      <c r="AC41" s="26"/>
      <c r="AD41" s="25"/>
      <c r="AE41" s="25"/>
      <c r="AF41" s="24">
        <f t="shared" si="8"/>
        <v>-42</v>
      </c>
      <c r="AG41" s="27">
        <f t="shared" si="9"/>
        <v>0</v>
      </c>
    </row>
    <row r="42" spans="1:33" s="29" customFormat="1" ht="23.25" customHeight="1" x14ac:dyDescent="0.2">
      <c r="A42" s="18">
        <v>44037</v>
      </c>
      <c r="B42" s="19"/>
      <c r="C42" s="20" t="s">
        <v>47</v>
      </c>
      <c r="D42" s="20" t="s">
        <v>490</v>
      </c>
      <c r="E42" s="20" t="s">
        <v>519</v>
      </c>
      <c r="F42" s="21"/>
      <c r="G42" s="21" t="s">
        <v>381</v>
      </c>
      <c r="H42" s="22"/>
      <c r="I42" s="22"/>
      <c r="J42" s="22"/>
      <c r="K42" s="22">
        <v>155.25</v>
      </c>
      <c r="L42" s="23"/>
      <c r="M42" s="24">
        <f t="shared" si="5"/>
        <v>138.61607142857142</v>
      </c>
      <c r="N42" s="24">
        <f t="shared" si="6"/>
        <v>16.633928571428569</v>
      </c>
      <c r="O42" s="24">
        <f t="shared" si="7"/>
        <v>0</v>
      </c>
      <c r="P42" s="24"/>
      <c r="Q42" s="25">
        <v>138.62</v>
      </c>
      <c r="R42" s="25"/>
      <c r="S42" s="26"/>
      <c r="T42" s="26"/>
      <c r="U42" s="26"/>
      <c r="V42" s="26"/>
      <c r="W42" s="26"/>
      <c r="X42" s="25"/>
      <c r="Y42" s="25"/>
      <c r="Z42" s="25"/>
      <c r="AA42" s="25"/>
      <c r="AB42" s="26"/>
      <c r="AC42" s="26"/>
      <c r="AD42" s="25"/>
      <c r="AE42" s="25"/>
      <c r="AF42" s="24">
        <f t="shared" si="8"/>
        <v>-155.25392857142856</v>
      </c>
      <c r="AG42" s="27">
        <f t="shared" si="9"/>
        <v>-3.9285714285597351E-3</v>
      </c>
    </row>
    <row r="43" spans="1:33" s="29" customFormat="1" ht="27.75" customHeight="1" x14ac:dyDescent="0.2">
      <c r="A43" s="18">
        <v>44037</v>
      </c>
      <c r="B43" s="19"/>
      <c r="C43" s="20" t="s">
        <v>39</v>
      </c>
      <c r="D43" s="20" t="s">
        <v>40</v>
      </c>
      <c r="E43" s="20" t="s">
        <v>41</v>
      </c>
      <c r="F43" s="21"/>
      <c r="G43" s="21" t="s">
        <v>524</v>
      </c>
      <c r="H43" s="22"/>
      <c r="I43" s="22"/>
      <c r="J43" s="22">
        <v>127.6</v>
      </c>
      <c r="K43" s="22"/>
      <c r="L43" s="23"/>
      <c r="M43" s="24">
        <f t="shared" si="5"/>
        <v>127.6</v>
      </c>
      <c r="N43" s="24">
        <f t="shared" si="6"/>
        <v>0</v>
      </c>
      <c r="O43" s="24">
        <f t="shared" si="7"/>
        <v>0</v>
      </c>
      <c r="P43" s="24">
        <v>127.6</v>
      </c>
      <c r="Q43" s="25"/>
      <c r="R43" s="25"/>
      <c r="S43" s="26"/>
      <c r="T43" s="26"/>
      <c r="U43" s="26"/>
      <c r="V43" s="26"/>
      <c r="W43" s="26"/>
      <c r="X43" s="25"/>
      <c r="Y43" s="25"/>
      <c r="Z43" s="25"/>
      <c r="AA43" s="25"/>
      <c r="AB43" s="26"/>
      <c r="AC43" s="26"/>
      <c r="AD43" s="25"/>
      <c r="AE43" s="25"/>
      <c r="AF43" s="24">
        <f t="shared" si="8"/>
        <v>-127.6</v>
      </c>
      <c r="AG43" s="27">
        <f t="shared" si="9"/>
        <v>0</v>
      </c>
    </row>
    <row r="44" spans="1:33" s="29" customFormat="1" ht="23.25" customHeight="1" x14ac:dyDescent="0.2">
      <c r="A44" s="18">
        <v>44040</v>
      </c>
      <c r="B44" s="19"/>
      <c r="C44" s="20" t="s">
        <v>525</v>
      </c>
      <c r="D44" s="20" t="s">
        <v>82</v>
      </c>
      <c r="E44" s="20" t="s">
        <v>519</v>
      </c>
      <c r="F44" s="21"/>
      <c r="G44" s="21" t="s">
        <v>526</v>
      </c>
      <c r="H44" s="22"/>
      <c r="I44" s="22"/>
      <c r="J44" s="22"/>
      <c r="K44" s="22">
        <v>130</v>
      </c>
      <c r="L44" s="23"/>
      <c r="M44" s="24">
        <f t="shared" si="5"/>
        <v>116.07142857142856</v>
      </c>
      <c r="N44" s="24">
        <f t="shared" si="6"/>
        <v>13.928571428571425</v>
      </c>
      <c r="O44" s="24">
        <f t="shared" si="7"/>
        <v>0</v>
      </c>
      <c r="P44" s="24"/>
      <c r="Q44" s="25"/>
      <c r="R44" s="25">
        <v>116.07</v>
      </c>
      <c r="S44" s="26"/>
      <c r="T44" s="26"/>
      <c r="U44" s="26"/>
      <c r="V44" s="26"/>
      <c r="W44" s="26"/>
      <c r="X44" s="25"/>
      <c r="Y44" s="25"/>
      <c r="Z44" s="25"/>
      <c r="AA44" s="25"/>
      <c r="AB44" s="26"/>
      <c r="AC44" s="26"/>
      <c r="AD44" s="25"/>
      <c r="AE44" s="25"/>
      <c r="AF44" s="24">
        <f t="shared" si="8"/>
        <v>-129.99857142857141</v>
      </c>
      <c r="AG44" s="27">
        <f t="shared" si="9"/>
        <v>1.4285714285904305E-3</v>
      </c>
    </row>
    <row r="45" spans="1:33" s="29" customFormat="1" ht="23.25" customHeight="1" x14ac:dyDescent="0.2">
      <c r="A45" s="18">
        <v>44040</v>
      </c>
      <c r="B45" s="19"/>
      <c r="C45" s="20" t="s">
        <v>522</v>
      </c>
      <c r="D45" s="20" t="s">
        <v>225</v>
      </c>
      <c r="E45" s="20" t="s">
        <v>523</v>
      </c>
      <c r="F45" s="21"/>
      <c r="G45" s="21" t="s">
        <v>527</v>
      </c>
      <c r="H45" s="22"/>
      <c r="I45" s="22"/>
      <c r="J45" s="22"/>
      <c r="K45" s="22">
        <v>15</v>
      </c>
      <c r="L45" s="23"/>
      <c r="M45" s="24">
        <f t="shared" si="5"/>
        <v>13.392857142857142</v>
      </c>
      <c r="N45" s="24">
        <f t="shared" si="6"/>
        <v>1.607142857142857</v>
      </c>
      <c r="O45" s="24">
        <f t="shared" si="7"/>
        <v>0</v>
      </c>
      <c r="P45" s="25"/>
      <c r="Q45" s="25">
        <v>13.39</v>
      </c>
      <c r="R45" s="25"/>
      <c r="S45" s="26"/>
      <c r="T45" s="26"/>
      <c r="U45" s="26"/>
      <c r="V45" s="26"/>
      <c r="W45" s="26"/>
      <c r="X45" s="25"/>
      <c r="Y45" s="25"/>
      <c r="Z45" s="25"/>
      <c r="AA45" s="25"/>
      <c r="AB45" s="26"/>
      <c r="AC45" s="26"/>
      <c r="AD45" s="25"/>
      <c r="AE45" s="25"/>
      <c r="AF45" s="24">
        <f t="shared" si="8"/>
        <v>-14.997142857142858</v>
      </c>
      <c r="AG45" s="27">
        <f t="shared" si="9"/>
        <v>2.8571428571417812E-3</v>
      </c>
    </row>
    <row r="46" spans="1:33" s="29" customFormat="1" ht="23.25" customHeight="1" x14ac:dyDescent="0.2">
      <c r="A46" s="18">
        <v>44040</v>
      </c>
      <c r="B46" s="19"/>
      <c r="C46" s="20" t="s">
        <v>39</v>
      </c>
      <c r="D46" s="20" t="s">
        <v>40</v>
      </c>
      <c r="E46" s="20" t="s">
        <v>41</v>
      </c>
      <c r="F46" s="21"/>
      <c r="G46" s="21" t="s">
        <v>528</v>
      </c>
      <c r="H46" s="22"/>
      <c r="I46" s="22"/>
      <c r="J46" s="22"/>
      <c r="K46" s="22">
        <v>122</v>
      </c>
      <c r="L46" s="23"/>
      <c r="M46" s="24">
        <f t="shared" si="5"/>
        <v>108.92857142857142</v>
      </c>
      <c r="N46" s="24">
        <f t="shared" si="6"/>
        <v>13.071428571428569</v>
      </c>
      <c r="O46" s="24">
        <f t="shared" si="7"/>
        <v>0</v>
      </c>
      <c r="P46" s="24"/>
      <c r="Q46" s="25">
        <v>108.93</v>
      </c>
      <c r="R46" s="25"/>
      <c r="S46" s="26"/>
      <c r="T46" s="26"/>
      <c r="U46" s="26"/>
      <c r="V46" s="26"/>
      <c r="W46" s="26"/>
      <c r="X46" s="25"/>
      <c r="Y46" s="25"/>
      <c r="Z46" s="25"/>
      <c r="AA46" s="25"/>
      <c r="AB46" s="26"/>
      <c r="AC46" s="26"/>
      <c r="AD46" s="25"/>
      <c r="AE46" s="25"/>
      <c r="AF46" s="24">
        <f t="shared" si="8"/>
        <v>-122.00142857142858</v>
      </c>
      <c r="AG46" s="27">
        <f t="shared" si="9"/>
        <v>-1.4285714285762197E-3</v>
      </c>
    </row>
    <row r="47" spans="1:33" s="29" customFormat="1" ht="23.25" customHeight="1" x14ac:dyDescent="0.2">
      <c r="A47" s="18">
        <v>44040</v>
      </c>
      <c r="B47" s="19"/>
      <c r="C47" s="20" t="s">
        <v>39</v>
      </c>
      <c r="D47" s="20" t="s">
        <v>40</v>
      </c>
      <c r="E47" s="20" t="s">
        <v>41</v>
      </c>
      <c r="F47" s="21"/>
      <c r="G47" s="21" t="s">
        <v>193</v>
      </c>
      <c r="H47" s="22"/>
      <c r="I47" s="22"/>
      <c r="J47" s="22"/>
      <c r="K47" s="22">
        <v>158</v>
      </c>
      <c r="L47" s="23"/>
      <c r="M47" s="24">
        <f t="shared" si="5"/>
        <v>141.07142857142856</v>
      </c>
      <c r="N47" s="24">
        <f t="shared" si="6"/>
        <v>16.928571428571427</v>
      </c>
      <c r="O47" s="24">
        <f t="shared" si="7"/>
        <v>0</v>
      </c>
      <c r="P47" s="24"/>
      <c r="Q47" s="25"/>
      <c r="R47" s="25"/>
      <c r="S47" s="26"/>
      <c r="T47" s="26"/>
      <c r="U47" s="26">
        <v>141.07</v>
      </c>
      <c r="V47" s="26"/>
      <c r="W47" s="26"/>
      <c r="X47" s="25"/>
      <c r="Y47" s="25"/>
      <c r="Z47" s="25"/>
      <c r="AA47" s="25"/>
      <c r="AB47" s="26"/>
      <c r="AC47" s="26"/>
      <c r="AD47" s="25"/>
      <c r="AE47" s="25"/>
      <c r="AF47" s="24">
        <f t="shared" si="8"/>
        <v>-157.99857142857141</v>
      </c>
      <c r="AG47" s="27">
        <f t="shared" si="9"/>
        <v>1.4285714285904305E-3</v>
      </c>
    </row>
    <row r="48" spans="1:33" s="29" customFormat="1" ht="23.25" customHeight="1" x14ac:dyDescent="0.2">
      <c r="A48" s="18">
        <v>44040</v>
      </c>
      <c r="B48" s="19"/>
      <c r="C48" s="20" t="s">
        <v>47</v>
      </c>
      <c r="D48" s="20" t="s">
        <v>490</v>
      </c>
      <c r="E48" s="20" t="s">
        <v>519</v>
      </c>
      <c r="F48" s="21"/>
      <c r="G48" s="21" t="s">
        <v>529</v>
      </c>
      <c r="H48" s="22"/>
      <c r="I48" s="22"/>
      <c r="J48" s="22"/>
      <c r="K48" s="22">
        <v>179.55</v>
      </c>
      <c r="L48" s="23"/>
      <c r="M48" s="24">
        <f t="shared" si="5"/>
        <v>160.3125</v>
      </c>
      <c r="N48" s="24">
        <f t="shared" si="6"/>
        <v>19.237500000000001</v>
      </c>
      <c r="O48" s="24">
        <f t="shared" si="7"/>
        <v>0</v>
      </c>
      <c r="P48" s="24">
        <v>160.31</v>
      </c>
      <c r="Q48" s="25"/>
      <c r="R48" s="25"/>
      <c r="S48" s="26"/>
      <c r="T48" s="26"/>
      <c r="U48" s="26"/>
      <c r="V48" s="26"/>
      <c r="W48" s="26"/>
      <c r="X48" s="25"/>
      <c r="Y48" s="25"/>
      <c r="Z48" s="25"/>
      <c r="AA48" s="25"/>
      <c r="AB48" s="26"/>
      <c r="AC48" s="26"/>
      <c r="AD48" s="25"/>
      <c r="AE48" s="25"/>
      <c r="AF48" s="24">
        <f t="shared" si="8"/>
        <v>-179.54750000000001</v>
      </c>
      <c r="AG48" s="27">
        <f t="shared" si="9"/>
        <v>2.4999999999977263E-3</v>
      </c>
    </row>
    <row r="49" spans="1:33" s="29" customFormat="1" ht="23.25" customHeight="1" x14ac:dyDescent="0.2">
      <c r="A49" s="18">
        <v>44040</v>
      </c>
      <c r="B49" s="19"/>
      <c r="C49" s="20" t="s">
        <v>530</v>
      </c>
      <c r="D49" s="20" t="s">
        <v>107</v>
      </c>
      <c r="E49" s="20" t="s">
        <v>41</v>
      </c>
      <c r="F49" s="21"/>
      <c r="G49" s="21" t="s">
        <v>531</v>
      </c>
      <c r="H49" s="22"/>
      <c r="I49" s="22"/>
      <c r="J49" s="22"/>
      <c r="K49" s="22">
        <v>45</v>
      </c>
      <c r="L49" s="23"/>
      <c r="M49" s="24">
        <f t="shared" si="5"/>
        <v>40.178571428571423</v>
      </c>
      <c r="N49" s="24">
        <f t="shared" si="6"/>
        <v>4.8214285714285703</v>
      </c>
      <c r="O49" s="24">
        <f t="shared" si="7"/>
        <v>0</v>
      </c>
      <c r="P49" s="24"/>
      <c r="Q49" s="25"/>
      <c r="R49" s="25">
        <v>40.18</v>
      </c>
      <c r="S49" s="26"/>
      <c r="T49" s="26"/>
      <c r="U49" s="26"/>
      <c r="V49" s="26"/>
      <c r="W49" s="26"/>
      <c r="X49" s="25"/>
      <c r="Y49" s="25"/>
      <c r="Z49" s="25"/>
      <c r="AA49" s="25"/>
      <c r="AB49" s="26"/>
      <c r="AC49" s="26"/>
      <c r="AD49" s="25"/>
      <c r="AE49" s="25"/>
      <c r="AF49" s="24">
        <f t="shared" si="8"/>
        <v>-45.001428571428569</v>
      </c>
      <c r="AG49" s="27">
        <f t="shared" si="9"/>
        <v>-1.4285714285691142E-3</v>
      </c>
    </row>
    <row r="50" spans="1:33" s="29" customFormat="1" ht="23.25" customHeight="1" x14ac:dyDescent="0.2">
      <c r="A50" s="18">
        <v>44040</v>
      </c>
      <c r="B50" s="19"/>
      <c r="C50" s="20" t="s">
        <v>532</v>
      </c>
      <c r="D50" s="20" t="s">
        <v>533</v>
      </c>
      <c r="E50" s="20" t="s">
        <v>534</v>
      </c>
      <c r="F50" s="21"/>
      <c r="G50" s="21" t="s">
        <v>535</v>
      </c>
      <c r="H50" s="22"/>
      <c r="I50" s="22"/>
      <c r="J50" s="22">
        <v>265.17</v>
      </c>
      <c r="K50" s="22"/>
      <c r="L50" s="23"/>
      <c r="M50" s="24">
        <f t="shared" si="5"/>
        <v>265.17</v>
      </c>
      <c r="N50" s="24">
        <f t="shared" si="6"/>
        <v>0</v>
      </c>
      <c r="O50" s="24">
        <f t="shared" si="7"/>
        <v>0</v>
      </c>
      <c r="P50" s="24"/>
      <c r="Q50" s="25"/>
      <c r="R50" s="25"/>
      <c r="S50" s="26"/>
      <c r="T50" s="26"/>
      <c r="U50" s="26"/>
      <c r="V50" s="26"/>
      <c r="W50" s="26"/>
      <c r="X50" s="25"/>
      <c r="Y50" s="25"/>
      <c r="Z50" s="25"/>
      <c r="AA50" s="25"/>
      <c r="AB50" s="26"/>
      <c r="AC50" s="26"/>
      <c r="AD50" s="25">
        <v>265.17</v>
      </c>
      <c r="AE50" s="25"/>
      <c r="AF50" s="24">
        <f t="shared" si="8"/>
        <v>-265.17</v>
      </c>
      <c r="AG50" s="27">
        <f t="shared" si="9"/>
        <v>0</v>
      </c>
    </row>
    <row r="51" spans="1:33" s="29" customFormat="1" ht="23.25" customHeight="1" x14ac:dyDescent="0.2">
      <c r="A51" s="18">
        <v>44041</v>
      </c>
      <c r="B51" s="19"/>
      <c r="C51" s="20" t="s">
        <v>39</v>
      </c>
      <c r="D51" s="20" t="s">
        <v>40</v>
      </c>
      <c r="E51" s="20" t="s">
        <v>41</v>
      </c>
      <c r="F51" s="21"/>
      <c r="G51" s="21" t="s">
        <v>536</v>
      </c>
      <c r="H51" s="22"/>
      <c r="I51" s="22"/>
      <c r="J51" s="22"/>
      <c r="K51" s="22">
        <v>169.5</v>
      </c>
      <c r="L51" s="23"/>
      <c r="M51" s="24">
        <f t="shared" si="5"/>
        <v>151.33928571428569</v>
      </c>
      <c r="N51" s="24">
        <f t="shared" si="6"/>
        <v>18.160714285714281</v>
      </c>
      <c r="O51" s="24">
        <f t="shared" si="7"/>
        <v>0</v>
      </c>
      <c r="P51" s="24">
        <v>151.34</v>
      </c>
      <c r="Q51" s="25"/>
      <c r="R51" s="25"/>
      <c r="S51" s="26"/>
      <c r="T51" s="26"/>
      <c r="U51" s="26"/>
      <c r="V51" s="26"/>
      <c r="W51" s="26"/>
      <c r="X51" s="25"/>
      <c r="Y51" s="25"/>
      <c r="Z51" s="25"/>
      <c r="AA51" s="25"/>
      <c r="AB51" s="26"/>
      <c r="AC51" s="26"/>
      <c r="AD51" s="25"/>
      <c r="AE51" s="25"/>
      <c r="AF51" s="24">
        <f t="shared" si="8"/>
        <v>-169.50071428571428</v>
      </c>
      <c r="AG51" s="27">
        <f t="shared" si="9"/>
        <v>-7.142857142810044E-4</v>
      </c>
    </row>
    <row r="52" spans="1:33" s="29" customFormat="1" ht="23.25" customHeight="1" x14ac:dyDescent="0.2">
      <c r="A52" s="18">
        <v>44042</v>
      </c>
      <c r="B52" s="19"/>
      <c r="C52" s="20" t="s">
        <v>39</v>
      </c>
      <c r="D52" s="20" t="s">
        <v>40</v>
      </c>
      <c r="E52" s="20" t="s">
        <v>41</v>
      </c>
      <c r="F52" s="21"/>
      <c r="G52" s="21" t="s">
        <v>537</v>
      </c>
      <c r="H52" s="22"/>
      <c r="I52" s="22"/>
      <c r="J52" s="22"/>
      <c r="K52" s="22">
        <v>26.5</v>
      </c>
      <c r="L52" s="23"/>
      <c r="M52" s="24">
        <f t="shared" si="5"/>
        <v>23.660714285714285</v>
      </c>
      <c r="N52" s="24">
        <f t="shared" si="6"/>
        <v>2.839285714285714</v>
      </c>
      <c r="O52" s="24">
        <f t="shared" si="7"/>
        <v>0</v>
      </c>
      <c r="P52" s="24">
        <v>23.66</v>
      </c>
      <c r="Q52" s="25"/>
      <c r="R52" s="25"/>
      <c r="S52" s="26"/>
      <c r="T52" s="26"/>
      <c r="U52" s="26"/>
      <c r="V52" s="26"/>
      <c r="W52" s="26"/>
      <c r="X52" s="25"/>
      <c r="Y52" s="25"/>
      <c r="Z52" s="25"/>
      <c r="AA52" s="25"/>
      <c r="AB52" s="26"/>
      <c r="AC52" s="26"/>
      <c r="AD52" s="25"/>
      <c r="AE52" s="25"/>
      <c r="AF52" s="24">
        <f t="shared" si="8"/>
        <v>-26.499285714285715</v>
      </c>
      <c r="AG52" s="27">
        <f t="shared" si="9"/>
        <v>7.1428571428455712E-4</v>
      </c>
    </row>
    <row r="53" spans="1:33" s="29" customFormat="1" ht="23.25" customHeight="1" x14ac:dyDescent="0.2">
      <c r="A53" s="18">
        <v>44041</v>
      </c>
      <c r="B53" s="19"/>
      <c r="C53" s="20" t="s">
        <v>538</v>
      </c>
      <c r="D53" s="20" t="s">
        <v>539</v>
      </c>
      <c r="E53" s="20" t="s">
        <v>540</v>
      </c>
      <c r="F53" s="21"/>
      <c r="G53" s="21" t="s">
        <v>541</v>
      </c>
      <c r="H53" s="22"/>
      <c r="I53" s="22"/>
      <c r="J53" s="22">
        <v>178.6</v>
      </c>
      <c r="K53" s="22"/>
      <c r="L53" s="23"/>
      <c r="M53" s="24">
        <f t="shared" si="5"/>
        <v>178.6</v>
      </c>
      <c r="N53" s="24">
        <f t="shared" si="6"/>
        <v>0</v>
      </c>
      <c r="O53" s="24">
        <f t="shared" si="7"/>
        <v>0</v>
      </c>
      <c r="P53" s="24">
        <v>178.6</v>
      </c>
      <c r="Q53" s="25"/>
      <c r="R53" s="25"/>
      <c r="S53" s="26"/>
      <c r="T53" s="26"/>
      <c r="U53" s="26"/>
      <c r="V53" s="26"/>
      <c r="W53" s="26"/>
      <c r="X53" s="25"/>
      <c r="Y53" s="25"/>
      <c r="Z53" s="25"/>
      <c r="AA53" s="25"/>
      <c r="AB53" s="26"/>
      <c r="AC53" s="26"/>
      <c r="AD53" s="25"/>
      <c r="AE53" s="25"/>
      <c r="AF53" s="24">
        <f t="shared" si="8"/>
        <v>-178.6</v>
      </c>
      <c r="AG53" s="27">
        <f t="shared" si="9"/>
        <v>0</v>
      </c>
    </row>
    <row r="54" spans="1:33" s="29" customFormat="1" ht="23.25" customHeight="1" x14ac:dyDescent="0.2">
      <c r="A54" s="18">
        <v>44043</v>
      </c>
      <c r="B54" s="19"/>
      <c r="C54" s="20" t="s">
        <v>522</v>
      </c>
      <c r="D54" s="20" t="s">
        <v>225</v>
      </c>
      <c r="E54" s="20" t="s">
        <v>523</v>
      </c>
      <c r="F54" s="21"/>
      <c r="G54" s="21" t="s">
        <v>58</v>
      </c>
      <c r="H54" s="22"/>
      <c r="I54" s="22"/>
      <c r="J54" s="22"/>
      <c r="K54" s="22">
        <v>42</v>
      </c>
      <c r="L54" s="23"/>
      <c r="M54" s="24">
        <f t="shared" si="5"/>
        <v>37.499999999999993</v>
      </c>
      <c r="N54" s="24">
        <f t="shared" si="6"/>
        <v>4.4999999999999991</v>
      </c>
      <c r="O54" s="24">
        <f t="shared" si="7"/>
        <v>0</v>
      </c>
      <c r="P54" s="24"/>
      <c r="Q54" s="25">
        <v>37.5</v>
      </c>
      <c r="R54" s="25"/>
      <c r="S54" s="26"/>
      <c r="T54" s="26"/>
      <c r="U54" s="26"/>
      <c r="V54" s="26"/>
      <c r="W54" s="26"/>
      <c r="X54" s="25"/>
      <c r="Y54" s="25"/>
      <c r="Z54" s="25"/>
      <c r="AA54" s="25"/>
      <c r="AB54" s="26"/>
      <c r="AC54" s="26"/>
      <c r="AD54" s="25"/>
      <c r="AE54" s="25"/>
      <c r="AF54" s="24">
        <f t="shared" si="8"/>
        <v>-42</v>
      </c>
      <c r="AG54" s="27">
        <f t="shared" si="9"/>
        <v>0</v>
      </c>
    </row>
    <row r="55" spans="1:33" s="29" customFormat="1" ht="23.25" customHeight="1" x14ac:dyDescent="0.2">
      <c r="A55" s="18"/>
      <c r="B55" s="19"/>
      <c r="C55" s="20"/>
      <c r="D55" s="20"/>
      <c r="E55" s="20"/>
      <c r="F55" s="21"/>
      <c r="G55" s="21"/>
      <c r="H55" s="22"/>
      <c r="I55" s="22"/>
      <c r="J55" s="22"/>
      <c r="K55" s="22"/>
      <c r="L55" s="23"/>
      <c r="M55" s="24"/>
      <c r="N55" s="24"/>
      <c r="O55" s="24"/>
      <c r="P55" s="24"/>
      <c r="Q55" s="25"/>
      <c r="R55" s="25"/>
      <c r="S55" s="26"/>
      <c r="T55" s="26"/>
      <c r="U55" s="26"/>
      <c r="V55" s="26"/>
      <c r="W55" s="26"/>
      <c r="X55" s="25"/>
      <c r="Y55" s="25"/>
      <c r="Z55" s="25"/>
      <c r="AA55" s="25"/>
      <c r="AB55" s="26"/>
      <c r="AC55" s="26"/>
      <c r="AD55" s="25"/>
      <c r="AE55" s="25"/>
      <c r="AF55" s="24"/>
      <c r="AG55" s="27"/>
    </row>
    <row r="56" spans="1:33" s="29" customFormat="1" ht="10.199999999999999" x14ac:dyDescent="0.2">
      <c r="A56" s="18"/>
      <c r="B56" s="19"/>
      <c r="C56" s="43"/>
      <c r="D56" s="43"/>
      <c r="E56" s="43"/>
      <c r="F56" s="21"/>
      <c r="G56" s="30"/>
      <c r="H56" s="22"/>
      <c r="I56" s="22"/>
      <c r="J56" s="22"/>
      <c r="K56" s="22"/>
      <c r="L56" s="23"/>
      <c r="M56" s="25">
        <f>SUM(H56:J56,K56/1.12)</f>
        <v>0</v>
      </c>
      <c r="N56" s="25">
        <f>K56/1.12*0.12</f>
        <v>0</v>
      </c>
      <c r="O56" s="25">
        <f>-SUM(I56:J56,K56/1.12)*L56</f>
        <v>0</v>
      </c>
      <c r="P56" s="25"/>
      <c r="Q56" s="25"/>
      <c r="R56" s="25"/>
      <c r="S56" s="25"/>
      <c r="T56" s="26"/>
      <c r="U56" s="26"/>
      <c r="V56" s="26"/>
      <c r="W56" s="26"/>
      <c r="X56" s="26"/>
      <c r="Y56" s="44"/>
      <c r="Z56" s="25"/>
      <c r="AA56" s="25"/>
      <c r="AB56" s="25"/>
      <c r="AC56" s="26"/>
      <c r="AD56" s="26"/>
      <c r="AE56" s="45"/>
      <c r="AF56" s="24">
        <f>-SUM(N56:AE56)</f>
        <v>0</v>
      </c>
      <c r="AG56" s="27">
        <f>SUM(H56:K56)+AF56+O56</f>
        <v>0</v>
      </c>
    </row>
    <row r="57" spans="1:33" s="52" customFormat="1" ht="10.199999999999999" x14ac:dyDescent="0.2">
      <c r="A57" s="46"/>
      <c r="B57" s="47"/>
      <c r="C57" s="48"/>
      <c r="D57" s="49"/>
      <c r="E57" s="49"/>
      <c r="F57" s="50"/>
      <c r="G57" s="48"/>
      <c r="H57" s="51">
        <f t="shared" ref="H57:AG57" si="10">SUM(H5:H56)</f>
        <v>586</v>
      </c>
      <c r="I57" s="51">
        <f t="shared" si="10"/>
        <v>0</v>
      </c>
      <c r="J57" s="51">
        <f t="shared" si="10"/>
        <v>2673.15</v>
      </c>
      <c r="K57" s="51">
        <f t="shared" si="10"/>
        <v>12771</v>
      </c>
      <c r="L57" s="51">
        <f t="shared" si="10"/>
        <v>0</v>
      </c>
      <c r="M57" s="51">
        <f t="shared" si="10"/>
        <v>14661.82857142857</v>
      </c>
      <c r="N57" s="51">
        <f t="shared" si="10"/>
        <v>1368.3214285714284</v>
      </c>
      <c r="O57" s="51">
        <f t="shared" si="10"/>
        <v>0</v>
      </c>
      <c r="P57" s="51">
        <f t="shared" si="10"/>
        <v>11183.19</v>
      </c>
      <c r="Q57" s="51">
        <f t="shared" si="10"/>
        <v>1935.94</v>
      </c>
      <c r="R57" s="51">
        <f t="shared" si="10"/>
        <v>224.55</v>
      </c>
      <c r="S57" s="51">
        <f t="shared" si="10"/>
        <v>0</v>
      </c>
      <c r="T57" s="51">
        <f t="shared" si="10"/>
        <v>0</v>
      </c>
      <c r="U57" s="51">
        <f t="shared" si="10"/>
        <v>234.82</v>
      </c>
      <c r="V57" s="51">
        <f t="shared" si="10"/>
        <v>0</v>
      </c>
      <c r="W57" s="51">
        <f t="shared" si="10"/>
        <v>0</v>
      </c>
      <c r="X57" s="51">
        <f t="shared" si="10"/>
        <v>0</v>
      </c>
      <c r="Y57" s="51">
        <f t="shared" si="10"/>
        <v>232.14</v>
      </c>
      <c r="Z57" s="51">
        <f t="shared" si="10"/>
        <v>0</v>
      </c>
      <c r="AA57" s="51">
        <f t="shared" si="10"/>
        <v>586</v>
      </c>
      <c r="AB57" s="51">
        <f t="shared" si="10"/>
        <v>0</v>
      </c>
      <c r="AC57" s="51">
        <f t="shared" si="10"/>
        <v>0</v>
      </c>
      <c r="AD57" s="51">
        <f t="shared" si="10"/>
        <v>265.17</v>
      </c>
      <c r="AE57" s="51">
        <f t="shared" si="10"/>
        <v>0</v>
      </c>
      <c r="AF57" s="51">
        <f t="shared" si="10"/>
        <v>-16030.131428571432</v>
      </c>
      <c r="AG57" s="51">
        <f t="shared" si="10"/>
        <v>1.8571428571611648E-2</v>
      </c>
    </row>
    <row r="64" spans="1:33" x14ac:dyDescent="0.3">
      <c r="Q64" s="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23"/>
  <sheetViews>
    <sheetView topLeftCell="A16" zoomScale="90" zoomScaleNormal="90" workbookViewId="0">
      <selection activeCell="G22" sqref="A22:XFD33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4" style="3" customWidth="1"/>
    <col min="4" max="4" width="14" style="4" customWidth="1"/>
    <col min="5" max="5" width="28" style="4" customWidth="1"/>
    <col min="6" max="6" width="7.88671875" style="2" customWidth="1"/>
    <col min="7" max="7" width="31.5546875" style="3" customWidth="1"/>
    <col min="8" max="8" width="11" style="5" customWidth="1"/>
    <col min="9" max="9" width="8.44140625" style="5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9.5546875" style="5" customWidth="1"/>
    <col min="18" max="18" width="10.6640625" style="5" customWidth="1"/>
    <col min="19" max="19" width="8.109375" style="5" customWidth="1"/>
    <col min="20" max="21" width="9.109375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30" width="8" style="5" customWidth="1"/>
    <col min="31" max="31" width="10.109375" style="5" customWidth="1"/>
    <col min="32" max="32" width="10.6640625" style="5" customWidth="1"/>
    <col min="33" max="33" width="8.88671875" style="3" customWidth="1"/>
    <col min="34" max="1025" width="9.109375" style="3" customWidth="1"/>
  </cols>
  <sheetData>
    <row r="1" spans="1:33" ht="12" customHeight="1" x14ac:dyDescent="0.3">
      <c r="A1" s="65" t="s">
        <v>0</v>
      </c>
      <c r="B1" s="66"/>
      <c r="C1" s="67"/>
      <c r="D1" s="68"/>
    </row>
    <row r="2" spans="1:33" ht="12" customHeight="1" x14ac:dyDescent="0.3">
      <c r="A2" s="65" t="s">
        <v>1</v>
      </c>
      <c r="B2" s="66"/>
      <c r="C2" s="69"/>
      <c r="D2" s="68"/>
    </row>
    <row r="3" spans="1:33" ht="12" customHeight="1" x14ac:dyDescent="0.3">
      <c r="A3" s="70" t="s">
        <v>542</v>
      </c>
      <c r="B3" s="71"/>
      <c r="C3" s="72"/>
      <c r="D3" s="73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3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6" t="s">
        <v>36</v>
      </c>
    </row>
    <row r="5" spans="1:33" s="29" customFormat="1" ht="23.25" customHeight="1" x14ac:dyDescent="0.2">
      <c r="A5" s="18">
        <v>40390</v>
      </c>
      <c r="B5" s="19"/>
      <c r="C5" s="20" t="s">
        <v>39</v>
      </c>
      <c r="D5" s="20" t="s">
        <v>40</v>
      </c>
      <c r="E5" s="20" t="s">
        <v>41</v>
      </c>
      <c r="F5" s="21">
        <v>162435</v>
      </c>
      <c r="G5" s="21" t="s">
        <v>543</v>
      </c>
      <c r="H5" s="22"/>
      <c r="I5" s="22"/>
      <c r="J5" s="22">
        <v>363.26</v>
      </c>
      <c r="K5" s="22"/>
      <c r="L5" s="23"/>
      <c r="M5" s="24">
        <f t="shared" ref="M5:M20" si="0">SUM(H5:J5,K5/1.12)</f>
        <v>363.26</v>
      </c>
      <c r="N5" s="24">
        <f t="shared" ref="N5:N20" si="1">K5/1.12*0.12</f>
        <v>0</v>
      </c>
      <c r="O5" s="24">
        <f t="shared" ref="O5:O20" si="2">-SUM(I5:J5,K5/1.12)*L5</f>
        <v>0</v>
      </c>
      <c r="P5" s="24">
        <v>363.26</v>
      </c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>
        <f t="shared" ref="AF5:AF20" si="3">-SUM(N5:AE5)</f>
        <v>-363.26</v>
      </c>
      <c r="AG5" s="27">
        <f t="shared" ref="AG5:AG20" si="4">SUM(H5:K5)+AF5+O5</f>
        <v>0</v>
      </c>
    </row>
    <row r="6" spans="1:33" s="29" customFormat="1" ht="23.25" customHeight="1" x14ac:dyDescent="0.2">
      <c r="A6" s="18">
        <v>40390</v>
      </c>
      <c r="B6" s="19"/>
      <c r="C6" s="20" t="s">
        <v>39</v>
      </c>
      <c r="D6" s="20" t="s">
        <v>40</v>
      </c>
      <c r="E6" s="20" t="s">
        <v>41</v>
      </c>
      <c r="F6" s="21">
        <v>162435</v>
      </c>
      <c r="G6" s="21" t="s">
        <v>498</v>
      </c>
      <c r="H6" s="22"/>
      <c r="I6" s="22"/>
      <c r="J6" s="22"/>
      <c r="K6" s="22">
        <v>82</v>
      </c>
      <c r="L6" s="23"/>
      <c r="M6" s="24">
        <f t="shared" si="0"/>
        <v>73.214285714285708</v>
      </c>
      <c r="N6" s="24">
        <f t="shared" si="1"/>
        <v>8.7857142857142847</v>
      </c>
      <c r="O6" s="24">
        <f t="shared" si="2"/>
        <v>0</v>
      </c>
      <c r="P6" s="24">
        <v>73.209999999999994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>
        <f t="shared" si="3"/>
        <v>-81.995714285714286</v>
      </c>
      <c r="AG6" s="27">
        <f t="shared" si="4"/>
        <v>4.2857142857144481E-3</v>
      </c>
    </row>
    <row r="7" spans="1:33" s="29" customFormat="1" ht="23.25" customHeight="1" x14ac:dyDescent="0.2">
      <c r="A7" s="18">
        <v>40390</v>
      </c>
      <c r="B7" s="19"/>
      <c r="C7" s="20" t="s">
        <v>374</v>
      </c>
      <c r="D7" s="20" t="s">
        <v>375</v>
      </c>
      <c r="E7" s="20" t="s">
        <v>41</v>
      </c>
      <c r="F7" s="21">
        <v>1064029</v>
      </c>
      <c r="G7" s="21" t="s">
        <v>226</v>
      </c>
      <c r="H7" s="22"/>
      <c r="I7" s="22"/>
      <c r="J7" s="22"/>
      <c r="K7" s="22">
        <v>19</v>
      </c>
      <c r="L7" s="23"/>
      <c r="M7" s="24">
        <f t="shared" si="0"/>
        <v>16.964285714285712</v>
      </c>
      <c r="N7" s="24">
        <f t="shared" si="1"/>
        <v>2.0357142857142851</v>
      </c>
      <c r="O7" s="24">
        <f t="shared" si="2"/>
        <v>0</v>
      </c>
      <c r="P7" s="24">
        <v>16.96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>
        <f t="shared" si="3"/>
        <v>-18.995714285714286</v>
      </c>
      <c r="AG7" s="27">
        <f t="shared" si="4"/>
        <v>4.2857142857144481E-3</v>
      </c>
    </row>
    <row r="8" spans="1:33" s="29" customFormat="1" ht="23.25" customHeight="1" x14ac:dyDescent="0.2">
      <c r="A8" s="18">
        <v>40390</v>
      </c>
      <c r="B8" s="19"/>
      <c r="C8" s="20" t="s">
        <v>47</v>
      </c>
      <c r="D8" s="20" t="s">
        <v>490</v>
      </c>
      <c r="E8" s="20" t="s">
        <v>519</v>
      </c>
      <c r="F8" s="21">
        <v>198291</v>
      </c>
      <c r="G8" s="21" t="s">
        <v>544</v>
      </c>
      <c r="H8" s="22"/>
      <c r="I8" s="22"/>
      <c r="J8" s="22"/>
      <c r="K8" s="22">
        <v>2481.3000000000002</v>
      </c>
      <c r="L8" s="23"/>
      <c r="M8" s="24">
        <f t="shared" si="0"/>
        <v>2215.4464285714284</v>
      </c>
      <c r="N8" s="24">
        <f t="shared" si="1"/>
        <v>265.8535714285714</v>
      </c>
      <c r="O8" s="24">
        <f t="shared" si="2"/>
        <v>0</v>
      </c>
      <c r="P8" s="24">
        <v>2215.4499999999998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>
        <f t="shared" si="3"/>
        <v>-2481.3035714285711</v>
      </c>
      <c r="AG8" s="27">
        <f t="shared" si="4"/>
        <v>-3.571428570921853E-3</v>
      </c>
    </row>
    <row r="9" spans="1:33" s="29" customFormat="1" ht="23.25" customHeight="1" x14ac:dyDescent="0.2">
      <c r="A9" s="18">
        <v>40390</v>
      </c>
      <c r="B9" s="19"/>
      <c r="C9" s="20" t="s">
        <v>436</v>
      </c>
      <c r="D9" s="20"/>
      <c r="E9" s="20"/>
      <c r="F9" s="21"/>
      <c r="G9" s="21" t="s">
        <v>545</v>
      </c>
      <c r="H9" s="22">
        <v>159</v>
      </c>
      <c r="I9" s="22"/>
      <c r="J9" s="22"/>
      <c r="K9" s="22"/>
      <c r="L9" s="23"/>
      <c r="M9" s="24">
        <f t="shared" si="0"/>
        <v>159</v>
      </c>
      <c r="N9" s="24">
        <f t="shared" si="1"/>
        <v>0</v>
      </c>
      <c r="O9" s="24">
        <f t="shared" si="2"/>
        <v>0</v>
      </c>
      <c r="P9" s="24"/>
      <c r="Q9" s="25"/>
      <c r="R9" s="25"/>
      <c r="S9" s="26"/>
      <c r="T9" s="26"/>
      <c r="U9" s="26"/>
      <c r="V9" s="26"/>
      <c r="W9" s="26"/>
      <c r="X9" s="25"/>
      <c r="Y9" s="25"/>
      <c r="Z9" s="25"/>
      <c r="AA9" s="25">
        <v>159</v>
      </c>
      <c r="AB9" s="26"/>
      <c r="AC9" s="26"/>
      <c r="AD9" s="25"/>
      <c r="AE9" s="25"/>
      <c r="AF9" s="24">
        <f t="shared" si="3"/>
        <v>-159</v>
      </c>
      <c r="AG9" s="27">
        <f t="shared" si="4"/>
        <v>0</v>
      </c>
    </row>
    <row r="10" spans="1:33" s="29" customFormat="1" ht="23.25" customHeight="1" x14ac:dyDescent="0.2">
      <c r="A10" s="18">
        <v>40393</v>
      </c>
      <c r="B10" s="19"/>
      <c r="C10" s="20" t="s">
        <v>39</v>
      </c>
      <c r="D10" s="20" t="s">
        <v>40</v>
      </c>
      <c r="E10" s="20" t="s">
        <v>41</v>
      </c>
      <c r="F10" s="21">
        <v>38548</v>
      </c>
      <c r="G10" s="21" t="s">
        <v>546</v>
      </c>
      <c r="H10" s="22"/>
      <c r="I10" s="22"/>
      <c r="J10" s="22"/>
      <c r="K10" s="22">
        <v>345</v>
      </c>
      <c r="L10" s="23"/>
      <c r="M10" s="24">
        <f t="shared" si="0"/>
        <v>308.03571428571428</v>
      </c>
      <c r="N10" s="24">
        <f t="shared" si="1"/>
        <v>36.964285714285715</v>
      </c>
      <c r="O10" s="24">
        <f t="shared" si="2"/>
        <v>0</v>
      </c>
      <c r="P10" s="24"/>
      <c r="Q10" s="25"/>
      <c r="R10" s="25">
        <v>308.04000000000002</v>
      </c>
      <c r="S10" s="26"/>
      <c r="T10" s="26"/>
      <c r="U10" s="26"/>
      <c r="V10" s="26"/>
      <c r="W10" s="26"/>
      <c r="X10" s="25"/>
      <c r="Y10" s="25"/>
      <c r="Z10" s="25"/>
      <c r="AA10" s="25"/>
      <c r="AB10" s="26"/>
      <c r="AC10" s="26"/>
      <c r="AD10" s="25"/>
      <c r="AE10" s="25"/>
      <c r="AF10" s="24">
        <f t="shared" si="3"/>
        <v>-345.00428571428574</v>
      </c>
      <c r="AG10" s="27">
        <f t="shared" si="4"/>
        <v>-4.2857142857428698E-3</v>
      </c>
    </row>
    <row r="11" spans="1:33" s="29" customFormat="1" ht="23.25" customHeight="1" x14ac:dyDescent="0.2">
      <c r="A11" s="18">
        <v>40393</v>
      </c>
      <c r="B11" s="19"/>
      <c r="C11" s="20" t="s">
        <v>308</v>
      </c>
      <c r="D11" s="20" t="s">
        <v>79</v>
      </c>
      <c r="E11" s="20" t="s">
        <v>67</v>
      </c>
      <c r="F11" s="21">
        <v>29851</v>
      </c>
      <c r="G11" s="21" t="s">
        <v>80</v>
      </c>
      <c r="H11" s="22"/>
      <c r="I11" s="22"/>
      <c r="J11" s="22">
        <v>220</v>
      </c>
      <c r="K11" s="22"/>
      <c r="L11" s="23"/>
      <c r="M11" s="24">
        <f t="shared" si="0"/>
        <v>220</v>
      </c>
      <c r="N11" s="24">
        <f t="shared" si="1"/>
        <v>0</v>
      </c>
      <c r="O11" s="24">
        <f t="shared" si="2"/>
        <v>0</v>
      </c>
      <c r="P11" s="24">
        <v>220</v>
      </c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>
        <f t="shared" si="3"/>
        <v>-220</v>
      </c>
      <c r="AG11" s="27">
        <f t="shared" si="4"/>
        <v>0</v>
      </c>
    </row>
    <row r="12" spans="1:33" s="29" customFormat="1" ht="23.25" customHeight="1" x14ac:dyDescent="0.2">
      <c r="A12" s="18">
        <v>40393</v>
      </c>
      <c r="B12" s="19"/>
      <c r="C12" s="20" t="s">
        <v>547</v>
      </c>
      <c r="D12" s="20" t="s">
        <v>66</v>
      </c>
      <c r="E12" s="20" t="s">
        <v>67</v>
      </c>
      <c r="F12" s="21">
        <v>458</v>
      </c>
      <c r="G12" s="21" t="s">
        <v>548</v>
      </c>
      <c r="H12" s="22"/>
      <c r="I12" s="22"/>
      <c r="J12" s="22">
        <v>700</v>
      </c>
      <c r="K12" s="22"/>
      <c r="L12" s="23"/>
      <c r="M12" s="24">
        <f t="shared" si="0"/>
        <v>700</v>
      </c>
      <c r="N12" s="24">
        <f t="shared" si="1"/>
        <v>0</v>
      </c>
      <c r="O12" s="24">
        <f t="shared" si="2"/>
        <v>0</v>
      </c>
      <c r="P12" s="24">
        <v>700</v>
      </c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>
        <f t="shared" si="3"/>
        <v>-700</v>
      </c>
      <c r="AG12" s="27">
        <f t="shared" si="4"/>
        <v>0</v>
      </c>
    </row>
    <row r="13" spans="1:33" s="29" customFormat="1" ht="23.25" customHeight="1" x14ac:dyDescent="0.2">
      <c r="A13" s="18">
        <v>40393</v>
      </c>
      <c r="B13" s="19"/>
      <c r="C13" s="20" t="s">
        <v>45</v>
      </c>
      <c r="D13" s="20"/>
      <c r="E13" s="20"/>
      <c r="F13" s="21"/>
      <c r="G13" s="21" t="s">
        <v>69</v>
      </c>
      <c r="H13" s="22">
        <v>100</v>
      </c>
      <c r="I13" s="22"/>
      <c r="J13" s="22"/>
      <c r="K13" s="22"/>
      <c r="L13" s="23"/>
      <c r="M13" s="24">
        <f t="shared" si="0"/>
        <v>100</v>
      </c>
      <c r="N13" s="24">
        <f t="shared" si="1"/>
        <v>0</v>
      </c>
      <c r="O13" s="24">
        <f t="shared" si="2"/>
        <v>0</v>
      </c>
      <c r="P13" s="24"/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>
        <v>100</v>
      </c>
      <c r="AB13" s="26"/>
      <c r="AC13" s="26"/>
      <c r="AD13" s="25"/>
      <c r="AE13" s="25"/>
      <c r="AF13" s="24">
        <f t="shared" si="3"/>
        <v>-100</v>
      </c>
      <c r="AG13" s="27">
        <f t="shared" si="4"/>
        <v>0</v>
      </c>
    </row>
    <row r="14" spans="1:33" s="29" customFormat="1" ht="23.25" customHeight="1" x14ac:dyDescent="0.2">
      <c r="A14" s="18">
        <v>40393</v>
      </c>
      <c r="B14" s="19"/>
      <c r="C14" s="20" t="s">
        <v>549</v>
      </c>
      <c r="D14" s="20"/>
      <c r="E14" s="20"/>
      <c r="F14" s="21"/>
      <c r="G14" s="21" t="s">
        <v>550</v>
      </c>
      <c r="H14" s="22"/>
      <c r="I14" s="22"/>
      <c r="J14" s="22">
        <v>1150</v>
      </c>
      <c r="K14" s="22"/>
      <c r="L14" s="23"/>
      <c r="M14" s="24">
        <f t="shared" si="0"/>
        <v>1150</v>
      </c>
      <c r="N14" s="24">
        <f t="shared" si="1"/>
        <v>0</v>
      </c>
      <c r="O14" s="24">
        <f t="shared" si="2"/>
        <v>0</v>
      </c>
      <c r="P14" s="24">
        <v>1150</v>
      </c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>
        <f t="shared" si="3"/>
        <v>-1150</v>
      </c>
      <c r="AG14" s="27">
        <f t="shared" si="4"/>
        <v>0</v>
      </c>
    </row>
    <row r="15" spans="1:33" s="29" customFormat="1" ht="23.25" customHeight="1" x14ac:dyDescent="0.2">
      <c r="A15" s="18">
        <v>40393</v>
      </c>
      <c r="B15" s="19"/>
      <c r="C15" s="20" t="s">
        <v>60</v>
      </c>
      <c r="D15" s="20"/>
      <c r="E15" s="20"/>
      <c r="F15" s="21"/>
      <c r="G15" s="21" t="s">
        <v>439</v>
      </c>
      <c r="H15" s="22">
        <v>30</v>
      </c>
      <c r="I15" s="22"/>
      <c r="J15" s="22"/>
      <c r="K15" s="22"/>
      <c r="L15" s="23"/>
      <c r="M15" s="24">
        <f t="shared" si="0"/>
        <v>30</v>
      </c>
      <c r="N15" s="24">
        <f t="shared" si="1"/>
        <v>0</v>
      </c>
      <c r="O15" s="24">
        <f t="shared" si="2"/>
        <v>0</v>
      </c>
      <c r="P15" s="24"/>
      <c r="Q15" s="25"/>
      <c r="R15" s="25"/>
      <c r="S15" s="26"/>
      <c r="T15" s="26"/>
      <c r="U15" s="26"/>
      <c r="V15" s="26"/>
      <c r="W15" s="26"/>
      <c r="X15" s="25"/>
      <c r="Y15" s="25"/>
      <c r="Z15" s="25"/>
      <c r="AA15" s="25">
        <v>30</v>
      </c>
      <c r="AB15" s="26"/>
      <c r="AC15" s="26"/>
      <c r="AD15" s="25"/>
      <c r="AE15" s="25"/>
      <c r="AF15" s="24">
        <f t="shared" si="3"/>
        <v>-30</v>
      </c>
      <c r="AG15" s="27">
        <f t="shared" si="4"/>
        <v>0</v>
      </c>
    </row>
    <row r="16" spans="1:33" s="29" customFormat="1" ht="23.25" customHeight="1" x14ac:dyDescent="0.2">
      <c r="A16" s="18">
        <v>40394</v>
      </c>
      <c r="B16" s="19"/>
      <c r="C16" s="20" t="s">
        <v>436</v>
      </c>
      <c r="D16" s="20"/>
      <c r="E16" s="20"/>
      <c r="F16" s="21"/>
      <c r="G16" s="21" t="s">
        <v>551</v>
      </c>
      <c r="H16" s="22">
        <v>161</v>
      </c>
      <c r="I16" s="22"/>
      <c r="J16" s="22"/>
      <c r="K16" s="22"/>
      <c r="L16" s="23"/>
      <c r="M16" s="24">
        <f t="shared" si="0"/>
        <v>161</v>
      </c>
      <c r="N16" s="24">
        <f t="shared" si="1"/>
        <v>0</v>
      </c>
      <c r="O16" s="24">
        <f t="shared" si="2"/>
        <v>0</v>
      </c>
      <c r="P16" s="24"/>
      <c r="Q16" s="25"/>
      <c r="R16" s="25"/>
      <c r="S16" s="26"/>
      <c r="T16" s="26"/>
      <c r="U16" s="26"/>
      <c r="V16" s="26"/>
      <c r="W16" s="26"/>
      <c r="X16" s="25"/>
      <c r="Y16" s="25"/>
      <c r="Z16" s="25"/>
      <c r="AA16" s="25">
        <v>161</v>
      </c>
      <c r="AB16" s="26"/>
      <c r="AC16" s="26"/>
      <c r="AD16" s="25"/>
      <c r="AE16" s="25"/>
      <c r="AF16" s="24">
        <f t="shared" si="3"/>
        <v>-161</v>
      </c>
      <c r="AG16" s="27">
        <f t="shared" si="4"/>
        <v>0</v>
      </c>
    </row>
    <row r="17" spans="1:33" s="29" customFormat="1" ht="23.25" customHeight="1" x14ac:dyDescent="0.2">
      <c r="A17" s="18">
        <v>40395</v>
      </c>
      <c r="B17" s="19"/>
      <c r="C17" s="20" t="s">
        <v>552</v>
      </c>
      <c r="D17" s="20" t="s">
        <v>553</v>
      </c>
      <c r="E17" s="20" t="s">
        <v>41</v>
      </c>
      <c r="F17" s="21">
        <v>471107</v>
      </c>
      <c r="G17" s="21" t="s">
        <v>554</v>
      </c>
      <c r="H17" s="22"/>
      <c r="I17" s="22"/>
      <c r="J17" s="22"/>
      <c r="K17" s="22">
        <v>130</v>
      </c>
      <c r="L17" s="23"/>
      <c r="M17" s="24">
        <f t="shared" si="0"/>
        <v>116.07142857142856</v>
      </c>
      <c r="N17" s="24">
        <f t="shared" si="1"/>
        <v>13.928571428571425</v>
      </c>
      <c r="O17" s="24">
        <f t="shared" si="2"/>
        <v>0</v>
      </c>
      <c r="P17" s="24">
        <v>116.07</v>
      </c>
      <c r="Q17" s="25"/>
      <c r="R17" s="25"/>
      <c r="S17" s="26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>
        <f t="shared" si="3"/>
        <v>-129.99857142857141</v>
      </c>
      <c r="AG17" s="27">
        <f t="shared" si="4"/>
        <v>1.4285714285904305E-3</v>
      </c>
    </row>
    <row r="18" spans="1:33" s="29" customFormat="1" ht="23.25" customHeight="1" x14ac:dyDescent="0.2">
      <c r="A18" s="18">
        <v>40396</v>
      </c>
      <c r="B18" s="19"/>
      <c r="C18" s="20" t="s">
        <v>39</v>
      </c>
      <c r="D18" s="20"/>
      <c r="E18" s="20"/>
      <c r="F18" s="21">
        <v>38563</v>
      </c>
      <c r="G18" s="21" t="s">
        <v>555</v>
      </c>
      <c r="H18" s="22"/>
      <c r="I18" s="22"/>
      <c r="J18" s="22"/>
      <c r="K18" s="22">
        <v>794.25</v>
      </c>
      <c r="L18" s="23"/>
      <c r="M18" s="24">
        <f t="shared" si="0"/>
        <v>709.15178571428567</v>
      </c>
      <c r="N18" s="24">
        <f t="shared" si="1"/>
        <v>85.098214285714278</v>
      </c>
      <c r="O18" s="24">
        <f t="shared" si="2"/>
        <v>0</v>
      </c>
      <c r="P18" s="24">
        <v>709.15</v>
      </c>
      <c r="Q18" s="25"/>
      <c r="R18" s="25"/>
      <c r="S18" s="26"/>
      <c r="T18" s="26"/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>
        <f t="shared" si="3"/>
        <v>-794.24821428571431</v>
      </c>
      <c r="AG18" s="27">
        <f t="shared" si="4"/>
        <v>1.7857142856883002E-3</v>
      </c>
    </row>
    <row r="19" spans="1:33" s="29" customFormat="1" ht="23.25" customHeight="1" x14ac:dyDescent="0.2">
      <c r="A19" s="18"/>
      <c r="B19" s="19"/>
      <c r="C19" s="20"/>
      <c r="D19" s="20"/>
      <c r="E19" s="20"/>
      <c r="F19" s="21"/>
      <c r="G19" s="21"/>
      <c r="H19" s="22"/>
      <c r="I19" s="22"/>
      <c r="J19" s="22"/>
      <c r="K19" s="22"/>
      <c r="L19" s="23"/>
      <c r="M19" s="24">
        <f t="shared" si="0"/>
        <v>0</v>
      </c>
      <c r="N19" s="24">
        <f t="shared" si="1"/>
        <v>0</v>
      </c>
      <c r="O19" s="24">
        <f t="shared" si="2"/>
        <v>0</v>
      </c>
      <c r="P19" s="24"/>
      <c r="Q19" s="25"/>
      <c r="R19" s="25"/>
      <c r="S19" s="26"/>
      <c r="T19" s="26"/>
      <c r="U19" s="26"/>
      <c r="V19" s="26"/>
      <c r="W19" s="26"/>
      <c r="X19" s="25"/>
      <c r="Y19" s="25"/>
      <c r="Z19" s="25"/>
      <c r="AA19" s="25"/>
      <c r="AB19" s="26"/>
      <c r="AC19" s="26"/>
      <c r="AD19" s="25"/>
      <c r="AE19" s="25"/>
      <c r="AF19" s="24">
        <f t="shared" si="3"/>
        <v>0</v>
      </c>
      <c r="AG19" s="27">
        <f t="shared" si="4"/>
        <v>0</v>
      </c>
    </row>
    <row r="20" spans="1:33" s="29" customFormat="1" ht="10.199999999999999" x14ac:dyDescent="0.2">
      <c r="A20" s="18"/>
      <c r="B20" s="19"/>
      <c r="C20" s="43"/>
      <c r="D20" s="43"/>
      <c r="E20" s="43"/>
      <c r="F20" s="21"/>
      <c r="G20" s="30"/>
      <c r="H20" s="22"/>
      <c r="I20" s="22"/>
      <c r="J20" s="22"/>
      <c r="K20" s="22"/>
      <c r="L20" s="23"/>
      <c r="M20" s="25">
        <f t="shared" si="0"/>
        <v>0</v>
      </c>
      <c r="N20" s="25">
        <f t="shared" si="1"/>
        <v>0</v>
      </c>
      <c r="O20" s="25">
        <f t="shared" si="2"/>
        <v>0</v>
      </c>
      <c r="P20" s="25"/>
      <c r="Q20" s="25"/>
      <c r="R20" s="25"/>
      <c r="S20" s="25"/>
      <c r="T20" s="26"/>
      <c r="U20" s="26"/>
      <c r="V20" s="26"/>
      <c r="W20" s="26"/>
      <c r="X20" s="26"/>
      <c r="Y20" s="44"/>
      <c r="Z20" s="25"/>
      <c r="AA20" s="25"/>
      <c r="AB20" s="25"/>
      <c r="AC20" s="26"/>
      <c r="AD20" s="26"/>
      <c r="AE20" s="45"/>
      <c r="AF20" s="24">
        <f t="shared" si="3"/>
        <v>0</v>
      </c>
      <c r="AG20" s="27">
        <f t="shared" si="4"/>
        <v>0</v>
      </c>
    </row>
    <row r="21" spans="1:33" s="52" customFormat="1" ht="10.199999999999999" x14ac:dyDescent="0.2">
      <c r="A21" s="46"/>
      <c r="B21" s="47"/>
      <c r="C21" s="48"/>
      <c r="D21" s="49"/>
      <c r="E21" s="49"/>
      <c r="F21" s="50"/>
      <c r="G21" s="48"/>
      <c r="H21" s="51">
        <f t="shared" ref="H21:AG21" si="5">SUM(H5:H20)</f>
        <v>450</v>
      </c>
      <c r="I21" s="51">
        <f t="shared" si="5"/>
        <v>0</v>
      </c>
      <c r="J21" s="51">
        <f t="shared" si="5"/>
        <v>2433.2600000000002</v>
      </c>
      <c r="K21" s="51">
        <f t="shared" si="5"/>
        <v>3851.55</v>
      </c>
      <c r="L21" s="51">
        <f t="shared" si="5"/>
        <v>0</v>
      </c>
      <c r="M21" s="51">
        <f t="shared" si="5"/>
        <v>6322.1439285714278</v>
      </c>
      <c r="N21" s="51">
        <f t="shared" si="5"/>
        <v>412.6660714285714</v>
      </c>
      <c r="O21" s="51">
        <f t="shared" si="5"/>
        <v>0</v>
      </c>
      <c r="P21" s="51">
        <f t="shared" si="5"/>
        <v>5564.0999999999985</v>
      </c>
      <c r="Q21" s="51">
        <f t="shared" si="5"/>
        <v>0</v>
      </c>
      <c r="R21" s="51">
        <f t="shared" si="5"/>
        <v>308.04000000000002</v>
      </c>
      <c r="S21" s="51">
        <f t="shared" si="5"/>
        <v>0</v>
      </c>
      <c r="T21" s="51">
        <f t="shared" si="5"/>
        <v>0</v>
      </c>
      <c r="U21" s="51">
        <f t="shared" si="5"/>
        <v>0</v>
      </c>
      <c r="V21" s="51">
        <f t="shared" si="5"/>
        <v>0</v>
      </c>
      <c r="W21" s="51">
        <f t="shared" si="5"/>
        <v>0</v>
      </c>
      <c r="X21" s="51">
        <f t="shared" si="5"/>
        <v>0</v>
      </c>
      <c r="Y21" s="51">
        <f t="shared" si="5"/>
        <v>0</v>
      </c>
      <c r="Z21" s="51">
        <f t="shared" si="5"/>
        <v>0</v>
      </c>
      <c r="AA21" s="51">
        <f t="shared" si="5"/>
        <v>450</v>
      </c>
      <c r="AB21" s="51">
        <f t="shared" si="5"/>
        <v>0</v>
      </c>
      <c r="AC21" s="51">
        <f t="shared" si="5"/>
        <v>0</v>
      </c>
      <c r="AD21" s="51">
        <f t="shared" si="5"/>
        <v>0</v>
      </c>
      <c r="AE21" s="51">
        <f t="shared" si="5"/>
        <v>0</v>
      </c>
      <c r="AF21" s="51">
        <f t="shared" si="5"/>
        <v>-6734.8060714285712</v>
      </c>
      <c r="AG21" s="51">
        <f t="shared" si="5"/>
        <v>3.9285714290429041E-3</v>
      </c>
    </row>
    <row r="23" spans="1:33" x14ac:dyDescent="0.3">
      <c r="Q23" s="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6"/>
  <sheetViews>
    <sheetView topLeftCell="A8" zoomScaleNormal="100" workbookViewId="0">
      <selection activeCell="P17" sqref="A17:XFD27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4" style="3" customWidth="1"/>
    <col min="4" max="4" width="14" style="4" hidden="1" customWidth="1"/>
    <col min="5" max="5" width="28" style="4" hidden="1" customWidth="1"/>
    <col min="6" max="6" width="7.88671875" style="2" customWidth="1"/>
    <col min="7" max="7" width="31.5546875" style="3" customWidth="1"/>
    <col min="8" max="8" width="11" style="5" customWidth="1"/>
    <col min="9" max="9" width="8.44140625" style="5" hidden="1" customWidth="1"/>
    <col min="10" max="10" width="9.6640625" style="5" hidden="1" customWidth="1"/>
    <col min="11" max="11" width="10.44140625" style="5" customWidth="1"/>
    <col min="12" max="12" width="7.88671875" style="6" hidden="1" customWidth="1"/>
    <col min="13" max="13" width="9.6640625" style="5" customWidth="1"/>
    <col min="14" max="14" width="8.5546875" style="5" customWidth="1"/>
    <col min="15" max="15" width="9" style="5" hidden="1" customWidth="1"/>
    <col min="16" max="16" width="9.88671875" style="5" customWidth="1"/>
    <col min="17" max="17" width="9.5546875" style="5" customWidth="1"/>
    <col min="18" max="18" width="10.6640625" style="5" hidden="1" customWidth="1"/>
    <col min="19" max="19" width="8.109375" style="5" hidden="1" customWidth="1"/>
    <col min="20" max="21" width="9.109375" style="5" hidden="1" customWidth="1"/>
    <col min="22" max="22" width="10.5546875" style="5" hidden="1" customWidth="1"/>
    <col min="23" max="23" width="8.109375" style="5" hidden="1" customWidth="1"/>
    <col min="24" max="24" width="9.88671875" style="5" hidden="1" customWidth="1"/>
    <col min="25" max="25" width="9.21875" style="5" hidden="1" customWidth="1"/>
    <col min="26" max="26" width="8.21875" style="5" hidden="1" customWidth="1"/>
    <col min="27" max="27" width="8.6640625" style="5" customWidth="1"/>
    <col min="28" max="28" width="9.5546875" style="5" hidden="1" customWidth="1"/>
    <col min="29" max="30" width="8" style="5" hidden="1" customWidth="1"/>
    <col min="31" max="31" width="10.109375" style="5" customWidth="1"/>
    <col min="32" max="32" width="10.6640625" style="5" customWidth="1"/>
    <col min="33" max="33" width="8.88671875" style="3" customWidth="1"/>
    <col min="34" max="1025" width="9.109375" style="3" customWidth="1"/>
  </cols>
  <sheetData>
    <row r="1" spans="1:33" ht="12" customHeight="1" x14ac:dyDescent="0.3">
      <c r="A1" s="65" t="s">
        <v>0</v>
      </c>
      <c r="B1" s="66"/>
      <c r="C1" s="67"/>
    </row>
    <row r="2" spans="1:33" ht="12" customHeight="1" x14ac:dyDescent="0.3">
      <c r="A2" s="65" t="s">
        <v>1</v>
      </c>
      <c r="B2" s="66"/>
      <c r="C2" s="69"/>
    </row>
    <row r="3" spans="1:33" ht="12" customHeight="1" x14ac:dyDescent="0.3">
      <c r="A3" s="70" t="s">
        <v>556</v>
      </c>
      <c r="B3" s="71"/>
      <c r="C3" s="72"/>
      <c r="D3" s="74"/>
      <c r="E3" s="74"/>
      <c r="F3" s="75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3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6" t="s">
        <v>36</v>
      </c>
    </row>
    <row r="5" spans="1:33" s="29" customFormat="1" ht="23.25" customHeight="1" x14ac:dyDescent="0.2">
      <c r="A5" s="18">
        <v>44051</v>
      </c>
      <c r="B5" s="19"/>
      <c r="C5" s="20" t="s">
        <v>47</v>
      </c>
      <c r="D5" s="20" t="s">
        <v>490</v>
      </c>
      <c r="E5" s="20" t="s">
        <v>519</v>
      </c>
      <c r="F5" s="21">
        <v>274751</v>
      </c>
      <c r="G5" s="21" t="s">
        <v>557</v>
      </c>
      <c r="H5" s="22"/>
      <c r="I5" s="22"/>
      <c r="J5" s="22"/>
      <c r="K5" s="22">
        <v>2384.15</v>
      </c>
      <c r="L5" s="23"/>
      <c r="M5" s="24">
        <f t="shared" ref="M5:M15" si="0">SUM(H5:J5,K5/1.12)</f>
        <v>2128.7053571428569</v>
      </c>
      <c r="N5" s="24">
        <f t="shared" ref="N5:N15" si="1">K5/1.12*0.12</f>
        <v>255.44464285714281</v>
      </c>
      <c r="O5" s="24">
        <f t="shared" ref="O5:O15" si="2">-SUM(I5:J5,K5/1.12)*L5</f>
        <v>0</v>
      </c>
      <c r="P5" s="24">
        <v>2128.71</v>
      </c>
      <c r="Q5" s="25"/>
      <c r="R5" s="25"/>
      <c r="S5" s="26"/>
      <c r="T5" s="26"/>
      <c r="U5" s="26"/>
      <c r="V5" s="26"/>
      <c r="W5" s="26"/>
      <c r="X5" s="25"/>
      <c r="Y5" s="25"/>
      <c r="Z5" s="25"/>
      <c r="AA5" s="25"/>
      <c r="AB5" s="26"/>
      <c r="AC5" s="26"/>
      <c r="AD5" s="25"/>
      <c r="AE5" s="25"/>
      <c r="AF5" s="24">
        <f t="shared" ref="AF5:AF15" si="3">-SUM(N5:AE5)</f>
        <v>-2384.1546428571428</v>
      </c>
      <c r="AG5" s="27">
        <f t="shared" ref="AG5:AG15" si="4">SUM(H5:K5)+AF5+O5</f>
        <v>-4.6428571426986309E-3</v>
      </c>
    </row>
    <row r="6" spans="1:33" s="29" customFormat="1" ht="23.25" customHeight="1" x14ac:dyDescent="0.2">
      <c r="A6" s="18">
        <v>44051</v>
      </c>
      <c r="B6" s="19"/>
      <c r="C6" s="20" t="s">
        <v>60</v>
      </c>
      <c r="D6" s="20"/>
      <c r="E6" s="20"/>
      <c r="F6" s="21"/>
      <c r="G6" s="21" t="s">
        <v>558</v>
      </c>
      <c r="H6" s="22">
        <v>40</v>
      </c>
      <c r="I6" s="22"/>
      <c r="J6" s="22"/>
      <c r="K6" s="22"/>
      <c r="L6" s="23"/>
      <c r="M6" s="24">
        <f t="shared" si="0"/>
        <v>40</v>
      </c>
      <c r="N6" s="24">
        <f t="shared" si="1"/>
        <v>0</v>
      </c>
      <c r="O6" s="24">
        <f t="shared" si="2"/>
        <v>0</v>
      </c>
      <c r="P6" s="24"/>
      <c r="Q6" s="25"/>
      <c r="R6" s="25"/>
      <c r="S6" s="26"/>
      <c r="T6" s="26"/>
      <c r="U6" s="26"/>
      <c r="V6" s="26"/>
      <c r="W6" s="26"/>
      <c r="X6" s="25"/>
      <c r="Y6" s="25"/>
      <c r="Z6" s="25"/>
      <c r="AA6" s="25">
        <v>40</v>
      </c>
      <c r="AB6" s="26"/>
      <c r="AC6" s="26"/>
      <c r="AD6" s="25"/>
      <c r="AE6" s="25"/>
      <c r="AF6" s="24">
        <f t="shared" si="3"/>
        <v>-40</v>
      </c>
      <c r="AG6" s="27">
        <f t="shared" si="4"/>
        <v>0</v>
      </c>
    </row>
    <row r="7" spans="1:33" s="29" customFormat="1" ht="23.25" customHeight="1" x14ac:dyDescent="0.2">
      <c r="A7" s="18">
        <v>44051</v>
      </c>
      <c r="B7" s="19"/>
      <c r="C7" s="20" t="s">
        <v>522</v>
      </c>
      <c r="D7" s="20" t="s">
        <v>225</v>
      </c>
      <c r="E7" s="20" t="s">
        <v>523</v>
      </c>
      <c r="F7" s="21"/>
      <c r="G7" s="21" t="s">
        <v>58</v>
      </c>
      <c r="H7" s="22"/>
      <c r="I7" s="22"/>
      <c r="J7" s="22"/>
      <c r="K7" s="22">
        <v>30</v>
      </c>
      <c r="L7" s="23"/>
      <c r="M7" s="24">
        <f t="shared" si="0"/>
        <v>26.785714285714285</v>
      </c>
      <c r="N7" s="24">
        <f t="shared" si="1"/>
        <v>3.214285714285714</v>
      </c>
      <c r="O7" s="24">
        <f t="shared" si="2"/>
        <v>0</v>
      </c>
      <c r="P7" s="24"/>
      <c r="Q7" s="25">
        <v>26.79</v>
      </c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>
        <f t="shared" si="3"/>
        <v>-30.004285714285714</v>
      </c>
      <c r="AG7" s="27">
        <f t="shared" si="4"/>
        <v>-4.2857142857144481E-3</v>
      </c>
    </row>
    <row r="8" spans="1:33" s="29" customFormat="1" ht="23.25" customHeight="1" x14ac:dyDescent="0.2">
      <c r="A8" s="18">
        <v>44053</v>
      </c>
      <c r="B8" s="19"/>
      <c r="C8" s="20" t="s">
        <v>184</v>
      </c>
      <c r="D8" s="20"/>
      <c r="E8" s="20"/>
      <c r="F8" s="21"/>
      <c r="G8" s="21"/>
      <c r="H8" s="22"/>
      <c r="I8" s="22"/>
      <c r="J8" s="22"/>
      <c r="K8" s="22">
        <v>36.75</v>
      </c>
      <c r="L8" s="23"/>
      <c r="M8" s="24">
        <f t="shared" si="0"/>
        <v>32.8125</v>
      </c>
      <c r="N8" s="24">
        <f t="shared" si="1"/>
        <v>3.9375</v>
      </c>
      <c r="O8" s="24">
        <f t="shared" si="2"/>
        <v>0</v>
      </c>
      <c r="P8" s="24">
        <v>32.81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>
        <f t="shared" si="3"/>
        <v>-36.747500000000002</v>
      </c>
      <c r="AG8" s="27">
        <f t="shared" si="4"/>
        <v>2.4999999999977263E-3</v>
      </c>
    </row>
    <row r="9" spans="1:33" s="29" customFormat="1" ht="23.25" customHeight="1" x14ac:dyDescent="0.2">
      <c r="A9" s="18">
        <v>44053</v>
      </c>
      <c r="B9" s="19"/>
      <c r="C9" s="20" t="s">
        <v>39</v>
      </c>
      <c r="D9" s="20" t="s">
        <v>40</v>
      </c>
      <c r="E9" s="20" t="s">
        <v>41</v>
      </c>
      <c r="F9" s="21">
        <v>38576</v>
      </c>
      <c r="G9" s="21" t="s">
        <v>559</v>
      </c>
      <c r="H9" s="22"/>
      <c r="I9" s="22"/>
      <c r="J9" s="22"/>
      <c r="K9" s="22">
        <v>327.8</v>
      </c>
      <c r="L9" s="23"/>
      <c r="M9" s="24">
        <f t="shared" si="0"/>
        <v>292.67857142857139</v>
      </c>
      <c r="N9" s="24">
        <f t="shared" si="1"/>
        <v>35.121428571428567</v>
      </c>
      <c r="O9" s="24">
        <f t="shared" si="2"/>
        <v>0</v>
      </c>
      <c r="P9" s="24">
        <v>292.68</v>
      </c>
      <c r="Q9" s="25"/>
      <c r="R9" s="25"/>
      <c r="S9" s="26"/>
      <c r="T9" s="26"/>
      <c r="U9" s="26"/>
      <c r="V9" s="26"/>
      <c r="W9" s="26"/>
      <c r="X9" s="25"/>
      <c r="Y9" s="25"/>
      <c r="Z9" s="25"/>
      <c r="AA9" s="25"/>
      <c r="AB9" s="26"/>
      <c r="AC9" s="26"/>
      <c r="AD9" s="25"/>
      <c r="AE9" s="25"/>
      <c r="AF9" s="24">
        <f t="shared" si="3"/>
        <v>-327.80142857142857</v>
      </c>
      <c r="AG9" s="27">
        <f t="shared" si="4"/>
        <v>-1.4285714285620088E-3</v>
      </c>
    </row>
    <row r="10" spans="1:33" s="29" customFormat="1" ht="23.25" customHeight="1" x14ac:dyDescent="0.2">
      <c r="A10" s="18">
        <v>44053</v>
      </c>
      <c r="B10" s="19"/>
      <c r="C10" s="20" t="s">
        <v>325</v>
      </c>
      <c r="D10" s="20"/>
      <c r="E10" s="20"/>
      <c r="F10" s="21"/>
      <c r="G10" s="21" t="s">
        <v>560</v>
      </c>
      <c r="H10" s="22">
        <v>500</v>
      </c>
      <c r="I10" s="22"/>
      <c r="J10" s="22"/>
      <c r="K10" s="22"/>
      <c r="L10" s="23"/>
      <c r="M10" s="24">
        <f t="shared" si="0"/>
        <v>500</v>
      </c>
      <c r="N10" s="24">
        <f t="shared" si="1"/>
        <v>0</v>
      </c>
      <c r="O10" s="24">
        <f t="shared" si="2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>
        <v>500</v>
      </c>
      <c r="AB10" s="26"/>
      <c r="AC10" s="26"/>
      <c r="AD10" s="25"/>
      <c r="AE10" s="25"/>
      <c r="AF10" s="24">
        <f t="shared" si="3"/>
        <v>-500</v>
      </c>
      <c r="AG10" s="27">
        <f t="shared" si="4"/>
        <v>0</v>
      </c>
    </row>
    <row r="11" spans="1:33" s="29" customFormat="1" ht="23.25" customHeight="1" x14ac:dyDescent="0.2">
      <c r="A11" s="18">
        <v>44054</v>
      </c>
      <c r="B11" s="19"/>
      <c r="C11" s="20" t="s">
        <v>436</v>
      </c>
      <c r="D11" s="20"/>
      <c r="E11" s="20"/>
      <c r="F11" s="21"/>
      <c r="G11" s="21" t="s">
        <v>561</v>
      </c>
      <c r="H11" s="22">
        <v>163</v>
      </c>
      <c r="I11" s="22"/>
      <c r="J11" s="22"/>
      <c r="K11" s="22"/>
      <c r="L11" s="23"/>
      <c r="M11" s="24">
        <f t="shared" si="0"/>
        <v>163</v>
      </c>
      <c r="N11" s="24">
        <f t="shared" si="1"/>
        <v>0</v>
      </c>
      <c r="O11" s="24">
        <f t="shared" si="2"/>
        <v>0</v>
      </c>
      <c r="P11" s="24"/>
      <c r="Q11" s="25"/>
      <c r="R11" s="25"/>
      <c r="S11" s="26"/>
      <c r="T11" s="26"/>
      <c r="U11" s="26"/>
      <c r="V11" s="26"/>
      <c r="W11" s="26"/>
      <c r="X11" s="25"/>
      <c r="Y11" s="25"/>
      <c r="Z11" s="25"/>
      <c r="AA11" s="25">
        <v>163</v>
      </c>
      <c r="AB11" s="26"/>
      <c r="AC11" s="26"/>
      <c r="AD11" s="25"/>
      <c r="AE11" s="25"/>
      <c r="AF11" s="24">
        <f t="shared" si="3"/>
        <v>-163</v>
      </c>
      <c r="AG11" s="27">
        <f t="shared" si="4"/>
        <v>0</v>
      </c>
    </row>
    <row r="12" spans="1:33" s="29" customFormat="1" ht="23.25" customHeight="1" x14ac:dyDescent="0.2">
      <c r="A12" s="18">
        <v>44057</v>
      </c>
      <c r="B12" s="19"/>
      <c r="C12" s="20" t="s">
        <v>47</v>
      </c>
      <c r="D12" s="20" t="s">
        <v>490</v>
      </c>
      <c r="E12" s="20" t="s">
        <v>519</v>
      </c>
      <c r="F12" s="21">
        <v>290790</v>
      </c>
      <c r="G12" s="21" t="s">
        <v>562</v>
      </c>
      <c r="H12" s="22"/>
      <c r="I12" s="22"/>
      <c r="J12" s="22"/>
      <c r="K12" s="22">
        <v>2141.65</v>
      </c>
      <c r="L12" s="23"/>
      <c r="M12" s="24">
        <f t="shared" si="0"/>
        <v>1912.1875</v>
      </c>
      <c r="N12" s="24">
        <f t="shared" si="1"/>
        <v>229.46250000000001</v>
      </c>
      <c r="O12" s="24">
        <f t="shared" si="2"/>
        <v>0</v>
      </c>
      <c r="P12" s="24">
        <v>1912.19</v>
      </c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/>
      <c r="AB12" s="26"/>
      <c r="AC12" s="26"/>
      <c r="AD12" s="25"/>
      <c r="AE12" s="25"/>
      <c r="AF12" s="24">
        <f t="shared" si="3"/>
        <v>-2141.6525000000001</v>
      </c>
      <c r="AG12" s="27">
        <f t="shared" si="4"/>
        <v>-2.5000000000545697E-3</v>
      </c>
    </row>
    <row r="13" spans="1:33" s="29" customFormat="1" ht="23.25" customHeight="1" x14ac:dyDescent="0.2">
      <c r="A13" s="18">
        <v>44058</v>
      </c>
      <c r="B13" s="19"/>
      <c r="C13" s="20" t="s">
        <v>39</v>
      </c>
      <c r="D13" s="20" t="s">
        <v>40</v>
      </c>
      <c r="E13" s="20" t="s">
        <v>41</v>
      </c>
      <c r="F13" s="21">
        <v>164869</v>
      </c>
      <c r="G13" s="21" t="s">
        <v>563</v>
      </c>
      <c r="H13" s="22"/>
      <c r="I13" s="22"/>
      <c r="J13" s="22"/>
      <c r="K13" s="22">
        <v>318</v>
      </c>
      <c r="L13" s="23"/>
      <c r="M13" s="24">
        <f t="shared" si="0"/>
        <v>283.92857142857139</v>
      </c>
      <c r="N13" s="24">
        <f t="shared" si="1"/>
        <v>34.071428571428562</v>
      </c>
      <c r="O13" s="24">
        <f t="shared" si="2"/>
        <v>0</v>
      </c>
      <c r="P13" s="24"/>
      <c r="Q13" s="25">
        <v>283.93</v>
      </c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>
        <f t="shared" si="3"/>
        <v>-318.00142857142856</v>
      </c>
      <c r="AG13" s="27">
        <f t="shared" si="4"/>
        <v>-1.4285714285620088E-3</v>
      </c>
    </row>
    <row r="14" spans="1:33" s="29" customFormat="1" ht="23.25" customHeight="1" x14ac:dyDescent="0.2">
      <c r="A14" s="18"/>
      <c r="B14" s="19"/>
      <c r="C14" s="20"/>
      <c r="D14" s="20"/>
      <c r="E14" s="20"/>
      <c r="F14" s="21"/>
      <c r="G14" s="21"/>
      <c r="H14" s="22"/>
      <c r="I14" s="22"/>
      <c r="J14" s="22"/>
      <c r="K14" s="22"/>
      <c r="L14" s="23"/>
      <c r="M14" s="24">
        <f t="shared" si="0"/>
        <v>0</v>
      </c>
      <c r="N14" s="24">
        <f t="shared" si="1"/>
        <v>0</v>
      </c>
      <c r="O14" s="24">
        <f t="shared" si="2"/>
        <v>0</v>
      </c>
      <c r="P14" s="24"/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>
        <f t="shared" si="3"/>
        <v>0</v>
      </c>
      <c r="AG14" s="27">
        <f t="shared" si="4"/>
        <v>0</v>
      </c>
    </row>
    <row r="15" spans="1:33" s="29" customFormat="1" ht="10.199999999999999" x14ac:dyDescent="0.2">
      <c r="A15" s="18"/>
      <c r="B15" s="19"/>
      <c r="C15" s="43"/>
      <c r="D15" s="43"/>
      <c r="E15" s="43"/>
      <c r="F15" s="21"/>
      <c r="G15" s="30"/>
      <c r="H15" s="22"/>
      <c r="I15" s="22"/>
      <c r="J15" s="22"/>
      <c r="K15" s="22"/>
      <c r="L15" s="23"/>
      <c r="M15" s="25">
        <f t="shared" si="0"/>
        <v>0</v>
      </c>
      <c r="N15" s="25">
        <f t="shared" si="1"/>
        <v>0</v>
      </c>
      <c r="O15" s="25">
        <f t="shared" si="2"/>
        <v>0</v>
      </c>
      <c r="P15" s="25"/>
      <c r="Q15" s="25"/>
      <c r="R15" s="25"/>
      <c r="S15" s="25"/>
      <c r="T15" s="26"/>
      <c r="U15" s="26"/>
      <c r="V15" s="26"/>
      <c r="W15" s="26"/>
      <c r="X15" s="26"/>
      <c r="Y15" s="44"/>
      <c r="Z15" s="25"/>
      <c r="AA15" s="25"/>
      <c r="AB15" s="25"/>
      <c r="AC15" s="26"/>
      <c r="AD15" s="26"/>
      <c r="AE15" s="45"/>
      <c r="AF15" s="24">
        <f t="shared" si="3"/>
        <v>0</v>
      </c>
      <c r="AG15" s="27">
        <f t="shared" si="4"/>
        <v>0</v>
      </c>
    </row>
    <row r="16" spans="1:33" s="52" customFormat="1" ht="10.199999999999999" x14ac:dyDescent="0.2">
      <c r="A16" s="46"/>
      <c r="B16" s="47"/>
      <c r="C16" s="48"/>
      <c r="D16" s="49"/>
      <c r="E16" s="49"/>
      <c r="F16" s="50"/>
      <c r="G16" s="48"/>
      <c r="H16" s="51">
        <f t="shared" ref="H16:AG16" si="5">SUM(H5:H15)</f>
        <v>703</v>
      </c>
      <c r="I16" s="51">
        <f t="shared" si="5"/>
        <v>0</v>
      </c>
      <c r="J16" s="51">
        <f t="shared" si="5"/>
        <v>0</v>
      </c>
      <c r="K16" s="51">
        <f t="shared" si="5"/>
        <v>5238.3500000000004</v>
      </c>
      <c r="L16" s="51">
        <f t="shared" si="5"/>
        <v>0</v>
      </c>
      <c r="M16" s="51">
        <f t="shared" si="5"/>
        <v>5380.0982142857147</v>
      </c>
      <c r="N16" s="51">
        <f t="shared" si="5"/>
        <v>561.25178571428569</v>
      </c>
      <c r="O16" s="51">
        <f t="shared" si="5"/>
        <v>0</v>
      </c>
      <c r="P16" s="51">
        <f t="shared" si="5"/>
        <v>4366.3899999999994</v>
      </c>
      <c r="Q16" s="51">
        <f t="shared" si="5"/>
        <v>310.72000000000003</v>
      </c>
      <c r="R16" s="51">
        <f t="shared" si="5"/>
        <v>0</v>
      </c>
      <c r="S16" s="51">
        <f t="shared" si="5"/>
        <v>0</v>
      </c>
      <c r="T16" s="51">
        <f t="shared" si="5"/>
        <v>0</v>
      </c>
      <c r="U16" s="51">
        <f t="shared" si="5"/>
        <v>0</v>
      </c>
      <c r="V16" s="51">
        <f t="shared" si="5"/>
        <v>0</v>
      </c>
      <c r="W16" s="51">
        <f t="shared" si="5"/>
        <v>0</v>
      </c>
      <c r="X16" s="51">
        <f t="shared" si="5"/>
        <v>0</v>
      </c>
      <c r="Y16" s="51">
        <f t="shared" si="5"/>
        <v>0</v>
      </c>
      <c r="Z16" s="51">
        <f t="shared" si="5"/>
        <v>0</v>
      </c>
      <c r="AA16" s="51">
        <f t="shared" si="5"/>
        <v>703</v>
      </c>
      <c r="AB16" s="51">
        <f t="shared" si="5"/>
        <v>0</v>
      </c>
      <c r="AC16" s="51">
        <f t="shared" si="5"/>
        <v>0</v>
      </c>
      <c r="AD16" s="51">
        <f t="shared" si="5"/>
        <v>0</v>
      </c>
      <c r="AE16" s="51">
        <f t="shared" si="5"/>
        <v>0</v>
      </c>
      <c r="AF16" s="51">
        <f t="shared" si="5"/>
        <v>-5941.3617857142863</v>
      </c>
      <c r="AG16" s="51">
        <f t="shared" si="5"/>
        <v>-1.178571428559394E-2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32"/>
  <sheetViews>
    <sheetView topLeftCell="A22" zoomScaleNormal="100" workbookViewId="0">
      <selection activeCell="K27" sqref="A27:XFD34"/>
    </sheetView>
  </sheetViews>
  <sheetFormatPr defaultRowHeight="14.4" x14ac:dyDescent="0.3"/>
  <cols>
    <col min="1" max="1" width="8.109375" style="1" customWidth="1"/>
    <col min="2" max="2" width="7.21875" style="2" hidden="1" customWidth="1"/>
    <col min="3" max="3" width="24" style="3" customWidth="1"/>
    <col min="4" max="4" width="14" style="4" hidden="1" customWidth="1"/>
    <col min="5" max="5" width="28" style="4" hidden="1" customWidth="1"/>
    <col min="6" max="6" width="7.88671875" style="2" customWidth="1"/>
    <col min="7" max="7" width="21" style="3" customWidth="1"/>
    <col min="8" max="8" width="11" style="5" customWidth="1"/>
    <col min="9" max="9" width="8.44140625" style="5" customWidth="1"/>
    <col min="10" max="10" width="9.6640625" style="5" customWidth="1"/>
    <col min="11" max="11" width="10.44140625" style="5" customWidth="1"/>
    <col min="12" max="12" width="7.88671875" style="6" customWidth="1"/>
    <col min="13" max="13" width="9.6640625" style="5" customWidth="1"/>
    <col min="14" max="14" width="8.5546875" style="5" customWidth="1"/>
    <col min="15" max="15" width="9" style="5" customWidth="1"/>
    <col min="16" max="16" width="9.88671875" style="5" customWidth="1"/>
    <col min="17" max="17" width="9.5546875" style="5" customWidth="1"/>
    <col min="18" max="18" width="10.6640625" style="5" customWidth="1"/>
    <col min="19" max="19" width="8.109375" style="5" customWidth="1"/>
    <col min="20" max="21" width="9.109375" style="5" customWidth="1"/>
    <col min="22" max="22" width="10.5546875" style="5" customWidth="1"/>
    <col min="23" max="23" width="8.109375" style="5" customWidth="1"/>
    <col min="24" max="24" width="9.88671875" style="5" customWidth="1"/>
    <col min="25" max="25" width="9.21875" style="5" customWidth="1"/>
    <col min="26" max="26" width="8.21875" style="5" customWidth="1"/>
    <col min="27" max="27" width="8.6640625" style="5" customWidth="1"/>
    <col min="28" max="28" width="9.5546875" style="5" customWidth="1"/>
    <col min="29" max="30" width="8" style="5" customWidth="1"/>
    <col min="31" max="31" width="10.109375" style="5" customWidth="1"/>
    <col min="32" max="32" width="10.6640625" style="5" customWidth="1"/>
    <col min="33" max="33" width="8.88671875" style="3" customWidth="1"/>
    <col min="34" max="1025" width="9.109375" style="3" customWidth="1"/>
  </cols>
  <sheetData>
    <row r="1" spans="1:33" ht="12" customHeight="1" x14ac:dyDescent="0.3">
      <c r="A1" s="65" t="s">
        <v>0</v>
      </c>
      <c r="B1" s="66"/>
      <c r="C1" s="67"/>
      <c r="D1" s="68"/>
      <c r="E1" s="68"/>
      <c r="F1" s="66"/>
    </row>
    <row r="2" spans="1:33" ht="12" customHeight="1" x14ac:dyDescent="0.3">
      <c r="A2" s="65" t="s">
        <v>1</v>
      </c>
      <c r="B2" s="66"/>
      <c r="C2" s="69"/>
      <c r="D2" s="68"/>
      <c r="E2" s="68"/>
      <c r="F2" s="66"/>
    </row>
    <row r="3" spans="1:33" ht="12" customHeight="1" x14ac:dyDescent="0.3">
      <c r="A3" s="70" t="s">
        <v>565</v>
      </c>
      <c r="B3" s="71"/>
      <c r="C3" s="72"/>
      <c r="D3" s="73"/>
      <c r="E3" s="73"/>
      <c r="F3" s="76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 t="s">
        <v>3</v>
      </c>
      <c r="Z3" s="10"/>
      <c r="AA3" s="10">
        <v>6230</v>
      </c>
      <c r="AB3" s="10" t="s">
        <v>4</v>
      </c>
      <c r="AC3" s="10">
        <v>6202</v>
      </c>
      <c r="AD3" s="10"/>
      <c r="AE3" s="10">
        <v>6109</v>
      </c>
      <c r="AF3" s="10">
        <v>1002</v>
      </c>
    </row>
    <row r="4" spans="1:33" s="17" customFormat="1" ht="44.25" customHeight="1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4" t="s">
        <v>33</v>
      </c>
      <c r="AD4" s="13" t="s">
        <v>34</v>
      </c>
      <c r="AE4" s="15" t="s">
        <v>35</v>
      </c>
      <c r="AF4" s="16" t="s">
        <v>36</v>
      </c>
    </row>
    <row r="5" spans="1:33" s="29" customFormat="1" ht="23.25" customHeight="1" x14ac:dyDescent="0.2">
      <c r="A5" s="18">
        <v>44058</v>
      </c>
      <c r="B5" s="19"/>
      <c r="C5" s="20" t="s">
        <v>325</v>
      </c>
      <c r="D5" s="20"/>
      <c r="E5" s="20"/>
      <c r="F5" s="21"/>
      <c r="G5" s="21" t="s">
        <v>560</v>
      </c>
      <c r="H5" s="22">
        <v>500</v>
      </c>
      <c r="I5" s="22"/>
      <c r="J5" s="22"/>
      <c r="K5" s="22"/>
      <c r="L5" s="23"/>
      <c r="M5" s="24">
        <f t="shared" ref="M5:M25" si="0">SUM(H5:J5,K5/1.12)</f>
        <v>500</v>
      </c>
      <c r="N5" s="24">
        <f t="shared" ref="N5:N26" si="1">K5/1.12*0.12</f>
        <v>0</v>
      </c>
      <c r="O5" s="24">
        <f t="shared" ref="O5:O26" si="2">-SUM(I5:J5,K5/1.12)*L5</f>
        <v>0</v>
      </c>
      <c r="P5" s="24"/>
      <c r="Q5" s="25"/>
      <c r="R5" s="25"/>
      <c r="S5" s="26"/>
      <c r="T5" s="26"/>
      <c r="U5" s="26"/>
      <c r="V5" s="26"/>
      <c r="W5" s="26"/>
      <c r="X5" s="25"/>
      <c r="Y5" s="25"/>
      <c r="Z5" s="25"/>
      <c r="AA5" s="25">
        <v>500</v>
      </c>
      <c r="AB5" s="26"/>
      <c r="AC5" s="26"/>
      <c r="AD5" s="25"/>
      <c r="AE5" s="25"/>
      <c r="AF5" s="24">
        <f t="shared" ref="AF5:AF25" si="3">-SUM(N5:AE5)</f>
        <v>-500</v>
      </c>
      <c r="AG5" s="27">
        <f t="shared" ref="AG5:AG25" si="4">SUM(H5:K5)+AF5+O5</f>
        <v>0</v>
      </c>
    </row>
    <row r="6" spans="1:33" s="29" customFormat="1" ht="23.25" customHeight="1" x14ac:dyDescent="0.2">
      <c r="A6" s="18">
        <v>44058</v>
      </c>
      <c r="B6" s="19"/>
      <c r="C6" s="20" t="s">
        <v>566</v>
      </c>
      <c r="D6" s="20"/>
      <c r="E6" s="20"/>
      <c r="F6" s="21"/>
      <c r="G6" s="21" t="s">
        <v>256</v>
      </c>
      <c r="H6" s="22"/>
      <c r="I6" s="22"/>
      <c r="J6" s="22">
        <v>824.45</v>
      </c>
      <c r="K6" s="22"/>
      <c r="L6" s="23"/>
      <c r="M6" s="24">
        <f t="shared" si="0"/>
        <v>824.45</v>
      </c>
      <c r="N6" s="24">
        <f t="shared" si="1"/>
        <v>0</v>
      </c>
      <c r="O6" s="24">
        <f t="shared" si="2"/>
        <v>0</v>
      </c>
      <c r="P6" s="24">
        <v>824.45</v>
      </c>
      <c r="Q6" s="25"/>
      <c r="R6" s="25"/>
      <c r="S6" s="26"/>
      <c r="T6" s="26"/>
      <c r="U6" s="26"/>
      <c r="V6" s="26"/>
      <c r="W6" s="26"/>
      <c r="X6" s="25"/>
      <c r="Y6" s="25"/>
      <c r="Z6" s="25"/>
      <c r="AA6" s="25"/>
      <c r="AB6" s="26"/>
      <c r="AC6" s="26"/>
      <c r="AD6" s="25"/>
      <c r="AE6" s="25"/>
      <c r="AF6" s="24">
        <f t="shared" si="3"/>
        <v>-824.45</v>
      </c>
      <c r="AG6" s="27">
        <f t="shared" si="4"/>
        <v>0</v>
      </c>
    </row>
    <row r="7" spans="1:33" s="29" customFormat="1" ht="23.25" customHeight="1" x14ac:dyDescent="0.2">
      <c r="A7" s="18">
        <v>44060</v>
      </c>
      <c r="B7" s="19"/>
      <c r="C7" s="20" t="s">
        <v>409</v>
      </c>
      <c r="D7" s="20" t="s">
        <v>410</v>
      </c>
      <c r="E7" s="20" t="s">
        <v>567</v>
      </c>
      <c r="F7" s="21">
        <v>652</v>
      </c>
      <c r="G7" s="21" t="s">
        <v>256</v>
      </c>
      <c r="H7" s="22"/>
      <c r="I7" s="22"/>
      <c r="J7" s="22">
        <v>6819</v>
      </c>
      <c r="K7" s="22"/>
      <c r="L7" s="23"/>
      <c r="M7" s="24">
        <f t="shared" si="0"/>
        <v>6819</v>
      </c>
      <c r="N7" s="24">
        <f t="shared" si="1"/>
        <v>0</v>
      </c>
      <c r="O7" s="24">
        <f t="shared" si="2"/>
        <v>0</v>
      </c>
      <c r="P7" s="24">
        <v>6819</v>
      </c>
      <c r="Q7" s="25"/>
      <c r="R7" s="25"/>
      <c r="S7" s="26"/>
      <c r="T7" s="26"/>
      <c r="U7" s="26"/>
      <c r="V7" s="26"/>
      <c r="W7" s="26"/>
      <c r="X7" s="25"/>
      <c r="Y7" s="25"/>
      <c r="Z7" s="25"/>
      <c r="AA7" s="25"/>
      <c r="AB7" s="26"/>
      <c r="AC7" s="26"/>
      <c r="AD7" s="25"/>
      <c r="AE7" s="25"/>
      <c r="AF7" s="24">
        <f t="shared" si="3"/>
        <v>-6819</v>
      </c>
      <c r="AG7" s="27">
        <f t="shared" si="4"/>
        <v>0</v>
      </c>
    </row>
    <row r="8" spans="1:33" s="29" customFormat="1" ht="23.25" customHeight="1" x14ac:dyDescent="0.2">
      <c r="A8" s="18">
        <v>44060</v>
      </c>
      <c r="B8" s="19"/>
      <c r="C8" s="20" t="s">
        <v>549</v>
      </c>
      <c r="D8" s="20"/>
      <c r="E8" s="20"/>
      <c r="F8" s="21"/>
      <c r="G8" s="21" t="s">
        <v>568</v>
      </c>
      <c r="H8" s="22"/>
      <c r="I8" s="22"/>
      <c r="J8" s="22">
        <v>1150</v>
      </c>
      <c r="K8" s="22"/>
      <c r="L8" s="23"/>
      <c r="M8" s="24">
        <f t="shared" si="0"/>
        <v>1150</v>
      </c>
      <c r="N8" s="24">
        <f t="shared" si="1"/>
        <v>0</v>
      </c>
      <c r="O8" s="24">
        <f t="shared" si="2"/>
        <v>0</v>
      </c>
      <c r="P8" s="24">
        <v>1150</v>
      </c>
      <c r="Q8" s="25"/>
      <c r="R8" s="25"/>
      <c r="S8" s="26"/>
      <c r="T8" s="26"/>
      <c r="U8" s="26"/>
      <c r="V8" s="26"/>
      <c r="W8" s="26"/>
      <c r="X8" s="25"/>
      <c r="Y8" s="25"/>
      <c r="Z8" s="25"/>
      <c r="AA8" s="25"/>
      <c r="AB8" s="26"/>
      <c r="AC8" s="26"/>
      <c r="AD8" s="25"/>
      <c r="AE8" s="25"/>
      <c r="AF8" s="24">
        <f t="shared" si="3"/>
        <v>-1150</v>
      </c>
      <c r="AG8" s="27">
        <f t="shared" si="4"/>
        <v>0</v>
      </c>
    </row>
    <row r="9" spans="1:33" s="29" customFormat="1" ht="23.25" customHeight="1" x14ac:dyDescent="0.2">
      <c r="A9" s="18">
        <v>44060</v>
      </c>
      <c r="B9" s="19"/>
      <c r="C9" s="20" t="s">
        <v>60</v>
      </c>
      <c r="D9" s="20"/>
      <c r="E9" s="20"/>
      <c r="F9" s="21"/>
      <c r="G9" s="21" t="s">
        <v>439</v>
      </c>
      <c r="H9" s="22">
        <v>30</v>
      </c>
      <c r="I9" s="22"/>
      <c r="J9" s="22"/>
      <c r="K9" s="22"/>
      <c r="L9" s="23"/>
      <c r="M9" s="24">
        <f t="shared" si="0"/>
        <v>30</v>
      </c>
      <c r="N9" s="24">
        <f t="shared" si="1"/>
        <v>0</v>
      </c>
      <c r="O9" s="24">
        <f t="shared" si="2"/>
        <v>0</v>
      </c>
      <c r="P9" s="24"/>
      <c r="Q9" s="25"/>
      <c r="R9" s="25"/>
      <c r="S9" s="26"/>
      <c r="T9" s="26"/>
      <c r="U9" s="26"/>
      <c r="V9" s="26"/>
      <c r="W9" s="26"/>
      <c r="X9" s="25"/>
      <c r="Y9" s="25"/>
      <c r="Z9" s="25"/>
      <c r="AA9" s="25">
        <v>30</v>
      </c>
      <c r="AB9" s="26"/>
      <c r="AC9" s="26"/>
      <c r="AD9" s="25"/>
      <c r="AE9" s="25"/>
      <c r="AF9" s="24">
        <f t="shared" si="3"/>
        <v>-30</v>
      </c>
      <c r="AG9" s="27">
        <f t="shared" si="4"/>
        <v>0</v>
      </c>
    </row>
    <row r="10" spans="1:33" s="29" customFormat="1" ht="23.25" customHeight="1" x14ac:dyDescent="0.2">
      <c r="A10" s="18">
        <v>44060</v>
      </c>
      <c r="B10" s="19"/>
      <c r="C10" s="20" t="s">
        <v>436</v>
      </c>
      <c r="D10" s="20"/>
      <c r="E10" s="20"/>
      <c r="F10" s="21"/>
      <c r="G10" s="21" t="s">
        <v>561</v>
      </c>
      <c r="H10" s="22">
        <v>165</v>
      </c>
      <c r="I10" s="22"/>
      <c r="J10" s="22"/>
      <c r="K10" s="22"/>
      <c r="L10" s="23"/>
      <c r="M10" s="24">
        <f t="shared" si="0"/>
        <v>165</v>
      </c>
      <c r="N10" s="24">
        <f t="shared" si="1"/>
        <v>0</v>
      </c>
      <c r="O10" s="24">
        <f t="shared" si="2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25"/>
      <c r="Z10" s="25"/>
      <c r="AA10" s="25">
        <v>165</v>
      </c>
      <c r="AB10" s="26"/>
      <c r="AC10" s="26"/>
      <c r="AD10" s="25"/>
      <c r="AE10" s="25"/>
      <c r="AF10" s="24">
        <f t="shared" si="3"/>
        <v>-165</v>
      </c>
      <c r="AG10" s="27">
        <f t="shared" si="4"/>
        <v>0</v>
      </c>
    </row>
    <row r="11" spans="1:33" s="29" customFormat="1" ht="23.25" customHeight="1" x14ac:dyDescent="0.2">
      <c r="A11" s="18">
        <v>44061</v>
      </c>
      <c r="B11" s="19"/>
      <c r="C11" s="20" t="s">
        <v>569</v>
      </c>
      <c r="D11" s="20"/>
      <c r="E11" s="20"/>
      <c r="F11" s="21">
        <v>201893</v>
      </c>
      <c r="G11" s="21" t="s">
        <v>570</v>
      </c>
      <c r="H11" s="22"/>
      <c r="I11" s="22"/>
      <c r="J11" s="22"/>
      <c r="K11" s="22">
        <v>820</v>
      </c>
      <c r="L11" s="23"/>
      <c r="M11" s="24">
        <f t="shared" si="0"/>
        <v>732.14285714285711</v>
      </c>
      <c r="N11" s="24">
        <f t="shared" si="1"/>
        <v>87.857142857142847</v>
      </c>
      <c r="O11" s="24">
        <f t="shared" si="2"/>
        <v>0</v>
      </c>
      <c r="P11" s="24"/>
      <c r="Q11" s="25"/>
      <c r="R11" s="25"/>
      <c r="S11" s="26">
        <v>732.14</v>
      </c>
      <c r="T11" s="26"/>
      <c r="U11" s="26"/>
      <c r="V11" s="26"/>
      <c r="W11" s="26"/>
      <c r="X11" s="25"/>
      <c r="Y11" s="25"/>
      <c r="Z11" s="25"/>
      <c r="AA11" s="25"/>
      <c r="AB11" s="26"/>
      <c r="AC11" s="26"/>
      <c r="AD11" s="25"/>
      <c r="AE11" s="25"/>
      <c r="AF11" s="24">
        <f t="shared" si="3"/>
        <v>-819.99714285714288</v>
      </c>
      <c r="AG11" s="27">
        <f t="shared" si="4"/>
        <v>2.8571428571240176E-3</v>
      </c>
    </row>
    <row r="12" spans="1:33" s="29" customFormat="1" ht="23.25" customHeight="1" x14ac:dyDescent="0.2">
      <c r="A12" s="18">
        <v>44061</v>
      </c>
      <c r="B12" s="19"/>
      <c r="C12" s="20" t="s">
        <v>60</v>
      </c>
      <c r="D12" s="20"/>
      <c r="E12" s="20"/>
      <c r="F12" s="21"/>
      <c r="G12" s="21" t="s">
        <v>474</v>
      </c>
      <c r="H12" s="22">
        <v>50</v>
      </c>
      <c r="I12" s="22"/>
      <c r="J12" s="22"/>
      <c r="K12" s="22"/>
      <c r="L12" s="23"/>
      <c r="M12" s="24">
        <f t="shared" si="0"/>
        <v>50</v>
      </c>
      <c r="N12" s="24">
        <f t="shared" si="1"/>
        <v>0</v>
      </c>
      <c r="O12" s="24">
        <f t="shared" si="2"/>
        <v>0</v>
      </c>
      <c r="P12" s="24"/>
      <c r="Q12" s="25"/>
      <c r="R12" s="25"/>
      <c r="S12" s="26"/>
      <c r="T12" s="26"/>
      <c r="U12" s="26"/>
      <c r="V12" s="26"/>
      <c r="W12" s="26"/>
      <c r="X12" s="25"/>
      <c r="Y12" s="25"/>
      <c r="Z12" s="25"/>
      <c r="AA12" s="25">
        <v>50</v>
      </c>
      <c r="AB12" s="26"/>
      <c r="AC12" s="26"/>
      <c r="AD12" s="25"/>
      <c r="AE12" s="25"/>
      <c r="AF12" s="24">
        <f t="shared" si="3"/>
        <v>-50</v>
      </c>
      <c r="AG12" s="27">
        <f t="shared" si="4"/>
        <v>0</v>
      </c>
    </row>
    <row r="13" spans="1:33" s="29" customFormat="1" ht="23.25" customHeight="1" x14ac:dyDescent="0.2">
      <c r="A13" s="18">
        <v>44061</v>
      </c>
      <c r="B13" s="19"/>
      <c r="C13" s="20" t="s">
        <v>39</v>
      </c>
      <c r="D13" s="20" t="s">
        <v>40</v>
      </c>
      <c r="E13" s="20" t="s">
        <v>41</v>
      </c>
      <c r="F13" s="21">
        <v>38599</v>
      </c>
      <c r="G13" s="21" t="s">
        <v>571</v>
      </c>
      <c r="H13" s="22"/>
      <c r="I13" s="22"/>
      <c r="J13" s="22"/>
      <c r="K13" s="22">
        <v>259</v>
      </c>
      <c r="L13" s="23"/>
      <c r="M13" s="24">
        <f t="shared" si="0"/>
        <v>231.24999999999997</v>
      </c>
      <c r="N13" s="24">
        <f t="shared" si="1"/>
        <v>27.749999999999996</v>
      </c>
      <c r="O13" s="24">
        <f t="shared" si="2"/>
        <v>0</v>
      </c>
      <c r="P13" s="24">
        <v>231.25</v>
      </c>
      <c r="Q13" s="25"/>
      <c r="R13" s="25"/>
      <c r="S13" s="26"/>
      <c r="T13" s="26"/>
      <c r="U13" s="26"/>
      <c r="V13" s="26"/>
      <c r="W13" s="26"/>
      <c r="X13" s="25"/>
      <c r="Y13" s="25"/>
      <c r="Z13" s="25"/>
      <c r="AA13" s="25"/>
      <c r="AB13" s="26"/>
      <c r="AC13" s="26"/>
      <c r="AD13" s="25"/>
      <c r="AE13" s="25"/>
      <c r="AF13" s="24">
        <f t="shared" si="3"/>
        <v>-259</v>
      </c>
      <c r="AG13" s="27">
        <f t="shared" si="4"/>
        <v>0</v>
      </c>
    </row>
    <row r="14" spans="1:33" s="29" customFormat="1" ht="23.25" customHeight="1" x14ac:dyDescent="0.2">
      <c r="A14" s="18">
        <v>44058</v>
      </c>
      <c r="B14" s="19"/>
      <c r="C14" s="20" t="s">
        <v>162</v>
      </c>
      <c r="D14" s="20"/>
      <c r="E14" s="20"/>
      <c r="F14" s="21">
        <v>10226858</v>
      </c>
      <c r="G14" s="21" t="s">
        <v>256</v>
      </c>
      <c r="H14" s="22"/>
      <c r="I14" s="22"/>
      <c r="J14" s="22">
        <v>824.45</v>
      </c>
      <c r="K14" s="22"/>
      <c r="L14" s="23"/>
      <c r="M14" s="24">
        <f t="shared" si="0"/>
        <v>824.45</v>
      </c>
      <c r="N14" s="24">
        <f t="shared" si="1"/>
        <v>0</v>
      </c>
      <c r="O14" s="24">
        <f t="shared" si="2"/>
        <v>0</v>
      </c>
      <c r="P14" s="24">
        <v>824.45</v>
      </c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5"/>
      <c r="AB14" s="26"/>
      <c r="AC14" s="26"/>
      <c r="AD14" s="25"/>
      <c r="AE14" s="25"/>
      <c r="AF14" s="24">
        <f t="shared" si="3"/>
        <v>-824.45</v>
      </c>
      <c r="AG14" s="27">
        <f t="shared" si="4"/>
        <v>0</v>
      </c>
    </row>
    <row r="15" spans="1:33" s="29" customFormat="1" ht="23.25" customHeight="1" x14ac:dyDescent="0.2">
      <c r="A15" s="18">
        <v>44063</v>
      </c>
      <c r="B15" s="19"/>
      <c r="C15" s="20" t="s">
        <v>549</v>
      </c>
      <c r="D15" s="20"/>
      <c r="E15" s="20"/>
      <c r="F15" s="21"/>
      <c r="G15" s="21" t="s">
        <v>572</v>
      </c>
      <c r="H15" s="22"/>
      <c r="I15" s="22"/>
      <c r="J15" s="22">
        <v>130</v>
      </c>
      <c r="K15" s="22"/>
      <c r="L15" s="23"/>
      <c r="M15" s="24">
        <f t="shared" si="0"/>
        <v>130</v>
      </c>
      <c r="N15" s="24">
        <f t="shared" si="1"/>
        <v>0</v>
      </c>
      <c r="O15" s="24">
        <f t="shared" si="2"/>
        <v>0</v>
      </c>
      <c r="P15" s="24">
        <v>130</v>
      </c>
      <c r="Q15" s="25"/>
      <c r="R15" s="25"/>
      <c r="S15" s="26"/>
      <c r="T15" s="26"/>
      <c r="U15" s="26"/>
      <c r="V15" s="26"/>
      <c r="W15" s="26"/>
      <c r="X15" s="25"/>
      <c r="Y15" s="25"/>
      <c r="Z15" s="25"/>
      <c r="AA15" s="25"/>
      <c r="AB15" s="26"/>
      <c r="AC15" s="26"/>
      <c r="AD15" s="25"/>
      <c r="AE15" s="25"/>
      <c r="AF15" s="24">
        <f t="shared" si="3"/>
        <v>-130</v>
      </c>
      <c r="AG15" s="27">
        <f t="shared" si="4"/>
        <v>0</v>
      </c>
    </row>
    <row r="16" spans="1:33" s="29" customFormat="1" ht="23.25" customHeight="1" x14ac:dyDescent="0.2">
      <c r="A16" s="18">
        <v>44063</v>
      </c>
      <c r="B16" s="19"/>
      <c r="C16" s="20" t="s">
        <v>60</v>
      </c>
      <c r="D16" s="20"/>
      <c r="E16" s="20"/>
      <c r="F16" s="21"/>
      <c r="G16" s="21" t="s">
        <v>431</v>
      </c>
      <c r="H16" s="22">
        <v>50</v>
      </c>
      <c r="I16" s="22"/>
      <c r="J16" s="22"/>
      <c r="K16" s="22"/>
      <c r="L16" s="23"/>
      <c r="M16" s="24">
        <f t="shared" si="0"/>
        <v>50</v>
      </c>
      <c r="N16" s="24">
        <f t="shared" si="1"/>
        <v>0</v>
      </c>
      <c r="O16" s="24">
        <f t="shared" si="2"/>
        <v>0</v>
      </c>
      <c r="P16" s="24"/>
      <c r="Q16" s="25"/>
      <c r="R16" s="25"/>
      <c r="S16" s="26"/>
      <c r="T16" s="26"/>
      <c r="U16" s="26"/>
      <c r="V16" s="26"/>
      <c r="W16" s="26"/>
      <c r="X16" s="25"/>
      <c r="Y16" s="25"/>
      <c r="Z16" s="25"/>
      <c r="AA16" s="25">
        <v>50</v>
      </c>
      <c r="AB16" s="26"/>
      <c r="AC16" s="26"/>
      <c r="AD16" s="25"/>
      <c r="AE16" s="25"/>
      <c r="AF16" s="24">
        <f t="shared" si="3"/>
        <v>-50</v>
      </c>
      <c r="AG16" s="27">
        <f t="shared" si="4"/>
        <v>0</v>
      </c>
    </row>
    <row r="17" spans="1:33" s="29" customFormat="1" ht="23.25" customHeight="1" x14ac:dyDescent="0.2">
      <c r="A17" s="18">
        <v>44063</v>
      </c>
      <c r="B17" s="19"/>
      <c r="C17" s="20" t="s">
        <v>374</v>
      </c>
      <c r="D17" s="20"/>
      <c r="E17" s="20"/>
      <c r="F17" s="21">
        <v>10706383</v>
      </c>
      <c r="G17" s="21" t="s">
        <v>58</v>
      </c>
      <c r="H17" s="22"/>
      <c r="I17" s="22"/>
      <c r="J17" s="22"/>
      <c r="K17" s="22">
        <v>25</v>
      </c>
      <c r="L17" s="23"/>
      <c r="M17" s="24">
        <f t="shared" si="0"/>
        <v>22.321428571428569</v>
      </c>
      <c r="N17" s="24">
        <f t="shared" si="1"/>
        <v>2.6785714285714284</v>
      </c>
      <c r="O17" s="24">
        <f t="shared" si="2"/>
        <v>0</v>
      </c>
      <c r="P17" s="24"/>
      <c r="Q17" s="25">
        <v>22.32</v>
      </c>
      <c r="R17" s="25"/>
      <c r="S17" s="26"/>
      <c r="T17" s="26"/>
      <c r="U17" s="26"/>
      <c r="V17" s="26"/>
      <c r="W17" s="26"/>
      <c r="X17" s="25"/>
      <c r="Y17" s="25"/>
      <c r="Z17" s="25"/>
      <c r="AA17" s="25"/>
      <c r="AB17" s="26"/>
      <c r="AC17" s="26"/>
      <c r="AD17" s="25"/>
      <c r="AE17" s="25"/>
      <c r="AF17" s="24">
        <f t="shared" si="3"/>
        <v>-24.998571428571427</v>
      </c>
      <c r="AG17" s="27">
        <f t="shared" si="4"/>
        <v>1.4285714285726669E-3</v>
      </c>
    </row>
    <row r="18" spans="1:33" s="29" customFormat="1" ht="23.25" customHeight="1" x14ac:dyDescent="0.2">
      <c r="A18" s="18">
        <v>44063</v>
      </c>
      <c r="B18" s="19"/>
      <c r="C18" s="20" t="s">
        <v>573</v>
      </c>
      <c r="D18" s="20"/>
      <c r="E18" s="20"/>
      <c r="F18" s="21">
        <v>814841</v>
      </c>
      <c r="G18" s="21" t="s">
        <v>574</v>
      </c>
      <c r="H18" s="22"/>
      <c r="I18" s="22"/>
      <c r="J18" s="22"/>
      <c r="K18" s="22">
        <v>475</v>
      </c>
      <c r="L18" s="23"/>
      <c r="M18" s="24">
        <f t="shared" si="0"/>
        <v>424.10714285714283</v>
      </c>
      <c r="N18" s="24">
        <f t="shared" si="1"/>
        <v>50.892857142857139</v>
      </c>
      <c r="O18" s="24">
        <f t="shared" si="2"/>
        <v>0</v>
      </c>
      <c r="P18" s="24"/>
      <c r="Q18" s="25"/>
      <c r="R18" s="25"/>
      <c r="S18" s="26"/>
      <c r="T18" s="26">
        <v>424.11</v>
      </c>
      <c r="U18" s="26"/>
      <c r="V18" s="26"/>
      <c r="W18" s="26"/>
      <c r="X18" s="25"/>
      <c r="Y18" s="25"/>
      <c r="Z18" s="25"/>
      <c r="AA18" s="25"/>
      <c r="AB18" s="26"/>
      <c r="AC18" s="26"/>
      <c r="AD18" s="25"/>
      <c r="AE18" s="25"/>
      <c r="AF18" s="24">
        <f t="shared" si="3"/>
        <v>-475.00285714285712</v>
      </c>
      <c r="AG18" s="27">
        <f t="shared" si="4"/>
        <v>-2.8571428571240176E-3</v>
      </c>
    </row>
    <row r="19" spans="1:33" s="29" customFormat="1" ht="23.25" customHeight="1" x14ac:dyDescent="0.2">
      <c r="A19" s="18">
        <v>44062</v>
      </c>
      <c r="B19" s="19"/>
      <c r="C19" s="20" t="s">
        <v>436</v>
      </c>
      <c r="D19" s="20"/>
      <c r="E19" s="20"/>
      <c r="F19" s="21"/>
      <c r="G19" s="21" t="s">
        <v>575</v>
      </c>
      <c r="H19" s="22">
        <v>120</v>
      </c>
      <c r="I19" s="22"/>
      <c r="J19" s="22"/>
      <c r="K19" s="22"/>
      <c r="L19" s="23"/>
      <c r="M19" s="24">
        <f t="shared" si="0"/>
        <v>120</v>
      </c>
      <c r="N19" s="24">
        <f t="shared" si="1"/>
        <v>0</v>
      </c>
      <c r="O19" s="24">
        <f t="shared" si="2"/>
        <v>0</v>
      </c>
      <c r="P19" s="24"/>
      <c r="Q19" s="25"/>
      <c r="R19" s="25"/>
      <c r="S19" s="26"/>
      <c r="T19" s="26"/>
      <c r="U19" s="26"/>
      <c r="V19" s="26"/>
      <c r="W19" s="26"/>
      <c r="X19" s="25"/>
      <c r="Y19" s="25"/>
      <c r="Z19" s="25"/>
      <c r="AA19" s="25">
        <v>120</v>
      </c>
      <c r="AB19" s="26"/>
      <c r="AC19" s="26"/>
      <c r="AD19" s="25"/>
      <c r="AE19" s="25"/>
      <c r="AF19" s="24">
        <f t="shared" si="3"/>
        <v>-120</v>
      </c>
      <c r="AG19" s="27">
        <f t="shared" si="4"/>
        <v>0</v>
      </c>
    </row>
    <row r="20" spans="1:33" s="29" customFormat="1" ht="23.25" customHeight="1" x14ac:dyDescent="0.2">
      <c r="A20" s="18">
        <v>44063</v>
      </c>
      <c r="B20" s="19"/>
      <c r="C20" s="20" t="s">
        <v>479</v>
      </c>
      <c r="D20" s="20"/>
      <c r="E20" s="20"/>
      <c r="F20" s="21">
        <v>59281</v>
      </c>
      <c r="G20" s="21" t="s">
        <v>576</v>
      </c>
      <c r="H20" s="22"/>
      <c r="I20" s="22"/>
      <c r="J20" s="22"/>
      <c r="K20" s="22">
        <f>1934.64+232.16</f>
        <v>2166.8000000000002</v>
      </c>
      <c r="L20" s="23"/>
      <c r="M20" s="24">
        <f t="shared" si="0"/>
        <v>1934.6428571428571</v>
      </c>
      <c r="N20" s="24">
        <f t="shared" si="1"/>
        <v>232.15714285714284</v>
      </c>
      <c r="O20" s="24">
        <f t="shared" si="2"/>
        <v>0</v>
      </c>
      <c r="P20" s="24">
        <v>1934.64</v>
      </c>
      <c r="Q20" s="25"/>
      <c r="R20" s="25"/>
      <c r="S20" s="26"/>
      <c r="T20" s="26"/>
      <c r="U20" s="26"/>
      <c r="V20" s="26"/>
      <c r="W20" s="26"/>
      <c r="X20" s="25"/>
      <c r="Y20" s="25"/>
      <c r="Z20" s="25"/>
      <c r="AA20" s="25"/>
      <c r="AB20" s="26"/>
      <c r="AC20" s="26"/>
      <c r="AD20" s="25"/>
      <c r="AE20" s="25"/>
      <c r="AF20" s="24">
        <f t="shared" si="3"/>
        <v>-2166.7971428571427</v>
      </c>
      <c r="AG20" s="27">
        <f t="shared" si="4"/>
        <v>2.8571428574650781E-3</v>
      </c>
    </row>
    <row r="21" spans="1:33" s="29" customFormat="1" ht="23.25" customHeight="1" x14ac:dyDescent="0.2">
      <c r="A21" s="18">
        <v>44063</v>
      </c>
      <c r="B21" s="19"/>
      <c r="C21" s="20" t="s">
        <v>479</v>
      </c>
      <c r="D21" s="20"/>
      <c r="E21" s="20"/>
      <c r="F21" s="21">
        <v>59281</v>
      </c>
      <c r="G21" s="21" t="s">
        <v>577</v>
      </c>
      <c r="H21" s="22"/>
      <c r="I21" s="22"/>
      <c r="J21" s="22">
        <v>244.59</v>
      </c>
      <c r="K21" s="22"/>
      <c r="L21" s="23"/>
      <c r="M21" s="24">
        <f t="shared" si="0"/>
        <v>244.59</v>
      </c>
      <c r="N21" s="24">
        <f t="shared" si="1"/>
        <v>0</v>
      </c>
      <c r="O21" s="24">
        <f t="shared" si="2"/>
        <v>0</v>
      </c>
      <c r="P21" s="24">
        <v>244.59</v>
      </c>
      <c r="Q21" s="25"/>
      <c r="R21" s="25"/>
      <c r="S21" s="26"/>
      <c r="T21" s="26"/>
      <c r="U21" s="26"/>
      <c r="V21" s="26"/>
      <c r="W21" s="26"/>
      <c r="X21" s="25"/>
      <c r="Y21" s="25"/>
      <c r="Z21" s="25"/>
      <c r="AA21" s="25"/>
      <c r="AB21" s="26"/>
      <c r="AC21" s="26"/>
      <c r="AD21" s="25"/>
      <c r="AE21" s="25"/>
      <c r="AF21" s="24">
        <f t="shared" si="3"/>
        <v>-244.59</v>
      </c>
      <c r="AG21" s="27">
        <f t="shared" si="4"/>
        <v>0</v>
      </c>
    </row>
    <row r="22" spans="1:33" s="29" customFormat="1" ht="23.25" customHeight="1" x14ac:dyDescent="0.2">
      <c r="A22" s="18"/>
      <c r="B22" s="19"/>
      <c r="C22" s="20"/>
      <c r="D22" s="20"/>
      <c r="E22" s="20"/>
      <c r="F22" s="21"/>
      <c r="G22" s="21"/>
      <c r="H22" s="22"/>
      <c r="I22" s="22"/>
      <c r="J22" s="22"/>
      <c r="K22" s="22"/>
      <c r="L22" s="23"/>
      <c r="M22" s="24">
        <f t="shared" si="0"/>
        <v>0</v>
      </c>
      <c r="N22" s="24">
        <f t="shared" si="1"/>
        <v>0</v>
      </c>
      <c r="O22" s="24">
        <f t="shared" si="2"/>
        <v>0</v>
      </c>
      <c r="P22" s="24"/>
      <c r="Q22" s="25"/>
      <c r="R22" s="25"/>
      <c r="S22" s="26"/>
      <c r="T22" s="26"/>
      <c r="U22" s="26"/>
      <c r="V22" s="26"/>
      <c r="W22" s="26"/>
      <c r="X22" s="25"/>
      <c r="Y22" s="25"/>
      <c r="Z22" s="25"/>
      <c r="AA22" s="25"/>
      <c r="AB22" s="26"/>
      <c r="AC22" s="26"/>
      <c r="AD22" s="25"/>
      <c r="AE22" s="25"/>
      <c r="AF22" s="24">
        <f t="shared" si="3"/>
        <v>0</v>
      </c>
      <c r="AG22" s="27">
        <f t="shared" si="4"/>
        <v>0</v>
      </c>
    </row>
    <row r="23" spans="1:33" s="29" customFormat="1" ht="23.25" customHeight="1" x14ac:dyDescent="0.2">
      <c r="A23" s="18"/>
      <c r="B23" s="19"/>
      <c r="C23" s="20"/>
      <c r="D23" s="20"/>
      <c r="E23" s="20"/>
      <c r="F23" s="21"/>
      <c r="G23" s="21"/>
      <c r="H23" s="22"/>
      <c r="I23" s="22"/>
      <c r="J23" s="22"/>
      <c r="K23" s="22"/>
      <c r="L23" s="23"/>
      <c r="M23" s="24">
        <f t="shared" si="0"/>
        <v>0</v>
      </c>
      <c r="N23" s="24">
        <f t="shared" si="1"/>
        <v>0</v>
      </c>
      <c r="O23" s="24">
        <f t="shared" si="2"/>
        <v>0</v>
      </c>
      <c r="P23" s="24"/>
      <c r="Q23" s="25"/>
      <c r="R23" s="25"/>
      <c r="S23" s="26"/>
      <c r="T23" s="26"/>
      <c r="U23" s="26"/>
      <c r="V23" s="26"/>
      <c r="W23" s="26"/>
      <c r="X23" s="25"/>
      <c r="Y23" s="25"/>
      <c r="Z23" s="25"/>
      <c r="AA23" s="25"/>
      <c r="AB23" s="26"/>
      <c r="AC23" s="26"/>
      <c r="AD23" s="25"/>
      <c r="AE23" s="25"/>
      <c r="AF23" s="24">
        <f t="shared" si="3"/>
        <v>0</v>
      </c>
      <c r="AG23" s="27">
        <f t="shared" si="4"/>
        <v>0</v>
      </c>
    </row>
    <row r="24" spans="1:33" s="29" customFormat="1" ht="23.25" customHeight="1" x14ac:dyDescent="0.2">
      <c r="A24" s="18"/>
      <c r="B24" s="19"/>
      <c r="C24" s="20"/>
      <c r="D24" s="20"/>
      <c r="E24" s="20"/>
      <c r="F24" s="21"/>
      <c r="G24" s="21"/>
      <c r="H24" s="22"/>
      <c r="I24" s="22"/>
      <c r="J24" s="22"/>
      <c r="K24" s="22"/>
      <c r="L24" s="23"/>
      <c r="M24" s="24">
        <f t="shared" si="0"/>
        <v>0</v>
      </c>
      <c r="N24" s="24">
        <f t="shared" si="1"/>
        <v>0</v>
      </c>
      <c r="O24" s="24">
        <f t="shared" si="2"/>
        <v>0</v>
      </c>
      <c r="P24" s="24"/>
      <c r="Q24" s="25"/>
      <c r="R24" s="25"/>
      <c r="S24" s="26"/>
      <c r="T24" s="26"/>
      <c r="U24" s="26"/>
      <c r="V24" s="26"/>
      <c r="W24" s="26"/>
      <c r="X24" s="25"/>
      <c r="Y24" s="25"/>
      <c r="Z24" s="25"/>
      <c r="AA24" s="25"/>
      <c r="AB24" s="26"/>
      <c r="AC24" s="26"/>
      <c r="AD24" s="25"/>
      <c r="AE24" s="25"/>
      <c r="AF24" s="24">
        <f t="shared" si="3"/>
        <v>0</v>
      </c>
      <c r="AG24" s="27">
        <f t="shared" si="4"/>
        <v>0</v>
      </c>
    </row>
    <row r="25" spans="1:33" s="29" customFormat="1" ht="10.199999999999999" x14ac:dyDescent="0.2">
      <c r="A25" s="18"/>
      <c r="B25" s="19"/>
      <c r="C25" s="43"/>
      <c r="D25" s="43"/>
      <c r="E25" s="43"/>
      <c r="F25" s="21"/>
      <c r="G25" s="30"/>
      <c r="H25" s="22"/>
      <c r="I25" s="22"/>
      <c r="J25" s="22"/>
      <c r="K25" s="22"/>
      <c r="L25" s="23"/>
      <c r="M25" s="25">
        <f t="shared" si="0"/>
        <v>0</v>
      </c>
      <c r="N25" s="24">
        <f t="shared" si="1"/>
        <v>0</v>
      </c>
      <c r="O25" s="24">
        <f t="shared" si="2"/>
        <v>0</v>
      </c>
      <c r="P25" s="25"/>
      <c r="Q25" s="25"/>
      <c r="R25" s="25"/>
      <c r="S25" s="25"/>
      <c r="T25" s="26"/>
      <c r="U25" s="26"/>
      <c r="V25" s="26"/>
      <c r="W25" s="26"/>
      <c r="X25" s="26"/>
      <c r="Y25" s="44"/>
      <c r="Z25" s="25"/>
      <c r="AA25" s="25"/>
      <c r="AB25" s="25"/>
      <c r="AC25" s="26"/>
      <c r="AD25" s="26"/>
      <c r="AE25" s="45"/>
      <c r="AF25" s="24">
        <f t="shared" si="3"/>
        <v>0</v>
      </c>
      <c r="AG25" s="27">
        <f t="shared" si="4"/>
        <v>0</v>
      </c>
    </row>
    <row r="26" spans="1:33" s="52" customFormat="1" ht="10.199999999999999" x14ac:dyDescent="0.2">
      <c r="A26" s="46"/>
      <c r="B26" s="47"/>
      <c r="C26" s="48"/>
      <c r="D26" s="49"/>
      <c r="E26" s="49"/>
      <c r="F26" s="50"/>
      <c r="G26" s="48"/>
      <c r="H26" s="51">
        <f t="shared" ref="H26:M26" si="5">SUM(H5:H25)</f>
        <v>915</v>
      </c>
      <c r="I26" s="51">
        <f t="shared" si="5"/>
        <v>0</v>
      </c>
      <c r="J26" s="51">
        <f t="shared" si="5"/>
        <v>9992.4900000000016</v>
      </c>
      <c r="K26" s="51">
        <f t="shared" si="5"/>
        <v>3745.8</v>
      </c>
      <c r="L26" s="51">
        <f t="shared" si="5"/>
        <v>0</v>
      </c>
      <c r="M26" s="51">
        <f t="shared" si="5"/>
        <v>14251.954285714288</v>
      </c>
      <c r="N26" s="24">
        <f t="shared" si="1"/>
        <v>401.33571428571429</v>
      </c>
      <c r="O26" s="24">
        <f t="shared" si="2"/>
        <v>0</v>
      </c>
      <c r="P26" s="51">
        <f t="shared" ref="P26:AG26" si="6">SUM(P5:P25)</f>
        <v>12158.380000000001</v>
      </c>
      <c r="Q26" s="51">
        <f t="shared" si="6"/>
        <v>22.32</v>
      </c>
      <c r="R26" s="51">
        <f t="shared" si="6"/>
        <v>0</v>
      </c>
      <c r="S26" s="51">
        <f t="shared" si="6"/>
        <v>732.14</v>
      </c>
      <c r="T26" s="51">
        <f t="shared" si="6"/>
        <v>424.11</v>
      </c>
      <c r="U26" s="51">
        <f t="shared" si="6"/>
        <v>0</v>
      </c>
      <c r="V26" s="51">
        <f t="shared" si="6"/>
        <v>0</v>
      </c>
      <c r="W26" s="51">
        <f t="shared" si="6"/>
        <v>0</v>
      </c>
      <c r="X26" s="51">
        <f t="shared" si="6"/>
        <v>0</v>
      </c>
      <c r="Y26" s="51">
        <f t="shared" si="6"/>
        <v>0</v>
      </c>
      <c r="Z26" s="51">
        <f t="shared" si="6"/>
        <v>0</v>
      </c>
      <c r="AA26" s="51">
        <f t="shared" si="6"/>
        <v>915</v>
      </c>
      <c r="AB26" s="51">
        <f t="shared" si="6"/>
        <v>0</v>
      </c>
      <c r="AC26" s="51">
        <f t="shared" si="6"/>
        <v>0</v>
      </c>
      <c r="AD26" s="51">
        <f t="shared" si="6"/>
        <v>0</v>
      </c>
      <c r="AE26" s="51">
        <f t="shared" si="6"/>
        <v>0</v>
      </c>
      <c r="AF26" s="51">
        <f t="shared" si="6"/>
        <v>-14653.285714285717</v>
      </c>
      <c r="AG26" s="51">
        <f t="shared" si="6"/>
        <v>4.2857142860377451E-3</v>
      </c>
    </row>
    <row r="32" spans="1:33" x14ac:dyDescent="0.3">
      <c r="Q32" s="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13</vt:i4>
      </vt:variant>
    </vt:vector>
  </HeadingPairs>
  <TitlesOfParts>
    <vt:vector size="56" baseType="lpstr">
      <vt:lpstr>2020-01</vt:lpstr>
      <vt:lpstr>2020-02</vt:lpstr>
      <vt:lpstr>2020-03</vt:lpstr>
      <vt:lpstr>2020-05</vt:lpstr>
      <vt:lpstr>2020-06</vt:lpstr>
      <vt:lpstr>2020-07</vt:lpstr>
      <vt:lpstr>July31-Aug6</vt:lpstr>
      <vt:lpstr>Aug 8-15</vt:lpstr>
      <vt:lpstr>Aug 14-20</vt:lpstr>
      <vt:lpstr>Sheet1</vt:lpstr>
      <vt:lpstr>Aug24-29</vt:lpstr>
      <vt:lpstr>2020-09</vt:lpstr>
      <vt:lpstr>2020-09_2</vt:lpstr>
      <vt:lpstr>Sept 28-Oct 5</vt:lpstr>
      <vt:lpstr>Oct. 5-10</vt:lpstr>
      <vt:lpstr>Oct 12-17</vt:lpstr>
      <vt:lpstr>Oct14</vt:lpstr>
      <vt:lpstr>Oct. 15-19</vt:lpstr>
      <vt:lpstr>Oct 20-24</vt:lpstr>
      <vt:lpstr>Oct 24-29</vt:lpstr>
      <vt:lpstr>Oct 23-30</vt:lpstr>
      <vt:lpstr>Oct 29-30</vt:lpstr>
      <vt:lpstr>Nov 5-6</vt:lpstr>
      <vt:lpstr>Nov 5-7</vt:lpstr>
      <vt:lpstr>Nov 10-14</vt:lpstr>
      <vt:lpstr>Nov13</vt:lpstr>
      <vt:lpstr>Nov 14-21</vt:lpstr>
      <vt:lpstr>Nov 19-21</vt:lpstr>
      <vt:lpstr>Nov 23</vt:lpstr>
      <vt:lpstr>Nov. 23-28</vt:lpstr>
      <vt:lpstr>Nov. 28-30</vt:lpstr>
      <vt:lpstr>Wine</vt:lpstr>
      <vt:lpstr>Nov 30-Dec 03</vt:lpstr>
      <vt:lpstr>Dec4-5</vt:lpstr>
      <vt:lpstr>Dec 07-12</vt:lpstr>
      <vt:lpstr>Dec 7-12 PCF2</vt:lpstr>
      <vt:lpstr>BEER</vt:lpstr>
      <vt:lpstr>Dec. 14-19</vt:lpstr>
      <vt:lpstr>De. 14-16</vt:lpstr>
      <vt:lpstr>Dec 14-19</vt:lpstr>
      <vt:lpstr>Dec 19-21(cash from Dec18sales)</vt:lpstr>
      <vt:lpstr>Dec 22-23 (10k Budget)</vt:lpstr>
      <vt:lpstr>Dec29</vt:lpstr>
      <vt:lpstr>'2020-09'!Print_Area</vt:lpstr>
      <vt:lpstr>'2020-09_2'!Print_Area</vt:lpstr>
      <vt:lpstr>'Aug 14-20'!Print_Area</vt:lpstr>
      <vt:lpstr>'Aug 8-15'!Print_Area</vt:lpstr>
      <vt:lpstr>'Dec 19-21(cash from Dec18sales)'!Print_Area</vt:lpstr>
      <vt:lpstr>'Dec 22-23 (10k Budget)'!Print_Area</vt:lpstr>
      <vt:lpstr>'July31-Aug6'!Print_Area</vt:lpstr>
      <vt:lpstr>'Oct 12-17'!Print_Area</vt:lpstr>
      <vt:lpstr>'Oct 23-30'!Print_Area</vt:lpstr>
      <vt:lpstr>'Oct 24-29'!Print_Area</vt:lpstr>
      <vt:lpstr>'Oct14'!Print_Area</vt:lpstr>
      <vt:lpstr>'Sept 28-Oct 5'!Print_Area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Ben</cp:lastModifiedBy>
  <cp:revision>45</cp:revision>
  <cp:lastPrinted>2016-02-06T11:31:51Z</cp:lastPrinted>
  <dcterms:created xsi:type="dcterms:W3CDTF">2014-11-05T11:52:28Z</dcterms:created>
  <dcterms:modified xsi:type="dcterms:W3CDTF">2022-03-06T09:30:56Z</dcterms:modified>
  <dc:language>en-PH</dc:language>
</cp:coreProperties>
</file>